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57A77190-B018-1843-BE6F-C1C455C6B0DC}" xr6:coauthVersionLast="47" xr6:coauthVersionMax="47" xr10:uidLastSave="{00000000-0000-0000-0000-000000000000}"/>
  <bookViews>
    <workbookView xWindow="14960" yWindow="500" windowWidth="36240" windowHeight="28300" activeTab="1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0" i="1" l="1"/>
  <c r="AV40" i="1"/>
  <c r="AU40" i="1"/>
  <c r="AT40" i="1"/>
  <c r="AS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BO40" i="1"/>
  <c r="BN40" i="1"/>
  <c r="BM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E40" i="1"/>
  <c r="BE50" i="1"/>
  <c r="AE82" i="1"/>
  <c r="AE80" i="1"/>
  <c r="AE78" i="1"/>
  <c r="AE73" i="1"/>
  <c r="AE65" i="1"/>
  <c r="AE57" i="1"/>
  <c r="AE50" i="1"/>
  <c r="AD82" i="1"/>
  <c r="AC82" i="1"/>
  <c r="AB82" i="1"/>
  <c r="AA82" i="1"/>
  <c r="Z82" i="1"/>
  <c r="AE150" i="1"/>
  <c r="AE153" i="1" s="1"/>
  <c r="AE149" i="1"/>
  <c r="AE152" i="1" s="1"/>
  <c r="AE155" i="1" s="1"/>
  <c r="IW3" i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BQ3" i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BP3" i="1"/>
  <c r="BF9" i="1"/>
  <c r="BS38" i="1"/>
  <c r="BS36" i="1"/>
  <c r="AE9" i="1"/>
  <c r="AE39" i="1"/>
  <c r="AE38" i="1"/>
  <c r="AE37" i="1"/>
  <c r="AE36" i="1"/>
  <c r="AE35" i="1"/>
  <c r="AE34" i="1"/>
  <c r="AE33" i="1"/>
  <c r="AE32" i="1"/>
  <c r="AE27" i="1"/>
  <c r="AE14" i="1"/>
  <c r="AE23" i="1" s="1"/>
  <c r="AE25" i="1" s="1"/>
  <c r="C5" i="2"/>
  <c r="BG8" i="1"/>
  <c r="BH8" i="1"/>
  <c r="BI8" i="1"/>
  <c r="BJ8" i="1"/>
  <c r="BK8" i="1"/>
  <c r="BL8" i="1"/>
  <c r="BM8" i="1"/>
  <c r="BN8" i="1"/>
  <c r="BO8" i="1"/>
  <c r="BF170" i="1"/>
  <c r="BG170" i="1"/>
  <c r="BH170" i="1"/>
  <c r="BI170" i="1"/>
  <c r="BI171" i="1" s="1"/>
  <c r="BJ170" i="1"/>
  <c r="BK170" i="1"/>
  <c r="BL170" i="1"/>
  <c r="BM170" i="1"/>
  <c r="BN171" i="1" s="1"/>
  <c r="BN170" i="1"/>
  <c r="BO170" i="1"/>
  <c r="BP170" i="1"/>
  <c r="BG171" i="1"/>
  <c r="BH171" i="1"/>
  <c r="BJ171" i="1"/>
  <c r="BO171" i="1"/>
  <c r="BP171" i="1"/>
  <c r="BD1" i="1"/>
  <c r="BD7" i="1"/>
  <c r="BC2" i="1"/>
  <c r="AE28" i="1" l="1"/>
  <c r="BM171" i="1"/>
  <c r="BL171" i="1"/>
  <c r="BK171" i="1"/>
  <c r="AD149" i="1"/>
  <c r="AC149" i="1"/>
  <c r="AB149" i="1"/>
  <c r="AA149" i="1"/>
  <c r="AB133" i="1"/>
  <c r="AC133" i="1" s="1"/>
  <c r="AD133" i="1" s="1"/>
  <c r="AB131" i="1"/>
  <c r="AC131" i="1"/>
  <c r="AD131" i="1" s="1"/>
  <c r="BH5" i="1"/>
  <c r="AY34" i="1"/>
  <c r="AX34" i="1"/>
  <c r="AW34" i="1"/>
  <c r="AV34" i="1"/>
  <c r="AU34" i="1"/>
  <c r="BF2" i="1"/>
  <c r="AA73" i="1"/>
  <c r="AA78" i="1" s="1"/>
  <c r="AA80" i="1" s="1"/>
  <c r="AA57" i="1"/>
  <c r="AA65" i="1" s="1"/>
  <c r="AB73" i="1"/>
  <c r="AB78" i="1" s="1"/>
  <c r="AB80" i="1" s="1"/>
  <c r="AB57" i="1"/>
  <c r="AB65" i="1" s="1"/>
  <c r="AC73" i="1"/>
  <c r="AC78" i="1" s="1"/>
  <c r="AC80" i="1" s="1"/>
  <c r="AC57" i="1"/>
  <c r="AC65" i="1" s="1"/>
  <c r="Z73" i="1"/>
  <c r="Z78" i="1" s="1"/>
  <c r="Z80" i="1" s="1"/>
  <c r="Z57" i="1"/>
  <c r="Z65" i="1" s="1"/>
  <c r="AD78" i="1"/>
  <c r="AD80" i="1" s="1"/>
  <c r="AD73" i="1"/>
  <c r="AD65" i="1"/>
  <c r="AD57" i="1"/>
  <c r="Z50" i="1"/>
  <c r="AA50" i="1"/>
  <c r="AB50" i="1"/>
  <c r="AC50" i="1"/>
  <c r="AD50" i="1"/>
  <c r="Z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E7" i="1"/>
  <c r="BE8" i="1" s="1"/>
  <c r="AD26" i="1"/>
  <c r="AD24" i="1"/>
  <c r="AD21" i="1"/>
  <c r="AD20" i="1"/>
  <c r="AD19" i="1"/>
  <c r="AD18" i="1"/>
  <c r="AD38" i="1" s="1"/>
  <c r="AD17" i="1"/>
  <c r="AD16" i="1"/>
  <c r="AD15" i="1"/>
  <c r="AD13" i="1"/>
  <c r="AD12" i="1"/>
  <c r="AD32" i="1" s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3" i="1"/>
  <c r="AB33" i="1"/>
  <c r="AA33" i="1"/>
  <c r="AC32" i="1"/>
  <c r="AB32" i="1"/>
  <c r="AA32" i="1"/>
  <c r="Z26" i="1"/>
  <c r="Z24" i="1"/>
  <c r="Z21" i="1"/>
  <c r="Z20" i="1"/>
  <c r="Z19" i="1"/>
  <c r="Z18" i="1"/>
  <c r="Z17" i="1"/>
  <c r="AD37" i="1" s="1"/>
  <c r="Z16" i="1"/>
  <c r="Z15" i="1"/>
  <c r="Z13" i="1"/>
  <c r="Z12" i="1"/>
  <c r="Z32" i="1" s="1"/>
  <c r="Z33" i="1"/>
  <c r="AA14" i="1"/>
  <c r="AA23" i="1" s="1"/>
  <c r="AA25" i="1" s="1"/>
  <c r="AA27" i="1" s="1"/>
  <c r="AA28" i="1" s="1"/>
  <c r="AB14" i="1"/>
  <c r="AB23" i="1" s="1"/>
  <c r="AB25" i="1" s="1"/>
  <c r="AB27" i="1" s="1"/>
  <c r="AB28" i="1" s="1"/>
  <c r="AC14" i="1"/>
  <c r="AC23" i="1" s="1"/>
  <c r="AC25" i="1" s="1"/>
  <c r="AC27" i="1" s="1"/>
  <c r="AC28" i="1" s="1"/>
  <c r="BD14" i="1"/>
  <c r="BD23" i="1" s="1"/>
  <c r="BD25" i="1" s="1"/>
  <c r="BD27" i="1" s="1"/>
  <c r="BD28" i="1" s="1"/>
  <c r="BE14" i="1"/>
  <c r="BE23" i="1" s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Y37" i="1"/>
  <c r="X37" i="1"/>
  <c r="W37" i="1"/>
  <c r="U37" i="1"/>
  <c r="T37" i="1"/>
  <c r="S37" i="1"/>
  <c r="Q37" i="1"/>
  <c r="P37" i="1"/>
  <c r="O37" i="1"/>
  <c r="M37" i="1"/>
  <c r="L37" i="1"/>
  <c r="K37" i="1"/>
  <c r="I37" i="1"/>
  <c r="H37" i="1"/>
  <c r="G37" i="1"/>
  <c r="Y36" i="1"/>
  <c r="X36" i="1"/>
  <c r="W36" i="1"/>
  <c r="U36" i="1"/>
  <c r="T36" i="1"/>
  <c r="S36" i="1"/>
  <c r="Q36" i="1"/>
  <c r="P36" i="1"/>
  <c r="O36" i="1"/>
  <c r="M36" i="1"/>
  <c r="L36" i="1"/>
  <c r="K36" i="1"/>
  <c r="I36" i="1"/>
  <c r="H36" i="1"/>
  <c r="G36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P34" i="1"/>
  <c r="L34" i="1"/>
  <c r="K34" i="1"/>
  <c r="I34" i="1"/>
  <c r="H34" i="1"/>
  <c r="G34" i="1"/>
  <c r="Y33" i="1"/>
  <c r="X33" i="1"/>
  <c r="W33" i="1"/>
  <c r="U33" i="1"/>
  <c r="T33" i="1"/>
  <c r="S33" i="1"/>
  <c r="Y32" i="1"/>
  <c r="X32" i="1"/>
  <c r="W32" i="1"/>
  <c r="U32" i="1"/>
  <c r="T32" i="1"/>
  <c r="S32" i="1"/>
  <c r="X134" i="1"/>
  <c r="Y134" i="1" s="1"/>
  <c r="Y146" i="1"/>
  <c r="W146" i="1"/>
  <c r="X124" i="1"/>
  <c r="Y124" i="1" s="1"/>
  <c r="X112" i="1"/>
  <c r="Y112" i="1" s="1"/>
  <c r="Y73" i="1"/>
  <c r="Y78" i="1" s="1"/>
  <c r="Y80" i="1" s="1"/>
  <c r="Y57" i="1"/>
  <c r="Y65" i="1" s="1"/>
  <c r="Y14" i="1"/>
  <c r="X144" i="1"/>
  <c r="Y144" i="1" s="1"/>
  <c r="X142" i="1"/>
  <c r="Y142" i="1" s="1"/>
  <c r="X141" i="1"/>
  <c r="Y141" i="1" s="1"/>
  <c r="X140" i="1"/>
  <c r="X135" i="1"/>
  <c r="Y135" i="1" s="1"/>
  <c r="X133" i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73" i="1"/>
  <c r="X78" i="1" s="1"/>
  <c r="X80" i="1" s="1"/>
  <c r="X57" i="1"/>
  <c r="X65" i="1" s="1"/>
  <c r="X14" i="1"/>
  <c r="X23" i="1" s="1"/>
  <c r="X25" i="1" s="1"/>
  <c r="X27" i="1" s="1"/>
  <c r="X28" i="1" s="1"/>
  <c r="X50" i="1"/>
  <c r="T45" i="1"/>
  <c r="W45" i="1"/>
  <c r="V45" i="1"/>
  <c r="U45" i="1"/>
  <c r="C8" i="10"/>
  <c r="C7" i="10"/>
  <c r="W85" i="1"/>
  <c r="W86" i="1"/>
  <c r="W87" i="1"/>
  <c r="W88" i="1"/>
  <c r="W89" i="1"/>
  <c r="W91" i="1"/>
  <c r="W92" i="1"/>
  <c r="Q85" i="1"/>
  <c r="AN9" i="1"/>
  <c r="AO9" i="1"/>
  <c r="AP9" i="1"/>
  <c r="AQ9" i="1"/>
  <c r="AR9" i="1"/>
  <c r="AS9" i="1"/>
  <c r="AT9" i="1"/>
  <c r="AU9" i="1"/>
  <c r="AV9" i="1"/>
  <c r="AW9" i="1"/>
  <c r="AX9" i="1"/>
  <c r="AY9" i="1"/>
  <c r="U146" i="1"/>
  <c r="W143" i="1"/>
  <c r="W138" i="1"/>
  <c r="W131" i="1"/>
  <c r="W149" i="1" s="1"/>
  <c r="W73" i="1"/>
  <c r="W78" i="1" s="1"/>
  <c r="W80" i="1" s="1"/>
  <c r="W57" i="1"/>
  <c r="W65" i="1" s="1"/>
  <c r="V50" i="1"/>
  <c r="W50" i="1"/>
  <c r="Y50" i="1"/>
  <c r="W14" i="1"/>
  <c r="W23" i="1" s="1"/>
  <c r="W25" i="1" s="1"/>
  <c r="W27" i="1" s="1"/>
  <c r="W28" i="1" s="1"/>
  <c r="R146" i="1"/>
  <c r="V146" i="1"/>
  <c r="BA143" i="1"/>
  <c r="BA138" i="1"/>
  <c r="BA131" i="1"/>
  <c r="BB143" i="1"/>
  <c r="BB138" i="1"/>
  <c r="BB131" i="1"/>
  <c r="BB149" i="1" s="1"/>
  <c r="BC143" i="1"/>
  <c r="BC138" i="1"/>
  <c r="BC131" i="1"/>
  <c r="BC149" i="1" s="1"/>
  <c r="V110" i="1"/>
  <c r="W103" i="1" s="1"/>
  <c r="W110" i="1" s="1"/>
  <c r="BC21" i="1"/>
  <c r="AC150" i="1" l="1"/>
  <c r="AD152" i="1"/>
  <c r="BD9" i="1"/>
  <c r="BE9" i="1"/>
  <c r="BG9" i="1" s="1"/>
  <c r="BH9" i="1" s="1"/>
  <c r="BI9" i="1" s="1"/>
  <c r="BJ9" i="1" s="1"/>
  <c r="BK9" i="1" s="1"/>
  <c r="BL9" i="1" s="1"/>
  <c r="BM9" i="1" s="1"/>
  <c r="BN9" i="1" s="1"/>
  <c r="BO9" i="1" s="1"/>
  <c r="BE34" i="1"/>
  <c r="AA150" i="1"/>
  <c r="AA34" i="1"/>
  <c r="AB150" i="1"/>
  <c r="AD23" i="1"/>
  <c r="AD35" i="1"/>
  <c r="AD36" i="1"/>
  <c r="AB34" i="1"/>
  <c r="AD33" i="1"/>
  <c r="AD14" i="1"/>
  <c r="Z14" i="1"/>
  <c r="AC34" i="1"/>
  <c r="AD39" i="1"/>
  <c r="BE25" i="1"/>
  <c r="W46" i="1"/>
  <c r="V46" i="1"/>
  <c r="X138" i="1"/>
  <c r="Y131" i="1"/>
  <c r="Y133" i="1"/>
  <c r="Z133" i="1" s="1"/>
  <c r="X143" i="1"/>
  <c r="X150" i="1"/>
  <c r="X131" i="1"/>
  <c r="Y140" i="1"/>
  <c r="Y143" i="1" s="1"/>
  <c r="Y23" i="1"/>
  <c r="Z23" i="1" s="1"/>
  <c r="BA145" i="1"/>
  <c r="BA147" i="1" s="1"/>
  <c r="W145" i="1"/>
  <c r="W147" i="1" s="1"/>
  <c r="W150" i="1"/>
  <c r="BA149" i="1"/>
  <c r="BB145" i="1"/>
  <c r="BB147" i="1" s="1"/>
  <c r="BC145" i="1"/>
  <c r="BC147" i="1" s="1"/>
  <c r="Y149" i="1" l="1"/>
  <c r="X149" i="1"/>
  <c r="Z131" i="1"/>
  <c r="Z149" i="1" s="1"/>
  <c r="AC152" i="1" s="1"/>
  <c r="BE27" i="1"/>
  <c r="AD25" i="1"/>
  <c r="AD34" i="1"/>
  <c r="X145" i="1"/>
  <c r="Y25" i="1"/>
  <c r="Z25" i="1" s="1"/>
  <c r="G6" i="2"/>
  <c r="C50" i="1"/>
  <c r="B99" i="1"/>
  <c r="B98" i="1"/>
  <c r="B97" i="1"/>
  <c r="B96" i="1"/>
  <c r="B95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89" i="1"/>
  <c r="T89" i="1"/>
  <c r="S89" i="1"/>
  <c r="R89" i="1"/>
  <c r="Q89" i="1"/>
  <c r="P89" i="1"/>
  <c r="O89" i="1"/>
  <c r="N89" i="1"/>
  <c r="M89" i="1"/>
  <c r="L89" i="1"/>
  <c r="U88" i="1"/>
  <c r="T88" i="1"/>
  <c r="S88" i="1"/>
  <c r="R88" i="1"/>
  <c r="Q88" i="1"/>
  <c r="P88" i="1"/>
  <c r="O88" i="1"/>
  <c r="N88" i="1"/>
  <c r="M88" i="1"/>
  <c r="L88" i="1"/>
  <c r="U87" i="1"/>
  <c r="T87" i="1"/>
  <c r="S87" i="1"/>
  <c r="R87" i="1"/>
  <c r="Q87" i="1"/>
  <c r="P87" i="1"/>
  <c r="O87" i="1"/>
  <c r="N87" i="1"/>
  <c r="M87" i="1"/>
  <c r="L87" i="1"/>
  <c r="U86" i="1"/>
  <c r="T86" i="1"/>
  <c r="S86" i="1"/>
  <c r="R86" i="1"/>
  <c r="Q86" i="1"/>
  <c r="P86" i="1"/>
  <c r="O86" i="1"/>
  <c r="N86" i="1"/>
  <c r="M86" i="1"/>
  <c r="L86" i="1"/>
  <c r="U85" i="1"/>
  <c r="T85" i="1"/>
  <c r="S85" i="1"/>
  <c r="R85" i="1"/>
  <c r="P85" i="1"/>
  <c r="O85" i="1"/>
  <c r="N85" i="1"/>
  <c r="M85" i="1"/>
  <c r="L85" i="1"/>
  <c r="V92" i="1"/>
  <c r="V91" i="1"/>
  <c r="V89" i="1"/>
  <c r="V88" i="1"/>
  <c r="V87" i="1"/>
  <c r="V86" i="1"/>
  <c r="V85" i="1"/>
  <c r="B92" i="1"/>
  <c r="B91" i="1"/>
  <c r="B90" i="1"/>
  <c r="B89" i="1"/>
  <c r="B88" i="1"/>
  <c r="B101" i="1" s="1"/>
  <c r="B87" i="1"/>
  <c r="B86" i="1"/>
  <c r="B100" i="1" s="1"/>
  <c r="B85" i="1"/>
  <c r="C73" i="1"/>
  <c r="C57" i="1"/>
  <c r="E73" i="1"/>
  <c r="E78" i="1" s="1"/>
  <c r="E80" i="1" s="1"/>
  <c r="F73" i="1"/>
  <c r="F78" i="1" s="1"/>
  <c r="F80" i="1" s="1"/>
  <c r="G73" i="1"/>
  <c r="H73" i="1"/>
  <c r="I73" i="1"/>
  <c r="J73" i="1"/>
  <c r="J78" i="1" s="1"/>
  <c r="J80" i="1" s="1"/>
  <c r="K73" i="1"/>
  <c r="L73" i="1"/>
  <c r="L78" i="1" s="1"/>
  <c r="L80" i="1" s="1"/>
  <c r="M73" i="1"/>
  <c r="M78" i="1" s="1"/>
  <c r="M80" i="1" s="1"/>
  <c r="N73" i="1"/>
  <c r="O73" i="1"/>
  <c r="P73" i="1"/>
  <c r="Q73" i="1"/>
  <c r="R73" i="1"/>
  <c r="S73" i="1"/>
  <c r="T73" i="1"/>
  <c r="U73" i="1"/>
  <c r="V73" i="1"/>
  <c r="D73" i="1"/>
  <c r="D78" i="1" s="1"/>
  <c r="D57" i="1"/>
  <c r="D50" i="1"/>
  <c r="E57" i="1"/>
  <c r="E65" i="1" s="1"/>
  <c r="E50" i="1"/>
  <c r="G57" i="1"/>
  <c r="G50" i="1"/>
  <c r="H57" i="1"/>
  <c r="H65" i="1" s="1"/>
  <c r="H50" i="1"/>
  <c r="K57" i="1"/>
  <c r="K50" i="1"/>
  <c r="L57" i="1"/>
  <c r="L50" i="1"/>
  <c r="J57" i="1"/>
  <c r="J50" i="1"/>
  <c r="M57" i="1"/>
  <c r="M50" i="1"/>
  <c r="F57" i="1"/>
  <c r="F50" i="1"/>
  <c r="I57" i="1"/>
  <c r="I65" i="1" s="1"/>
  <c r="N57" i="1"/>
  <c r="N50" i="1"/>
  <c r="I50" i="1"/>
  <c r="AA152" i="1" l="1"/>
  <c r="Z152" i="1"/>
  <c r="AB152" i="1"/>
  <c r="BE28" i="1"/>
  <c r="AD28" i="1" s="1"/>
  <c r="AD27" i="1"/>
  <c r="AD150" i="1" s="1"/>
  <c r="AD153" i="1" s="1"/>
  <c r="AD155" i="1" s="1"/>
  <c r="W90" i="1"/>
  <c r="Y27" i="1"/>
  <c r="X45" i="1"/>
  <c r="G9" i="2"/>
  <c r="W96" i="1"/>
  <c r="W100" i="1"/>
  <c r="W101" i="1"/>
  <c r="W95" i="1"/>
  <c r="W98" i="1"/>
  <c r="W97" i="1"/>
  <c r="V96" i="1"/>
  <c r="S98" i="1"/>
  <c r="O101" i="1"/>
  <c r="Q95" i="1"/>
  <c r="O96" i="1"/>
  <c r="S97" i="1"/>
  <c r="Q98" i="1"/>
  <c r="O100" i="1"/>
  <c r="U101" i="1"/>
  <c r="R95" i="1"/>
  <c r="P96" i="1"/>
  <c r="T97" i="1"/>
  <c r="R98" i="1"/>
  <c r="P100" i="1"/>
  <c r="V101" i="1"/>
  <c r="O95" i="1"/>
  <c r="U96" i="1"/>
  <c r="Q97" i="1"/>
  <c r="O98" i="1"/>
  <c r="U100" i="1"/>
  <c r="S101" i="1"/>
  <c r="O90" i="1"/>
  <c r="P95" i="1"/>
  <c r="R97" i="1"/>
  <c r="P98" i="1"/>
  <c r="V100" i="1"/>
  <c r="T101" i="1"/>
  <c r="U95" i="1"/>
  <c r="Q96" i="1"/>
  <c r="T98" i="1"/>
  <c r="S100" i="1"/>
  <c r="Q90" i="1"/>
  <c r="T95" i="1"/>
  <c r="S96" i="1"/>
  <c r="P97" i="1"/>
  <c r="V97" i="1"/>
  <c r="U98" i="1"/>
  <c r="R100" i="1"/>
  <c r="R101" i="1"/>
  <c r="S95" i="1"/>
  <c r="R90" i="1"/>
  <c r="V95" i="1"/>
  <c r="P101" i="1"/>
  <c r="Q101" i="1"/>
  <c r="U97" i="1"/>
  <c r="T96" i="1"/>
  <c r="V98" i="1"/>
  <c r="O97" i="1"/>
  <c r="R96" i="1"/>
  <c r="T100" i="1"/>
  <c r="Q100" i="1"/>
  <c r="T90" i="1"/>
  <c r="L90" i="1"/>
  <c r="N90" i="1"/>
  <c r="U90" i="1"/>
  <c r="P90" i="1"/>
  <c r="S90" i="1"/>
  <c r="M90" i="1"/>
  <c r="V90" i="1"/>
  <c r="D80" i="1"/>
  <c r="G78" i="1"/>
  <c r="G65" i="1"/>
  <c r="H78" i="1"/>
  <c r="F65" i="1"/>
  <c r="L65" i="1"/>
  <c r="D65" i="1"/>
  <c r="I78" i="1"/>
  <c r="C78" i="1"/>
  <c r="K65" i="1"/>
  <c r="M65" i="1"/>
  <c r="J65" i="1"/>
  <c r="K78" i="1"/>
  <c r="C65" i="1"/>
  <c r="V78" i="1"/>
  <c r="V57" i="1"/>
  <c r="V14" i="1"/>
  <c r="T50" i="1"/>
  <c r="T46" i="1" s="1"/>
  <c r="S50" i="1"/>
  <c r="R50" i="1"/>
  <c r="Q50" i="1"/>
  <c r="P50" i="1"/>
  <c r="O50" i="1"/>
  <c r="U50" i="1"/>
  <c r="U46" i="1" s="1"/>
  <c r="BS46" i="1" l="1"/>
  <c r="BS44" i="1"/>
  <c r="BS45" i="1"/>
  <c r="AD29" i="1"/>
  <c r="Z27" i="1"/>
  <c r="Z150" i="1" s="1"/>
  <c r="Y28" i="1"/>
  <c r="Z28" i="1" s="1"/>
  <c r="Y150" i="1"/>
  <c r="W99" i="1"/>
  <c r="P99" i="1"/>
  <c r="O99" i="1"/>
  <c r="V99" i="1"/>
  <c r="S99" i="1"/>
  <c r="U99" i="1"/>
  <c r="T99" i="1"/>
  <c r="Q99" i="1"/>
  <c r="R99" i="1"/>
  <c r="C80" i="1"/>
  <c r="G80" i="1"/>
  <c r="V65" i="1"/>
  <c r="H80" i="1"/>
  <c r="V80" i="1"/>
  <c r="K80" i="1"/>
  <c r="I80" i="1"/>
  <c r="C9" i="1"/>
  <c r="AR3" i="1"/>
  <c r="AQ3" i="1" s="1"/>
  <c r="AP3" i="1" s="1"/>
  <c r="AO3" i="1" s="1"/>
  <c r="AN3" i="1" s="1"/>
  <c r="AM3" i="1" s="1"/>
  <c r="D7" i="1"/>
  <c r="D8" i="1" s="1"/>
  <c r="G7" i="1"/>
  <c r="K7" i="1"/>
  <c r="K8" i="1" s="1"/>
  <c r="F15" i="1"/>
  <c r="F16" i="1"/>
  <c r="F17" i="1"/>
  <c r="F18" i="1"/>
  <c r="F19" i="1"/>
  <c r="F20" i="1"/>
  <c r="F21" i="1"/>
  <c r="F24" i="1"/>
  <c r="F26" i="1"/>
  <c r="F28" i="1"/>
  <c r="F14" i="1"/>
  <c r="C23" i="1"/>
  <c r="D23" i="1"/>
  <c r="E23" i="1"/>
  <c r="G23" i="1"/>
  <c r="H23" i="1"/>
  <c r="J28" i="1"/>
  <c r="J26" i="1"/>
  <c r="J24" i="1"/>
  <c r="J21" i="1"/>
  <c r="J20" i="1"/>
  <c r="J19" i="1"/>
  <c r="J18" i="1"/>
  <c r="J17" i="1"/>
  <c r="J16" i="1"/>
  <c r="J15" i="1"/>
  <c r="J35" i="1" s="1"/>
  <c r="I23" i="1"/>
  <c r="S103" i="1"/>
  <c r="S110" i="1" s="1"/>
  <c r="U103" i="1"/>
  <c r="U110" i="1" s="1"/>
  <c r="T103" i="1"/>
  <c r="T110" i="1" s="1"/>
  <c r="R103" i="1"/>
  <c r="R110" i="1" s="1"/>
  <c r="Q103" i="1"/>
  <c r="Q110" i="1" s="1"/>
  <c r="P103" i="1"/>
  <c r="P110" i="1" s="1"/>
  <c r="N103" i="1"/>
  <c r="N110" i="1" s="1"/>
  <c r="O103" i="1" s="1"/>
  <c r="O110" i="1" s="1"/>
  <c r="O146" i="1"/>
  <c r="O143" i="1"/>
  <c r="O138" i="1"/>
  <c r="O131" i="1"/>
  <c r="O149" i="1" s="1"/>
  <c r="S146" i="1"/>
  <c r="S140" i="1"/>
  <c r="S138" i="1"/>
  <c r="S131" i="1"/>
  <c r="S149" i="1" s="1"/>
  <c r="T142" i="1"/>
  <c r="T130" i="1"/>
  <c r="T129" i="1"/>
  <c r="T122" i="1"/>
  <c r="T121" i="1"/>
  <c r="T115" i="1"/>
  <c r="T113" i="1"/>
  <c r="P146" i="1"/>
  <c r="P144" i="1"/>
  <c r="P142" i="1"/>
  <c r="P141" i="1"/>
  <c r="P140" i="1"/>
  <c r="P137" i="1"/>
  <c r="P136" i="1"/>
  <c r="P135" i="1"/>
  <c r="P134" i="1"/>
  <c r="P133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T146" i="1"/>
  <c r="T144" i="1"/>
  <c r="T141" i="1"/>
  <c r="T137" i="1"/>
  <c r="T136" i="1"/>
  <c r="T135" i="1"/>
  <c r="T134" i="1"/>
  <c r="T128" i="1"/>
  <c r="T127" i="1"/>
  <c r="T126" i="1"/>
  <c r="T125" i="1"/>
  <c r="T123" i="1"/>
  <c r="T120" i="1"/>
  <c r="T119" i="1"/>
  <c r="T118" i="1"/>
  <c r="T117" i="1"/>
  <c r="T116" i="1"/>
  <c r="T112" i="1"/>
  <c r="Q146" i="1"/>
  <c r="U114" i="1"/>
  <c r="V114" i="1" s="1"/>
  <c r="O78" i="1"/>
  <c r="O57" i="1"/>
  <c r="O65" i="1" s="1"/>
  <c r="P78" i="1"/>
  <c r="P57" i="1"/>
  <c r="P65" i="1" s="1"/>
  <c r="N78" i="1"/>
  <c r="N65" i="1"/>
  <c r="Q78" i="1"/>
  <c r="Q57" i="1"/>
  <c r="Q65" i="1" s="1"/>
  <c r="S78" i="1"/>
  <c r="S57" i="1"/>
  <c r="S65" i="1" s="1"/>
  <c r="T78" i="1"/>
  <c r="T57" i="1"/>
  <c r="T65" i="1" s="1"/>
  <c r="R78" i="1"/>
  <c r="R57" i="1"/>
  <c r="R65" i="1" s="1"/>
  <c r="U78" i="1"/>
  <c r="U57" i="1"/>
  <c r="U65" i="1" s="1"/>
  <c r="N7" i="1"/>
  <c r="N8" i="1" s="1"/>
  <c r="H7" i="2"/>
  <c r="U14" i="1"/>
  <c r="AB153" i="1" l="1"/>
  <c r="AB155" i="1" s="1"/>
  <c r="Z153" i="1"/>
  <c r="Z155" i="1" s="1"/>
  <c r="AA153" i="1"/>
  <c r="AA155" i="1" s="1"/>
  <c r="AC153" i="1"/>
  <c r="AC155" i="1" s="1"/>
  <c r="J36" i="1"/>
  <c r="G9" i="1"/>
  <c r="G8" i="1"/>
  <c r="J37" i="1"/>
  <c r="Y34" i="1"/>
  <c r="J38" i="1"/>
  <c r="Z29" i="1"/>
  <c r="J39" i="1"/>
  <c r="U118" i="1"/>
  <c r="V118" i="1" s="1"/>
  <c r="Q122" i="1"/>
  <c r="R122" i="1" s="1"/>
  <c r="U136" i="1"/>
  <c r="V136" i="1" s="1"/>
  <c r="Q144" i="1"/>
  <c r="R144" i="1" s="1"/>
  <c r="U123" i="1"/>
  <c r="V123" i="1" s="1"/>
  <c r="U137" i="1"/>
  <c r="V137" i="1" s="1"/>
  <c r="Q116" i="1"/>
  <c r="R116" i="1" s="1"/>
  <c r="Q124" i="1"/>
  <c r="R124" i="1" s="1"/>
  <c r="Q134" i="1"/>
  <c r="R134" i="1" s="1"/>
  <c r="U135" i="1"/>
  <c r="V135" i="1" s="1"/>
  <c r="Q130" i="1"/>
  <c r="R130" i="1" s="1"/>
  <c r="U130" i="1"/>
  <c r="V130" i="1" s="1"/>
  <c r="Q115" i="1"/>
  <c r="R115" i="1" s="1"/>
  <c r="U142" i="1"/>
  <c r="V142" i="1" s="1"/>
  <c r="U141" i="1"/>
  <c r="V141" i="1" s="1"/>
  <c r="Q117" i="1"/>
  <c r="R117" i="1" s="1"/>
  <c r="Q125" i="1"/>
  <c r="R125" i="1" s="1"/>
  <c r="Q135" i="1"/>
  <c r="R135" i="1" s="1"/>
  <c r="U112" i="1"/>
  <c r="V112" i="1" s="1"/>
  <c r="U126" i="1"/>
  <c r="V126" i="1" s="1"/>
  <c r="U144" i="1"/>
  <c r="V144" i="1" s="1"/>
  <c r="Q118" i="1"/>
  <c r="R118" i="1" s="1"/>
  <c r="Q126" i="1"/>
  <c r="R126" i="1" s="1"/>
  <c r="Q136" i="1"/>
  <c r="R136" i="1" s="1"/>
  <c r="U115" i="1"/>
  <c r="V115" i="1" s="1"/>
  <c r="S143" i="1"/>
  <c r="S145" i="1" s="1"/>
  <c r="S147" i="1" s="1"/>
  <c r="U134" i="1"/>
  <c r="V134" i="1" s="1"/>
  <c r="Q121" i="1"/>
  <c r="R121" i="1" s="1"/>
  <c r="U119" i="1"/>
  <c r="V119" i="1" s="1"/>
  <c r="Q114" i="1"/>
  <c r="R114" i="1" s="1"/>
  <c r="Q142" i="1"/>
  <c r="R142" i="1" s="1"/>
  <c r="U120" i="1"/>
  <c r="V120" i="1" s="1"/>
  <c r="Q133" i="1"/>
  <c r="R133" i="1" s="1"/>
  <c r="U125" i="1"/>
  <c r="V125" i="1" s="1"/>
  <c r="U116" i="1"/>
  <c r="V116" i="1" s="1"/>
  <c r="U127" i="1"/>
  <c r="V127" i="1" s="1"/>
  <c r="Q119" i="1"/>
  <c r="R119" i="1" s="1"/>
  <c r="Q127" i="1"/>
  <c r="R127" i="1" s="1"/>
  <c r="Q137" i="1"/>
  <c r="R137" i="1" s="1"/>
  <c r="U121" i="1"/>
  <c r="V121" i="1" s="1"/>
  <c r="Q113" i="1"/>
  <c r="R113" i="1" s="1"/>
  <c r="Q129" i="1"/>
  <c r="R129" i="1" s="1"/>
  <c r="U129" i="1" s="1"/>
  <c r="V129" i="1" s="1"/>
  <c r="Q141" i="1"/>
  <c r="R141" i="1" s="1"/>
  <c r="Q123" i="1"/>
  <c r="R123" i="1" s="1"/>
  <c r="U117" i="1"/>
  <c r="V117" i="1" s="1"/>
  <c r="U128" i="1"/>
  <c r="V128" i="1" s="1"/>
  <c r="Q112" i="1"/>
  <c r="R112" i="1" s="1"/>
  <c r="Q120" i="1"/>
  <c r="R120" i="1" s="1"/>
  <c r="Q128" i="1"/>
  <c r="R128" i="1" s="1"/>
  <c r="Q140" i="1"/>
  <c r="R140" i="1" s="1"/>
  <c r="U122" i="1"/>
  <c r="V122" i="1" s="1"/>
  <c r="P80" i="1"/>
  <c r="R80" i="1"/>
  <c r="N80" i="1"/>
  <c r="T80" i="1"/>
  <c r="O80" i="1"/>
  <c r="Q80" i="1"/>
  <c r="S80" i="1"/>
  <c r="F9" i="1"/>
  <c r="U23" i="1"/>
  <c r="L7" i="1"/>
  <c r="E7" i="1"/>
  <c r="O7" i="1"/>
  <c r="O8" i="1" s="1"/>
  <c r="H7" i="1"/>
  <c r="H8" i="1" s="1"/>
  <c r="D9" i="1"/>
  <c r="K9" i="1"/>
  <c r="C25" i="1"/>
  <c r="D25" i="1"/>
  <c r="E25" i="1"/>
  <c r="G25" i="1"/>
  <c r="H25" i="1"/>
  <c r="I25" i="1"/>
  <c r="P143" i="1"/>
  <c r="T140" i="1"/>
  <c r="U140" i="1" s="1"/>
  <c r="O145" i="1"/>
  <c r="P138" i="1"/>
  <c r="P131" i="1"/>
  <c r="P149" i="1" s="1"/>
  <c r="U113" i="1"/>
  <c r="V113" i="1" s="1"/>
  <c r="T124" i="1"/>
  <c r="T133" i="1"/>
  <c r="U80" i="1"/>
  <c r="BA7" i="1"/>
  <c r="BA8" i="1" s="1"/>
  <c r="BS40" i="1"/>
  <c r="H8" i="2"/>
  <c r="T14" i="1"/>
  <c r="R13" i="1"/>
  <c r="V33" i="1" s="1"/>
  <c r="R12" i="1"/>
  <c r="V32" i="1" s="1"/>
  <c r="R20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S23" i="1"/>
  <c r="AS25" i="1" s="1"/>
  <c r="AS27" i="1" s="1"/>
  <c r="AS29" i="1" s="1"/>
  <c r="AT23" i="1"/>
  <c r="AU23" i="1"/>
  <c r="AV23" i="1"/>
  <c r="AW23" i="1"/>
  <c r="AX23" i="1"/>
  <c r="AY23" i="1"/>
  <c r="F23" i="1" s="1"/>
  <c r="R28" i="1"/>
  <c r="N15" i="1"/>
  <c r="N35" i="1" s="1"/>
  <c r="N16" i="1"/>
  <c r="N36" i="1" s="1"/>
  <c r="N17" i="1"/>
  <c r="N37" i="1" s="1"/>
  <c r="N18" i="1"/>
  <c r="N38" i="1" s="1"/>
  <c r="N19" i="1"/>
  <c r="N39" i="1" s="1"/>
  <c r="N20" i="1"/>
  <c r="N21" i="1"/>
  <c r="N24" i="1"/>
  <c r="N26" i="1"/>
  <c r="N28" i="1"/>
  <c r="R15" i="1"/>
  <c r="R16" i="1"/>
  <c r="R17" i="1"/>
  <c r="R18" i="1"/>
  <c r="R19" i="1"/>
  <c r="R21" i="1"/>
  <c r="R24" i="1"/>
  <c r="R26" i="1"/>
  <c r="K23" i="1"/>
  <c r="L23" i="1"/>
  <c r="P23" i="1"/>
  <c r="M14" i="1"/>
  <c r="M34" i="1" s="1"/>
  <c r="Q14" i="1"/>
  <c r="AY3" i="1"/>
  <c r="AX3" i="1" s="1"/>
  <c r="AW3" i="1" s="1"/>
  <c r="AZ14" i="1"/>
  <c r="BA14" i="1"/>
  <c r="BA34" i="1" s="1"/>
  <c r="BB14" i="1"/>
  <c r="O14" i="1"/>
  <c r="O34" i="1" s="1"/>
  <c r="S14" i="1"/>
  <c r="X46" i="1"/>
  <c r="X44" i="1" l="1"/>
  <c r="BB23" i="1"/>
  <c r="BB34" i="1"/>
  <c r="J14" i="1"/>
  <c r="J34" i="1" s="1"/>
  <c r="AZ34" i="1"/>
  <c r="E8" i="1"/>
  <c r="F8" i="1"/>
  <c r="L8" i="1"/>
  <c r="M8" i="1"/>
  <c r="Q34" i="1"/>
  <c r="R39" i="1"/>
  <c r="V39" i="1"/>
  <c r="T34" i="1"/>
  <c r="X34" i="1"/>
  <c r="S34" i="1"/>
  <c r="W34" i="1"/>
  <c r="R37" i="1"/>
  <c r="V37" i="1"/>
  <c r="R36" i="1"/>
  <c r="V36" i="1"/>
  <c r="R38" i="1"/>
  <c r="V38" i="1"/>
  <c r="V35" i="1"/>
  <c r="R35" i="1"/>
  <c r="U34" i="1"/>
  <c r="U25" i="1"/>
  <c r="V140" i="1"/>
  <c r="Q138" i="1"/>
  <c r="R138" i="1" s="1"/>
  <c r="U143" i="1"/>
  <c r="T138" i="1"/>
  <c r="T131" i="1"/>
  <c r="T149" i="1" s="1"/>
  <c r="Q143" i="1"/>
  <c r="R143" i="1" s="1"/>
  <c r="Q131" i="1"/>
  <c r="Q149" i="1" s="1"/>
  <c r="I27" i="1"/>
  <c r="E27" i="1"/>
  <c r="D27" i="1"/>
  <c r="G27" i="1"/>
  <c r="C27" i="1"/>
  <c r="P7" i="1"/>
  <c r="P8" i="1" s="1"/>
  <c r="BC14" i="1"/>
  <c r="I7" i="1"/>
  <c r="H9" i="1"/>
  <c r="E9" i="1"/>
  <c r="L9" i="1"/>
  <c r="AZ9" i="1"/>
  <c r="H27" i="1"/>
  <c r="Q23" i="1"/>
  <c r="T23" i="1"/>
  <c r="T143" i="1"/>
  <c r="O23" i="1"/>
  <c r="O147" i="1"/>
  <c r="P145" i="1"/>
  <c r="P147" i="1" s="1"/>
  <c r="U124" i="1"/>
  <c r="U131" i="1" s="1"/>
  <c r="U133" i="1"/>
  <c r="U138" i="1" s="1"/>
  <c r="BA9" i="1"/>
  <c r="S23" i="1"/>
  <c r="O9" i="1"/>
  <c r="M23" i="1"/>
  <c r="M9" i="1"/>
  <c r="BA23" i="1"/>
  <c r="AZ23" i="1"/>
  <c r="R14" i="1"/>
  <c r="AT25" i="1"/>
  <c r="AT27" i="1" s="1"/>
  <c r="AT29" i="1" s="1"/>
  <c r="AU25" i="1"/>
  <c r="AU27" i="1" s="1"/>
  <c r="N14" i="1"/>
  <c r="AV25" i="1"/>
  <c r="AV27" i="1" s="1"/>
  <c r="AW25" i="1"/>
  <c r="AW27" i="1" s="1"/>
  <c r="AX25" i="1"/>
  <c r="AX27" i="1" s="1"/>
  <c r="AY25" i="1"/>
  <c r="K25" i="1"/>
  <c r="L25" i="1"/>
  <c r="P25" i="1"/>
  <c r="BC34" i="1" l="1"/>
  <c r="BD34" i="1"/>
  <c r="U149" i="1"/>
  <c r="N34" i="1"/>
  <c r="I8" i="1"/>
  <c r="J8" i="1"/>
  <c r="R34" i="1"/>
  <c r="V34" i="1"/>
  <c r="V143" i="1"/>
  <c r="Q145" i="1"/>
  <c r="Q147" i="1" s="1"/>
  <c r="Q7" i="1"/>
  <c r="Q8" i="1" s="1"/>
  <c r="V138" i="1"/>
  <c r="U27" i="1"/>
  <c r="R131" i="1"/>
  <c r="R149" i="1" s="1"/>
  <c r="V124" i="1"/>
  <c r="T145" i="1"/>
  <c r="T147" i="1" s="1"/>
  <c r="V133" i="1"/>
  <c r="G29" i="1"/>
  <c r="D29" i="1"/>
  <c r="E29" i="1"/>
  <c r="I29" i="1"/>
  <c r="H29" i="1"/>
  <c r="C29" i="1"/>
  <c r="P9" i="1"/>
  <c r="J9" i="1"/>
  <c r="I9" i="1"/>
  <c r="AY27" i="1"/>
  <c r="F25" i="1"/>
  <c r="J23" i="1"/>
  <c r="Q25" i="1"/>
  <c r="T25" i="1"/>
  <c r="T27" i="1" s="1"/>
  <c r="S25" i="1"/>
  <c r="L27" i="1"/>
  <c r="N9" i="1"/>
  <c r="P27" i="1"/>
  <c r="K27" i="1"/>
  <c r="O25" i="1"/>
  <c r="U145" i="1"/>
  <c r="N23" i="1"/>
  <c r="BB25" i="1"/>
  <c r="BB27" i="1" s="1"/>
  <c r="BB150" i="1" s="1"/>
  <c r="R23" i="1"/>
  <c r="M25" i="1"/>
  <c r="BA25" i="1"/>
  <c r="BA27" i="1" s="1"/>
  <c r="AZ25" i="1"/>
  <c r="AW29" i="1"/>
  <c r="AU29" i="1"/>
  <c r="AX29" i="1"/>
  <c r="AV29" i="1"/>
  <c r="Q9" i="1" l="1"/>
  <c r="R7" i="1"/>
  <c r="R8" i="1" s="1"/>
  <c r="R145" i="1"/>
  <c r="R147" i="1" s="1"/>
  <c r="U28" i="1"/>
  <c r="U150" i="1"/>
  <c r="F27" i="1"/>
  <c r="G82" i="1" s="1"/>
  <c r="BA150" i="1"/>
  <c r="U152" i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U147" i="1"/>
  <c r="V145" i="1"/>
  <c r="V147" i="1" s="1"/>
  <c r="Q27" i="1"/>
  <c r="Q29" i="1" s="1"/>
  <c r="AY29" i="1"/>
  <c r="AZ27" i="1"/>
  <c r="J25" i="1"/>
  <c r="K29" i="1"/>
  <c r="T150" i="1"/>
  <c r="R152" i="1"/>
  <c r="T152" i="1"/>
  <c r="S152" i="1"/>
  <c r="S27" i="1"/>
  <c r="P29" i="1"/>
  <c r="P150" i="1"/>
  <c r="M27" i="1"/>
  <c r="O27" i="1"/>
  <c r="L29" i="1"/>
  <c r="R25" i="1"/>
  <c r="N25" i="1"/>
  <c r="BB7" i="1"/>
  <c r="BB8" i="1" s="1"/>
  <c r="S7" i="1"/>
  <c r="S8" i="1" s="1"/>
  <c r="R9" i="1"/>
  <c r="BA29" i="1"/>
  <c r="BB29" i="1"/>
  <c r="BC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T7" i="1" l="1"/>
  <c r="F82" i="1"/>
  <c r="I82" i="1"/>
  <c r="H82" i="1"/>
  <c r="F29" i="1"/>
  <c r="J27" i="1"/>
  <c r="R27" i="1"/>
  <c r="U82" i="1" s="1"/>
  <c r="Q150" i="1"/>
  <c r="AZ29" i="1"/>
  <c r="BB9" i="1"/>
  <c r="S29" i="1"/>
  <c r="S45" i="1" s="1"/>
  <c r="S46" i="1" s="1"/>
  <c r="S150" i="1"/>
  <c r="M29" i="1"/>
  <c r="N27" i="1"/>
  <c r="O29" i="1"/>
  <c r="O150" i="1"/>
  <c r="S9" i="1"/>
  <c r="W9" i="1" s="1"/>
  <c r="AA9" i="1" s="1"/>
  <c r="U7" i="1" l="1"/>
  <c r="T8" i="1"/>
  <c r="S82" i="1"/>
  <c r="R29" i="1"/>
  <c r="J82" i="1"/>
  <c r="M82" i="1"/>
  <c r="J29" i="1"/>
  <c r="L82" i="1"/>
  <c r="K82" i="1"/>
  <c r="T82" i="1"/>
  <c r="R150" i="1"/>
  <c r="T153" i="1" s="1"/>
  <c r="T155" i="1" s="1"/>
  <c r="R82" i="1"/>
  <c r="N29" i="1"/>
  <c r="Q82" i="1"/>
  <c r="O82" i="1"/>
  <c r="N82" i="1"/>
  <c r="P82" i="1"/>
  <c r="T9" i="1"/>
  <c r="X9" i="1" s="1"/>
  <c r="AB9" i="1" s="1"/>
  <c r="V7" i="1" l="1"/>
  <c r="W7" i="1" s="1"/>
  <c r="U8" i="1"/>
  <c r="S153" i="1"/>
  <c r="S155" i="1" s="1"/>
  <c r="R153" i="1"/>
  <c r="R155" i="1" s="1"/>
  <c r="U153" i="1"/>
  <c r="U155" i="1" s="1"/>
  <c r="U9" i="1"/>
  <c r="Y9" i="1" s="1"/>
  <c r="AC9" i="1" s="1"/>
  <c r="V8" i="1" l="1"/>
  <c r="BC7" i="1"/>
  <c r="V9" i="1"/>
  <c r="Z9" i="1" s="1"/>
  <c r="AD9" i="1" s="1"/>
  <c r="BC16" i="1"/>
  <c r="BC17" i="1"/>
  <c r="BC18" i="1"/>
  <c r="BC19" i="1"/>
  <c r="BC15" i="1"/>
  <c r="BC8" i="1" l="1"/>
  <c r="BC9" i="1"/>
  <c r="BD8" i="1"/>
  <c r="W8" i="1"/>
  <c r="X7" i="1"/>
  <c r="V23" i="1"/>
  <c r="X8" i="1" l="1"/>
  <c r="Y8" i="1"/>
  <c r="BC23" i="1"/>
  <c r="V25" i="1"/>
  <c r="V27" i="1" l="1"/>
  <c r="BC26" i="1"/>
  <c r="BC24" i="1"/>
  <c r="BC25" i="1" s="1"/>
  <c r="X82" i="1" l="1"/>
  <c r="Y82" i="1"/>
  <c r="V150" i="1"/>
  <c r="V82" i="1"/>
  <c r="W82" i="1"/>
  <c r="Z34" i="1"/>
  <c r="V28" i="1"/>
  <c r="BC28" i="1" s="1"/>
  <c r="BC27" i="1"/>
  <c r="BF7" i="1" l="1"/>
  <c r="Y153" i="1"/>
  <c r="X153" i="1"/>
  <c r="W153" i="1"/>
  <c r="V153" i="1"/>
  <c r="BC150" i="1"/>
  <c r="BF8" i="1" l="1"/>
  <c r="BG7" i="1"/>
  <c r="BG2" i="1"/>
  <c r="Z35" i="1"/>
  <c r="Z38" i="1"/>
  <c r="Z37" i="1"/>
  <c r="Z36" i="1"/>
  <c r="Z39" i="1"/>
  <c r="BF14" i="1" l="1"/>
  <c r="BF15" i="1" l="1"/>
  <c r="BF20" i="1"/>
  <c r="BF34" i="1"/>
  <c r="BF21" i="1"/>
  <c r="BF19" i="1"/>
  <c r="BF17" i="1"/>
  <c r="BF18" i="1"/>
  <c r="BF16" i="1"/>
  <c r="BF23" i="1" l="1"/>
  <c r="BF24" i="1" l="1"/>
  <c r="BF25" i="1" s="1"/>
  <c r="BF26" i="1" l="1"/>
  <c r="BF27" i="1" s="1"/>
  <c r="BF28" i="1" l="1"/>
  <c r="BF50" i="1"/>
  <c r="BG24" i="1" s="1"/>
  <c r="V131" i="1" l="1"/>
  <c r="V149" i="1" s="1"/>
  <c r="Y152" i="1" l="1"/>
  <c r="Y155" i="1" s="1"/>
  <c r="X152" i="1"/>
  <c r="X155" i="1" s="1"/>
  <c r="V152" i="1"/>
  <c r="V155" i="1" s="1"/>
  <c r="W152" i="1"/>
  <c r="W155" i="1" s="1"/>
  <c r="Y138" i="1" l="1"/>
  <c r="Y145" i="1" s="1"/>
  <c r="Y147" i="1" s="1"/>
  <c r="BH7" i="1"/>
  <c r="BI7" i="1" s="1"/>
  <c r="BH14" i="1"/>
  <c r="BG14" i="1"/>
  <c r="BG17" i="1" s="1"/>
  <c r="BJ7" i="1" l="1"/>
  <c r="BI14" i="1"/>
  <c r="BG21" i="1"/>
  <c r="BH21" i="1" s="1"/>
  <c r="BG16" i="1"/>
  <c r="BH16" i="1" s="1"/>
  <c r="BG19" i="1"/>
  <c r="BH19" i="1" s="1"/>
  <c r="BG34" i="1"/>
  <c r="BG18" i="1"/>
  <c r="BH18" i="1" s="1"/>
  <c r="BG15" i="1"/>
  <c r="BH15" i="1" s="1"/>
  <c r="BG20" i="1"/>
  <c r="BH20" i="1"/>
  <c r="BH34" i="1"/>
  <c r="BH17" i="1"/>
  <c r="BH23" i="1" l="1"/>
  <c r="BG23" i="1"/>
  <c r="BG25" i="1" s="1"/>
  <c r="BI17" i="1"/>
  <c r="BI20" i="1"/>
  <c r="BI15" i="1"/>
  <c r="BI34" i="1"/>
  <c r="BI18" i="1"/>
  <c r="BI19" i="1"/>
  <c r="BI16" i="1"/>
  <c r="BI21" i="1"/>
  <c r="BJ14" i="1"/>
  <c r="BK7" i="1"/>
  <c r="BI23" i="1" l="1"/>
  <c r="BK14" i="1"/>
  <c r="BL7" i="1"/>
  <c r="BJ21" i="1"/>
  <c r="BJ34" i="1"/>
  <c r="BJ15" i="1"/>
  <c r="BJ19" i="1"/>
  <c r="BJ20" i="1"/>
  <c r="BJ16" i="1"/>
  <c r="BJ17" i="1"/>
  <c r="BJ18" i="1"/>
  <c r="BG26" i="1"/>
  <c r="BG27" i="1"/>
  <c r="BJ23" i="1" l="1"/>
  <c r="BG28" i="1"/>
  <c r="BG50" i="1"/>
  <c r="BM7" i="1"/>
  <c r="BL14" i="1"/>
  <c r="BK17" i="1"/>
  <c r="BK34" i="1"/>
  <c r="BK16" i="1"/>
  <c r="BK21" i="1"/>
  <c r="BK19" i="1"/>
  <c r="BK18" i="1"/>
  <c r="BK20" i="1"/>
  <c r="BK15" i="1"/>
  <c r="BK23" i="1" l="1"/>
  <c r="BL15" i="1"/>
  <c r="BL19" i="1"/>
  <c r="BL17" i="1"/>
  <c r="BL16" i="1"/>
  <c r="BL18" i="1"/>
  <c r="BL34" i="1"/>
  <c r="BL20" i="1"/>
  <c r="BL21" i="1"/>
  <c r="BM14" i="1"/>
  <c r="BN7" i="1"/>
  <c r="BH24" i="1"/>
  <c r="BH25" i="1" s="1"/>
  <c r="BL23" i="1" l="1"/>
  <c r="BH26" i="1"/>
  <c r="BH27" i="1" s="1"/>
  <c r="BN14" i="1"/>
  <c r="BO7" i="1"/>
  <c r="BO14" i="1" s="1"/>
  <c r="BM17" i="1"/>
  <c r="BM16" i="1"/>
  <c r="BM15" i="1"/>
  <c r="BM23" i="1" s="1"/>
  <c r="BM34" i="1"/>
  <c r="BM20" i="1"/>
  <c r="BM19" i="1"/>
  <c r="BM18" i="1"/>
  <c r="BM21" i="1"/>
  <c r="BH28" i="1" l="1"/>
  <c r="BH50" i="1"/>
  <c r="BO34" i="1"/>
  <c r="BN19" i="1"/>
  <c r="BO19" i="1" s="1"/>
  <c r="BN16" i="1"/>
  <c r="BO16" i="1" s="1"/>
  <c r="BN34" i="1"/>
  <c r="BN15" i="1"/>
  <c r="BO15" i="1" s="1"/>
  <c r="BN17" i="1"/>
  <c r="BO17" i="1" s="1"/>
  <c r="BN18" i="1"/>
  <c r="BO18" i="1" s="1"/>
  <c r="BN21" i="1"/>
  <c r="BO21" i="1" s="1"/>
  <c r="BN20" i="1"/>
  <c r="BO20" i="1" s="1"/>
  <c r="BN23" i="1" l="1"/>
  <c r="BO23" i="1"/>
  <c r="BI24" i="1"/>
  <c r="BI25" i="1" s="1"/>
  <c r="BI26" i="1" l="1"/>
  <c r="BI27" i="1" s="1"/>
  <c r="BI28" i="1" l="1"/>
  <c r="BI50" i="1"/>
  <c r="BJ24" i="1" l="1"/>
  <c r="BJ25" i="1" s="1"/>
  <c r="BJ26" i="1" l="1"/>
  <c r="BJ27" i="1" s="1"/>
  <c r="BJ28" i="1" l="1"/>
  <c r="BJ50" i="1"/>
  <c r="BK24" i="1" l="1"/>
  <c r="BK25" i="1" s="1"/>
  <c r="BK26" i="1" l="1"/>
  <c r="BK27" i="1" s="1"/>
  <c r="BK28" i="1" l="1"/>
  <c r="BK50" i="1"/>
  <c r="BL24" i="1" l="1"/>
  <c r="BL25" i="1" s="1"/>
  <c r="BL26" i="1" l="1"/>
  <c r="BL27" i="1" s="1"/>
  <c r="BL28" i="1" l="1"/>
  <c r="BL50" i="1"/>
  <c r="BM24" i="1" l="1"/>
  <c r="BM25" i="1" s="1"/>
  <c r="BM26" i="1" l="1"/>
  <c r="BM27" i="1" s="1"/>
  <c r="BM28" i="1" l="1"/>
  <c r="BM50" i="1"/>
  <c r="BN24" i="1" l="1"/>
  <c r="BN25" i="1" s="1"/>
  <c r="BN26" i="1" l="1"/>
  <c r="BN27" i="1" s="1"/>
  <c r="BN28" i="1" l="1"/>
  <c r="BN50" i="1"/>
  <c r="BO24" i="1" l="1"/>
  <c r="BO25" i="1" s="1"/>
  <c r="BO26" i="1"/>
  <c r="BO27" i="1" s="1"/>
  <c r="BO50" i="1" s="1"/>
  <c r="BO28" i="1" l="1"/>
  <c r="BP27" i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IW27" i="1" l="1"/>
  <c r="IX27" i="1" s="1"/>
  <c r="IY27" i="1" s="1"/>
  <c r="IZ27" i="1" s="1"/>
  <c r="JA27" i="1" s="1"/>
  <c r="JB27" i="1" s="1"/>
  <c r="JC27" i="1" s="1"/>
  <c r="JD27" i="1" s="1"/>
  <c r="JE27" i="1" s="1"/>
  <c r="JF27" i="1" s="1"/>
  <c r="JG27" i="1" s="1"/>
  <c r="BS35" i="1" s="1"/>
  <c r="BS37" i="1" s="1"/>
  <c r="BS39" i="1" s="1"/>
  <c r="BS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4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<sst xmlns="http://schemas.openxmlformats.org/spreadsheetml/2006/main" count="244" uniqueCount="221">
  <si>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</si>
  <si>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</si>
  <si>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</si>
  <si>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</si>
  <si>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</si>
  <si>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</si>
  <si>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</si>
  <si>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</si>
  <si>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</si>
  <si>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</si>
  <si>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</si>
  <si>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</si>
  <si>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</si>
  <si>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</si>
  <si>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</si>
  <si>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</si>
  <si>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</si>
  <si>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</si>
  <si>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</si>
  <si>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</si>
  <si>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</si>
  <si>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</si>
  <si>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</si>
  <si>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</si>
  <si>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</si>
  <si>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</si>
  <si>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</si>
  <si>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</si>
  <si>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</si>
  <si>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</si>
  <si>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</si>
  <si>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</si>
  <si>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</si>
  <si>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</si>
  <si>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</si>
  <si>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</si>
  <si>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</si>
  <si>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</si>
  <si>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</si>
  <si>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</si>
  <si>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</si>
  <si>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</si>
  <si>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</si>
  <si>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</si>
  <si>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</si>
  <si>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</si>
  <si>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</si>
  <si>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</si>
  <si>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</si>
  <si>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</si>
  <si>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</si>
  <si>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</si>
  <si>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</si>
  <si>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</si>
  <si>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</si>
  <si>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</si>
  <si>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</si>
  <si>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</si>
  <si>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</si>
  <si>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</si>
  <si>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</si>
  <si>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</si>
  <si>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</si>
  <si>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</si>
  <si>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</si>
  <si>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</si>
  <si>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</si>
  <si>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</si>
  <si>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</si>
  <si>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</si>
  <si>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</si>
  <si>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</si>
  <si>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</si>
  <si>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</si>
  <si>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</si>
  <si>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</si>
  <si>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</si>
  <si>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</si>
  <si>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</si>
  <si>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</si>
  <si>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</si>
  <si>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</si>
  <si>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</si>
  <si>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</si>
  <si>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</si>
  <si>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</si>
  <si>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</si>
  <si>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</si>
  <si>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</si>
  <si>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</si>
  <si>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</si>
  <si>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</si>
  <si>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</si>
  <si>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</si>
  <si>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</si>
  <si>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</si>
  <si>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</si>
  <si>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</si>
  <si>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</si>
  <si>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</si>
  <si>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</si>
  <si>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</si>
  <si>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</si>
  <si>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</si>
  <si>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</si>
  <si>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</si>
  <si>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</si>
  <si>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</si>
  <si>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</si>
  <si>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</si>
  <si>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</si>
  <si>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</si>
  <si>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</si>
  <si>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</si>
  <si>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</si>
  <si>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</si>
  <si>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</si>
  <si>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</si>
  <si>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</si>
  <si>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</si>
  <si>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</si>
  <si>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</si>
  <si>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</si>
  <si>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</si>
  <si>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</si>
  <si>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</si>
  <si>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</si>
  <si>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</si>
  <si>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</si>
  <si>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</si>
  <si>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</si>
  <si>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</si>
  <si>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</si>
  <si>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</si>
  <si>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</si>
  <si>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</si>
  <si>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</si>
  <si>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</si>
  <si>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Goal is to streamline mundane kitche processes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</si>
  <si>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</si>
  <si>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</si>
  <si>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</si>
  <si>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</si>
  <si>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</si>
  <si>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</si>
  <si>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</si>
  <si>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</si>
  <si>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</si>
  <si>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</si>
  <si>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</si>
  <si>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</si>
  <si>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</si>
  <si>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</si>
  <si>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</si>
  <si>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</si>
  <si>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</si>
  <si>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</si>
  <si>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</si>
  <si>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</si>
  <si>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</si>
  <si>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</si>
  <si>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</si>
  <si>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</si>
  <si>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</si>
  <si>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</si>
  <si>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</si>
  <si>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</si>
  <si>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</si>
  <si>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</si>
  <si>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</si>
  <si>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</si>
  <si>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</si>
  <si>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</si>
  <si>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</si>
  <si>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</si>
  <si>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</si>
  <si>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</si>
  <si>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..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</si>
  <si>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</si>
  <si>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</si>
  <si>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</si>
  <si>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</si>
  <si>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</si>
  <si>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</si>
  <si>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</si>
  <si>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</si>
  <si>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</si>
  <si>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</si>
  <si>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</si>
  <si>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</si>
  <si>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</si>
  <si>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</si>
  <si>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</si>
  <si>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</si>
  <si>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</si>
  <si>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</si>
  <si>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</si>
  <si>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</si>
  <si>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</si>
  <si>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</si>
  <si>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Artificial lightning to fertilize soil, founded 2018</t>
  </si>
  <si>
    <t>Robots to cut weeds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</si>
  <si>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</si>
  <si>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</si>
  <si>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</si>
  <si>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</si>
  <si>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</si>
  <si>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</si>
  <si>
    <t xml:space="preserve">tekken partnership </t>
  </si>
  <si>
    <t>Q124</t>
  </si>
  <si>
    <t xml:space="preserve">Kuwait Launch </t>
  </si>
  <si>
    <t>Q124 results</t>
  </si>
  <si>
    <t>.</t>
  </si>
  <si>
    <t>SSS</t>
  </si>
  <si>
    <t>$K</t>
  </si>
  <si>
    <t>EV/2024E</t>
  </si>
  <si>
    <t>EV/2023E</t>
  </si>
  <si>
    <t>EV/2025E</t>
  </si>
  <si>
    <t xml:space="preserve">Transcript </t>
  </si>
  <si>
    <t xml:space="preserve">Main 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</si>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</sst>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</numFmts>
  <fonts count="13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b/>
      <sz val="10"/>
      <color theme="1"/>
      <name val="ArialMT"/>
    </font>
    <font>
      <sz val="10"/>
      <color rgb="FF0000FF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68" fontId="6" fillId="0" borderId="0" xfId="1" applyNumberFormat="1" applyFont="1"/>
    <xf numFmtId="165" fontId="6" fillId="0" borderId="0" xfId="1" applyNumberFormat="1" applyFont="1"/>
    <xf numFmtId="3" fontId="7" fillId="0" borderId="0" xfId="0" applyNumberFormat="1" applyFont="1"/>
    <xf numFmtId="164" fontId="6" fillId="0" borderId="0" xfId="0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69" fontId="6" fillId="0" borderId="0" xfId="0" applyNumberFormat="1" applyFont="1"/>
    <xf numFmtId="10" fontId="6" fillId="0" borderId="0" xfId="0" applyNumberFormat="1" applyFo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14" fontId="2" fillId="0" borderId="0" xfId="4" applyNumberFormat="1"/>
    <xf numFmtId="9" fontId="6" fillId="0" borderId="0" xfId="2" applyFont="1" applyFill="1" applyAlignment="1">
      <alignment horizontal="right"/>
    </xf>
    <xf numFmtId="9" fontId="7" fillId="0" borderId="0" xfId="2" applyFont="1" applyFill="1" applyAlignment="1">
      <alignment horizontal="right"/>
    </xf>
    <xf numFmtId="3" fontId="6" fillId="0" borderId="0" xfId="2" applyNumberFormat="1" applyFont="1" applyFill="1" applyAlignment="1">
      <alignment horizontal="right"/>
    </xf>
    <xf numFmtId="3" fontId="10" fillId="0" borderId="0" xfId="0" applyNumberFormat="1" applyFont="1"/>
    <xf numFmtId="14" fontId="2" fillId="0" borderId="0" xfId="4" applyNumberFormat="1" applyAlignment="1"/>
    <xf numFmtId="14" fontId="5" fillId="0" borderId="0" xfId="4" applyNumberFormat="1" applyFont="1" applyAlignment="1"/>
    <xf numFmtId="0" fontId="11" fillId="0" borderId="0" xfId="0" applyFont="1"/>
    <xf numFmtId="1" fontId="6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4" applyNumberFormat="1" applyAlignment="1">
      <alignment horizontal="right"/>
    </xf>
    <xf numFmtId="9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3" borderId="0" xfId="0" applyNumberFormat="1" applyFont="1" applyFill="1"/>
    <xf numFmtId="1" fontId="6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6" fontId="6" fillId="0" borderId="0" xfId="3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3" fontId="7" fillId="0" borderId="0" xfId="3" applyNumberFormat="1" applyFont="1" applyAlignment="1">
      <alignment horizontal="right"/>
    </xf>
    <xf numFmtId="3" fontId="6" fillId="0" borderId="0" xfId="3" applyNumberFormat="1" applyFont="1" applyAlignment="1">
      <alignment horizontal="right"/>
    </xf>
    <xf numFmtId="9" fontId="6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1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2" xfId="2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9" fontId="6" fillId="0" borderId="4" xfId="2" applyFont="1" applyBorder="1" applyAlignment="1">
      <alignment horizontal="right"/>
    </xf>
    <xf numFmtId="167" fontId="6" fillId="0" borderId="4" xfId="2" applyNumberFormat="1" applyFont="1" applyBorder="1" applyAlignment="1">
      <alignment horizontal="right"/>
    </xf>
    <xf numFmtId="3" fontId="7" fillId="0" borderId="3" xfId="2" applyNumberFormat="1" applyFont="1" applyBorder="1" applyAlignment="1">
      <alignment horizontal="right"/>
    </xf>
    <xf numFmtId="3" fontId="7" fillId="0" borderId="4" xfId="2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9" fontId="6" fillId="0" borderId="3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9" fontId="6" fillId="0" borderId="6" xfId="2" applyFont="1" applyBorder="1" applyAlignment="1">
      <alignment horizontal="right"/>
    </xf>
    <xf numFmtId="167" fontId="7" fillId="0" borderId="0" xfId="0" applyNumberFormat="1" applyFont="1" applyAlignment="1">
      <alignment horizontal="center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7" fontId="7" fillId="0" borderId="0" xfId="1" applyNumberFormat="1" applyFont="1" applyAlignment="1">
      <alignment horizontal="right"/>
    </xf>
    <xf numFmtId="167" fontId="7" fillId="0" borderId="0" xfId="3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2" fillId="0" borderId="0" xfId="4" applyNumberFormat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0</xdr:row>
      <xdr:rowOff>0</xdr:rowOff>
    </xdr:from>
    <xdr:to>
      <xdr:col>31</xdr:col>
      <xdr:colOff>13975</xdr:colOff>
      <xdr:row>167</xdr:row>
      <xdr:rowOff>13840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>
          <a:off x="23298728" y="0"/>
          <a:ext cx="13974" cy="2581793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" dT="2024-05-27T00:53:54.81" personId="{2E55D6BB-A26C-7041-BB27-C132C32F7E95}" id="{EEA83C40-93FE-B143-8700-87B76C9B544A}" parentId="{3CBE3620-C3B8-A044-96A3-38AC130F2666}">
    <text>285-315 openings = latest Q124 guidance</text>
  </threadedComment>
  <threadedComment ref="BF26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33" Type="http://schemas.openxmlformats.org/officeDocument/2006/relationships/hyperlink" Target="https://finance.yahoo.com/news/chipotle-mexican-grill-inc-nyse-125645960.html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32" Type="http://schemas.openxmlformats.org/officeDocument/2006/relationships/hyperlink" Target="https://ir.chipotle.com/2024-04-24-CHIPOTLE-ANNOUNCES-FIRST-QUARTER-2024-RESULTS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31" Type="http://schemas.openxmlformats.org/officeDocument/2006/relationships/hyperlink" Target="https://ir.chipotle.com/2024-04-22-CHIPOTLE-INTRODUCES-ITS-REAL-INGREDIENTS-TO-KUWAIT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Relationship Id="rId30" Type="http://schemas.openxmlformats.org/officeDocument/2006/relationships/hyperlink" Target="https://ir.chipotle.com/2024-04-08-CHIPOTLE-KICKS-OFF-PARTNERSHIP-WITH-TEKKEN-TM-8,-RETURNS-WITH-NEW-EXCLUSIVE-EXPERIENCES-FOR-THE-FIGHTING-GAME-COMMUNITY-FGC" TargetMode="External"/><Relationship Id="rId8" Type="http://schemas.openxmlformats.org/officeDocument/2006/relationships/hyperlink" Target="https://ir.chipotle.com/2022-03-16-CHIPOTLE-TESTS-AI-KITCHEN-ASSISTANT,-CHIPP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110"/>
  <sheetViews>
    <sheetView zoomScale="160" zoomScaleNormal="160" workbookViewId="0"/>
  </sheetViews>
  <sheetFormatPr baseColWidth="10" defaultRowHeight="14"/>
  <cols>
    <col min="1" max="1" width="9.1640625" style="3" bestFit="1" customWidth="1"/>
    <col min="2" max="2" width="23" style="3" bestFit="1" customWidth="1"/>
    <col min="3" max="3" width="8.5" style="3" customWidth="1"/>
    <col min="4" max="4" width="9" style="3" customWidth="1"/>
    <col min="5" max="5" width="10.83203125" style="3"/>
    <col min="6" max="6" width="6.6640625" style="3" bestFit="1" customWidth="1"/>
    <col min="7" max="7" width="13.16406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148</v>
      </c>
    </row>
    <row r="2" spans="1:13">
      <c r="A2" s="2"/>
      <c r="D2" s="5"/>
      <c r="G2" s="6"/>
    </row>
    <row r="3" spans="1:13">
      <c r="A3" s="2"/>
      <c r="B3" s="3" t="s">
        <v>190</v>
      </c>
      <c r="C3" s="5">
        <v>34163</v>
      </c>
      <c r="D3" s="3" t="s">
        <v>166</v>
      </c>
      <c r="F3" s="7"/>
      <c r="H3" s="16"/>
    </row>
    <row r="4" spans="1:13">
      <c r="A4" s="1"/>
      <c r="B4" s="3" t="s">
        <v>191</v>
      </c>
      <c r="C4" s="3" t="s">
        <v>192</v>
      </c>
      <c r="F4" s="3" t="s">
        <v>12</v>
      </c>
      <c r="G4" s="4">
        <v>3151.63</v>
      </c>
      <c r="J4" s="4"/>
      <c r="M4" s="8"/>
    </row>
    <row r="5" spans="1:13">
      <c r="B5" s="3" t="s">
        <v>207</v>
      </c>
      <c r="C5" s="43">
        <f ca="1">(TODAY()-C3)/365</f>
        <v>30.890410958904109</v>
      </c>
      <c r="F5" s="3" t="s">
        <v>13</v>
      </c>
      <c r="G5" s="4">
        <v>27467</v>
      </c>
      <c r="H5" s="3" t="s">
        <v>209</v>
      </c>
      <c r="J5" s="4"/>
      <c r="M5" s="9"/>
    </row>
    <row r="6" spans="1:13">
      <c r="F6" s="3" t="s">
        <v>14</v>
      </c>
      <c r="G6" s="4">
        <f>+G4*G5</f>
        <v>86565821.210000008</v>
      </c>
      <c r="J6" s="4"/>
      <c r="M6" s="9"/>
    </row>
    <row r="7" spans="1:13">
      <c r="F7" s="3" t="s">
        <v>15</v>
      </c>
      <c r="G7" s="4">
        <v>727394</v>
      </c>
      <c r="H7" s="3" t="str">
        <f>+H5</f>
        <v>Q124</v>
      </c>
      <c r="J7" s="4"/>
      <c r="M7" s="9"/>
    </row>
    <row r="8" spans="1:13">
      <c r="F8" s="3" t="s">
        <v>16</v>
      </c>
      <c r="G8" s="4">
        <v>0</v>
      </c>
      <c r="H8" s="3" t="str">
        <f>+H7</f>
        <v>Q124</v>
      </c>
      <c r="J8" s="4"/>
      <c r="M8" s="9"/>
    </row>
    <row r="9" spans="1:13">
      <c r="F9" s="3" t="s">
        <v>17</v>
      </c>
      <c r="G9" s="4">
        <f>+G6-G7+G8</f>
        <v>85838427.210000008</v>
      </c>
      <c r="J9" s="4"/>
      <c r="M9" s="10"/>
    </row>
    <row r="10" spans="1:13">
      <c r="F10" s="3" t="s">
        <v>177</v>
      </c>
      <c r="G10" s="11"/>
      <c r="M10" s="9"/>
    </row>
    <row r="11" spans="1:13">
      <c r="G11" s="11"/>
      <c r="M11" s="9"/>
    </row>
    <row r="13" spans="1:13">
      <c r="D13" s="7"/>
    </row>
    <row r="14" spans="1:13">
      <c r="A14" s="3" t="s">
        <v>218</v>
      </c>
      <c r="B14" s="44" t="s">
        <v>47</v>
      </c>
      <c r="C14" s="7" t="s">
        <v>48</v>
      </c>
    </row>
    <row r="15" spans="1:13">
      <c r="A15" s="1" t="s">
        <v>209</v>
      </c>
      <c r="B15" s="45">
        <v>45406</v>
      </c>
      <c r="C15" s="3" t="s">
        <v>211</v>
      </c>
    </row>
    <row r="16" spans="1:13">
      <c r="B16" s="45">
        <v>45404</v>
      </c>
      <c r="C16" s="3" t="s">
        <v>210</v>
      </c>
    </row>
    <row r="17" spans="2:3">
      <c r="B17" s="35">
        <v>45390</v>
      </c>
      <c r="C17" s="3" t="s">
        <v>208</v>
      </c>
    </row>
    <row r="18" spans="2:3">
      <c r="B18" s="35">
        <v>45370</v>
      </c>
      <c r="C18" s="3" t="s">
        <v>204</v>
      </c>
    </row>
    <row r="19" spans="2:3">
      <c r="B19" s="35">
        <v>45363</v>
      </c>
      <c r="C19" s="3" t="s">
        <v>206</v>
      </c>
    </row>
    <row r="20" spans="2:3">
      <c r="B20" s="35">
        <v>45350</v>
      </c>
      <c r="C20" t="s">
        <v>205</v>
      </c>
    </row>
    <row r="21" spans="2:3">
      <c r="B21" s="35">
        <v>45293</v>
      </c>
      <c r="C21" s="3" t="s">
        <v>185</v>
      </c>
    </row>
    <row r="22" spans="2:3">
      <c r="B22" s="35">
        <v>45273</v>
      </c>
      <c r="C22" s="3" t="s">
        <v>186</v>
      </c>
    </row>
    <row r="23" spans="2:3">
      <c r="B23" s="40">
        <v>44845</v>
      </c>
      <c r="C23" s="3" t="s">
        <v>170</v>
      </c>
    </row>
    <row r="24" spans="2:3">
      <c r="B24" s="40">
        <v>44831</v>
      </c>
      <c r="C24" s="3" t="s">
        <v>171</v>
      </c>
    </row>
    <row r="25" spans="2:3">
      <c r="B25" s="40">
        <v>44817</v>
      </c>
      <c r="C25" s="3" t="s">
        <v>172</v>
      </c>
    </row>
    <row r="26" spans="2:3">
      <c r="B26" s="40">
        <v>44811</v>
      </c>
      <c r="C26" s="3" t="s">
        <v>173</v>
      </c>
    </row>
    <row r="27" spans="2:3">
      <c r="B27" s="40">
        <v>44803</v>
      </c>
      <c r="C27" s="3" t="s">
        <v>174</v>
      </c>
    </row>
    <row r="28" spans="2:3">
      <c r="B28" s="40">
        <v>44795</v>
      </c>
      <c r="C28" s="3" t="s">
        <v>175</v>
      </c>
    </row>
    <row r="29" spans="2:3">
      <c r="B29" s="40">
        <v>44763</v>
      </c>
      <c r="C29" s="3" t="s">
        <v>176</v>
      </c>
    </row>
    <row r="30" spans="2:3">
      <c r="B30" s="40">
        <v>44740</v>
      </c>
      <c r="C30" s="3" t="s">
        <v>164</v>
      </c>
    </row>
    <row r="31" spans="2:3">
      <c r="B31" s="40">
        <v>44728</v>
      </c>
      <c r="C31" s="3" t="s">
        <v>161</v>
      </c>
    </row>
    <row r="32" spans="2:3">
      <c r="B32" s="40">
        <v>44721</v>
      </c>
      <c r="C32" s="3" t="s">
        <v>160</v>
      </c>
    </row>
    <row r="33" spans="2:3">
      <c r="B33" s="40">
        <v>44683</v>
      </c>
      <c r="C33" s="3" t="s">
        <v>159</v>
      </c>
    </row>
    <row r="34" spans="2:3">
      <c r="B34" s="40">
        <v>44677</v>
      </c>
      <c r="C34" s="3" t="s">
        <v>158</v>
      </c>
    </row>
    <row r="35" spans="2:3">
      <c r="B35" s="41">
        <v>44670</v>
      </c>
      <c r="C35" s="3" t="s">
        <v>149</v>
      </c>
    </row>
    <row r="36" spans="2:3">
      <c r="B36" s="41">
        <v>44656</v>
      </c>
      <c r="C36" s="3" t="s">
        <v>152</v>
      </c>
    </row>
    <row r="37" spans="2:3">
      <c r="B37" s="41">
        <v>44651</v>
      </c>
      <c r="C37" s="3" t="s">
        <v>151</v>
      </c>
    </row>
    <row r="38" spans="2:3">
      <c r="B38" s="41">
        <v>44648</v>
      </c>
      <c r="C38" s="3" t="s">
        <v>150</v>
      </c>
    </row>
    <row r="39" spans="2:3">
      <c r="B39" s="41">
        <v>44636</v>
      </c>
      <c r="C39" s="3" t="s">
        <v>136</v>
      </c>
    </row>
    <row r="40" spans="2:3">
      <c r="B40" s="41">
        <v>44630</v>
      </c>
      <c r="C40" s="3" t="s">
        <v>139</v>
      </c>
    </row>
    <row r="41" spans="2:3">
      <c r="B41" s="41">
        <v>44615</v>
      </c>
      <c r="C41" s="3" t="s">
        <v>140</v>
      </c>
    </row>
    <row r="42" spans="2:3">
      <c r="B42" s="41">
        <v>44607</v>
      </c>
      <c r="C42" s="3" t="s">
        <v>135</v>
      </c>
    </row>
    <row r="43" spans="2:3">
      <c r="B43" s="41">
        <v>44564</v>
      </c>
      <c r="C43" s="3" t="s">
        <v>117</v>
      </c>
    </row>
    <row r="44" spans="2:3">
      <c r="B44" s="41">
        <v>44546</v>
      </c>
      <c r="C44" s="3" t="s">
        <v>118</v>
      </c>
    </row>
    <row r="45" spans="2:3">
      <c r="B45" s="41">
        <v>44448</v>
      </c>
      <c r="C45" s="3" t="s">
        <v>49</v>
      </c>
    </row>
    <row r="46" spans="2:3">
      <c r="B46" s="41">
        <v>44440</v>
      </c>
      <c r="C46" s="3" t="s">
        <v>50</v>
      </c>
    </row>
    <row r="47" spans="2:3">
      <c r="B47" s="41">
        <v>44427</v>
      </c>
      <c r="C47" s="3" t="s">
        <v>51</v>
      </c>
    </row>
    <row r="48" spans="2:3">
      <c r="B48" s="41">
        <v>44377</v>
      </c>
      <c r="C48" s="3" t="s">
        <v>52</v>
      </c>
    </row>
    <row r="49" spans="2:15">
      <c r="B49" s="41">
        <v>44326</v>
      </c>
      <c r="C49" s="3" t="s">
        <v>53</v>
      </c>
    </row>
    <row r="50" spans="2:15">
      <c r="B50" s="40">
        <v>44280</v>
      </c>
      <c r="C50" s="3" t="s">
        <v>199</v>
      </c>
    </row>
    <row r="51" spans="2:15">
      <c r="B51" s="41"/>
    </row>
    <row r="52" spans="2:15">
      <c r="B52" s="41"/>
    </row>
    <row r="53" spans="2:15">
      <c r="B53" s="41"/>
    </row>
    <row r="56" spans="2:15">
      <c r="B56" s="7" t="s">
        <v>141</v>
      </c>
    </row>
    <row r="57" spans="2:15">
      <c r="B57" s="7" t="s">
        <v>165</v>
      </c>
    </row>
    <row r="58" spans="2:15">
      <c r="B58" s="2" t="s">
        <v>137</v>
      </c>
      <c r="C58" s="3" t="s">
        <v>138</v>
      </c>
    </row>
    <row r="59" spans="2:15">
      <c r="B59" s="3" t="s">
        <v>153</v>
      </c>
    </row>
    <row r="60" spans="2:15">
      <c r="L60" s="7"/>
      <c r="N60" s="7"/>
    </row>
    <row r="61" spans="2:15">
      <c r="B61" s="7" t="s">
        <v>187</v>
      </c>
      <c r="N61" s="12"/>
    </row>
    <row r="62" spans="2:15">
      <c r="B62" s="3" t="s">
        <v>189</v>
      </c>
      <c r="C62" s="3" t="s">
        <v>201</v>
      </c>
      <c r="N62" s="12"/>
    </row>
    <row r="63" spans="2:15">
      <c r="B63" s="3" t="s">
        <v>188</v>
      </c>
      <c r="C63" s="3" t="s">
        <v>200</v>
      </c>
      <c r="N63" s="12"/>
    </row>
    <row r="64" spans="2:15">
      <c r="B64" s="3" t="s">
        <v>202</v>
      </c>
      <c r="L64" s="7"/>
      <c r="M64" s="7"/>
      <c r="N64" s="13"/>
      <c r="O64" s="10"/>
    </row>
    <row r="65" spans="2:14">
      <c r="B65" s="3" t="s">
        <v>203</v>
      </c>
      <c r="N65" s="12"/>
    </row>
    <row r="66" spans="2:14">
      <c r="N66" s="12"/>
    </row>
    <row r="67" spans="2:14">
      <c r="N67" s="12"/>
    </row>
    <row r="68" spans="2:14">
      <c r="N68" s="12"/>
    </row>
    <row r="69" spans="2:14">
      <c r="N69" s="12"/>
    </row>
    <row r="70" spans="2:14">
      <c r="N70" s="12"/>
    </row>
    <row r="71" spans="2:14">
      <c r="N71" s="12"/>
    </row>
    <row r="72" spans="2:14">
      <c r="N72" s="12"/>
    </row>
    <row r="73" spans="2:14">
      <c r="N73" s="12"/>
    </row>
    <row r="74" spans="2:14">
      <c r="N74" s="12"/>
    </row>
    <row r="75" spans="2:14">
      <c r="N75" s="12"/>
    </row>
    <row r="76" spans="2:14">
      <c r="N76" s="12"/>
    </row>
    <row r="77" spans="2:14">
      <c r="N77" s="12"/>
    </row>
    <row r="78" spans="2:14">
      <c r="N78" s="12"/>
    </row>
    <row r="79" spans="2:14">
      <c r="N79" s="12"/>
    </row>
    <row r="80" spans="2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  <row r="90" spans="14:14">
      <c r="N90" s="12"/>
    </row>
    <row r="91" spans="14:14">
      <c r="N91" s="12"/>
    </row>
    <row r="92" spans="14:14">
      <c r="N92" s="12"/>
    </row>
    <row r="93" spans="14:14">
      <c r="N93" s="12"/>
    </row>
    <row r="94" spans="14:14">
      <c r="N94" s="12"/>
    </row>
    <row r="95" spans="14:14">
      <c r="N95" s="12"/>
    </row>
    <row r="96" spans="14:14">
      <c r="N96" s="12"/>
    </row>
    <row r="97" spans="13:14">
      <c r="N97" s="12"/>
    </row>
    <row r="98" spans="13:14">
      <c r="N98" s="12"/>
    </row>
    <row r="99" spans="13:14">
      <c r="N99" s="12"/>
    </row>
    <row r="100" spans="13:14">
      <c r="N100" s="12"/>
    </row>
    <row r="101" spans="13:14">
      <c r="N101" s="12"/>
    </row>
    <row r="102" spans="13:14">
      <c r="N102" s="12"/>
    </row>
    <row r="103" spans="13:14">
      <c r="N103" s="12"/>
    </row>
    <row r="104" spans="13:14">
      <c r="N104" s="12"/>
    </row>
    <row r="105" spans="13:14">
      <c r="N105" s="12"/>
    </row>
    <row r="106" spans="13:14">
      <c r="N106" s="12"/>
    </row>
    <row r="107" spans="13:14">
      <c r="N107" s="12"/>
    </row>
    <row r="108" spans="13:14">
      <c r="N108" s="12"/>
    </row>
    <row r="110" spans="13:14">
      <c r="M110" s="4"/>
    </row>
  </sheetData>
  <hyperlinks>
    <hyperlink ref="B45" r:id="rId1" display="9/9/21 Press Release" xr:uid="{D879A47D-CEDE-6B45-9E60-9F54FB18B685}"/>
    <hyperlink ref="B46" r:id="rId2" display="9/1/21 Press Release" xr:uid="{919BA319-D27F-5F45-A159-BD7F47F2F59D}"/>
    <hyperlink ref="B47" r:id="rId3" display="8/19/21 Press Release " xr:uid="{B211C8DC-3A52-F14F-8F6D-24C0F5F95485}"/>
    <hyperlink ref="B48" r:id="rId4" display="6/30/21 Press Release" xr:uid="{33BCD7E2-316F-0A41-B77C-80F8C21D0669}"/>
    <hyperlink ref="B49" r:id="rId5" display="5/10/21 Press Release" xr:uid="{39EC7DB8-A0BC-B149-906C-A4D8AE9C2474}"/>
    <hyperlink ref="B43" r:id="rId6" display="1/3/2022 Press release" xr:uid="{27C89C1F-6A3B-8E47-9D36-8C4F95C3DD23}"/>
    <hyperlink ref="B44" r:id="rId7" display="12/16/21 Press release" xr:uid="{332C27BD-6179-A44B-82BA-1BB3D044EC05}"/>
    <hyperlink ref="B39" r:id="rId8" display="3/16/2022 Press Release" xr:uid="{3D9CDEB0-1E08-1E46-BAE4-80C186F12D19}"/>
    <hyperlink ref="B58" r:id="rId9" xr:uid="{9BE232BB-5FDC-6C4F-A32E-5212308C52F0}"/>
    <hyperlink ref="B40" r:id="rId10" display="3/10/22 Press Release" xr:uid="{993F6CD6-AF6A-D34E-A97A-0883743F6E97}"/>
    <hyperlink ref="B42" r:id="rId11" display="2/15/2022 Press Release" xr:uid="{40FC8D02-2B58-E347-B032-7BA7EFAAD1CA}"/>
    <hyperlink ref="A1" location="Model!A1" display="Model" xr:uid="{4EBDF202-A121-B14F-A255-3F8E62B44989}"/>
    <hyperlink ref="B35" r:id="rId12" display="4/19/22 Press Release" xr:uid="{4A0C956C-3152-864B-91A8-4119706762C5}"/>
    <hyperlink ref="B38" r:id="rId13" display="3/28/22 Press Release" xr:uid="{E98A3860-CE2C-D346-A7F8-3BFECB77F349}"/>
    <hyperlink ref="B36" r:id="rId14" display="4/5/22 Press Release" xr:uid="{0BE5ACE2-4857-3B4D-A854-8D959D99B602}"/>
    <hyperlink ref="B34" r:id="rId15" display="4/26/22 Press Release" xr:uid="{F45703FF-7DA6-AD43-A4AB-DA9E06AC4711}"/>
    <hyperlink ref="B33" r:id="rId16" display="5/2/22 Press Release" xr:uid="{064F4BA5-C4A3-394A-A224-77908E3229CD}"/>
    <hyperlink ref="B32" r:id="rId17" display="6/9/22 Press Release" xr:uid="{98142C7F-2AA7-8B44-B252-2DE623CB2A48}"/>
    <hyperlink ref="B31" r:id="rId18" display="6/16/22 Press Release" xr:uid="{C0CF27D7-F5D7-D44D-A046-6D01F37E2A6A}"/>
    <hyperlink ref="B30" r:id="rId19" display="6/28/22 Press Release" xr:uid="{236EE2B4-06FC-FC43-BCD9-B55CD85EF132}"/>
    <hyperlink ref="B23" r:id="rId20" display="10/11/2022 Press Releases" xr:uid="{58D60953-E809-8344-80E4-753831B5BCCD}"/>
    <hyperlink ref="B24" r:id="rId21" display="9/27/2022 Press Release" xr:uid="{06E23F18-D0BF-1441-8ECB-A0DF37C02A7E}"/>
    <hyperlink ref="B25" r:id="rId22" display="9/13/22 Press Release" xr:uid="{31796C53-3353-614C-850C-37223269C65A}"/>
    <hyperlink ref="B26" r:id="rId23" display="9/7/22 Press Release" xr:uid="{F5A9EBA8-65D3-B145-BFD3-96A9517114BB}"/>
    <hyperlink ref="B21" r:id="rId24" display="https://ir.chipotle.com/2024-01-02-CHIPOTLE-AND-STRAVA-TEAM-UP-TO-HELP-FANS-ACHIEVE-WELLNESS-GOALS-ALL-JANUARY" xr:uid="{8F61C397-6067-AC4B-B494-83E922F1BE68}"/>
    <hyperlink ref="B22" r:id="rId25" display="https://ir.chipotle.com/2023-12-13-CHIPOTLE-INVESTS-IN-AUTONOMOUS-AGRICULTURAL-ROBOTS-AND-CLIMATE-SMART-FERTILIZER-TO-IMPROVE-THE-FUTURE-OF-FARMING" xr:uid="{F5AC78B6-94FC-8546-AB05-921EDE6AB4EE}"/>
    <hyperlink ref="B50" r:id="rId26" display="https://ir.chipotle.com/2021-03-25-Chipotle-Invests-In-Leading-Autonomous-Delivery-Company-Nuro" xr:uid="{42BFF284-5C82-4F42-B97C-204926615DF4}"/>
    <hyperlink ref="B20" r:id="rId27" display="https://ir.chipotle.com/2024-02-28-CHIPOTLE-DOUBLES-ITS-COMMITMENT-TO-THE-CULTIVATE-NEXT-VENTURE-FUND-TO-100-MILLION,-MARKING-ITS-TWO-YEAR-ANNIVERSARY" xr:uid="{6B02CC92-51C3-B645-B764-8CD662CC60BB}"/>
    <hyperlink ref="B18" r:id="rId28" display="https://ir.chipotle.com/2024-03-19-CHIPOTLE-BOARD-OF-DIRECTORS-APPROVES-50-FOR-1-STOCK-SPLIT" xr:uid="{B08C3402-BE9C-A34F-ACB4-1730ED1C4966}"/>
    <hyperlink ref="B19" r:id="rId29" display="https://ir.chipotle.com/2024-03-12-CHICKEN-AL-PASTOR-IS-BACK-CHIPOTLE-REINTRODUCES-ONE-OF-ITS-MOST-POPULAR-MENU-INNOVATIONS" xr:uid="{14879690-4BED-4546-BC50-DB312E87F222}"/>
    <hyperlink ref="B17" r:id="rId30" display="https://ir.chipotle.com/2024-04-08-CHIPOTLE-KICKS-OFF-PARTNERSHIP-WITH-TEKKEN-TM-8,-RETURNS-WITH-NEW-EXCLUSIVE-EXPERIENCES-FOR-THE-FIGHTING-GAME-COMMUNITY-FGC" xr:uid="{B6914D22-F406-D547-89CB-55A89DEC785D}"/>
    <hyperlink ref="B16" r:id="rId31" display="https://ir.chipotle.com/2024-04-22-CHIPOTLE-INTRODUCES-ITS-REAL-INGREDIENTS-TO-KUWAIT" xr:uid="{DA29A152-4B0B-E245-AAB2-09356D247CBE}"/>
    <hyperlink ref="B15" r:id="rId32" display="https://ir.chipotle.com/2024-04-24-CHIPOTLE-ANNOUNCES-FIRST-QUARTER-2024-RESULTS" xr:uid="{CFA2226E-2062-1944-8726-C14213316461}"/>
    <hyperlink ref="A15" r:id="rId33" xr:uid="{80C5DF1E-EB4B-7F4A-91F9-0953166E7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JG174"/>
  <sheetViews>
    <sheetView tabSelected="1" zoomScale="110" zoomScaleNormal="110" workbookViewId="0">
      <pane xSplit="2" ySplit="3" topLeftCell="BE4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4" outlineLevelRow="1" outlineLevelCol="1"/>
  <cols>
    <col min="1" max="1" width="5.33203125" style="20" bestFit="1" customWidth="1"/>
    <col min="2" max="2" width="24.33203125" style="4" bestFit="1" customWidth="1"/>
    <col min="3" max="14" width="9.5" style="17" bestFit="1" customWidth="1" outlineLevel="1"/>
    <col min="15" max="22" width="9.5" style="17" bestFit="1" customWidth="1"/>
    <col min="23" max="23" width="11" style="17" bestFit="1" customWidth="1"/>
    <col min="24" max="24" width="10.1640625" style="17" bestFit="1" customWidth="1"/>
    <col min="25" max="25" width="9.5" style="17" bestFit="1" customWidth="1"/>
    <col min="26" max="26" width="9.33203125" style="17" bestFit="1" customWidth="1"/>
    <col min="27" max="27" width="9.1640625" style="17" bestFit="1" customWidth="1"/>
    <col min="28" max="28" width="10" style="17" bestFit="1" customWidth="1"/>
    <col min="29" max="29" width="9.1640625" style="17" bestFit="1" customWidth="1"/>
    <col min="30" max="31" width="9.33203125" style="17" bestFit="1" customWidth="1"/>
    <col min="32" max="38" width="3.6640625" style="17" customWidth="1"/>
    <col min="39" max="40" width="7.6640625" style="17" bestFit="1" customWidth="1" outlineLevel="1"/>
    <col min="41" max="50" width="9.1640625" style="17" bestFit="1" customWidth="1" outlineLevel="1"/>
    <col min="51" max="52" width="9.1640625" style="17" bestFit="1" customWidth="1"/>
    <col min="53" max="54" width="9.33203125" style="17" bestFit="1" customWidth="1"/>
    <col min="55" max="55" width="9.5" style="17" bestFit="1" customWidth="1"/>
    <col min="56" max="56" width="10.1640625" style="17" bestFit="1" customWidth="1"/>
    <col min="57" max="57" width="9.5" style="17" bestFit="1" customWidth="1"/>
    <col min="58" max="66" width="10.5" style="17" bestFit="1" customWidth="1"/>
    <col min="67" max="68" width="10.1640625" style="17" bestFit="1" customWidth="1"/>
    <col min="69" max="69" width="11.5" style="17" bestFit="1" customWidth="1"/>
    <col min="70" max="70" width="10.1640625" style="17" bestFit="1" customWidth="1"/>
    <col min="71" max="71" width="11.5" style="17" bestFit="1" customWidth="1"/>
    <col min="72" max="178" width="10.1640625" style="17" bestFit="1" customWidth="1"/>
    <col min="179" max="256" width="11.1640625" style="17" bestFit="1" customWidth="1"/>
    <col min="257" max="16384" width="10.83203125" style="17"/>
  </cols>
  <sheetData>
    <row r="1" spans="1:267" s="4" customFormat="1">
      <c r="A1" s="86" t="s">
        <v>219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2"/>
      <c r="BC1" s="22"/>
      <c r="BD1" s="22">
        <f>3129+53</f>
        <v>3182</v>
      </c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267" s="4" customFormat="1">
      <c r="A2" s="48" t="s">
        <v>214</v>
      </c>
      <c r="B2" s="10" t="s">
        <v>163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>
        <v>235</v>
      </c>
      <c r="X2" s="20"/>
      <c r="Y2" s="20"/>
      <c r="Z2" s="20"/>
      <c r="AA2" s="17"/>
      <c r="AB2" s="17"/>
      <c r="AC2" s="17"/>
      <c r="AD2" s="17"/>
      <c r="AE2" s="17">
        <v>45406</v>
      </c>
      <c r="AF2" s="17"/>
      <c r="AG2" s="17"/>
      <c r="AH2" s="17"/>
      <c r="AI2" s="17"/>
      <c r="AJ2" s="17"/>
      <c r="AK2" s="17"/>
      <c r="AL2" s="17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31">
        <v>0.87822878228782286</v>
      </c>
      <c r="BB2" s="22"/>
      <c r="BC2" s="22">
        <f>3371+66</f>
        <v>3437</v>
      </c>
      <c r="BD2" s="22"/>
      <c r="BF2" s="22">
        <f>AVERAGE(285,315)</f>
        <v>300</v>
      </c>
      <c r="BG2" s="22">
        <f>7000-BF7</f>
        <v>3263</v>
      </c>
      <c r="BH2" s="22"/>
      <c r="BI2" s="22"/>
      <c r="BJ2" s="22"/>
      <c r="BK2" s="22"/>
      <c r="BL2" s="22"/>
      <c r="BM2" s="22"/>
      <c r="BN2" s="22"/>
      <c r="BO2" s="4" t="s">
        <v>198</v>
      </c>
      <c r="BQ2" s="18"/>
      <c r="IV2" s="4" t="s">
        <v>212</v>
      </c>
    </row>
    <row r="3" spans="1:267" s="25" customFormat="1">
      <c r="C3" s="25" t="s">
        <v>123</v>
      </c>
      <c r="D3" s="25" t="s">
        <v>124</v>
      </c>
      <c r="E3" s="25" t="s">
        <v>125</v>
      </c>
      <c r="F3" s="25" t="s">
        <v>126</v>
      </c>
      <c r="G3" s="25" t="s">
        <v>119</v>
      </c>
      <c r="H3" s="25" t="s">
        <v>120</v>
      </c>
      <c r="I3" s="25" t="s">
        <v>121</v>
      </c>
      <c r="J3" s="25" t="s">
        <v>122</v>
      </c>
      <c r="K3" s="25" t="s">
        <v>0</v>
      </c>
      <c r="L3" s="25" t="s">
        <v>1</v>
      </c>
      <c r="M3" s="25" t="s">
        <v>2</v>
      </c>
      <c r="N3" s="25" t="s">
        <v>3</v>
      </c>
      <c r="O3" s="25" t="s">
        <v>4</v>
      </c>
      <c r="P3" s="25" t="s">
        <v>5</v>
      </c>
      <c r="Q3" s="25" t="s">
        <v>6</v>
      </c>
      <c r="R3" s="25" t="s">
        <v>7</v>
      </c>
      <c r="S3" s="25" t="s">
        <v>8</v>
      </c>
      <c r="T3" s="25" t="s">
        <v>9</v>
      </c>
      <c r="U3" s="25" t="s">
        <v>10</v>
      </c>
      <c r="V3" s="25" t="s">
        <v>11</v>
      </c>
      <c r="W3" s="25" t="s">
        <v>130</v>
      </c>
      <c r="X3" s="25" t="s">
        <v>131</v>
      </c>
      <c r="Y3" s="25" t="s">
        <v>132</v>
      </c>
      <c r="Z3" s="25" t="s">
        <v>133</v>
      </c>
      <c r="AA3" s="25" t="s">
        <v>178</v>
      </c>
      <c r="AB3" s="25" t="s">
        <v>179</v>
      </c>
      <c r="AC3" s="25" t="s">
        <v>180</v>
      </c>
      <c r="AD3" s="25" t="s">
        <v>181</v>
      </c>
      <c r="AE3" s="25" t="s">
        <v>209</v>
      </c>
      <c r="AM3" s="34">
        <f t="shared" ref="AM3:AQ3" si="0">+AN3-1</f>
        <v>2005</v>
      </c>
      <c r="AN3" s="34">
        <f t="shared" si="0"/>
        <v>2006</v>
      </c>
      <c r="AO3" s="34">
        <f t="shared" si="0"/>
        <v>2007</v>
      </c>
      <c r="AP3" s="34">
        <f t="shared" si="0"/>
        <v>2008</v>
      </c>
      <c r="AQ3" s="34">
        <f t="shared" si="0"/>
        <v>2009</v>
      </c>
      <c r="AR3" s="34">
        <f>+AS3-1</f>
        <v>2010</v>
      </c>
      <c r="AS3" s="34">
        <v>2011</v>
      </c>
      <c r="AT3" s="34">
        <v>2012</v>
      </c>
      <c r="AU3" s="34">
        <v>2013</v>
      </c>
      <c r="AV3" s="34">
        <v>2014</v>
      </c>
      <c r="AW3" s="34">
        <f t="shared" ref="AW3:AX3" si="1">+AX3-1</f>
        <v>2015</v>
      </c>
      <c r="AX3" s="34">
        <f t="shared" si="1"/>
        <v>2016</v>
      </c>
      <c r="AY3" s="34">
        <f>+AZ3-1</f>
        <v>2017</v>
      </c>
      <c r="AZ3" s="34">
        <v>2018</v>
      </c>
      <c r="BA3" s="34">
        <v>2019</v>
      </c>
      <c r="BB3" s="34">
        <v>2020</v>
      </c>
      <c r="BC3" s="34">
        <v>2021</v>
      </c>
      <c r="BD3" s="34">
        <f>+BC3+1</f>
        <v>2022</v>
      </c>
      <c r="BE3" s="34">
        <f t="shared" ref="BE3:BL3" si="2">+BD3+1</f>
        <v>2023</v>
      </c>
      <c r="BF3" s="34">
        <f t="shared" si="2"/>
        <v>2024</v>
      </c>
      <c r="BG3" s="34">
        <f t="shared" si="2"/>
        <v>2025</v>
      </c>
      <c r="BH3" s="34">
        <f t="shared" si="2"/>
        <v>2026</v>
      </c>
      <c r="BI3" s="34">
        <f t="shared" si="2"/>
        <v>2027</v>
      </c>
      <c r="BJ3" s="34">
        <f t="shared" si="2"/>
        <v>2028</v>
      </c>
      <c r="BK3" s="34">
        <f t="shared" si="2"/>
        <v>2029</v>
      </c>
      <c r="BL3" s="34">
        <f t="shared" si="2"/>
        <v>2030</v>
      </c>
      <c r="BM3" s="34">
        <f t="shared" ref="BM3" si="3">+BL3+1</f>
        <v>2031</v>
      </c>
      <c r="BN3" s="34">
        <f t="shared" ref="BN3:BO3" si="4">+BM3+1</f>
        <v>2032</v>
      </c>
      <c r="BO3" s="34">
        <f t="shared" si="4"/>
        <v>2033</v>
      </c>
      <c r="BP3" s="25">
        <f>+BO3+1</f>
        <v>2034</v>
      </c>
      <c r="BQ3" s="25">
        <f t="shared" ref="BQ3:EB3" si="5">+BP3+1</f>
        <v>2035</v>
      </c>
      <c r="BR3" s="25">
        <f t="shared" si="5"/>
        <v>2036</v>
      </c>
      <c r="BS3" s="25">
        <f t="shared" si="5"/>
        <v>2037</v>
      </c>
      <c r="BT3" s="25">
        <f t="shared" si="5"/>
        <v>2038</v>
      </c>
      <c r="BU3" s="25">
        <f t="shared" si="5"/>
        <v>2039</v>
      </c>
      <c r="BV3" s="25">
        <f t="shared" si="5"/>
        <v>2040</v>
      </c>
      <c r="BW3" s="25">
        <f t="shared" si="5"/>
        <v>2041</v>
      </c>
      <c r="BX3" s="25">
        <f t="shared" si="5"/>
        <v>2042</v>
      </c>
      <c r="BY3" s="25">
        <f t="shared" si="5"/>
        <v>2043</v>
      </c>
      <c r="BZ3" s="25">
        <f t="shared" si="5"/>
        <v>2044</v>
      </c>
      <c r="CA3" s="25">
        <f t="shared" si="5"/>
        <v>2045</v>
      </c>
      <c r="CB3" s="25">
        <f t="shared" si="5"/>
        <v>2046</v>
      </c>
      <c r="CC3" s="25">
        <f t="shared" si="5"/>
        <v>2047</v>
      </c>
      <c r="CD3" s="25">
        <f t="shared" si="5"/>
        <v>2048</v>
      </c>
      <c r="CE3" s="25">
        <f t="shared" si="5"/>
        <v>2049</v>
      </c>
      <c r="CF3" s="25">
        <f t="shared" si="5"/>
        <v>2050</v>
      </c>
      <c r="CG3" s="25">
        <f t="shared" si="5"/>
        <v>2051</v>
      </c>
      <c r="CH3" s="25">
        <f t="shared" si="5"/>
        <v>2052</v>
      </c>
      <c r="CI3" s="25">
        <f t="shared" si="5"/>
        <v>2053</v>
      </c>
      <c r="CJ3" s="25">
        <f t="shared" si="5"/>
        <v>2054</v>
      </c>
      <c r="CK3" s="25">
        <f t="shared" si="5"/>
        <v>2055</v>
      </c>
      <c r="CL3" s="25">
        <f t="shared" si="5"/>
        <v>2056</v>
      </c>
      <c r="CM3" s="25">
        <f t="shared" si="5"/>
        <v>2057</v>
      </c>
      <c r="CN3" s="25">
        <f t="shared" si="5"/>
        <v>2058</v>
      </c>
      <c r="CO3" s="25">
        <f t="shared" si="5"/>
        <v>2059</v>
      </c>
      <c r="CP3" s="25">
        <f t="shared" si="5"/>
        <v>2060</v>
      </c>
      <c r="CQ3" s="25">
        <f t="shared" si="5"/>
        <v>2061</v>
      </c>
      <c r="CR3" s="25">
        <f t="shared" si="5"/>
        <v>2062</v>
      </c>
      <c r="CS3" s="25">
        <f t="shared" si="5"/>
        <v>2063</v>
      </c>
      <c r="CT3" s="25">
        <f t="shared" si="5"/>
        <v>2064</v>
      </c>
      <c r="CU3" s="25">
        <f t="shared" si="5"/>
        <v>2065</v>
      </c>
      <c r="CV3" s="25">
        <f t="shared" si="5"/>
        <v>2066</v>
      </c>
      <c r="CW3" s="25">
        <f t="shared" si="5"/>
        <v>2067</v>
      </c>
      <c r="CX3" s="25">
        <f t="shared" si="5"/>
        <v>2068</v>
      </c>
      <c r="CY3" s="25">
        <f t="shared" si="5"/>
        <v>2069</v>
      </c>
      <c r="CZ3" s="25">
        <f t="shared" si="5"/>
        <v>2070</v>
      </c>
      <c r="DA3" s="25">
        <f t="shared" si="5"/>
        <v>2071</v>
      </c>
      <c r="DB3" s="25">
        <f t="shared" si="5"/>
        <v>2072</v>
      </c>
      <c r="DC3" s="25">
        <f t="shared" si="5"/>
        <v>2073</v>
      </c>
      <c r="DD3" s="25">
        <f t="shared" si="5"/>
        <v>2074</v>
      </c>
      <c r="DE3" s="25">
        <f t="shared" si="5"/>
        <v>2075</v>
      </c>
      <c r="DF3" s="25">
        <f t="shared" si="5"/>
        <v>2076</v>
      </c>
      <c r="DG3" s="25">
        <f t="shared" si="5"/>
        <v>2077</v>
      </c>
      <c r="DH3" s="25">
        <f t="shared" si="5"/>
        <v>2078</v>
      </c>
      <c r="DI3" s="25">
        <f t="shared" si="5"/>
        <v>2079</v>
      </c>
      <c r="DJ3" s="25">
        <f t="shared" si="5"/>
        <v>2080</v>
      </c>
      <c r="DK3" s="25">
        <f t="shared" si="5"/>
        <v>2081</v>
      </c>
      <c r="DL3" s="25">
        <f t="shared" si="5"/>
        <v>2082</v>
      </c>
      <c r="DM3" s="25">
        <f t="shared" si="5"/>
        <v>2083</v>
      </c>
      <c r="DN3" s="25">
        <f t="shared" si="5"/>
        <v>2084</v>
      </c>
      <c r="DO3" s="25">
        <f t="shared" si="5"/>
        <v>2085</v>
      </c>
      <c r="DP3" s="25">
        <f t="shared" si="5"/>
        <v>2086</v>
      </c>
      <c r="DQ3" s="25">
        <f t="shared" si="5"/>
        <v>2087</v>
      </c>
      <c r="DR3" s="25">
        <f t="shared" si="5"/>
        <v>2088</v>
      </c>
      <c r="DS3" s="25">
        <f t="shared" si="5"/>
        <v>2089</v>
      </c>
      <c r="DT3" s="25">
        <f t="shared" si="5"/>
        <v>2090</v>
      </c>
      <c r="DU3" s="25">
        <f t="shared" si="5"/>
        <v>2091</v>
      </c>
      <c r="DV3" s="25">
        <f t="shared" si="5"/>
        <v>2092</v>
      </c>
      <c r="DW3" s="25">
        <f t="shared" si="5"/>
        <v>2093</v>
      </c>
      <c r="DX3" s="25">
        <f t="shared" si="5"/>
        <v>2094</v>
      </c>
      <c r="DY3" s="25">
        <f t="shared" si="5"/>
        <v>2095</v>
      </c>
      <c r="DZ3" s="25">
        <f t="shared" si="5"/>
        <v>2096</v>
      </c>
      <c r="EA3" s="25">
        <f t="shared" si="5"/>
        <v>2097</v>
      </c>
      <c r="EB3" s="25">
        <f t="shared" si="5"/>
        <v>2098</v>
      </c>
      <c r="EC3" s="25">
        <f t="shared" ref="EC3:GN3" si="6">+EB3+1</f>
        <v>2099</v>
      </c>
      <c r="ED3" s="25">
        <f t="shared" si="6"/>
        <v>2100</v>
      </c>
      <c r="EE3" s="25">
        <f t="shared" si="6"/>
        <v>2101</v>
      </c>
      <c r="EF3" s="25">
        <f t="shared" si="6"/>
        <v>2102</v>
      </c>
      <c r="EG3" s="25">
        <f t="shared" si="6"/>
        <v>2103</v>
      </c>
      <c r="EH3" s="25">
        <f t="shared" si="6"/>
        <v>2104</v>
      </c>
      <c r="EI3" s="25">
        <f t="shared" si="6"/>
        <v>2105</v>
      </c>
      <c r="EJ3" s="25">
        <f t="shared" si="6"/>
        <v>2106</v>
      </c>
      <c r="EK3" s="25">
        <f t="shared" si="6"/>
        <v>2107</v>
      </c>
      <c r="EL3" s="25">
        <f t="shared" si="6"/>
        <v>2108</v>
      </c>
      <c r="EM3" s="25">
        <f t="shared" si="6"/>
        <v>2109</v>
      </c>
      <c r="EN3" s="25">
        <f t="shared" si="6"/>
        <v>2110</v>
      </c>
      <c r="EO3" s="25">
        <f t="shared" si="6"/>
        <v>2111</v>
      </c>
      <c r="EP3" s="25">
        <f t="shared" si="6"/>
        <v>2112</v>
      </c>
      <c r="EQ3" s="25">
        <f t="shared" si="6"/>
        <v>2113</v>
      </c>
      <c r="ER3" s="25">
        <f t="shared" si="6"/>
        <v>2114</v>
      </c>
      <c r="ES3" s="25">
        <f t="shared" si="6"/>
        <v>2115</v>
      </c>
      <c r="ET3" s="25">
        <f t="shared" si="6"/>
        <v>2116</v>
      </c>
      <c r="EU3" s="25">
        <f t="shared" si="6"/>
        <v>2117</v>
      </c>
      <c r="EV3" s="25">
        <f t="shared" si="6"/>
        <v>2118</v>
      </c>
      <c r="EW3" s="25">
        <f t="shared" si="6"/>
        <v>2119</v>
      </c>
      <c r="EX3" s="25">
        <f t="shared" si="6"/>
        <v>2120</v>
      </c>
      <c r="EY3" s="25">
        <f t="shared" si="6"/>
        <v>2121</v>
      </c>
      <c r="EZ3" s="25">
        <f t="shared" si="6"/>
        <v>2122</v>
      </c>
      <c r="FA3" s="25">
        <f t="shared" si="6"/>
        <v>2123</v>
      </c>
      <c r="FB3" s="25">
        <f t="shared" si="6"/>
        <v>2124</v>
      </c>
      <c r="FC3" s="25">
        <f t="shared" si="6"/>
        <v>2125</v>
      </c>
      <c r="FD3" s="25">
        <f t="shared" si="6"/>
        <v>2126</v>
      </c>
      <c r="FE3" s="25">
        <f t="shared" si="6"/>
        <v>2127</v>
      </c>
      <c r="FF3" s="25">
        <f t="shared" si="6"/>
        <v>2128</v>
      </c>
      <c r="FG3" s="25">
        <f t="shared" si="6"/>
        <v>2129</v>
      </c>
      <c r="FH3" s="25">
        <f t="shared" si="6"/>
        <v>2130</v>
      </c>
      <c r="FI3" s="25">
        <f t="shared" si="6"/>
        <v>2131</v>
      </c>
      <c r="FJ3" s="25">
        <f t="shared" si="6"/>
        <v>2132</v>
      </c>
      <c r="FK3" s="25">
        <f t="shared" si="6"/>
        <v>2133</v>
      </c>
      <c r="FL3" s="25">
        <f t="shared" si="6"/>
        <v>2134</v>
      </c>
      <c r="FM3" s="25">
        <f t="shared" si="6"/>
        <v>2135</v>
      </c>
      <c r="FN3" s="25">
        <f t="shared" si="6"/>
        <v>2136</v>
      </c>
      <c r="FO3" s="25">
        <f t="shared" si="6"/>
        <v>2137</v>
      </c>
      <c r="FP3" s="25">
        <f t="shared" si="6"/>
        <v>2138</v>
      </c>
      <c r="FQ3" s="25">
        <f t="shared" si="6"/>
        <v>2139</v>
      </c>
      <c r="FR3" s="25">
        <f t="shared" si="6"/>
        <v>2140</v>
      </c>
      <c r="FS3" s="25">
        <f t="shared" si="6"/>
        <v>2141</v>
      </c>
      <c r="FT3" s="25">
        <f t="shared" si="6"/>
        <v>2142</v>
      </c>
      <c r="FU3" s="25">
        <f t="shared" si="6"/>
        <v>2143</v>
      </c>
      <c r="FV3" s="25">
        <f t="shared" si="6"/>
        <v>2144</v>
      </c>
      <c r="FW3" s="25">
        <f t="shared" si="6"/>
        <v>2145</v>
      </c>
      <c r="FX3" s="25">
        <f t="shared" si="6"/>
        <v>2146</v>
      </c>
      <c r="FY3" s="25">
        <f t="shared" si="6"/>
        <v>2147</v>
      </c>
      <c r="FZ3" s="25">
        <f t="shared" si="6"/>
        <v>2148</v>
      </c>
      <c r="GA3" s="25">
        <f t="shared" si="6"/>
        <v>2149</v>
      </c>
      <c r="GB3" s="25">
        <f t="shared" si="6"/>
        <v>2150</v>
      </c>
      <c r="GC3" s="25">
        <f t="shared" si="6"/>
        <v>2151</v>
      </c>
      <c r="GD3" s="25">
        <f t="shared" si="6"/>
        <v>2152</v>
      </c>
      <c r="GE3" s="25">
        <f t="shared" si="6"/>
        <v>2153</v>
      </c>
      <c r="GF3" s="25">
        <f t="shared" si="6"/>
        <v>2154</v>
      </c>
      <c r="GG3" s="25">
        <f t="shared" si="6"/>
        <v>2155</v>
      </c>
      <c r="GH3" s="25">
        <f t="shared" si="6"/>
        <v>2156</v>
      </c>
      <c r="GI3" s="25">
        <f t="shared" si="6"/>
        <v>2157</v>
      </c>
      <c r="GJ3" s="25">
        <f t="shared" si="6"/>
        <v>2158</v>
      </c>
      <c r="GK3" s="25">
        <f t="shared" si="6"/>
        <v>2159</v>
      </c>
      <c r="GL3" s="25">
        <f t="shared" si="6"/>
        <v>2160</v>
      </c>
      <c r="GM3" s="25">
        <f t="shared" si="6"/>
        <v>2161</v>
      </c>
      <c r="GN3" s="25">
        <f t="shared" si="6"/>
        <v>2162</v>
      </c>
      <c r="GO3" s="25">
        <f t="shared" ref="GO3:IV3" si="7">+GN3+1</f>
        <v>2163</v>
      </c>
      <c r="GP3" s="25">
        <f t="shared" si="7"/>
        <v>2164</v>
      </c>
      <c r="GQ3" s="25">
        <f t="shared" si="7"/>
        <v>2165</v>
      </c>
      <c r="GR3" s="25">
        <f t="shared" si="7"/>
        <v>2166</v>
      </c>
      <c r="GS3" s="25">
        <f t="shared" si="7"/>
        <v>2167</v>
      </c>
      <c r="GT3" s="25">
        <f t="shared" si="7"/>
        <v>2168</v>
      </c>
      <c r="GU3" s="25">
        <f t="shared" si="7"/>
        <v>2169</v>
      </c>
      <c r="GV3" s="25">
        <f t="shared" si="7"/>
        <v>2170</v>
      </c>
      <c r="GW3" s="25">
        <f t="shared" si="7"/>
        <v>2171</v>
      </c>
      <c r="GX3" s="25">
        <f t="shared" si="7"/>
        <v>2172</v>
      </c>
      <c r="GY3" s="25">
        <f t="shared" si="7"/>
        <v>2173</v>
      </c>
      <c r="GZ3" s="25">
        <f t="shared" si="7"/>
        <v>2174</v>
      </c>
      <c r="HA3" s="25">
        <f t="shared" si="7"/>
        <v>2175</v>
      </c>
      <c r="HB3" s="25">
        <f t="shared" si="7"/>
        <v>2176</v>
      </c>
      <c r="HC3" s="25">
        <f t="shared" si="7"/>
        <v>2177</v>
      </c>
      <c r="HD3" s="25">
        <f t="shared" si="7"/>
        <v>2178</v>
      </c>
      <c r="HE3" s="25">
        <f t="shared" si="7"/>
        <v>2179</v>
      </c>
      <c r="HF3" s="25">
        <f t="shared" si="7"/>
        <v>2180</v>
      </c>
      <c r="HG3" s="25">
        <f t="shared" si="7"/>
        <v>2181</v>
      </c>
      <c r="HH3" s="25">
        <f t="shared" si="7"/>
        <v>2182</v>
      </c>
      <c r="HI3" s="25">
        <f t="shared" si="7"/>
        <v>2183</v>
      </c>
      <c r="HJ3" s="25">
        <f t="shared" si="7"/>
        <v>2184</v>
      </c>
      <c r="HK3" s="25">
        <f t="shared" si="7"/>
        <v>2185</v>
      </c>
      <c r="HL3" s="25">
        <f t="shared" si="7"/>
        <v>2186</v>
      </c>
      <c r="HM3" s="25">
        <f t="shared" si="7"/>
        <v>2187</v>
      </c>
      <c r="HN3" s="25">
        <f t="shared" si="7"/>
        <v>2188</v>
      </c>
      <c r="HO3" s="25">
        <f t="shared" si="7"/>
        <v>2189</v>
      </c>
      <c r="HP3" s="25">
        <f t="shared" si="7"/>
        <v>2190</v>
      </c>
      <c r="HQ3" s="25">
        <f t="shared" si="7"/>
        <v>2191</v>
      </c>
      <c r="HR3" s="25">
        <f t="shared" si="7"/>
        <v>2192</v>
      </c>
      <c r="HS3" s="25">
        <f t="shared" si="7"/>
        <v>2193</v>
      </c>
      <c r="HT3" s="25">
        <f t="shared" si="7"/>
        <v>2194</v>
      </c>
      <c r="HU3" s="25">
        <f t="shared" si="7"/>
        <v>2195</v>
      </c>
      <c r="HV3" s="25">
        <f t="shared" si="7"/>
        <v>2196</v>
      </c>
      <c r="HW3" s="25">
        <f t="shared" si="7"/>
        <v>2197</v>
      </c>
      <c r="HX3" s="25">
        <f t="shared" si="7"/>
        <v>2198</v>
      </c>
      <c r="HY3" s="25">
        <f t="shared" si="7"/>
        <v>2199</v>
      </c>
      <c r="HZ3" s="25">
        <f t="shared" si="7"/>
        <v>2200</v>
      </c>
      <c r="IA3" s="25">
        <f t="shared" si="7"/>
        <v>2201</v>
      </c>
      <c r="IB3" s="25">
        <f t="shared" si="7"/>
        <v>2202</v>
      </c>
      <c r="IC3" s="25">
        <f t="shared" si="7"/>
        <v>2203</v>
      </c>
      <c r="ID3" s="25">
        <f t="shared" si="7"/>
        <v>2204</v>
      </c>
      <c r="IE3" s="25">
        <f t="shared" si="7"/>
        <v>2205</v>
      </c>
      <c r="IF3" s="25">
        <f t="shared" si="7"/>
        <v>2206</v>
      </c>
      <c r="IG3" s="25">
        <f t="shared" si="7"/>
        <v>2207</v>
      </c>
      <c r="IH3" s="25">
        <f t="shared" si="7"/>
        <v>2208</v>
      </c>
      <c r="II3" s="25">
        <f t="shared" si="7"/>
        <v>2209</v>
      </c>
      <c r="IJ3" s="25">
        <f t="shared" si="7"/>
        <v>2210</v>
      </c>
      <c r="IK3" s="25">
        <f t="shared" si="7"/>
        <v>2211</v>
      </c>
      <c r="IL3" s="25">
        <f t="shared" si="7"/>
        <v>2212</v>
      </c>
      <c r="IM3" s="25">
        <f t="shared" si="7"/>
        <v>2213</v>
      </c>
      <c r="IN3" s="25">
        <f t="shared" si="7"/>
        <v>2214</v>
      </c>
      <c r="IO3" s="25">
        <f t="shared" si="7"/>
        <v>2215</v>
      </c>
      <c r="IP3" s="25">
        <f t="shared" si="7"/>
        <v>2216</v>
      </c>
      <c r="IQ3" s="25">
        <f t="shared" si="7"/>
        <v>2217</v>
      </c>
      <c r="IR3" s="25">
        <f t="shared" si="7"/>
        <v>2218</v>
      </c>
      <c r="IS3" s="25">
        <f t="shared" si="7"/>
        <v>2219</v>
      </c>
      <c r="IT3" s="25">
        <f t="shared" si="7"/>
        <v>2220</v>
      </c>
      <c r="IU3" s="25">
        <f t="shared" si="7"/>
        <v>2221</v>
      </c>
      <c r="IV3" s="25">
        <f t="shared" si="7"/>
        <v>2222</v>
      </c>
      <c r="IW3" s="25">
        <f t="shared" ref="IW3:JG3" si="8">+IV3+1</f>
        <v>2223</v>
      </c>
      <c r="IX3" s="25">
        <f t="shared" si="8"/>
        <v>2224</v>
      </c>
      <c r="IY3" s="25">
        <f t="shared" si="8"/>
        <v>2225</v>
      </c>
      <c r="IZ3" s="25">
        <f t="shared" si="8"/>
        <v>2226</v>
      </c>
      <c r="JA3" s="25">
        <f t="shared" si="8"/>
        <v>2227</v>
      </c>
      <c r="JB3" s="25">
        <f t="shared" si="8"/>
        <v>2228</v>
      </c>
      <c r="JC3" s="25">
        <f t="shared" si="8"/>
        <v>2229</v>
      </c>
      <c r="JD3" s="25">
        <f t="shared" si="8"/>
        <v>2230</v>
      </c>
      <c r="JE3" s="25">
        <f t="shared" si="8"/>
        <v>2231</v>
      </c>
      <c r="JF3" s="25">
        <f t="shared" si="8"/>
        <v>2232</v>
      </c>
      <c r="JG3" s="25">
        <f t="shared" si="8"/>
        <v>2233</v>
      </c>
    </row>
    <row r="4" spans="1:267">
      <c r="B4" s="10" t="s">
        <v>45</v>
      </c>
      <c r="C4" s="19">
        <v>57</v>
      </c>
      <c r="D4" s="19">
        <v>50</v>
      </c>
      <c r="E4" s="19">
        <v>38</v>
      </c>
      <c r="F4" s="19"/>
      <c r="G4" s="19">
        <v>35</v>
      </c>
      <c r="H4" s="19">
        <v>34</v>
      </c>
      <c r="I4" s="19">
        <v>28</v>
      </c>
      <c r="J4" s="19"/>
      <c r="K4" s="17">
        <v>15</v>
      </c>
      <c r="L4" s="17">
        <v>20</v>
      </c>
      <c r="M4" s="17">
        <v>25</v>
      </c>
      <c r="N4" s="17">
        <v>80</v>
      </c>
      <c r="O4" s="19">
        <v>19</v>
      </c>
      <c r="P4" s="19">
        <v>37</v>
      </c>
      <c r="Q4" s="19">
        <v>44</v>
      </c>
      <c r="R4" s="19">
        <v>61</v>
      </c>
      <c r="S4" s="19">
        <v>40</v>
      </c>
      <c r="T4" s="17">
        <v>56</v>
      </c>
      <c r="U4" s="17">
        <v>41</v>
      </c>
      <c r="V4" s="17">
        <v>78</v>
      </c>
      <c r="W4" s="17">
        <v>51</v>
      </c>
      <c r="X4" s="17">
        <v>42</v>
      </c>
      <c r="AS4" s="49"/>
      <c r="AT4" s="49"/>
      <c r="AU4" s="49"/>
      <c r="AV4" s="49"/>
      <c r="AW4" s="49"/>
      <c r="AX4" s="49"/>
      <c r="AY4" s="49"/>
      <c r="AZ4" s="50"/>
      <c r="BA4" s="50"/>
      <c r="BB4" s="50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</row>
    <row r="5" spans="1:267">
      <c r="B5" s="4" t="s">
        <v>43</v>
      </c>
      <c r="C5" s="17">
        <v>-1</v>
      </c>
      <c r="D5" s="17">
        <v>-2</v>
      </c>
      <c r="E5" s="17">
        <v>-3</v>
      </c>
      <c r="G5" s="17">
        <v>-1</v>
      </c>
      <c r="H5" s="17">
        <v>-3</v>
      </c>
      <c r="I5" s="17">
        <v>-32</v>
      </c>
      <c r="K5" s="17">
        <v>-2</v>
      </c>
      <c r="L5" s="17">
        <v>-1</v>
      </c>
      <c r="M5" s="17">
        <v>-1</v>
      </c>
      <c r="N5" s="17">
        <v>-3</v>
      </c>
      <c r="O5" s="17">
        <v>-2</v>
      </c>
      <c r="P5" s="17">
        <v>-3</v>
      </c>
      <c r="Q5" s="17">
        <v>-3</v>
      </c>
      <c r="R5" s="17">
        <v>-1</v>
      </c>
      <c r="S5" s="17">
        <v>-5</v>
      </c>
      <c r="T5" s="17">
        <v>-5</v>
      </c>
      <c r="U5" s="17">
        <v>0</v>
      </c>
      <c r="V5" s="17">
        <v>-4</v>
      </c>
      <c r="W5" s="17">
        <v>-1</v>
      </c>
      <c r="X5" s="17">
        <v>-1</v>
      </c>
      <c r="AS5" s="49"/>
      <c r="AT5" s="49"/>
      <c r="AU5" s="49"/>
      <c r="AV5" s="49"/>
      <c r="AW5" s="49"/>
      <c r="AX5" s="49"/>
      <c r="AY5" s="49"/>
      <c r="AZ5" s="51"/>
      <c r="BA5" s="51"/>
      <c r="BB5" s="51"/>
      <c r="BC5" s="49"/>
      <c r="BD5" s="49"/>
      <c r="BE5" s="49"/>
      <c r="BF5" s="49"/>
      <c r="BG5" s="49">
        <v>777.77777777777783</v>
      </c>
      <c r="BH5" s="49">
        <f>300*9</f>
        <v>2700</v>
      </c>
      <c r="BI5" s="49"/>
      <c r="BJ5" s="49"/>
      <c r="BK5" s="49"/>
      <c r="BL5" s="49"/>
      <c r="BM5" s="49"/>
      <c r="BN5" s="49"/>
      <c r="BO5" s="49"/>
    </row>
    <row r="6" spans="1:267">
      <c r="B6" s="4" t="s">
        <v>44</v>
      </c>
      <c r="D6" s="17">
        <v>0</v>
      </c>
      <c r="E6" s="17">
        <v>0</v>
      </c>
      <c r="G6" s="17">
        <v>-1</v>
      </c>
      <c r="H6" s="17">
        <v>-5</v>
      </c>
      <c r="I6" s="17">
        <v>0</v>
      </c>
      <c r="K6" s="17">
        <v>0</v>
      </c>
      <c r="L6" s="17">
        <v>0</v>
      </c>
      <c r="M6" s="17">
        <v>-1</v>
      </c>
      <c r="N6" s="17">
        <v>-1</v>
      </c>
      <c r="O6" s="17">
        <v>-1</v>
      </c>
      <c r="P6" s="17">
        <v>-3</v>
      </c>
      <c r="Q6" s="17">
        <v>0</v>
      </c>
      <c r="R6" s="17">
        <v>-2</v>
      </c>
      <c r="S6" s="17">
        <v>0</v>
      </c>
      <c r="T6" s="17">
        <v>-1</v>
      </c>
      <c r="U6" s="17">
        <v>-2</v>
      </c>
      <c r="V6" s="17">
        <v>0</v>
      </c>
      <c r="W6" s="17">
        <v>-2</v>
      </c>
      <c r="X6" s="17">
        <v>-3</v>
      </c>
      <c r="AS6" s="49"/>
      <c r="AT6" s="49"/>
      <c r="AU6" s="49"/>
      <c r="AV6" s="49"/>
      <c r="AW6" s="49"/>
      <c r="AX6" s="49"/>
      <c r="AY6" s="49"/>
      <c r="AZ6" s="51"/>
      <c r="BA6" s="51"/>
      <c r="BB6" s="51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</row>
    <row r="7" spans="1:267" s="19" customFormat="1">
      <c r="A7" s="21"/>
      <c r="B7" s="10" t="s">
        <v>42</v>
      </c>
      <c r="C7" s="19">
        <v>2291</v>
      </c>
      <c r="D7" s="19">
        <f>+C7+SUM(D4:D6)</f>
        <v>2339</v>
      </c>
      <c r="E7" s="19">
        <f>+D7+SUM(E4:E6)</f>
        <v>2374</v>
      </c>
      <c r="F7" s="19">
        <v>2408</v>
      </c>
      <c r="G7" s="19">
        <f>+F7+SUM(G4:G6)</f>
        <v>2441</v>
      </c>
      <c r="H7" s="19">
        <f>+G7+SUM(H4:H6)</f>
        <v>2467</v>
      </c>
      <c r="I7" s="19">
        <f>+H7+SUM(I4:I6)</f>
        <v>2463</v>
      </c>
      <c r="J7" s="19">
        <v>2491</v>
      </c>
      <c r="K7" s="19">
        <f t="shared" ref="K7:O7" si="9">+J7+SUM(K4:K6)</f>
        <v>2504</v>
      </c>
      <c r="L7" s="19">
        <f t="shared" si="9"/>
        <v>2523</v>
      </c>
      <c r="M7" s="19">
        <v>2546</v>
      </c>
      <c r="N7" s="19">
        <f t="shared" si="9"/>
        <v>2622</v>
      </c>
      <c r="O7" s="19">
        <f t="shared" si="9"/>
        <v>2638</v>
      </c>
      <c r="P7" s="19">
        <f t="shared" ref="P7:U7" si="10">+O7+SUM(P4:P6)</f>
        <v>2669</v>
      </c>
      <c r="Q7" s="19">
        <f t="shared" si="10"/>
        <v>2710</v>
      </c>
      <c r="R7" s="19">
        <f t="shared" si="10"/>
        <v>2768</v>
      </c>
      <c r="S7" s="19">
        <f t="shared" si="10"/>
        <v>2803</v>
      </c>
      <c r="T7" s="19">
        <f t="shared" si="10"/>
        <v>2853</v>
      </c>
      <c r="U7" s="19">
        <f t="shared" si="10"/>
        <v>2892</v>
      </c>
      <c r="V7" s="19">
        <f>+U7+SUM(V4:V6)</f>
        <v>2966</v>
      </c>
      <c r="W7" s="19">
        <f>+V7+SUM(W4:W6)</f>
        <v>3014</v>
      </c>
      <c r="X7" s="19">
        <f>+W7+SUM(X4:X6)</f>
        <v>3052</v>
      </c>
      <c r="Y7" s="19">
        <v>3090</v>
      </c>
      <c r="Z7" s="19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>
        <v>3479</v>
      </c>
      <c r="AM7" s="19">
        <v>489</v>
      </c>
      <c r="AN7" s="19">
        <v>581</v>
      </c>
      <c r="AO7" s="19">
        <v>704</v>
      </c>
      <c r="AP7" s="19">
        <v>837</v>
      </c>
      <c r="AQ7" s="19">
        <v>956</v>
      </c>
      <c r="AR7" s="19">
        <v>1084</v>
      </c>
      <c r="AS7" s="19">
        <v>1230</v>
      </c>
      <c r="AT7" s="19">
        <v>1410</v>
      </c>
      <c r="AU7" s="19">
        <v>1595</v>
      </c>
      <c r="AV7" s="19">
        <v>1783</v>
      </c>
      <c r="AW7" s="19">
        <v>2010</v>
      </c>
      <c r="AX7" s="19">
        <v>2250</v>
      </c>
      <c r="AY7" s="19">
        <v>2408</v>
      </c>
      <c r="AZ7" s="52">
        <v>2491</v>
      </c>
      <c r="BA7" s="53">
        <f>+N7</f>
        <v>2622</v>
      </c>
      <c r="BB7" s="53">
        <f>+R7</f>
        <v>2768</v>
      </c>
      <c r="BC7" s="19">
        <f>+V7</f>
        <v>2966</v>
      </c>
      <c r="BD7" s="19">
        <f>+Z7</f>
        <v>3187</v>
      </c>
      <c r="BE7" s="19">
        <f>+AD7</f>
        <v>3437</v>
      </c>
      <c r="BF7" s="19">
        <f t="shared" ref="BF7:BO7" si="11">+BE7+$BF$2</f>
        <v>3737</v>
      </c>
      <c r="BG7" s="19">
        <f t="shared" si="11"/>
        <v>4037</v>
      </c>
      <c r="BH7" s="19">
        <f t="shared" si="11"/>
        <v>4337</v>
      </c>
      <c r="BI7" s="19">
        <f t="shared" si="11"/>
        <v>4637</v>
      </c>
      <c r="BJ7" s="19">
        <f t="shared" si="11"/>
        <v>4937</v>
      </c>
      <c r="BK7" s="19">
        <f t="shared" si="11"/>
        <v>5237</v>
      </c>
      <c r="BL7" s="19">
        <f t="shared" si="11"/>
        <v>5537</v>
      </c>
      <c r="BM7" s="19">
        <f t="shared" si="11"/>
        <v>5837</v>
      </c>
      <c r="BN7" s="19">
        <f t="shared" si="11"/>
        <v>6137</v>
      </c>
      <c r="BO7" s="19">
        <f t="shared" si="11"/>
        <v>6437</v>
      </c>
    </row>
    <row r="8" spans="1:267" hidden="1" outlineLevel="1">
      <c r="B8" s="4" t="s">
        <v>183</v>
      </c>
      <c r="D8" s="17">
        <f t="shared" ref="D8:U8" si="12">+D7-C7</f>
        <v>48</v>
      </c>
      <c r="E8" s="17">
        <f t="shared" si="12"/>
        <v>35</v>
      </c>
      <c r="F8" s="17">
        <f t="shared" si="12"/>
        <v>34</v>
      </c>
      <c r="G8" s="17">
        <f t="shared" si="12"/>
        <v>33</v>
      </c>
      <c r="H8" s="17">
        <f t="shared" si="12"/>
        <v>26</v>
      </c>
      <c r="I8" s="17">
        <f t="shared" si="12"/>
        <v>-4</v>
      </c>
      <c r="J8" s="17">
        <f t="shared" si="12"/>
        <v>28</v>
      </c>
      <c r="K8" s="17">
        <f t="shared" si="12"/>
        <v>13</v>
      </c>
      <c r="L8" s="17">
        <f t="shared" si="12"/>
        <v>19</v>
      </c>
      <c r="M8" s="17">
        <f t="shared" si="12"/>
        <v>23</v>
      </c>
      <c r="N8" s="17">
        <f t="shared" si="12"/>
        <v>76</v>
      </c>
      <c r="O8" s="17">
        <f t="shared" si="12"/>
        <v>16</v>
      </c>
      <c r="P8" s="17">
        <f t="shared" si="12"/>
        <v>31</v>
      </c>
      <c r="Q8" s="17">
        <f t="shared" si="12"/>
        <v>41</v>
      </c>
      <c r="R8" s="17">
        <f t="shared" si="12"/>
        <v>58</v>
      </c>
      <c r="S8" s="17">
        <f t="shared" si="12"/>
        <v>35</v>
      </c>
      <c r="T8" s="17">
        <f t="shared" si="12"/>
        <v>50</v>
      </c>
      <c r="U8" s="17">
        <f t="shared" si="12"/>
        <v>39</v>
      </c>
      <c r="V8" s="17">
        <f>+V7-U7</f>
        <v>74</v>
      </c>
      <c r="W8" s="17">
        <f t="shared" ref="W8:Z8" si="13">+W7-V7</f>
        <v>48</v>
      </c>
      <c r="X8" s="17">
        <f t="shared" si="13"/>
        <v>38</v>
      </c>
      <c r="Y8" s="17">
        <f t="shared" si="13"/>
        <v>38</v>
      </c>
      <c r="Z8" s="17">
        <f t="shared" si="13"/>
        <v>97</v>
      </c>
      <c r="AN8" s="54">
        <f t="shared" ref="AN8:BA8" si="14">+AN7-AM7</f>
        <v>92</v>
      </c>
      <c r="AO8" s="54">
        <f t="shared" si="14"/>
        <v>123</v>
      </c>
      <c r="AP8" s="54">
        <f t="shared" si="14"/>
        <v>133</v>
      </c>
      <c r="AQ8" s="54">
        <f t="shared" si="14"/>
        <v>119</v>
      </c>
      <c r="AR8" s="54">
        <f t="shared" si="14"/>
        <v>128</v>
      </c>
      <c r="AS8" s="54">
        <f t="shared" si="14"/>
        <v>146</v>
      </c>
      <c r="AT8" s="54">
        <f t="shared" si="14"/>
        <v>180</v>
      </c>
      <c r="AU8" s="54">
        <f t="shared" si="14"/>
        <v>185</v>
      </c>
      <c r="AV8" s="54">
        <f t="shared" si="14"/>
        <v>188</v>
      </c>
      <c r="AW8" s="54">
        <f t="shared" si="14"/>
        <v>227</v>
      </c>
      <c r="AX8" s="54">
        <f t="shared" si="14"/>
        <v>240</v>
      </c>
      <c r="AY8" s="54">
        <f t="shared" si="14"/>
        <v>158</v>
      </c>
      <c r="AZ8" s="54">
        <f t="shared" si="14"/>
        <v>83</v>
      </c>
      <c r="BA8" s="54">
        <f t="shared" si="14"/>
        <v>131</v>
      </c>
      <c r="BB8" s="54">
        <f>+BB7-BA7</f>
        <v>146</v>
      </c>
      <c r="BC8" s="54">
        <f>+BC7-BB7</f>
        <v>198</v>
      </c>
      <c r="BD8" s="54">
        <f>+BD7-BC7</f>
        <v>221</v>
      </c>
      <c r="BE8" s="54">
        <f>+BE7-BD7</f>
        <v>250</v>
      </c>
      <c r="BF8" s="54">
        <f>+BF7-BE7</f>
        <v>300</v>
      </c>
      <c r="BG8" s="54">
        <f t="shared" ref="BG8:BO8" si="15">+BG7-BF7</f>
        <v>300</v>
      </c>
      <c r="BH8" s="54">
        <f t="shared" si="15"/>
        <v>300</v>
      </c>
      <c r="BI8" s="54">
        <f t="shared" si="15"/>
        <v>300</v>
      </c>
      <c r="BJ8" s="54">
        <f t="shared" si="15"/>
        <v>300</v>
      </c>
      <c r="BK8" s="54">
        <f t="shared" si="15"/>
        <v>300</v>
      </c>
      <c r="BL8" s="54">
        <f t="shared" si="15"/>
        <v>300</v>
      </c>
      <c r="BM8" s="54">
        <f t="shared" si="15"/>
        <v>300</v>
      </c>
      <c r="BN8" s="54">
        <f t="shared" si="15"/>
        <v>300</v>
      </c>
      <c r="BO8" s="54">
        <f t="shared" si="15"/>
        <v>300</v>
      </c>
    </row>
    <row r="9" spans="1:267" collapsed="1">
      <c r="B9" s="4" t="s">
        <v>54</v>
      </c>
      <c r="C9" s="17">
        <f t="shared" ref="C9:V9" si="16">+C14/C7</f>
        <v>466.53382802269749</v>
      </c>
      <c r="D9" s="17">
        <f t="shared" si="16"/>
        <v>499.96109448482258</v>
      </c>
      <c r="E9" s="17">
        <f t="shared" si="16"/>
        <v>475.17860151642799</v>
      </c>
      <c r="F9" s="17">
        <f t="shared" si="16"/>
        <v>461.00498338870432</v>
      </c>
      <c r="G9" s="17">
        <f t="shared" si="16"/>
        <v>470.46169602621876</v>
      </c>
      <c r="H9" s="17">
        <f t="shared" si="16"/>
        <v>513.38467774625053</v>
      </c>
      <c r="I9" s="17">
        <f t="shared" si="16"/>
        <v>497.3637840032481</v>
      </c>
      <c r="J9" s="17">
        <f t="shared" si="16"/>
        <v>491.79486150140508</v>
      </c>
      <c r="K9" s="17">
        <f t="shared" si="16"/>
        <v>522.45087859424916</v>
      </c>
      <c r="L9" s="17">
        <f t="shared" si="16"/>
        <v>568.4625445897741</v>
      </c>
      <c r="M9" s="17">
        <f t="shared" si="16"/>
        <v>551.33424980361349</v>
      </c>
      <c r="N9" s="17">
        <f t="shared" si="16"/>
        <v>549.2845156369184</v>
      </c>
      <c r="O9" s="17">
        <f t="shared" si="16"/>
        <v>534.78847611827143</v>
      </c>
      <c r="P9" s="17">
        <f t="shared" si="16"/>
        <v>511.32933683027352</v>
      </c>
      <c r="Q9" s="17">
        <f t="shared" si="16"/>
        <v>590.92767527675278</v>
      </c>
      <c r="R9" s="17">
        <f t="shared" si="16"/>
        <v>580.82008670520236</v>
      </c>
      <c r="S9" s="17">
        <f t="shared" si="16"/>
        <v>621.32536567962893</v>
      </c>
      <c r="T9" s="17">
        <f t="shared" si="16"/>
        <v>663.35015772870668</v>
      </c>
      <c r="U9" s="17">
        <f t="shared" si="16"/>
        <v>675.07434301521437</v>
      </c>
      <c r="V9" s="17">
        <f t="shared" si="16"/>
        <v>661.03607552258939</v>
      </c>
      <c r="W9" s="17">
        <f>+S9*1.1</f>
        <v>683.45790224759185</v>
      </c>
      <c r="X9" s="17">
        <f t="shared" ref="X9:Z9" si="17">+T9*1.1</f>
        <v>729.68517350157742</v>
      </c>
      <c r="Y9" s="17">
        <f t="shared" si="17"/>
        <v>742.58177731673584</v>
      </c>
      <c r="Z9" s="17">
        <f t="shared" si="17"/>
        <v>727.13968307484834</v>
      </c>
      <c r="AA9" s="17">
        <f t="shared" ref="AA9" si="18">+W9*1.1</f>
        <v>751.80369247235114</v>
      </c>
      <c r="AB9" s="17">
        <f t="shared" ref="AB9" si="19">+X9*1.1</f>
        <v>802.65369085173518</v>
      </c>
      <c r="AC9" s="17">
        <f t="shared" ref="AC9:AE9" si="20">+Y9*1.1</f>
        <v>816.83995504840948</v>
      </c>
      <c r="AD9" s="17">
        <f t="shared" ref="AD9" si="21">+Z9*1.1</f>
        <v>799.85365138233328</v>
      </c>
      <c r="AE9" s="17">
        <f t="shared" si="20"/>
        <v>826.98406171958629</v>
      </c>
      <c r="AN9" s="54">
        <f t="shared" ref="AN9:BB9" si="22">+AN14/AN7</f>
        <v>1416.4027538726334</v>
      </c>
      <c r="AO9" s="54">
        <f t="shared" si="22"/>
        <v>1542.3039772727273</v>
      </c>
      <c r="AP9" s="54">
        <f t="shared" si="22"/>
        <v>1591.3596176821984</v>
      </c>
      <c r="AQ9" s="54">
        <f t="shared" si="22"/>
        <v>1588.3023012552301</v>
      </c>
      <c r="AR9" s="54">
        <f t="shared" si="22"/>
        <v>1693.6549815498156</v>
      </c>
      <c r="AS9" s="54">
        <f t="shared" si="22"/>
        <v>1845.1609756097562</v>
      </c>
      <c r="AT9" s="54">
        <f t="shared" si="22"/>
        <v>1937.0382978723405</v>
      </c>
      <c r="AU9" s="54">
        <f t="shared" si="22"/>
        <v>2015.4175548589342</v>
      </c>
      <c r="AV9" s="54">
        <f t="shared" si="22"/>
        <v>2304.1329220415032</v>
      </c>
      <c r="AW9" s="54">
        <f t="shared" si="22"/>
        <v>2239.4144278606964</v>
      </c>
      <c r="AX9" s="54">
        <f t="shared" si="22"/>
        <v>1735.2817777777777</v>
      </c>
      <c r="AY9" s="54">
        <f t="shared" si="22"/>
        <v>1858.9750830564783</v>
      </c>
      <c r="AZ9" s="54">
        <f t="shared" si="22"/>
        <v>1953.0248896025691</v>
      </c>
      <c r="BA9" s="54">
        <f t="shared" si="22"/>
        <v>2130.5755148741418</v>
      </c>
      <c r="BB9" s="54">
        <f t="shared" si="22"/>
        <v>2162.0787572254335</v>
      </c>
      <c r="BC9" s="54">
        <f t="shared" ref="BC9:BE9" si="23">+BC14/BC7</f>
        <v>2544.5249494268373</v>
      </c>
      <c r="BD9" s="54">
        <f t="shared" si="23"/>
        <v>2709.3354251647315</v>
      </c>
      <c r="BE9" s="54">
        <f t="shared" si="23"/>
        <v>2872.1702065755021</v>
      </c>
      <c r="BF9" s="17">
        <f>+BE9*1.06</f>
        <v>3044.5004189700326</v>
      </c>
      <c r="BG9" s="17">
        <f t="shared" ref="BG9:BO9" si="24">+BF9*1.06</f>
        <v>3227.1704441082347</v>
      </c>
      <c r="BH9" s="17">
        <f t="shared" si="24"/>
        <v>3420.8006707547288</v>
      </c>
      <c r="BI9" s="17">
        <f t="shared" si="24"/>
        <v>3626.0487110000126</v>
      </c>
      <c r="BJ9" s="17">
        <f t="shared" si="24"/>
        <v>3843.6116336600135</v>
      </c>
      <c r="BK9" s="17">
        <f t="shared" si="24"/>
        <v>4074.2283316796143</v>
      </c>
      <c r="BL9" s="17">
        <f t="shared" si="24"/>
        <v>4318.6820315803916</v>
      </c>
      <c r="BM9" s="17">
        <f t="shared" si="24"/>
        <v>4577.802953475215</v>
      </c>
      <c r="BN9" s="17">
        <f t="shared" si="24"/>
        <v>4852.471130683728</v>
      </c>
      <c r="BO9" s="17">
        <f t="shared" si="24"/>
        <v>5143.6193985247519</v>
      </c>
    </row>
    <row r="10" spans="1:267"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47"/>
      <c r="BA10" s="47"/>
      <c r="BB10" s="47"/>
      <c r="BC10" s="47"/>
      <c r="BD10" s="47"/>
      <c r="BE10" s="47"/>
    </row>
    <row r="11" spans="1:267" s="82" customFormat="1">
      <c r="A11" s="80"/>
      <c r="B11" s="81" t="s">
        <v>213</v>
      </c>
      <c r="AD11" s="82">
        <v>7.9000000000000001E-2</v>
      </c>
      <c r="AE11" s="82">
        <v>7.0000000000000007E-2</v>
      </c>
      <c r="AY11" s="83"/>
      <c r="AZ11" s="84"/>
      <c r="BA11" s="84"/>
      <c r="BB11" s="84"/>
      <c r="BC11" s="84"/>
      <c r="BF11" s="82">
        <v>0.08</v>
      </c>
    </row>
    <row r="12" spans="1:267">
      <c r="B12" s="4" t="s">
        <v>18</v>
      </c>
      <c r="M12" s="17">
        <v>1397333</v>
      </c>
      <c r="O12" s="17">
        <v>1402117</v>
      </c>
      <c r="P12" s="17">
        <v>0</v>
      </c>
      <c r="Q12" s="17">
        <v>1581335</v>
      </c>
      <c r="R12" s="17">
        <f t="shared" ref="R12:R28" si="25">+BB12-SUM(O12:Q12)</f>
        <v>2937093</v>
      </c>
      <c r="S12" s="17">
        <v>1715990</v>
      </c>
      <c r="T12" s="17">
        <v>1869365</v>
      </c>
      <c r="U12" s="17">
        <v>1932409</v>
      </c>
      <c r="V12" s="17">
        <v>1939405</v>
      </c>
      <c r="W12" s="17">
        <v>1998956</v>
      </c>
      <c r="X12" s="17">
        <v>2192802</v>
      </c>
      <c r="Y12" s="17">
        <v>2202336</v>
      </c>
      <c r="Z12" s="56">
        <f t="shared" ref="Z12:Z28" si="26">+BD12-SUM(W12:Y12)</f>
        <v>2163907</v>
      </c>
      <c r="AA12" s="17">
        <v>2351009</v>
      </c>
      <c r="AB12" s="17">
        <v>2497509</v>
      </c>
      <c r="AC12" s="17">
        <v>2456039</v>
      </c>
      <c r="AD12" s="17">
        <f>+BE12-SUM(AA12:AC12)</f>
        <v>2499567</v>
      </c>
      <c r="AE12" s="17">
        <v>2684447</v>
      </c>
      <c r="AZ12" s="17">
        <v>4860626</v>
      </c>
      <c r="BA12" s="17">
        <v>5561036</v>
      </c>
      <c r="BB12" s="17">
        <v>5920545</v>
      </c>
      <c r="BD12" s="17">
        <v>8558001</v>
      </c>
      <c r="BE12" s="17">
        <v>9804124</v>
      </c>
    </row>
    <row r="13" spans="1:267">
      <c r="B13" s="4" t="s">
        <v>19</v>
      </c>
      <c r="M13" s="17">
        <v>6364</v>
      </c>
      <c r="O13" s="17">
        <v>8655</v>
      </c>
      <c r="P13" s="17">
        <v>0</v>
      </c>
      <c r="Q13" s="17">
        <v>20079</v>
      </c>
      <c r="R13" s="17">
        <f t="shared" si="25"/>
        <v>35355</v>
      </c>
      <c r="S13" s="17">
        <v>25585</v>
      </c>
      <c r="T13" s="17">
        <v>23173</v>
      </c>
      <c r="U13" s="17">
        <v>19906</v>
      </c>
      <c r="V13" s="17">
        <v>21228</v>
      </c>
      <c r="W13" s="17">
        <v>21583</v>
      </c>
      <c r="X13" s="17">
        <v>20537</v>
      </c>
      <c r="Y13" s="17">
        <v>17839</v>
      </c>
      <c r="Z13" s="56">
        <f t="shared" si="26"/>
        <v>16692</v>
      </c>
      <c r="AA13" s="17">
        <v>17571</v>
      </c>
      <c r="AB13" s="17">
        <v>17292</v>
      </c>
      <c r="AC13" s="17">
        <v>15909</v>
      </c>
      <c r="AD13" s="17">
        <f>+BE13-SUM(AA13:AC13)</f>
        <v>16753</v>
      </c>
      <c r="AE13" s="17">
        <v>17401</v>
      </c>
      <c r="AZ13" s="17">
        <v>4359</v>
      </c>
      <c r="BA13" s="17">
        <v>25333</v>
      </c>
      <c r="BB13" s="17">
        <v>64089</v>
      </c>
      <c r="BD13" s="17">
        <v>76651</v>
      </c>
      <c r="BE13" s="17">
        <v>67525</v>
      </c>
    </row>
    <row r="14" spans="1:267" s="19" customFormat="1">
      <c r="A14" s="21"/>
      <c r="B14" s="10" t="s">
        <v>20</v>
      </c>
      <c r="C14" s="19">
        <v>1068829</v>
      </c>
      <c r="D14" s="19">
        <v>1169409</v>
      </c>
      <c r="E14" s="19">
        <v>1128074</v>
      </c>
      <c r="F14" s="19">
        <f t="shared" ref="F14:F28" si="27">+AY14-SUM(C14:E14)</f>
        <v>1110100</v>
      </c>
      <c r="G14" s="19">
        <v>1148397</v>
      </c>
      <c r="H14" s="19">
        <v>1266520</v>
      </c>
      <c r="I14" s="19">
        <v>1225007</v>
      </c>
      <c r="J14" s="19">
        <f>+AZ14-SUM(G14:I14)</f>
        <v>1225061</v>
      </c>
      <c r="K14" s="19">
        <v>1308217</v>
      </c>
      <c r="L14" s="19">
        <v>1434231</v>
      </c>
      <c r="M14" s="19">
        <f>+SUM(M12:M13)</f>
        <v>1403697</v>
      </c>
      <c r="N14" s="19">
        <f t="shared" ref="N14:N28" si="28">+BA14-SUM(K14:M14)</f>
        <v>1440224</v>
      </c>
      <c r="O14" s="19">
        <f>+SUM(O12:O13)</f>
        <v>1410772</v>
      </c>
      <c r="P14" s="19">
        <v>1364738</v>
      </c>
      <c r="Q14" s="19">
        <f>+SUM(Q12:Q13)</f>
        <v>1601414</v>
      </c>
      <c r="R14" s="19">
        <f t="shared" si="25"/>
        <v>1607710</v>
      </c>
      <c r="S14" s="19">
        <f t="shared" ref="S14:Y14" si="29">+SUM(S12:S13)</f>
        <v>1741575</v>
      </c>
      <c r="T14" s="19">
        <f t="shared" si="29"/>
        <v>1892538</v>
      </c>
      <c r="U14" s="19">
        <f t="shared" si="29"/>
        <v>1952315</v>
      </c>
      <c r="V14" s="19">
        <f t="shared" si="29"/>
        <v>1960633</v>
      </c>
      <c r="W14" s="19">
        <f t="shared" si="29"/>
        <v>2020539</v>
      </c>
      <c r="X14" s="19">
        <f t="shared" si="29"/>
        <v>2213339</v>
      </c>
      <c r="Y14" s="19">
        <f t="shared" si="29"/>
        <v>2220175</v>
      </c>
      <c r="Z14" s="57">
        <f t="shared" si="26"/>
        <v>2180599</v>
      </c>
      <c r="AA14" s="19">
        <f t="shared" ref="AA14" si="30">+SUM(AA12:AA13)</f>
        <v>2368580</v>
      </c>
      <c r="AB14" s="19">
        <f t="shared" ref="AB14:AC14" si="31">+SUM(AB12:AB13)</f>
        <v>2514801</v>
      </c>
      <c r="AC14" s="19">
        <f t="shared" si="31"/>
        <v>2471948</v>
      </c>
      <c r="AD14" s="19">
        <f t="shared" ref="AD14:AD28" si="32">+BE14-SUM(AA14:AC14)</f>
        <v>2516320</v>
      </c>
      <c r="AE14" s="19">
        <f t="shared" ref="AE14" si="33">+SUM(AE12:AE13)</f>
        <v>2701848</v>
      </c>
      <c r="AM14" s="19">
        <v>627695</v>
      </c>
      <c r="AN14" s="19">
        <v>822930</v>
      </c>
      <c r="AO14" s="19">
        <v>1085782</v>
      </c>
      <c r="AP14" s="19">
        <v>1331968</v>
      </c>
      <c r="AQ14" s="19">
        <v>1518417</v>
      </c>
      <c r="AR14" s="19">
        <v>1835922</v>
      </c>
      <c r="AS14" s="19">
        <v>2269548</v>
      </c>
      <c r="AT14" s="19">
        <v>2731224</v>
      </c>
      <c r="AU14" s="19">
        <v>3214591</v>
      </c>
      <c r="AV14" s="19">
        <v>4108269</v>
      </c>
      <c r="AW14" s="19">
        <v>4501223</v>
      </c>
      <c r="AX14" s="19">
        <v>3904384</v>
      </c>
      <c r="AY14" s="19">
        <v>4476412</v>
      </c>
      <c r="AZ14" s="19">
        <f>+SUM(AZ12:AZ13)</f>
        <v>4864985</v>
      </c>
      <c r="BA14" s="19">
        <f>+SUM(BA12:BA13)</f>
        <v>5586369</v>
      </c>
      <c r="BB14" s="19">
        <f>+SUM(BB12:BB13)</f>
        <v>5984634</v>
      </c>
      <c r="BC14" s="19">
        <f t="shared" ref="BC14:BC19" si="34">SUM(S14:V14)</f>
        <v>7547061</v>
      </c>
      <c r="BD14" s="19">
        <f>+BD12+BD13</f>
        <v>8634652</v>
      </c>
      <c r="BE14" s="19">
        <f>+BE12+BE13</f>
        <v>9871649</v>
      </c>
      <c r="BF14" s="19">
        <f t="shared" ref="BF14:BO14" si="35">+BF7*BF9</f>
        <v>11377298.065691011</v>
      </c>
      <c r="BG14" s="19">
        <f t="shared" si="35"/>
        <v>13028087.082864944</v>
      </c>
      <c r="BH14" s="19">
        <f t="shared" si="35"/>
        <v>14836012.509063259</v>
      </c>
      <c r="BI14" s="19">
        <f t="shared" si="35"/>
        <v>16813987.872907057</v>
      </c>
      <c r="BJ14" s="19">
        <f t="shared" si="35"/>
        <v>18975910.635379486</v>
      </c>
      <c r="BK14" s="19">
        <f t="shared" si="35"/>
        <v>21336733.773006141</v>
      </c>
      <c r="BL14" s="19">
        <f t="shared" si="35"/>
        <v>23912542.408860628</v>
      </c>
      <c r="BM14" s="19">
        <f t="shared" si="35"/>
        <v>26720635.839434829</v>
      </c>
      <c r="BN14" s="19">
        <f t="shared" si="35"/>
        <v>29779615.329006039</v>
      </c>
      <c r="BO14" s="19">
        <f t="shared" si="35"/>
        <v>33109478.068303827</v>
      </c>
    </row>
    <row r="15" spans="1:267">
      <c r="B15" s="4" t="s">
        <v>21</v>
      </c>
      <c r="C15" s="17">
        <v>361795</v>
      </c>
      <c r="D15" s="17">
        <v>399152</v>
      </c>
      <c r="E15" s="17">
        <v>394567</v>
      </c>
      <c r="F15" s="17">
        <f t="shared" si="27"/>
        <v>379914</v>
      </c>
      <c r="G15" s="17">
        <v>371915</v>
      </c>
      <c r="H15" s="17">
        <v>413096</v>
      </c>
      <c r="I15" s="17">
        <v>409213</v>
      </c>
      <c r="J15" s="17">
        <f t="shared" ref="J15:J28" si="36">+AZ15-SUM(G15:I15)</f>
        <v>406536</v>
      </c>
      <c r="K15" s="17">
        <v>421367</v>
      </c>
      <c r="L15" s="17">
        <v>483284</v>
      </c>
      <c r="M15" s="17">
        <v>466496</v>
      </c>
      <c r="N15" s="17">
        <f t="shared" si="28"/>
        <v>476769</v>
      </c>
      <c r="O15" s="17">
        <v>462299</v>
      </c>
      <c r="P15" s="17">
        <v>454756</v>
      </c>
      <c r="Q15" s="17">
        <v>517261</v>
      </c>
      <c r="R15" s="17">
        <f t="shared" si="25"/>
        <v>498450</v>
      </c>
      <c r="S15" s="17">
        <v>522671</v>
      </c>
      <c r="T15" s="17">
        <v>574478</v>
      </c>
      <c r="U15" s="17">
        <v>591332</v>
      </c>
      <c r="V15" s="17">
        <v>620150</v>
      </c>
      <c r="W15" s="17">
        <v>626926</v>
      </c>
      <c r="X15" s="17">
        <v>673928</v>
      </c>
      <c r="Y15" s="17">
        <v>662540</v>
      </c>
      <c r="Z15" s="56">
        <f t="shared" si="26"/>
        <v>638851</v>
      </c>
      <c r="AA15" s="17">
        <v>692559</v>
      </c>
      <c r="AB15" s="17">
        <v>738664</v>
      </c>
      <c r="AC15" s="17">
        <v>734186</v>
      </c>
      <c r="AD15" s="17">
        <f t="shared" si="32"/>
        <v>747155</v>
      </c>
      <c r="AE15" s="17">
        <v>779076</v>
      </c>
      <c r="AS15" s="17">
        <v>738720</v>
      </c>
      <c r="AT15" s="17">
        <v>891003</v>
      </c>
      <c r="AU15" s="17">
        <v>1073514</v>
      </c>
      <c r="AV15" s="17">
        <v>1420994</v>
      </c>
      <c r="AW15" s="17">
        <v>1503835</v>
      </c>
      <c r="AX15" s="17">
        <v>1365580</v>
      </c>
      <c r="AY15" s="17">
        <v>1535428</v>
      </c>
      <c r="AZ15" s="17">
        <v>1600760</v>
      </c>
      <c r="BA15" s="17">
        <v>1847916</v>
      </c>
      <c r="BB15" s="17">
        <v>1932766</v>
      </c>
      <c r="BC15" s="17">
        <f t="shared" si="34"/>
        <v>2308631</v>
      </c>
      <c r="BD15" s="17">
        <v>2602245</v>
      </c>
      <c r="BE15" s="17">
        <v>2912564</v>
      </c>
      <c r="BF15" s="17">
        <f>+BF14*(BE15/BE14)</f>
        <v>3356795.684631947</v>
      </c>
      <c r="BG15" s="17">
        <f>+BG14*(BF15/BF14)</f>
        <v>3843849.9410197274</v>
      </c>
      <c r="BH15" s="17">
        <f t="shared" ref="BH15:BL15" si="37">+BH14*(BG15/BG14)</f>
        <v>4377266.2437093658</v>
      </c>
      <c r="BI15" s="17">
        <f t="shared" si="37"/>
        <v>4960854.6429340905</v>
      </c>
      <c r="BJ15" s="17">
        <f t="shared" si="37"/>
        <v>5598715.4915884286</v>
      </c>
      <c r="BK15" s="17">
        <f t="shared" si="37"/>
        <v>6295260.5653667245</v>
      </c>
      <c r="BL15" s="17">
        <f t="shared" si="37"/>
        <v>7055235.6722286968</v>
      </c>
      <c r="BM15" s="17">
        <f t="shared" ref="BM15" si="38">+BM14*(BL15/BL14)</f>
        <v>7883744.8538787859</v>
      </c>
      <c r="BN15" s="17">
        <f t="shared" ref="BN15:BO15" si="39">+BN14*(BM15/BM14)</f>
        <v>8786276.288906863</v>
      </c>
      <c r="BO15" s="17">
        <f t="shared" si="39"/>
        <v>9768730.0146643445</v>
      </c>
    </row>
    <row r="16" spans="1:267">
      <c r="B16" s="4" t="s">
        <v>22</v>
      </c>
      <c r="C16" s="17">
        <v>287851</v>
      </c>
      <c r="D16" s="17">
        <v>305851</v>
      </c>
      <c r="E16" s="17">
        <v>306862</v>
      </c>
      <c r="F16" s="17">
        <f t="shared" si="27"/>
        <v>305428</v>
      </c>
      <c r="G16" s="17">
        <v>318863</v>
      </c>
      <c r="H16" s="17">
        <v>341842</v>
      </c>
      <c r="I16" s="17">
        <v>332865</v>
      </c>
      <c r="J16" s="17">
        <f t="shared" si="36"/>
        <v>332509</v>
      </c>
      <c r="K16" s="17">
        <v>348842</v>
      </c>
      <c r="L16" s="17">
        <v>368053</v>
      </c>
      <c r="M16" s="17">
        <v>373645</v>
      </c>
      <c r="N16" s="17">
        <f t="shared" si="28"/>
        <v>381520</v>
      </c>
      <c r="O16" s="17">
        <v>393565</v>
      </c>
      <c r="P16" s="17">
        <v>385266</v>
      </c>
      <c r="Q16" s="17">
        <v>405818</v>
      </c>
      <c r="R16" s="17">
        <f t="shared" si="25"/>
        <v>408364</v>
      </c>
      <c r="S16" s="17">
        <v>433669</v>
      </c>
      <c r="T16" s="17">
        <v>464506</v>
      </c>
      <c r="U16" s="17">
        <v>502757</v>
      </c>
      <c r="V16" s="17">
        <v>516829</v>
      </c>
      <c r="W16" s="17">
        <v>531940</v>
      </c>
      <c r="X16" s="17">
        <v>549926</v>
      </c>
      <c r="Y16" s="17">
        <v>557178</v>
      </c>
      <c r="Z16" s="56">
        <f t="shared" si="26"/>
        <v>558914</v>
      </c>
      <c r="AA16" s="17">
        <v>583794</v>
      </c>
      <c r="AB16" s="17">
        <v>611678</v>
      </c>
      <c r="AC16" s="17">
        <v>616282</v>
      </c>
      <c r="AD16" s="17">
        <f t="shared" si="32"/>
        <v>629228</v>
      </c>
      <c r="AE16" s="17">
        <v>659450</v>
      </c>
      <c r="AS16" s="17">
        <v>543119</v>
      </c>
      <c r="AT16" s="17">
        <v>641836</v>
      </c>
      <c r="AU16" s="17">
        <v>739800</v>
      </c>
      <c r="AV16" s="17">
        <v>904407</v>
      </c>
      <c r="AW16" s="17">
        <v>1045726</v>
      </c>
      <c r="AX16" s="17">
        <v>1105001</v>
      </c>
      <c r="AY16" s="17">
        <v>1205992</v>
      </c>
      <c r="AZ16" s="17">
        <v>1326079</v>
      </c>
      <c r="BA16" s="17">
        <v>1472060</v>
      </c>
      <c r="BB16" s="17">
        <v>1593013</v>
      </c>
      <c r="BC16" s="17">
        <f t="shared" si="34"/>
        <v>1917761</v>
      </c>
      <c r="BD16" s="17">
        <v>2197958</v>
      </c>
      <c r="BE16" s="17">
        <v>2440982</v>
      </c>
      <c r="BF16" s="17">
        <f t="shared" ref="BF16:BL16" si="40">+BF14*(BE16/BE14)</f>
        <v>2813286.796054699</v>
      </c>
      <c r="BG16" s="17">
        <f t="shared" si="40"/>
        <v>3221480.6324359621</v>
      </c>
      <c r="BH16" s="17">
        <f t="shared" si="40"/>
        <v>3668529.8967171796</v>
      </c>
      <c r="BI16" s="17">
        <f t="shared" si="40"/>
        <v>4157627.7424353738</v>
      </c>
      <c r="BJ16" s="17">
        <f t="shared" si="40"/>
        <v>4692210.6220115693</v>
      </c>
      <c r="BK16" s="17">
        <f t="shared" si="40"/>
        <v>5275975.9872641414</v>
      </c>
      <c r="BL16" s="17">
        <f t="shared" si="40"/>
        <v>5912901.23810778</v>
      </c>
      <c r="BM16" s="17">
        <f t="shared" ref="BM16" si="41">+BM14*(BL16/BL14)</f>
        <v>6607264.0054985043</v>
      </c>
      <c r="BN16" s="17">
        <f t="shared" ref="BN16:BO16" si="42">+BN14*(BM16/BM14)</f>
        <v>7363663.8605189286</v>
      </c>
      <c r="BO16" s="17">
        <f t="shared" si="42"/>
        <v>8187045.547722009</v>
      </c>
    </row>
    <row r="17" spans="1:267">
      <c r="B17" s="4" t="s">
        <v>23</v>
      </c>
      <c r="C17" s="17">
        <v>78962</v>
      </c>
      <c r="D17" s="17">
        <v>80321</v>
      </c>
      <c r="E17" s="17">
        <v>83199</v>
      </c>
      <c r="F17" s="17">
        <f t="shared" si="27"/>
        <v>84650</v>
      </c>
      <c r="G17" s="17">
        <v>85256</v>
      </c>
      <c r="H17" s="17">
        <v>86772</v>
      </c>
      <c r="I17" s="17">
        <v>86691</v>
      </c>
      <c r="J17" s="17">
        <f t="shared" si="36"/>
        <v>88404</v>
      </c>
      <c r="K17" s="17">
        <v>88770</v>
      </c>
      <c r="L17" s="17">
        <v>89923</v>
      </c>
      <c r="M17" s="17">
        <v>91409</v>
      </c>
      <c r="N17" s="17">
        <f t="shared" si="28"/>
        <v>92970</v>
      </c>
      <c r="O17" s="17">
        <v>95279</v>
      </c>
      <c r="P17" s="17">
        <v>95576</v>
      </c>
      <c r="Q17" s="17">
        <v>97694</v>
      </c>
      <c r="R17" s="17">
        <f t="shared" si="25"/>
        <v>99213</v>
      </c>
      <c r="S17" s="17">
        <v>101769</v>
      </c>
      <c r="T17" s="17">
        <v>103430</v>
      </c>
      <c r="U17" s="17">
        <v>104223</v>
      </c>
      <c r="V17" s="17">
        <v>107184</v>
      </c>
      <c r="W17" s="17">
        <v>112032</v>
      </c>
      <c r="X17" s="17">
        <v>113919</v>
      </c>
      <c r="Y17" s="17">
        <v>115826</v>
      </c>
      <c r="Z17" s="56">
        <f t="shared" si="26"/>
        <v>118648</v>
      </c>
      <c r="AA17" s="17">
        <v>121931</v>
      </c>
      <c r="AB17" s="17">
        <v>123897</v>
      </c>
      <c r="AC17" s="17">
        <v>126269</v>
      </c>
      <c r="AD17" s="17">
        <f t="shared" si="32"/>
        <v>131167</v>
      </c>
      <c r="AE17" s="17">
        <v>135699</v>
      </c>
      <c r="AS17" s="17">
        <v>147274</v>
      </c>
      <c r="AT17" s="17">
        <v>171435</v>
      </c>
      <c r="AU17" s="17">
        <v>199107</v>
      </c>
      <c r="AV17" s="17">
        <v>230868</v>
      </c>
      <c r="AW17" s="17">
        <v>262412</v>
      </c>
      <c r="AX17" s="17">
        <v>293636</v>
      </c>
      <c r="AY17" s="17">
        <v>327132</v>
      </c>
      <c r="AZ17" s="17">
        <v>347123</v>
      </c>
      <c r="BA17" s="17">
        <v>363072</v>
      </c>
      <c r="BB17" s="17">
        <v>387762</v>
      </c>
      <c r="BC17" s="17">
        <f t="shared" si="34"/>
        <v>416606</v>
      </c>
      <c r="BD17" s="17">
        <v>460425</v>
      </c>
      <c r="BE17" s="17">
        <v>503264</v>
      </c>
      <c r="BF17" s="17">
        <f t="shared" ref="BF17:BL17" si="43">+BF14*(BE17/BE14)</f>
        <v>580023.10796624969</v>
      </c>
      <c r="BG17" s="17">
        <f t="shared" si="43"/>
        <v>664181.55848844943</v>
      </c>
      <c r="BH17" s="17">
        <f t="shared" si="43"/>
        <v>756350.93988463446</v>
      </c>
      <c r="BI17" s="17">
        <f t="shared" si="43"/>
        <v>857189.59343780321</v>
      </c>
      <c r="BJ17" s="17">
        <f t="shared" si="43"/>
        <v>967406.02203376777</v>
      </c>
      <c r="BK17" s="17">
        <f t="shared" si="43"/>
        <v>1087762.5395248719</v>
      </c>
      <c r="BL17" s="17">
        <f t="shared" si="43"/>
        <v>1219079.1774355869</v>
      </c>
      <c r="BM17" s="17">
        <f t="shared" ref="BM17" si="44">+BM14*(BL17/BL14)</f>
        <v>1362237.8667532981</v>
      </c>
      <c r="BN17" s="17">
        <f t="shared" ref="BN17:BO17" si="45">+BN14*(BM17/BM14)</f>
        <v>1518186.9137503665</v>
      </c>
      <c r="BO17" s="17">
        <f t="shared" si="45"/>
        <v>1687945.7900667714</v>
      </c>
    </row>
    <row r="18" spans="1:267">
      <c r="B18" s="4" t="s">
        <v>24</v>
      </c>
      <c r="C18" s="17">
        <v>150609</v>
      </c>
      <c r="D18" s="17">
        <v>163685</v>
      </c>
      <c r="E18" s="17">
        <v>162312</v>
      </c>
      <c r="F18" s="17">
        <f t="shared" si="27"/>
        <v>175038</v>
      </c>
      <c r="G18" s="17">
        <v>148069</v>
      </c>
      <c r="H18" s="17">
        <v>175171</v>
      </c>
      <c r="I18" s="17">
        <v>167488</v>
      </c>
      <c r="J18" s="17">
        <f t="shared" si="36"/>
        <v>189303</v>
      </c>
      <c r="K18" s="17">
        <v>174743</v>
      </c>
      <c r="L18" s="17">
        <v>193309</v>
      </c>
      <c r="M18" s="17">
        <v>180259</v>
      </c>
      <c r="N18" s="17">
        <f t="shared" si="28"/>
        <v>212070</v>
      </c>
      <c r="O18" s="17">
        <v>210762</v>
      </c>
      <c r="P18" s="17">
        <v>262378</v>
      </c>
      <c r="Q18" s="17">
        <v>268416</v>
      </c>
      <c r="R18" s="17">
        <f t="shared" si="25"/>
        <v>288456</v>
      </c>
      <c r="S18" s="17">
        <v>294710</v>
      </c>
      <c r="T18" s="17">
        <v>287242</v>
      </c>
      <c r="U18" s="17">
        <v>294650</v>
      </c>
      <c r="V18" s="17">
        <v>320452</v>
      </c>
      <c r="W18" s="17">
        <v>330695</v>
      </c>
      <c r="X18" s="17">
        <v>317481</v>
      </c>
      <c r="Y18" s="17">
        <v>322085</v>
      </c>
      <c r="Z18" s="56">
        <f t="shared" si="26"/>
        <v>341644</v>
      </c>
      <c r="AA18" s="17">
        <v>363206</v>
      </c>
      <c r="AB18" s="17">
        <v>349707</v>
      </c>
      <c r="AC18" s="17">
        <v>345368</v>
      </c>
      <c r="AD18" s="17">
        <f t="shared" si="32"/>
        <v>370466</v>
      </c>
      <c r="AE18" s="17">
        <v>385773</v>
      </c>
      <c r="AS18" s="17">
        <v>251208</v>
      </c>
      <c r="AT18" s="17">
        <v>286610</v>
      </c>
      <c r="AU18" s="17">
        <v>347401</v>
      </c>
      <c r="AV18" s="17">
        <v>434244</v>
      </c>
      <c r="AW18" s="17">
        <v>514963</v>
      </c>
      <c r="AX18" s="17">
        <v>641953</v>
      </c>
      <c r="AY18" s="17">
        <v>651644</v>
      </c>
      <c r="AZ18" s="17">
        <v>680031</v>
      </c>
      <c r="BA18" s="17">
        <v>760381</v>
      </c>
      <c r="BB18" s="17">
        <v>1030012</v>
      </c>
      <c r="BC18" s="17">
        <f t="shared" si="34"/>
        <v>1197054</v>
      </c>
      <c r="BD18" s="17">
        <v>1311905</v>
      </c>
      <c r="BE18" s="17">
        <v>1428747</v>
      </c>
      <c r="BF18" s="17">
        <f t="shared" ref="BF18:BL18" si="46">+BF14*(BE18/BE14)</f>
        <v>1646663.1339365728</v>
      </c>
      <c r="BG18" s="17">
        <f t="shared" si="46"/>
        <v>1885585.7147455344</v>
      </c>
      <c r="BH18" s="17">
        <f t="shared" si="46"/>
        <v>2147251.0179693997</v>
      </c>
      <c r="BI18" s="17">
        <f t="shared" si="46"/>
        <v>2433528.0490070446</v>
      </c>
      <c r="BJ18" s="17">
        <f t="shared" si="46"/>
        <v>2746428.2201045174</v>
      </c>
      <c r="BK18" s="17">
        <f t="shared" si="46"/>
        <v>3088115.7107572616</v>
      </c>
      <c r="BL18" s="17">
        <f t="shared" si="46"/>
        <v>3460918.5586959589</v>
      </c>
      <c r="BM18" s="17">
        <f t="shared" ref="BM18" si="47">+BM14*(BL18/BL14)</f>
        <v>3867340.531828573</v>
      </c>
      <c r="BN18" s="17">
        <f t="shared" ref="BN18:BO18" si="48">+BN14*(BM18/BM14)</f>
        <v>4310073.8349257959</v>
      </c>
      <c r="BO18" s="17">
        <f t="shared" si="48"/>
        <v>4792012.7084801029</v>
      </c>
    </row>
    <row r="19" spans="1:267">
      <c r="B19" s="4" t="s">
        <v>25</v>
      </c>
      <c r="C19" s="17">
        <v>69441</v>
      </c>
      <c r="D19" s="17">
        <v>70075</v>
      </c>
      <c r="E19" s="17">
        <v>99182</v>
      </c>
      <c r="F19" s="17">
        <f t="shared" si="27"/>
        <v>57690</v>
      </c>
      <c r="G19" s="17">
        <v>77063</v>
      </c>
      <c r="H19" s="17">
        <v>85153</v>
      </c>
      <c r="I19" s="17">
        <v>109524</v>
      </c>
      <c r="J19" s="17">
        <f t="shared" si="36"/>
        <v>103720</v>
      </c>
      <c r="K19" s="17">
        <v>102671</v>
      </c>
      <c r="L19" s="17">
        <v>121395</v>
      </c>
      <c r="M19" s="17">
        <v>115070</v>
      </c>
      <c r="N19" s="17">
        <f t="shared" si="28"/>
        <v>112416</v>
      </c>
      <c r="O19" s="17">
        <v>106470</v>
      </c>
      <c r="P19" s="17">
        <v>102647</v>
      </c>
      <c r="Q19" s="17">
        <v>133150</v>
      </c>
      <c r="R19" s="17">
        <f t="shared" si="25"/>
        <v>124024</v>
      </c>
      <c r="S19" s="17">
        <v>155103</v>
      </c>
      <c r="T19" s="17">
        <v>146044</v>
      </c>
      <c r="U19" s="17">
        <v>145930</v>
      </c>
      <c r="V19" s="17">
        <v>159777</v>
      </c>
      <c r="W19" s="17">
        <v>147402</v>
      </c>
      <c r="X19" s="17">
        <v>140820</v>
      </c>
      <c r="Y19" s="17">
        <v>140896</v>
      </c>
      <c r="Z19" s="56">
        <f t="shared" si="26"/>
        <v>135073</v>
      </c>
      <c r="AA19" s="17">
        <v>148340</v>
      </c>
      <c r="AB19" s="17">
        <v>156496</v>
      </c>
      <c r="AC19" s="17">
        <v>159501</v>
      </c>
      <c r="AD19" s="17">
        <f t="shared" si="32"/>
        <v>169247</v>
      </c>
      <c r="AE19" s="17">
        <v>204625</v>
      </c>
      <c r="AS19" s="17">
        <v>149426</v>
      </c>
      <c r="AT19" s="17">
        <v>183409</v>
      </c>
      <c r="AU19" s="17">
        <v>203733</v>
      </c>
      <c r="AV19" s="17">
        <v>273897</v>
      </c>
      <c r="AW19" s="17">
        <v>250214</v>
      </c>
      <c r="AX19" s="17">
        <v>276240</v>
      </c>
      <c r="AY19" s="17">
        <v>296388</v>
      </c>
      <c r="AZ19" s="17">
        <v>375460</v>
      </c>
      <c r="BA19" s="17">
        <v>451552</v>
      </c>
      <c r="BB19" s="17">
        <v>466291</v>
      </c>
      <c r="BC19" s="17">
        <f t="shared" si="34"/>
        <v>606854</v>
      </c>
      <c r="BD19" s="17">
        <v>564191</v>
      </c>
      <c r="BE19" s="17">
        <v>633584</v>
      </c>
      <c r="BF19" s="17">
        <f t="shared" ref="BF19:BL19" si="49">+BF14*(BE19/BE14)</f>
        <v>730219.84651731176</v>
      </c>
      <c r="BG19" s="17">
        <f t="shared" si="49"/>
        <v>836171.0922167009</v>
      </c>
      <c r="BH19" s="17">
        <f t="shared" si="49"/>
        <v>952207.69595255423</v>
      </c>
      <c r="BI19" s="17">
        <f t="shared" si="49"/>
        <v>1079158.4762047299</v>
      </c>
      <c r="BJ19" s="17">
        <f t="shared" si="49"/>
        <v>1217915.4023817375</v>
      </c>
      <c r="BK19" s="17">
        <f t="shared" si="49"/>
        <v>1369438.1891856492</v>
      </c>
      <c r="BL19" s="17">
        <f t="shared" si="49"/>
        <v>1534759.2149574556</v>
      </c>
      <c r="BM19" s="17">
        <f t="shared" ref="BM19" si="50">+BM14*(BL19/BL14)</f>
        <v>1714988.7863408106</v>
      </c>
      <c r="BN19" s="17">
        <f t="shared" ref="BN19:BO19" si="51">+BN14*(BM19/BM14)</f>
        <v>1911320.7731163215</v>
      </c>
      <c r="BO19" s="17">
        <f t="shared" si="51"/>
        <v>2125038.6386740669</v>
      </c>
    </row>
    <row r="20" spans="1:267">
      <c r="B20" s="4" t="s">
        <v>26</v>
      </c>
      <c r="C20" s="17">
        <v>39279</v>
      </c>
      <c r="D20" s="17">
        <v>41081</v>
      </c>
      <c r="E20" s="17">
        <v>41546</v>
      </c>
      <c r="F20" s="17">
        <f t="shared" si="27"/>
        <v>41442</v>
      </c>
      <c r="G20" s="17">
        <v>46915</v>
      </c>
      <c r="H20" s="17">
        <v>49193</v>
      </c>
      <c r="I20" s="17">
        <v>52654</v>
      </c>
      <c r="J20" s="17">
        <f t="shared" si="36"/>
        <v>53217</v>
      </c>
      <c r="K20" s="17">
        <v>53781</v>
      </c>
      <c r="L20" s="17">
        <v>51642</v>
      </c>
      <c r="M20" s="17">
        <v>52206</v>
      </c>
      <c r="N20" s="17">
        <f t="shared" si="28"/>
        <v>55149</v>
      </c>
      <c r="O20" s="17">
        <v>58374</v>
      </c>
      <c r="P20" s="17">
        <v>60024</v>
      </c>
      <c r="Q20" s="17">
        <v>60180</v>
      </c>
      <c r="R20" s="17">
        <f t="shared" si="25"/>
        <v>59956</v>
      </c>
      <c r="S20" s="17">
        <v>63122</v>
      </c>
      <c r="T20" s="17">
        <v>62082</v>
      </c>
      <c r="U20" s="17">
        <v>63191</v>
      </c>
      <c r="V20" s="17">
        <v>66262</v>
      </c>
      <c r="W20" s="17">
        <v>71665</v>
      </c>
      <c r="X20" s="17">
        <v>69733</v>
      </c>
      <c r="Y20" s="17">
        <v>71416</v>
      </c>
      <c r="Z20" s="56">
        <f t="shared" si="26"/>
        <v>74012</v>
      </c>
      <c r="AA20" s="17">
        <v>76585</v>
      </c>
      <c r="AB20" s="17">
        <v>78771</v>
      </c>
      <c r="AC20" s="17">
        <v>78546</v>
      </c>
      <c r="AD20" s="17">
        <f t="shared" si="32"/>
        <v>85492</v>
      </c>
      <c r="AE20" s="17">
        <v>83243</v>
      </c>
      <c r="AS20" s="17">
        <v>74938</v>
      </c>
      <c r="AT20" s="17">
        <v>84130</v>
      </c>
      <c r="AU20" s="17">
        <v>96054</v>
      </c>
      <c r="AV20" s="17">
        <v>110474</v>
      </c>
      <c r="AW20" s="17">
        <v>130368</v>
      </c>
      <c r="AX20" s="17">
        <v>146368</v>
      </c>
      <c r="AY20" s="17">
        <v>163348</v>
      </c>
      <c r="AZ20" s="17">
        <v>201979</v>
      </c>
      <c r="BA20" s="17">
        <v>212778</v>
      </c>
      <c r="BB20" s="17">
        <v>238534</v>
      </c>
      <c r="BC20" s="17">
        <v>254657</v>
      </c>
      <c r="BD20" s="17">
        <v>286826</v>
      </c>
      <c r="BE20" s="17">
        <v>319394</v>
      </c>
      <c r="BF20" s="17">
        <f>+BF$14*(BE20/BE$14)</f>
        <v>368108.78693046264</v>
      </c>
      <c r="BG20" s="17">
        <f t="shared" ref="BG20:BO20" si="52">+BG$14*(BF20/BF$14)</f>
        <v>421519.52989258087</v>
      </c>
      <c r="BH20" s="17">
        <f t="shared" si="52"/>
        <v>480014.37037720351</v>
      </c>
      <c r="BI20" s="17">
        <f t="shared" si="52"/>
        <v>544011.12141236756</v>
      </c>
      <c r="BJ20" s="17">
        <f t="shared" si="52"/>
        <v>613959.4308383934</v>
      </c>
      <c r="BK20" s="17">
        <f t="shared" si="52"/>
        <v>690343.09735845786</v>
      </c>
      <c r="BL20" s="17">
        <f t="shared" si="52"/>
        <v>773682.54990991182</v>
      </c>
      <c r="BM20" s="17">
        <f t="shared" si="52"/>
        <v>864537.5016170498</v>
      </c>
      <c r="BN20" s="17">
        <f t="shared" si="52"/>
        <v>963509.7903493687</v>
      </c>
      <c r="BO20" s="17">
        <f t="shared" si="52"/>
        <v>1071246.4187237443</v>
      </c>
    </row>
    <row r="21" spans="1:267">
      <c r="B21" s="4" t="s">
        <v>27</v>
      </c>
      <c r="C21" s="17">
        <v>4069</v>
      </c>
      <c r="D21" s="17">
        <v>2903</v>
      </c>
      <c r="E21" s="17">
        <v>2792</v>
      </c>
      <c r="F21" s="17">
        <f t="shared" si="27"/>
        <v>2577</v>
      </c>
      <c r="G21" s="17">
        <v>2649</v>
      </c>
      <c r="H21" s="17">
        <v>2014</v>
      </c>
      <c r="I21" s="17">
        <v>2127</v>
      </c>
      <c r="J21" s="17">
        <f t="shared" si="36"/>
        <v>1756</v>
      </c>
      <c r="K21" s="17">
        <v>940</v>
      </c>
      <c r="L21" s="17">
        <v>2118</v>
      </c>
      <c r="M21" s="17">
        <v>3064</v>
      </c>
      <c r="N21" s="17">
        <f t="shared" si="28"/>
        <v>4986</v>
      </c>
      <c r="O21" s="17">
        <v>3566</v>
      </c>
      <c r="P21" s="17">
        <v>3644</v>
      </c>
      <c r="Q21" s="17">
        <v>3808</v>
      </c>
      <c r="R21" s="17">
        <f t="shared" si="25"/>
        <v>4497</v>
      </c>
      <c r="S21" s="17">
        <v>3421</v>
      </c>
      <c r="T21" s="17">
        <v>4965</v>
      </c>
      <c r="U21" s="17">
        <v>5894</v>
      </c>
      <c r="V21" s="17">
        <v>6984</v>
      </c>
      <c r="W21" s="17">
        <v>5348</v>
      </c>
      <c r="X21" s="17">
        <v>5253</v>
      </c>
      <c r="Y21" s="17">
        <v>7618</v>
      </c>
      <c r="Z21" s="56">
        <f t="shared" si="26"/>
        <v>11341</v>
      </c>
      <c r="AA21" s="17">
        <v>6198</v>
      </c>
      <c r="AB21" s="17">
        <v>7538</v>
      </c>
      <c r="AC21" s="17">
        <v>9605</v>
      </c>
      <c r="AD21" s="17">
        <f t="shared" si="32"/>
        <v>13590</v>
      </c>
      <c r="AE21" s="17">
        <v>7211</v>
      </c>
      <c r="AS21" s="17">
        <v>8495</v>
      </c>
      <c r="AT21" s="17">
        <v>11909</v>
      </c>
      <c r="AU21" s="17">
        <v>15511</v>
      </c>
      <c r="AV21" s="17">
        <v>15609</v>
      </c>
      <c r="AW21" s="17">
        <v>16922</v>
      </c>
      <c r="AX21" s="17">
        <v>17162</v>
      </c>
      <c r="AY21" s="17">
        <v>12341</v>
      </c>
      <c r="AZ21" s="17">
        <v>8546</v>
      </c>
      <c r="BA21" s="17">
        <v>11108</v>
      </c>
      <c r="BB21" s="17">
        <v>15515</v>
      </c>
      <c r="BC21" s="17">
        <f>+SUM(S21:V21)</f>
        <v>21264</v>
      </c>
      <c r="BD21" s="17">
        <v>29560</v>
      </c>
      <c r="BE21" s="17">
        <v>36931</v>
      </c>
      <c r="BF21" s="17">
        <f t="shared" ref="BF21:BL21" si="53">+BF14*(BE21/BE14)</f>
        <v>42563.810247308706</v>
      </c>
      <c r="BG21" s="17">
        <f t="shared" si="53"/>
        <v>48739.606124294456</v>
      </c>
      <c r="BH21" s="17">
        <f t="shared" si="53"/>
        <v>55503.267789628175</v>
      </c>
      <c r="BI21" s="17">
        <f t="shared" si="53"/>
        <v>62903.106272754485</v>
      </c>
      <c r="BJ21" s="17">
        <f t="shared" si="53"/>
        <v>70991.113609813299</v>
      </c>
      <c r="BK21" s="17">
        <f t="shared" si="53"/>
        <v>79823.230644737254</v>
      </c>
      <c r="BL21" s="17">
        <f t="shared" si="53"/>
        <v>89459.633714856755</v>
      </c>
      <c r="BM21" s="17">
        <f t="shared" ref="BM21" si="54">+BM14*(BL21/BL14)</f>
        <v>99965.041523069522</v>
      </c>
      <c r="BN21" s="17">
        <f t="shared" ref="BN21:BO21" si="55">+BN14*(BM21/BM14)</f>
        <v>111409.04358689436</v>
      </c>
      <c r="BO21" s="17">
        <f t="shared" si="55"/>
        <v>123866.45174889512</v>
      </c>
    </row>
    <row r="22" spans="1:267">
      <c r="B22" s="4" t="s">
        <v>127</v>
      </c>
      <c r="Z22" s="56"/>
    </row>
    <row r="23" spans="1:267">
      <c r="B23" s="4" t="s">
        <v>28</v>
      </c>
      <c r="C23" s="17">
        <f>+C14-SUM(C15:C22)</f>
        <v>76823</v>
      </c>
      <c r="D23" s="17">
        <f>+D14-SUM(D15:D22)</f>
        <v>106341</v>
      </c>
      <c r="E23" s="17">
        <f>+E14-SUM(E15:E22)</f>
        <v>37614</v>
      </c>
      <c r="F23" s="17">
        <f t="shared" si="27"/>
        <v>63361</v>
      </c>
      <c r="G23" s="17">
        <f>+G14-SUM(G15:G22)</f>
        <v>97667</v>
      </c>
      <c r="H23" s="17">
        <f>+H14-SUM(H15:H22)</f>
        <v>113279</v>
      </c>
      <c r="I23" s="17">
        <f>+I14-SUM(I15:I22)</f>
        <v>64445</v>
      </c>
      <c r="J23" s="17">
        <f t="shared" si="36"/>
        <v>49616</v>
      </c>
      <c r="K23" s="17">
        <f>+K14-SUM(K15:K22)</f>
        <v>117103</v>
      </c>
      <c r="L23" s="17">
        <f>+L14-SUM(L15:L22)</f>
        <v>124507</v>
      </c>
      <c r="M23" s="17">
        <f>+M14-SUM(M15:M22)</f>
        <v>121548</v>
      </c>
      <c r="N23" s="17">
        <f t="shared" si="28"/>
        <v>104344</v>
      </c>
      <c r="O23" s="17">
        <f>+O14-SUM(O15:O22)</f>
        <v>80457</v>
      </c>
      <c r="P23" s="17">
        <f>+P14-SUM(P15:P22)</f>
        <v>447</v>
      </c>
      <c r="Q23" s="17">
        <f>+Q14-SUM(Q15:Q22)</f>
        <v>115087</v>
      </c>
      <c r="R23" s="17">
        <f t="shared" si="25"/>
        <v>124750</v>
      </c>
      <c r="S23" s="17">
        <f>+S14-SUM(S15:S22)</f>
        <v>167110</v>
      </c>
      <c r="T23" s="17">
        <f>+T14-SUM(T15:T22)</f>
        <v>249791</v>
      </c>
      <c r="U23" s="17">
        <f>+U14-SUM(U15:U22)</f>
        <v>244338</v>
      </c>
      <c r="V23" s="17">
        <f t="shared" ref="V23" si="56">+V14-SUM(V15:V22)</f>
        <v>162995</v>
      </c>
      <c r="W23" s="17">
        <f>+W14-SUM(W15:W22)</f>
        <v>194531</v>
      </c>
      <c r="X23" s="17">
        <f>+X14-SUM(X15:X22)</f>
        <v>342279</v>
      </c>
      <c r="Y23" s="17">
        <f>+Y14-SUM(Y15:Y22)</f>
        <v>342616</v>
      </c>
      <c r="Z23" s="56">
        <f t="shared" si="26"/>
        <v>302116</v>
      </c>
      <c r="AA23" s="17">
        <f>+AA14-SUM(AA15:AA22)</f>
        <v>375967</v>
      </c>
      <c r="AB23" s="17">
        <f>+AB14-SUM(AB15:AB22)</f>
        <v>448050</v>
      </c>
      <c r="AC23" s="17">
        <f>+AC14-SUM(AC15:AC22)</f>
        <v>402191</v>
      </c>
      <c r="AD23" s="17">
        <f t="shared" si="32"/>
        <v>369975</v>
      </c>
      <c r="AE23" s="17">
        <f>+AE14-SUM(AE15:AE22)</f>
        <v>446771</v>
      </c>
      <c r="AS23" s="17">
        <f t="shared" ref="AS23:BB23" si="57">+AS14-SUM(AS15:AS22)</f>
        <v>356368</v>
      </c>
      <c r="AT23" s="17">
        <f t="shared" si="57"/>
        <v>460892</v>
      </c>
      <c r="AU23" s="17">
        <f t="shared" si="57"/>
        <v>539471</v>
      </c>
      <c r="AV23" s="17">
        <f t="shared" si="57"/>
        <v>717776</v>
      </c>
      <c r="AW23" s="17">
        <f t="shared" si="57"/>
        <v>776783</v>
      </c>
      <c r="AX23" s="17">
        <f t="shared" si="57"/>
        <v>58444</v>
      </c>
      <c r="AY23" s="17">
        <f t="shared" si="57"/>
        <v>284139</v>
      </c>
      <c r="AZ23" s="17">
        <f t="shared" si="57"/>
        <v>325007</v>
      </c>
      <c r="BA23" s="17">
        <f t="shared" si="57"/>
        <v>467502</v>
      </c>
      <c r="BB23" s="17">
        <f t="shared" si="57"/>
        <v>320741</v>
      </c>
      <c r="BC23" s="17">
        <f>SUM(S23:V23)</f>
        <v>824234</v>
      </c>
      <c r="BD23" s="17">
        <f>+BD14-SUM(BD15:BD22)</f>
        <v>1181542</v>
      </c>
      <c r="BE23" s="17">
        <f>+BE14-SUM(BE15:BE22)</f>
        <v>1596183</v>
      </c>
      <c r="BF23" s="17">
        <f t="shared" ref="BF23:BL23" si="58">+BF14-SUM(BF15:BF22)</f>
        <v>1839636.8994064592</v>
      </c>
      <c r="BG23" s="17">
        <f>+BG14-SUM(BG15:BG22)</f>
        <v>2106559.0079416949</v>
      </c>
      <c r="BH23" s="17">
        <f>+BH14-SUM(BH15:BH22)</f>
        <v>2398889.0766632948</v>
      </c>
      <c r="BI23" s="17">
        <f t="shared" si="58"/>
        <v>2718715.1412028912</v>
      </c>
      <c r="BJ23" s="17">
        <f t="shared" si="58"/>
        <v>3068284.3328112606</v>
      </c>
      <c r="BK23" s="17">
        <f t="shared" si="58"/>
        <v>3450014.4529042989</v>
      </c>
      <c r="BL23" s="17">
        <f t="shared" si="58"/>
        <v>3866506.3638103791</v>
      </c>
      <c r="BM23" s="17">
        <f t="shared" ref="BM23:BN23" si="59">+BM14-SUM(BM15:BM22)</f>
        <v>4320557.2519947328</v>
      </c>
      <c r="BN23" s="17">
        <f t="shared" si="59"/>
        <v>4815174.8238514997</v>
      </c>
      <c r="BO23" s="17">
        <f t="shared" ref="BO23" si="60">+BO14-SUM(BO15:BO22)</f>
        <v>5353592.4982238971</v>
      </c>
    </row>
    <row r="24" spans="1:267">
      <c r="B24" s="4" t="s">
        <v>29</v>
      </c>
      <c r="C24" s="17">
        <v>1188</v>
      </c>
      <c r="D24" s="17">
        <v>1049</v>
      </c>
      <c r="E24" s="17">
        <v>1275</v>
      </c>
      <c r="F24" s="17">
        <f t="shared" si="27"/>
        <v>1437</v>
      </c>
      <c r="G24" s="17">
        <v>1394</v>
      </c>
      <c r="H24" s="17">
        <v>2323</v>
      </c>
      <c r="I24" s="17">
        <v>2493</v>
      </c>
      <c r="J24" s="17">
        <f t="shared" si="36"/>
        <v>3858</v>
      </c>
      <c r="K24" s="17">
        <v>3129</v>
      </c>
      <c r="L24" s="17">
        <v>3947</v>
      </c>
      <c r="M24" s="17">
        <v>4411</v>
      </c>
      <c r="N24" s="17">
        <f t="shared" si="28"/>
        <v>2840</v>
      </c>
      <c r="O24" s="17">
        <v>2743</v>
      </c>
      <c r="P24" s="17">
        <v>623</v>
      </c>
      <c r="Q24" s="17">
        <v>-595</v>
      </c>
      <c r="R24" s="17">
        <f t="shared" si="25"/>
        <v>846</v>
      </c>
      <c r="S24" s="17">
        <v>-2168</v>
      </c>
      <c r="T24" s="17">
        <v>851</v>
      </c>
      <c r="U24" s="17">
        <v>-126</v>
      </c>
      <c r="V24" s="17">
        <v>9263</v>
      </c>
      <c r="W24" s="17">
        <v>-213</v>
      </c>
      <c r="X24" s="17">
        <v>10572</v>
      </c>
      <c r="Y24" s="17">
        <v>3712</v>
      </c>
      <c r="Z24" s="56">
        <f t="shared" si="26"/>
        <v>7057</v>
      </c>
      <c r="AA24" s="17">
        <v>8949</v>
      </c>
      <c r="AB24" s="17">
        <v>16446</v>
      </c>
      <c r="AC24" s="17">
        <v>18392</v>
      </c>
      <c r="AD24" s="17">
        <f t="shared" si="32"/>
        <v>18906</v>
      </c>
      <c r="AE24" s="17">
        <v>19364</v>
      </c>
      <c r="AS24" s="17">
        <v>-857</v>
      </c>
      <c r="AT24" s="17">
        <v>1820</v>
      </c>
      <c r="AU24" s="17">
        <v>1751</v>
      </c>
      <c r="AV24" s="17">
        <v>3503</v>
      </c>
      <c r="AW24" s="17">
        <v>6278</v>
      </c>
      <c r="AX24" s="17">
        <v>4172</v>
      </c>
      <c r="AY24" s="17">
        <v>4949</v>
      </c>
      <c r="AZ24" s="17">
        <v>10068</v>
      </c>
      <c r="BA24" s="17">
        <v>14327</v>
      </c>
      <c r="BB24" s="17">
        <v>3617</v>
      </c>
      <c r="BC24" s="17">
        <f>+BC23*(BB24/BB23)</f>
        <v>9294.8964366887922</v>
      </c>
      <c r="BD24" s="17">
        <v>21128</v>
      </c>
      <c r="BE24" s="17">
        <v>62693</v>
      </c>
      <c r="BF24" s="17">
        <f t="shared" ref="BF24:BO24" si="61">+BE50*$BS$32</f>
        <v>22228.21</v>
      </c>
      <c r="BG24" s="17">
        <f t="shared" si="61"/>
        <v>45687.710378521384</v>
      </c>
      <c r="BH24" s="17">
        <f t="shared" si="61"/>
        <v>72806.019029356117</v>
      </c>
      <c r="BI24" s="17">
        <f t="shared" si="61"/>
        <v>103949.37723508351</v>
      </c>
      <c r="BJ24" s="17">
        <f t="shared" si="61"/>
        <v>139514.95016740198</v>
      </c>
      <c r="BK24" s="17">
        <f t="shared" si="61"/>
        <v>179933.22113293313</v>
      </c>
      <c r="BL24" s="17">
        <f t="shared" si="61"/>
        <v>225670.56182580226</v>
      </c>
      <c r="BM24" s="17">
        <f t="shared" si="61"/>
        <v>277231.99108881812</v>
      </c>
      <c r="BN24" s="17">
        <f t="shared" si="61"/>
        <v>335164.13555167086</v>
      </c>
      <c r="BO24" s="17">
        <f t="shared" si="61"/>
        <v>400058.40644015081</v>
      </c>
    </row>
    <row r="25" spans="1:267">
      <c r="B25" s="4" t="s">
        <v>30</v>
      </c>
      <c r="C25" s="17">
        <f>+C23+C24</f>
        <v>78011</v>
      </c>
      <c r="D25" s="17">
        <f>+D23+D24</f>
        <v>107390</v>
      </c>
      <c r="E25" s="17">
        <f>+E23+E24</f>
        <v>38889</v>
      </c>
      <c r="F25" s="17">
        <f t="shared" si="27"/>
        <v>64798</v>
      </c>
      <c r="G25" s="17">
        <f>+G23+G24</f>
        <v>99061</v>
      </c>
      <c r="H25" s="17">
        <f>+H23+H24</f>
        <v>115602</v>
      </c>
      <c r="I25" s="17">
        <f>+I23+I24</f>
        <v>66938</v>
      </c>
      <c r="J25" s="17">
        <f t="shared" si="36"/>
        <v>53474</v>
      </c>
      <c r="K25" s="17">
        <f>+K23+K24</f>
        <v>120232</v>
      </c>
      <c r="L25" s="17">
        <f>+L23+L24</f>
        <v>128454</v>
      </c>
      <c r="M25" s="17">
        <f>+M23+M24</f>
        <v>125959</v>
      </c>
      <c r="N25" s="17">
        <f t="shared" si="28"/>
        <v>107184</v>
      </c>
      <c r="O25" s="17">
        <f>+O23+O24</f>
        <v>83200</v>
      </c>
      <c r="P25" s="17">
        <f>+P23+P24</f>
        <v>1070</v>
      </c>
      <c r="Q25" s="17">
        <f>+Q23+Q24</f>
        <v>114492</v>
      </c>
      <c r="R25" s="17">
        <f t="shared" si="25"/>
        <v>125596</v>
      </c>
      <c r="S25" s="17">
        <f>+S23+S24</f>
        <v>164942</v>
      </c>
      <c r="T25" s="17">
        <f>+T23+T24</f>
        <v>250642</v>
      </c>
      <c r="U25" s="17">
        <f>+U23+U24</f>
        <v>244212</v>
      </c>
      <c r="V25" s="17">
        <f t="shared" ref="V25" si="62">+V23+V24</f>
        <v>172258</v>
      </c>
      <c r="W25" s="17">
        <f>+W23+W24</f>
        <v>194318</v>
      </c>
      <c r="X25" s="17">
        <f>+X23+X24</f>
        <v>352851</v>
      </c>
      <c r="Y25" s="17">
        <f>+Y23+Y24</f>
        <v>346328</v>
      </c>
      <c r="Z25" s="56">
        <f t="shared" si="26"/>
        <v>309173</v>
      </c>
      <c r="AA25" s="17">
        <f>+AA23+AA24</f>
        <v>384916</v>
      </c>
      <c r="AB25" s="17">
        <f>+AB23+AB24</f>
        <v>464496</v>
      </c>
      <c r="AC25" s="17">
        <f>+AC23+AC24</f>
        <v>420583</v>
      </c>
      <c r="AD25" s="17">
        <f t="shared" si="32"/>
        <v>388881</v>
      </c>
      <c r="AE25" s="17">
        <f>+AE23+AE24</f>
        <v>466135</v>
      </c>
      <c r="AS25" s="17">
        <f t="shared" ref="AS25:BD25" si="63">+AS23+AS24</f>
        <v>355511</v>
      </c>
      <c r="AT25" s="17">
        <f t="shared" si="63"/>
        <v>462712</v>
      </c>
      <c r="AU25" s="17">
        <f t="shared" si="63"/>
        <v>541222</v>
      </c>
      <c r="AV25" s="17">
        <f t="shared" si="63"/>
        <v>721279</v>
      </c>
      <c r="AW25" s="17">
        <f t="shared" si="63"/>
        <v>783061</v>
      </c>
      <c r="AX25" s="17">
        <f t="shared" si="63"/>
        <v>62616</v>
      </c>
      <c r="AY25" s="17">
        <f t="shared" si="63"/>
        <v>289088</v>
      </c>
      <c r="AZ25" s="17">
        <f t="shared" si="63"/>
        <v>335075</v>
      </c>
      <c r="BA25" s="17">
        <f t="shared" si="63"/>
        <v>481829</v>
      </c>
      <c r="BB25" s="17">
        <f t="shared" si="63"/>
        <v>324358</v>
      </c>
      <c r="BC25" s="17">
        <f t="shared" si="63"/>
        <v>833528.89643668884</v>
      </c>
      <c r="BD25" s="17">
        <f t="shared" si="63"/>
        <v>1202670</v>
      </c>
      <c r="BE25" s="17">
        <f t="shared" ref="BE25:BL25" si="64">+BE23+BE24</f>
        <v>1658876</v>
      </c>
      <c r="BF25" s="17">
        <f t="shared" si="64"/>
        <v>1861865.1094064591</v>
      </c>
      <c r="BG25" s="17">
        <f t="shared" si="64"/>
        <v>2152246.7183202165</v>
      </c>
      <c r="BH25" s="17">
        <f t="shared" si="64"/>
        <v>2471695.0956926509</v>
      </c>
      <c r="BI25" s="17">
        <f t="shared" si="64"/>
        <v>2822664.5184379746</v>
      </c>
      <c r="BJ25" s="17">
        <f t="shared" si="64"/>
        <v>3207799.2829786628</v>
      </c>
      <c r="BK25" s="17">
        <f t="shared" si="64"/>
        <v>3629947.6740372321</v>
      </c>
      <c r="BL25" s="17">
        <f t="shared" si="64"/>
        <v>4092176.9256361811</v>
      </c>
      <c r="BM25" s="17">
        <f t="shared" ref="BM25:BN25" si="65">+BM23+BM24</f>
        <v>4597789.2430835506</v>
      </c>
      <c r="BN25" s="17">
        <f t="shared" si="65"/>
        <v>5150338.9594031703</v>
      </c>
      <c r="BO25" s="17">
        <f t="shared" ref="BO25" si="66">+BO23+BO24</f>
        <v>5753650.904664048</v>
      </c>
    </row>
    <row r="26" spans="1:267">
      <c r="B26" s="4" t="s">
        <v>31</v>
      </c>
      <c r="C26" s="17">
        <v>-28241</v>
      </c>
      <c r="D26" s="17">
        <v>-41044</v>
      </c>
      <c r="E26" s="17">
        <v>-12532</v>
      </c>
      <c r="F26" s="17">
        <f t="shared" si="27"/>
        <v>181307</v>
      </c>
      <c r="G26" s="17">
        <v>-34756</v>
      </c>
      <c r="H26" s="17">
        <v>-23396</v>
      </c>
      <c r="I26" s="17">
        <v>-22280</v>
      </c>
      <c r="J26" s="17">
        <f t="shared" si="36"/>
        <v>-11451</v>
      </c>
      <c r="K26" s="17">
        <v>-25158</v>
      </c>
      <c r="L26" s="17">
        <v>-32939</v>
      </c>
      <c r="M26" s="17">
        <v>-21450</v>
      </c>
      <c r="N26" s="17">
        <f t="shared" si="28"/>
        <v>-28580</v>
      </c>
      <c r="O26" s="17">
        <v>2524</v>
      </c>
      <c r="P26" s="17">
        <v>12491</v>
      </c>
      <c r="Q26" s="17">
        <v>-26257</v>
      </c>
      <c r="R26" s="17">
        <f t="shared" si="25"/>
        <v>72927</v>
      </c>
      <c r="S26" s="17">
        <v>-32173</v>
      </c>
      <c r="T26" s="17">
        <v>-58402</v>
      </c>
      <c r="U26" s="17">
        <v>-35120</v>
      </c>
      <c r="V26" s="17">
        <v>-34084</v>
      </c>
      <c r="W26" s="17">
        <v>-31714</v>
      </c>
      <c r="X26" s="17">
        <v>-88228</v>
      </c>
      <c r="Y26" s="17">
        <v>-82827</v>
      </c>
      <c r="Z26" s="56">
        <f t="shared" si="26"/>
        <v>-79661</v>
      </c>
      <c r="AA26" s="17">
        <v>-84911</v>
      </c>
      <c r="AB26" s="17">
        <v>-106466</v>
      </c>
      <c r="AC26" s="17">
        <v>-100125</v>
      </c>
      <c r="AD26" s="17">
        <f t="shared" si="32"/>
        <v>-100267</v>
      </c>
      <c r="AE26" s="17">
        <v>101369</v>
      </c>
      <c r="AS26" s="17">
        <v>-134760</v>
      </c>
      <c r="AT26" s="17">
        <v>-179685</v>
      </c>
      <c r="AU26" s="17">
        <v>-207033</v>
      </c>
      <c r="AV26" s="17">
        <v>-268929</v>
      </c>
      <c r="AW26" s="17">
        <v>-294265</v>
      </c>
      <c r="AX26" s="17">
        <v>-15801</v>
      </c>
      <c r="AY26" s="17">
        <v>99490</v>
      </c>
      <c r="AZ26" s="17">
        <v>-91883</v>
      </c>
      <c r="BA26" s="17">
        <v>-108127</v>
      </c>
      <c r="BB26" s="17">
        <v>61685</v>
      </c>
      <c r="BC26" s="17">
        <f>SUM(S26:V26)</f>
        <v>-159779</v>
      </c>
      <c r="BD26" s="17">
        <v>-282430</v>
      </c>
      <c r="BE26" s="17">
        <v>-391769</v>
      </c>
      <c r="BF26" s="17">
        <f>+BF25*(AVERAGE(-0.25,-0.27))</f>
        <v>-484084.92844567937</v>
      </c>
      <c r="BG26" s="17">
        <f t="shared" ref="BG26:BL26" si="67">+BG25*(BF26/BF25)</f>
        <v>-559584.14676325629</v>
      </c>
      <c r="BH26" s="17">
        <f t="shared" si="67"/>
        <v>-642640.72488008928</v>
      </c>
      <c r="BI26" s="17">
        <f t="shared" si="67"/>
        <v>-733892.77479387342</v>
      </c>
      <c r="BJ26" s="17">
        <f t="shared" si="67"/>
        <v>-834027.8135744523</v>
      </c>
      <c r="BK26" s="17">
        <f t="shared" si="67"/>
        <v>-943786.39524968038</v>
      </c>
      <c r="BL26" s="17">
        <f t="shared" si="67"/>
        <v>-1063966.0006654072</v>
      </c>
      <c r="BM26" s="17">
        <f t="shared" ref="BM26" si="68">+BM25*(BL26/BL25)</f>
        <v>-1195425.2032017233</v>
      </c>
      <c r="BN26" s="17">
        <f t="shared" ref="BN26:BO26" si="69">+BN25*(BM26/BM25)</f>
        <v>-1339088.1294448243</v>
      </c>
      <c r="BO26" s="17">
        <f t="shared" si="69"/>
        <v>-1495949.2352126525</v>
      </c>
    </row>
    <row r="27" spans="1:267" s="19" customFormat="1">
      <c r="A27" s="21"/>
      <c r="B27" s="10" t="s">
        <v>32</v>
      </c>
      <c r="C27" s="19">
        <f>+C25+C26</f>
        <v>49770</v>
      </c>
      <c r="D27" s="19">
        <f>+D25+D26</f>
        <v>66346</v>
      </c>
      <c r="E27" s="19">
        <f>+E25+E26</f>
        <v>26357</v>
      </c>
      <c r="F27" s="19">
        <f t="shared" si="27"/>
        <v>246105</v>
      </c>
      <c r="G27" s="19">
        <f>+G25+G26</f>
        <v>64305</v>
      </c>
      <c r="H27" s="19">
        <f>+H25+H26</f>
        <v>92206</v>
      </c>
      <c r="I27" s="19">
        <f>+I25+I26</f>
        <v>44658</v>
      </c>
      <c r="J27" s="19">
        <f t="shared" si="36"/>
        <v>42023</v>
      </c>
      <c r="K27" s="19">
        <f>+K25+K26</f>
        <v>95074</v>
      </c>
      <c r="L27" s="19">
        <f>+L25+L26</f>
        <v>95515</v>
      </c>
      <c r="M27" s="19">
        <f>+M25+M26</f>
        <v>104509</v>
      </c>
      <c r="N27" s="19">
        <f t="shared" si="28"/>
        <v>78604</v>
      </c>
      <c r="O27" s="19">
        <f>+O25+O26</f>
        <v>85724</v>
      </c>
      <c r="P27" s="19">
        <f>+P25+P26</f>
        <v>13561</v>
      </c>
      <c r="Q27" s="19">
        <f>+Q25+Q26</f>
        <v>88235</v>
      </c>
      <c r="R27" s="19">
        <f t="shared" si="25"/>
        <v>198523</v>
      </c>
      <c r="S27" s="19">
        <f>+S25+S26</f>
        <v>132769</v>
      </c>
      <c r="T27" s="19">
        <f>+T25+T26</f>
        <v>192240</v>
      </c>
      <c r="U27" s="19">
        <f>+U25+U26</f>
        <v>209092</v>
      </c>
      <c r="V27" s="19">
        <f t="shared" ref="V27" si="70">+V25+V26</f>
        <v>138174</v>
      </c>
      <c r="W27" s="19">
        <f>+W25+W26</f>
        <v>162604</v>
      </c>
      <c r="X27" s="19">
        <f>+X25+X26</f>
        <v>264623</v>
      </c>
      <c r="Y27" s="19">
        <f>+Y25+Y26</f>
        <v>263501</v>
      </c>
      <c r="Z27" s="57">
        <f t="shared" si="26"/>
        <v>229512</v>
      </c>
      <c r="AA27" s="19">
        <f>+AA25+AA26</f>
        <v>300005</v>
      </c>
      <c r="AB27" s="19">
        <f>+AB25+AB26</f>
        <v>358030</v>
      </c>
      <c r="AC27" s="19">
        <f>+AC25+AC26</f>
        <v>320458</v>
      </c>
      <c r="AD27" s="19">
        <f t="shared" si="32"/>
        <v>288614</v>
      </c>
      <c r="AE27" s="19">
        <f>+AE25-AE26</f>
        <v>364766</v>
      </c>
      <c r="AS27" s="19">
        <f t="shared" ref="AS27:BB27" si="71">+AS25+AS26</f>
        <v>220751</v>
      </c>
      <c r="AT27" s="19">
        <f t="shared" si="71"/>
        <v>283027</v>
      </c>
      <c r="AU27" s="19">
        <f t="shared" si="71"/>
        <v>334189</v>
      </c>
      <c r="AV27" s="19">
        <f t="shared" si="71"/>
        <v>452350</v>
      </c>
      <c r="AW27" s="19">
        <f t="shared" si="71"/>
        <v>488796</v>
      </c>
      <c r="AX27" s="19">
        <f t="shared" si="71"/>
        <v>46815</v>
      </c>
      <c r="AY27" s="19">
        <f t="shared" si="71"/>
        <v>388578</v>
      </c>
      <c r="AZ27" s="19">
        <f t="shared" si="71"/>
        <v>243192</v>
      </c>
      <c r="BA27" s="19">
        <f t="shared" si="71"/>
        <v>373702</v>
      </c>
      <c r="BB27" s="19">
        <f t="shared" si="71"/>
        <v>386043</v>
      </c>
      <c r="BC27" s="19">
        <f>SUM(S27:V27)</f>
        <v>672275</v>
      </c>
      <c r="BD27" s="19">
        <f>+SUM(BD25:BD26)</f>
        <v>920240</v>
      </c>
      <c r="BE27" s="19">
        <f>+SUM(BE25:BE26)</f>
        <v>1267107</v>
      </c>
      <c r="BF27" s="19">
        <f t="shared" ref="BF27:BN27" si="72">+BF25-BF26</f>
        <v>2345950.0378521383</v>
      </c>
      <c r="BG27" s="19">
        <f t="shared" si="72"/>
        <v>2711830.8650834728</v>
      </c>
      <c r="BH27" s="19">
        <f t="shared" si="72"/>
        <v>3114335.8205727404</v>
      </c>
      <c r="BI27" s="19">
        <f t="shared" si="72"/>
        <v>3556557.2932318482</v>
      </c>
      <c r="BJ27" s="19">
        <f t="shared" si="72"/>
        <v>4041827.0965531152</v>
      </c>
      <c r="BK27" s="19">
        <f t="shared" si="72"/>
        <v>4573734.0692869127</v>
      </c>
      <c r="BL27" s="19">
        <f t="shared" si="72"/>
        <v>5156142.9263015883</v>
      </c>
      <c r="BM27" s="19">
        <f t="shared" si="72"/>
        <v>5793214.4462852739</v>
      </c>
      <c r="BN27" s="19">
        <f t="shared" si="72"/>
        <v>6489427.0888479948</v>
      </c>
      <c r="BO27" s="19">
        <f t="shared" ref="BO27" si="73">+BO25-BO26</f>
        <v>7249600.1398767009</v>
      </c>
      <c r="BP27" s="19">
        <f t="shared" ref="BP27:CU27" si="74">+BO27*(1+$BS$33)</f>
        <v>7322096.1412754683</v>
      </c>
      <c r="BQ27" s="19">
        <f t="shared" si="74"/>
        <v>7395317.1026882231</v>
      </c>
      <c r="BR27" s="19">
        <f t="shared" si="74"/>
        <v>7469270.2737151058</v>
      </c>
      <c r="BS27" s="19">
        <f t="shared" si="74"/>
        <v>7543962.9764522566</v>
      </c>
      <c r="BT27" s="19">
        <f t="shared" si="74"/>
        <v>7619402.606216779</v>
      </c>
      <c r="BU27" s="19">
        <f t="shared" si="74"/>
        <v>7695596.6322789472</v>
      </c>
      <c r="BV27" s="19">
        <f t="shared" si="74"/>
        <v>7772552.5986017371</v>
      </c>
      <c r="BW27" s="19">
        <f t="shared" si="74"/>
        <v>7850278.1245877547</v>
      </c>
      <c r="BX27" s="19">
        <f t="shared" si="74"/>
        <v>7928780.9058336327</v>
      </c>
      <c r="BY27" s="19">
        <f t="shared" si="74"/>
        <v>8008068.7148919692</v>
      </c>
      <c r="BZ27" s="19">
        <f t="shared" si="74"/>
        <v>8088149.4020408886</v>
      </c>
      <c r="CA27" s="19">
        <f t="shared" si="74"/>
        <v>8169030.8960612975</v>
      </c>
      <c r="CB27" s="19">
        <f t="shared" si="74"/>
        <v>8250721.2050219104</v>
      </c>
      <c r="CC27" s="19">
        <f t="shared" si="74"/>
        <v>8333228.4170721294</v>
      </c>
      <c r="CD27" s="19">
        <f t="shared" si="74"/>
        <v>8416560.7012428511</v>
      </c>
      <c r="CE27" s="19">
        <f t="shared" si="74"/>
        <v>8500726.3082552794</v>
      </c>
      <c r="CF27" s="19">
        <f t="shared" si="74"/>
        <v>8585733.5713378321</v>
      </c>
      <c r="CG27" s="19">
        <f t="shared" si="74"/>
        <v>8671590.9070512112</v>
      </c>
      <c r="CH27" s="19">
        <f t="shared" si="74"/>
        <v>8758306.8161217235</v>
      </c>
      <c r="CI27" s="19">
        <f t="shared" si="74"/>
        <v>8845889.884282941</v>
      </c>
      <c r="CJ27" s="19">
        <f t="shared" si="74"/>
        <v>8934348.7831257712</v>
      </c>
      <c r="CK27" s="19">
        <f t="shared" si="74"/>
        <v>9023692.2709570285</v>
      </c>
      <c r="CL27" s="19">
        <f t="shared" si="74"/>
        <v>9113929.1936665997</v>
      </c>
      <c r="CM27" s="19">
        <f t="shared" si="74"/>
        <v>9205068.4856032655</v>
      </c>
      <c r="CN27" s="19">
        <f t="shared" si="74"/>
        <v>9297119.1704592984</v>
      </c>
      <c r="CO27" s="19">
        <f t="shared" si="74"/>
        <v>9390090.362163892</v>
      </c>
      <c r="CP27" s="19">
        <f t="shared" si="74"/>
        <v>9483991.2657855302</v>
      </c>
      <c r="CQ27" s="19">
        <f t="shared" si="74"/>
        <v>9578831.1784433853</v>
      </c>
      <c r="CR27" s="19">
        <f t="shared" si="74"/>
        <v>9674619.4902278185</v>
      </c>
      <c r="CS27" s="19">
        <f t="shared" si="74"/>
        <v>9771365.685130097</v>
      </c>
      <c r="CT27" s="19">
        <f t="shared" si="74"/>
        <v>9869079.3419813979</v>
      </c>
      <c r="CU27" s="19">
        <f t="shared" si="74"/>
        <v>9967770.1354012117</v>
      </c>
      <c r="CV27" s="19">
        <f t="shared" ref="CV27:EA27" si="75">+CU27*(1+$BS$33)</f>
        <v>10067447.836755224</v>
      </c>
      <c r="CW27" s="19">
        <f t="shared" si="75"/>
        <v>10168122.315122776</v>
      </c>
      <c r="CX27" s="19">
        <f t="shared" si="75"/>
        <v>10269803.538274003</v>
      </c>
      <c r="CY27" s="19">
        <f t="shared" si="75"/>
        <v>10372501.573656743</v>
      </c>
      <c r="CZ27" s="19">
        <f t="shared" si="75"/>
        <v>10476226.58939331</v>
      </c>
      <c r="DA27" s="19">
        <f t="shared" si="75"/>
        <v>10580988.855287243</v>
      </c>
      <c r="DB27" s="19">
        <f t="shared" si="75"/>
        <v>10686798.743840115</v>
      </c>
      <c r="DC27" s="19">
        <f t="shared" si="75"/>
        <v>10793666.731278516</v>
      </c>
      <c r="DD27" s="19">
        <f t="shared" si="75"/>
        <v>10901603.398591302</v>
      </c>
      <c r="DE27" s="19">
        <f t="shared" si="75"/>
        <v>11010619.432577215</v>
      </c>
      <c r="DF27" s="19">
        <f t="shared" si="75"/>
        <v>11120725.626902988</v>
      </c>
      <c r="DG27" s="19">
        <f t="shared" si="75"/>
        <v>11231932.883172018</v>
      </c>
      <c r="DH27" s="19">
        <f t="shared" si="75"/>
        <v>11344252.21200374</v>
      </c>
      <c r="DI27" s="19">
        <f t="shared" si="75"/>
        <v>11457694.734123778</v>
      </c>
      <c r="DJ27" s="19">
        <f t="shared" si="75"/>
        <v>11572271.681465015</v>
      </c>
      <c r="DK27" s="19">
        <f t="shared" si="75"/>
        <v>11687994.398279665</v>
      </c>
      <c r="DL27" s="19">
        <f t="shared" si="75"/>
        <v>11804874.342262462</v>
      </c>
      <c r="DM27" s="19">
        <f t="shared" si="75"/>
        <v>11922923.085685087</v>
      </c>
      <c r="DN27" s="19">
        <f t="shared" si="75"/>
        <v>12042152.316541938</v>
      </c>
      <c r="DO27" s="19">
        <f t="shared" si="75"/>
        <v>12162573.839707358</v>
      </c>
      <c r="DP27" s="19">
        <f t="shared" si="75"/>
        <v>12284199.578104431</v>
      </c>
      <c r="DQ27" s="19">
        <f t="shared" si="75"/>
        <v>12407041.573885474</v>
      </c>
      <c r="DR27" s="19">
        <f t="shared" si="75"/>
        <v>12531111.989624329</v>
      </c>
      <c r="DS27" s="19">
        <f t="shared" si="75"/>
        <v>12656423.109520573</v>
      </c>
      <c r="DT27" s="19">
        <f t="shared" si="75"/>
        <v>12782987.340615779</v>
      </c>
      <c r="DU27" s="19">
        <f t="shared" si="75"/>
        <v>12910817.214021938</v>
      </c>
      <c r="DV27" s="19">
        <f t="shared" si="75"/>
        <v>13039925.386162158</v>
      </c>
      <c r="DW27" s="19">
        <f t="shared" si="75"/>
        <v>13170324.640023779</v>
      </c>
      <c r="DX27" s="19">
        <f t="shared" si="75"/>
        <v>13302027.886424016</v>
      </c>
      <c r="DY27" s="19">
        <f t="shared" si="75"/>
        <v>13435048.165288256</v>
      </c>
      <c r="DZ27" s="19">
        <f t="shared" si="75"/>
        <v>13569398.646941138</v>
      </c>
      <c r="EA27" s="19">
        <f t="shared" si="75"/>
        <v>13705092.633410551</v>
      </c>
      <c r="EB27" s="19">
        <f t="shared" ref="EB27:FG27" si="76">+EA27*(1+$BS$33)</f>
        <v>13842143.559744656</v>
      </c>
      <c r="EC27" s="19">
        <f t="shared" si="76"/>
        <v>13980564.995342102</v>
      </c>
      <c r="ED27" s="19">
        <f t="shared" si="76"/>
        <v>14120370.645295523</v>
      </c>
      <c r="EE27" s="19">
        <f t="shared" si="76"/>
        <v>14261574.351748478</v>
      </c>
      <c r="EF27" s="19">
        <f t="shared" si="76"/>
        <v>14404190.095265962</v>
      </c>
      <c r="EG27" s="19">
        <f t="shared" si="76"/>
        <v>14548231.996218622</v>
      </c>
      <c r="EH27" s="19">
        <f t="shared" si="76"/>
        <v>14693714.316180808</v>
      </c>
      <c r="EI27" s="19">
        <f t="shared" si="76"/>
        <v>14840651.459342618</v>
      </c>
      <c r="EJ27" s="19">
        <f t="shared" si="76"/>
        <v>14989057.973936044</v>
      </c>
      <c r="EK27" s="19">
        <f t="shared" si="76"/>
        <v>15138948.553675404</v>
      </c>
      <c r="EL27" s="19">
        <f t="shared" si="76"/>
        <v>15290338.039212158</v>
      </c>
      <c r="EM27" s="19">
        <f t="shared" si="76"/>
        <v>15443241.419604279</v>
      </c>
      <c r="EN27" s="19">
        <f t="shared" si="76"/>
        <v>15597673.833800321</v>
      </c>
      <c r="EO27" s="19">
        <f t="shared" si="76"/>
        <v>15753650.572138324</v>
      </c>
      <c r="EP27" s="19">
        <f t="shared" si="76"/>
        <v>15911187.077859707</v>
      </c>
      <c r="EQ27" s="19">
        <f t="shared" si="76"/>
        <v>16070298.948638305</v>
      </c>
      <c r="ER27" s="19">
        <f t="shared" si="76"/>
        <v>16231001.938124688</v>
      </c>
      <c r="ES27" s="19">
        <f t="shared" si="76"/>
        <v>16393311.957505936</v>
      </c>
      <c r="ET27" s="19">
        <f t="shared" si="76"/>
        <v>16557245.077080995</v>
      </c>
      <c r="EU27" s="19">
        <f t="shared" si="76"/>
        <v>16722817.527851805</v>
      </c>
      <c r="EV27" s="19">
        <f t="shared" si="76"/>
        <v>16890045.703130323</v>
      </c>
      <c r="EW27" s="19">
        <f t="shared" si="76"/>
        <v>17058946.160161626</v>
      </c>
      <c r="EX27" s="19">
        <f t="shared" si="76"/>
        <v>17229535.621763241</v>
      </c>
      <c r="EY27" s="19">
        <f t="shared" si="76"/>
        <v>17401830.977980874</v>
      </c>
      <c r="EZ27" s="19">
        <f t="shared" si="76"/>
        <v>17575849.287760682</v>
      </c>
      <c r="FA27" s="19">
        <f t="shared" si="76"/>
        <v>17751607.780638289</v>
      </c>
      <c r="FB27" s="19">
        <f t="shared" si="76"/>
        <v>17929123.858444672</v>
      </c>
      <c r="FC27" s="19">
        <f t="shared" si="76"/>
        <v>18108415.09702912</v>
      </c>
      <c r="FD27" s="19">
        <f t="shared" si="76"/>
        <v>18289499.247999411</v>
      </c>
      <c r="FE27" s="19">
        <f t="shared" si="76"/>
        <v>18472394.240479406</v>
      </c>
      <c r="FF27" s="19">
        <f t="shared" si="76"/>
        <v>18657118.182884201</v>
      </c>
      <c r="FG27" s="19">
        <f t="shared" si="76"/>
        <v>18843689.364713043</v>
      </c>
      <c r="FH27" s="19">
        <f t="shared" ref="FH27:GM27" si="77">+FG27*(1+$BS$33)</f>
        <v>19032126.258360174</v>
      </c>
      <c r="FI27" s="19">
        <f t="shared" si="77"/>
        <v>19222447.520943776</v>
      </c>
      <c r="FJ27" s="19">
        <f t="shared" si="77"/>
        <v>19414671.996153213</v>
      </c>
      <c r="FK27" s="19">
        <f t="shared" si="77"/>
        <v>19608818.716114745</v>
      </c>
      <c r="FL27" s="19">
        <f t="shared" si="77"/>
        <v>19804906.903275892</v>
      </c>
      <c r="FM27" s="19">
        <f t="shared" si="77"/>
        <v>20002955.972308651</v>
      </c>
      <c r="FN27" s="19">
        <f t="shared" si="77"/>
        <v>20202985.532031737</v>
      </c>
      <c r="FO27" s="19">
        <f t="shared" si="77"/>
        <v>20405015.387352053</v>
      </c>
      <c r="FP27" s="19">
        <f t="shared" si="77"/>
        <v>20609065.541225575</v>
      </c>
      <c r="FQ27" s="19">
        <f t="shared" si="77"/>
        <v>20815156.196637832</v>
      </c>
      <c r="FR27" s="19">
        <f t="shared" si="77"/>
        <v>21023307.75860421</v>
      </c>
      <c r="FS27" s="19">
        <f t="shared" si="77"/>
        <v>21233540.836190253</v>
      </c>
      <c r="FT27" s="19">
        <f t="shared" si="77"/>
        <v>21445876.244552158</v>
      </c>
      <c r="FU27" s="19">
        <f t="shared" si="77"/>
        <v>21660335.006997678</v>
      </c>
      <c r="FV27" s="19">
        <f t="shared" si="77"/>
        <v>21876938.357067656</v>
      </c>
      <c r="FW27" s="19">
        <f t="shared" si="77"/>
        <v>22095707.740638334</v>
      </c>
      <c r="FX27" s="19">
        <f t="shared" si="77"/>
        <v>22316664.818044718</v>
      </c>
      <c r="FY27" s="19">
        <f t="shared" si="77"/>
        <v>22539831.466225166</v>
      </c>
      <c r="FZ27" s="19">
        <f t="shared" si="77"/>
        <v>22765229.780887417</v>
      </c>
      <c r="GA27" s="19">
        <f t="shared" si="77"/>
        <v>22992882.078696292</v>
      </c>
      <c r="GB27" s="19">
        <f t="shared" si="77"/>
        <v>23222810.899483256</v>
      </c>
      <c r="GC27" s="19">
        <f t="shared" si="77"/>
        <v>23455039.00847809</v>
      </c>
      <c r="GD27" s="19">
        <f t="shared" si="77"/>
        <v>23689589.398562871</v>
      </c>
      <c r="GE27" s="19">
        <f t="shared" si="77"/>
        <v>23926485.2925485</v>
      </c>
      <c r="GF27" s="19">
        <f t="shared" si="77"/>
        <v>24165750.145473987</v>
      </c>
      <c r="GG27" s="19">
        <f t="shared" si="77"/>
        <v>24407407.646928728</v>
      </c>
      <c r="GH27" s="19">
        <f t="shared" si="77"/>
        <v>24651481.723398015</v>
      </c>
      <c r="GI27" s="19">
        <f t="shared" si="77"/>
        <v>24897996.540631995</v>
      </c>
      <c r="GJ27" s="19">
        <f t="shared" si="77"/>
        <v>25146976.506038316</v>
      </c>
      <c r="GK27" s="19">
        <f t="shared" si="77"/>
        <v>25398446.271098699</v>
      </c>
      <c r="GL27" s="19">
        <f t="shared" si="77"/>
        <v>25652430.733809687</v>
      </c>
      <c r="GM27" s="19">
        <f t="shared" si="77"/>
        <v>25908955.041147783</v>
      </c>
      <c r="GN27" s="19">
        <f t="shared" ref="GN27:HS27" si="78">+GM27*(1+$BS$33)</f>
        <v>26168044.591559261</v>
      </c>
      <c r="GO27" s="19">
        <f t="shared" si="78"/>
        <v>26429725.037474856</v>
      </c>
      <c r="GP27" s="19">
        <f t="shared" si="78"/>
        <v>26694022.287849605</v>
      </c>
      <c r="GQ27" s="19">
        <f t="shared" si="78"/>
        <v>26960962.510728102</v>
      </c>
      <c r="GR27" s="19">
        <f t="shared" si="78"/>
        <v>27230572.135835383</v>
      </c>
      <c r="GS27" s="19">
        <f t="shared" si="78"/>
        <v>27502877.857193738</v>
      </c>
      <c r="GT27" s="19">
        <f t="shared" si="78"/>
        <v>27777906.635765675</v>
      </c>
      <c r="GU27" s="19">
        <f t="shared" si="78"/>
        <v>28055685.702123333</v>
      </c>
      <c r="GV27" s="19">
        <f t="shared" si="78"/>
        <v>28336242.559144568</v>
      </c>
      <c r="GW27" s="19">
        <f t="shared" si="78"/>
        <v>28619604.984736014</v>
      </c>
      <c r="GX27" s="19">
        <f t="shared" si="78"/>
        <v>28905801.034583375</v>
      </c>
      <c r="GY27" s="19">
        <f t="shared" si="78"/>
        <v>29194859.04492921</v>
      </c>
      <c r="GZ27" s="19">
        <f t="shared" si="78"/>
        <v>29486807.635378502</v>
      </c>
      <c r="HA27" s="19">
        <f t="shared" si="78"/>
        <v>29781675.711732287</v>
      </c>
      <c r="HB27" s="19">
        <f t="shared" si="78"/>
        <v>30079492.468849611</v>
      </c>
      <c r="HC27" s="19">
        <f t="shared" si="78"/>
        <v>30380287.393538106</v>
      </c>
      <c r="HD27" s="19">
        <f t="shared" si="78"/>
        <v>30684090.267473489</v>
      </c>
      <c r="HE27" s="19">
        <f t="shared" si="78"/>
        <v>30990931.170148224</v>
      </c>
      <c r="HF27" s="19">
        <f t="shared" si="78"/>
        <v>31300840.481849708</v>
      </c>
      <c r="HG27" s="19">
        <f t="shared" si="78"/>
        <v>31613848.886668205</v>
      </c>
      <c r="HH27" s="19">
        <f t="shared" si="78"/>
        <v>31929987.375534888</v>
      </c>
      <c r="HI27" s="19">
        <f t="shared" si="78"/>
        <v>32249287.249290239</v>
      </c>
      <c r="HJ27" s="19">
        <f t="shared" si="78"/>
        <v>32571780.121783141</v>
      </c>
      <c r="HK27" s="19">
        <f t="shared" si="78"/>
        <v>32897497.923000973</v>
      </c>
      <c r="HL27" s="19">
        <f t="shared" si="78"/>
        <v>33226472.902230982</v>
      </c>
      <c r="HM27" s="19">
        <f t="shared" si="78"/>
        <v>33558737.631253295</v>
      </c>
      <c r="HN27" s="19">
        <f t="shared" si="78"/>
        <v>33894325.007565826</v>
      </c>
      <c r="HO27" s="19">
        <f t="shared" si="78"/>
        <v>34233268.257641487</v>
      </c>
      <c r="HP27" s="19">
        <f t="shared" si="78"/>
        <v>34575600.940217905</v>
      </c>
      <c r="HQ27" s="19">
        <f t="shared" si="78"/>
        <v>34921356.949620083</v>
      </c>
      <c r="HR27" s="19">
        <f t="shared" si="78"/>
        <v>35270570.519116282</v>
      </c>
      <c r="HS27" s="19">
        <f t="shared" si="78"/>
        <v>35623276.224307448</v>
      </c>
      <c r="HT27" s="19">
        <f t="shared" ref="HT27:IV27" si="79">+HS27*(1+$BS$33)</f>
        <v>35979508.986550525</v>
      </c>
      <c r="HU27" s="19">
        <f t="shared" si="79"/>
        <v>36339304.076416031</v>
      </c>
      <c r="HV27" s="19">
        <f t="shared" si="79"/>
        <v>36702697.117180191</v>
      </c>
      <c r="HW27" s="19">
        <f t="shared" si="79"/>
        <v>37069724.088351995</v>
      </c>
      <c r="HX27" s="19">
        <f t="shared" si="79"/>
        <v>37440421.329235516</v>
      </c>
      <c r="HY27" s="19">
        <f t="shared" si="79"/>
        <v>37814825.542527869</v>
      </c>
      <c r="HZ27" s="19">
        <f t="shared" si="79"/>
        <v>38192973.797953151</v>
      </c>
      <c r="IA27" s="19">
        <f t="shared" si="79"/>
        <v>38574903.535932682</v>
      </c>
      <c r="IB27" s="19">
        <f t="shared" si="79"/>
        <v>38960652.571292013</v>
      </c>
      <c r="IC27" s="19">
        <f t="shared" si="79"/>
        <v>39350259.097004935</v>
      </c>
      <c r="ID27" s="19">
        <f t="shared" si="79"/>
        <v>39743761.687974982</v>
      </c>
      <c r="IE27" s="19">
        <f t="shared" si="79"/>
        <v>40141199.304854736</v>
      </c>
      <c r="IF27" s="19">
        <f t="shared" si="79"/>
        <v>40542611.297903284</v>
      </c>
      <c r="IG27" s="19">
        <f t="shared" si="79"/>
        <v>40948037.410882317</v>
      </c>
      <c r="IH27" s="19">
        <f t="shared" si="79"/>
        <v>41357517.784991138</v>
      </c>
      <c r="II27" s="19">
        <f t="shared" si="79"/>
        <v>41771092.962841049</v>
      </c>
      <c r="IJ27" s="19">
        <f t="shared" si="79"/>
        <v>42188803.892469458</v>
      </c>
      <c r="IK27" s="19">
        <f t="shared" si="79"/>
        <v>42610691.931394152</v>
      </c>
      <c r="IL27" s="19">
        <f t="shared" si="79"/>
        <v>43036798.850708097</v>
      </c>
      <c r="IM27" s="19">
        <f t="shared" si="79"/>
        <v>43467166.839215182</v>
      </c>
      <c r="IN27" s="19">
        <f t="shared" si="79"/>
        <v>43901838.507607333</v>
      </c>
      <c r="IO27" s="19">
        <f t="shared" si="79"/>
        <v>44340856.892683409</v>
      </c>
      <c r="IP27" s="19">
        <f t="shared" si="79"/>
        <v>44784265.461610243</v>
      </c>
      <c r="IQ27" s="19">
        <f t="shared" si="79"/>
        <v>45232108.116226345</v>
      </c>
      <c r="IR27" s="19">
        <f t="shared" si="79"/>
        <v>45684429.197388612</v>
      </c>
      <c r="IS27" s="19">
        <f t="shared" si="79"/>
        <v>46141273.489362501</v>
      </c>
      <c r="IT27" s="19">
        <f t="shared" si="79"/>
        <v>46602686.224256128</v>
      </c>
      <c r="IU27" s="19">
        <f t="shared" si="79"/>
        <v>47068713.086498693</v>
      </c>
      <c r="IV27" s="19">
        <f t="shared" si="79"/>
        <v>47539400.217363678</v>
      </c>
      <c r="IW27" s="19">
        <f t="shared" ref="IW27" si="80">+IV27*(1+$BS$33)</f>
        <v>48014794.219537318</v>
      </c>
      <c r="IX27" s="19">
        <f t="shared" ref="IX27" si="81">+IW27*(1+$BS$33)</f>
        <v>48494942.161732689</v>
      </c>
      <c r="IY27" s="19">
        <f t="shared" ref="IY27" si="82">+IX27*(1+$BS$33)</f>
        <v>48979891.583350018</v>
      </c>
      <c r="IZ27" s="19">
        <f t="shared" ref="IZ27" si="83">+IY27*(1+$BS$33)</f>
        <v>49469690.499183521</v>
      </c>
      <c r="JA27" s="19">
        <f t="shared" ref="JA27" si="84">+IZ27*(1+$BS$33)</f>
        <v>49964387.404175356</v>
      </c>
      <c r="JB27" s="19">
        <f t="shared" ref="JB27" si="85">+JA27*(1+$BS$33)</f>
        <v>50464031.278217107</v>
      </c>
      <c r="JC27" s="19">
        <f t="shared" ref="JC27" si="86">+JB27*(1+$BS$33)</f>
        <v>50968671.590999275</v>
      </c>
      <c r="JD27" s="19">
        <f t="shared" ref="JD27" si="87">+JC27*(1+$BS$33)</f>
        <v>51478358.306909271</v>
      </c>
      <c r="JE27" s="19">
        <f t="shared" ref="JE27" si="88">+JD27*(1+$BS$33)</f>
        <v>51993141.889978364</v>
      </c>
      <c r="JF27" s="19">
        <f t="shared" ref="JF27" si="89">+JE27*(1+$BS$33)</f>
        <v>52513073.308878146</v>
      </c>
      <c r="JG27" s="19">
        <f t="shared" ref="JG27" si="90">+JF27*(1+$BS$33)</f>
        <v>53038204.04196693</v>
      </c>
    </row>
    <row r="28" spans="1:267">
      <c r="B28" s="4" t="s">
        <v>134</v>
      </c>
      <c r="C28" s="27">
        <v>1.6</v>
      </c>
      <c r="D28" s="27">
        <v>2.3199999999999998</v>
      </c>
      <c r="E28" s="27">
        <v>0.69</v>
      </c>
      <c r="F28" s="27">
        <f t="shared" si="27"/>
        <v>1.5600000000000005</v>
      </c>
      <c r="G28" s="27">
        <v>2.13</v>
      </c>
      <c r="H28" s="27">
        <v>1.68</v>
      </c>
      <c r="I28" s="27">
        <v>1.37</v>
      </c>
      <c r="J28" s="58">
        <f t="shared" si="36"/>
        <v>1.1299999999999999</v>
      </c>
      <c r="K28" s="27">
        <v>3.13</v>
      </c>
      <c r="L28" s="27">
        <v>3.22</v>
      </c>
      <c r="M28" s="27">
        <v>3.47</v>
      </c>
      <c r="N28" s="58">
        <f t="shared" si="28"/>
        <v>2.5600000000000005</v>
      </c>
      <c r="O28" s="27">
        <v>2.7</v>
      </c>
      <c r="P28" s="27">
        <v>0.28999999999999998</v>
      </c>
      <c r="Q28" s="27">
        <v>2.82</v>
      </c>
      <c r="R28" s="58">
        <f t="shared" si="25"/>
        <v>6.7099999999999991</v>
      </c>
      <c r="S28" s="27">
        <v>4.45</v>
      </c>
      <c r="T28" s="27">
        <v>0.28999999999999998</v>
      </c>
      <c r="U28" s="27">
        <f>+U27/U29</f>
        <v>7.3430026338893768</v>
      </c>
      <c r="V28" s="27">
        <f t="shared" ref="V28" si="91">+V27/V29</f>
        <v>4.850763559768299</v>
      </c>
      <c r="W28" s="27">
        <f>+W27/W29</f>
        <v>5.7455213596692696</v>
      </c>
      <c r="X28" s="27">
        <f>+X27/X29</f>
        <v>9.4198704257439836</v>
      </c>
      <c r="Y28" s="27">
        <f>+Y27/Y29</f>
        <v>9.4255615967949637</v>
      </c>
      <c r="Z28" s="59">
        <f t="shared" si="26"/>
        <v>8.2021476084553164</v>
      </c>
      <c r="AA28" s="27">
        <f>+AA27/AA29</f>
        <v>10.796206995825536</v>
      </c>
      <c r="AB28" s="27">
        <f>+AB27/AB29</f>
        <v>12.90337694165135</v>
      </c>
      <c r="AC28" s="27">
        <f>+AC27/AC29</f>
        <v>11.576821646616812</v>
      </c>
      <c r="AD28" s="27">
        <f t="shared" si="32"/>
        <v>10.451021337595222</v>
      </c>
      <c r="AE28" s="27">
        <f>+AE27/AE29</f>
        <v>13.204677092383434</v>
      </c>
      <c r="AS28" s="17">
        <v>6.76</v>
      </c>
      <c r="AT28" s="17">
        <v>8.75</v>
      </c>
      <c r="AU28" s="17">
        <v>10.47</v>
      </c>
      <c r="AV28" s="17">
        <v>14.13</v>
      </c>
      <c r="AW28" s="17">
        <v>15.1</v>
      </c>
      <c r="AX28" s="17">
        <v>0.77</v>
      </c>
      <c r="AY28" s="17">
        <v>6.17</v>
      </c>
      <c r="AZ28" s="17">
        <v>6.31</v>
      </c>
      <c r="BA28" s="17">
        <v>12.38</v>
      </c>
      <c r="BB28" s="17">
        <v>12.52</v>
      </c>
      <c r="BC28" s="17">
        <f>SUM(S28:V28)</f>
        <v>16.933766193657675</v>
      </c>
      <c r="BD28" s="17">
        <f>+BD27/BD29</f>
        <v>32.793100990663532</v>
      </c>
      <c r="BE28" s="17">
        <f>+BE27/BE29</f>
        <v>45.727426921688924</v>
      </c>
      <c r="BF28" s="17">
        <f>+BF27/BF29</f>
        <v>84.660773650383916</v>
      </c>
      <c r="BG28" s="17">
        <f t="shared" ref="BG28:BL28" si="92">+BG27/BG29</f>
        <v>97.864701013477912</v>
      </c>
      <c r="BH28" s="17">
        <f t="shared" si="92"/>
        <v>112.39032192611839</v>
      </c>
      <c r="BI28" s="17">
        <f t="shared" si="92"/>
        <v>128.34923468898765</v>
      </c>
      <c r="BJ28" s="17">
        <f t="shared" si="92"/>
        <v>145.86167797015935</v>
      </c>
      <c r="BK28" s="17">
        <f t="shared" si="92"/>
        <v>165.0571659793184</v>
      </c>
      <c r="BL28" s="17">
        <f t="shared" si="92"/>
        <v>186.07516875862822</v>
      </c>
      <c r="BM28" s="17">
        <f t="shared" ref="BM28:BN28" si="93">+BM27/BM29</f>
        <v>209.06584071762086</v>
      </c>
      <c r="BN28" s="17">
        <f t="shared" si="93"/>
        <v>234.19080075236357</v>
      </c>
      <c r="BO28" s="17">
        <f t="shared" ref="BO28" si="94">+BO27/BO29</f>
        <v>261.62396751630104</v>
      </c>
    </row>
    <row r="29" spans="1:267">
      <c r="B29" s="4" t="s">
        <v>33</v>
      </c>
      <c r="C29" s="17">
        <f t="shared" ref="C29" si="95">+C27/C28</f>
        <v>31106.25</v>
      </c>
      <c r="D29" s="17">
        <f t="shared" ref="D29" si="96">+D27/D28</f>
        <v>28597.413793103449</v>
      </c>
      <c r="E29" s="17">
        <f t="shared" ref="E29" si="97">+E27/E28</f>
        <v>38198.550724637687</v>
      </c>
      <c r="F29" s="17">
        <f>+F27/F28</f>
        <v>157759.61538461535</v>
      </c>
      <c r="G29" s="17">
        <f t="shared" ref="G29" si="98">+G27/G28</f>
        <v>30190.140845070426</v>
      </c>
      <c r="H29" s="17">
        <f t="shared" ref="H29" si="99">+H27/H28</f>
        <v>54884.523809523809</v>
      </c>
      <c r="I29" s="17">
        <f t="shared" ref="I29" si="100">+I27/I28</f>
        <v>32597.0802919708</v>
      </c>
      <c r="J29" s="17">
        <f>+J27/J28</f>
        <v>37188.495575221241</v>
      </c>
      <c r="K29" s="17">
        <f t="shared" ref="K29:S29" si="101">+K27/K28</f>
        <v>30375.079872204475</v>
      </c>
      <c r="L29" s="17">
        <f t="shared" si="101"/>
        <v>29663.043478260868</v>
      </c>
      <c r="M29" s="17">
        <f t="shared" si="101"/>
        <v>30117.8674351585</v>
      </c>
      <c r="N29" s="17">
        <f t="shared" si="101"/>
        <v>30704.687499999993</v>
      </c>
      <c r="O29" s="17">
        <f t="shared" si="101"/>
        <v>31749.629629629628</v>
      </c>
      <c r="P29" s="17">
        <f t="shared" si="101"/>
        <v>46762.068965517246</v>
      </c>
      <c r="Q29" s="17">
        <f t="shared" si="101"/>
        <v>31289.007092198583</v>
      </c>
      <c r="R29" s="17">
        <f t="shared" si="101"/>
        <v>29586.140089418783</v>
      </c>
      <c r="S29" s="17">
        <f t="shared" si="101"/>
        <v>29835.73033707865</v>
      </c>
      <c r="T29" s="17">
        <v>28501</v>
      </c>
      <c r="U29" s="17">
        <v>28475</v>
      </c>
      <c r="V29" s="17">
        <v>28485</v>
      </c>
      <c r="W29" s="17">
        <v>28301</v>
      </c>
      <c r="X29" s="17">
        <v>28092</v>
      </c>
      <c r="Y29" s="17">
        <v>27956</v>
      </c>
      <c r="Z29" s="56">
        <f>+Z27/Z28</f>
        <v>27981.939725566979</v>
      </c>
      <c r="AA29" s="17">
        <v>27788</v>
      </c>
      <c r="AB29" s="17">
        <v>27747</v>
      </c>
      <c r="AC29" s="17">
        <v>27681</v>
      </c>
      <c r="AD29" s="17">
        <f>+AD27/AD28</f>
        <v>27615.865538593382</v>
      </c>
      <c r="AE29" s="17">
        <v>27624</v>
      </c>
      <c r="AS29" s="17">
        <f t="shared" ref="AS29:BB29" si="102">+AS27/AS28</f>
        <v>32655.473372781067</v>
      </c>
      <c r="AT29" s="17">
        <f t="shared" si="102"/>
        <v>32345.942857142858</v>
      </c>
      <c r="AU29" s="17">
        <f t="shared" si="102"/>
        <v>31918.720152817572</v>
      </c>
      <c r="AV29" s="17">
        <f t="shared" si="102"/>
        <v>32013.446567586692</v>
      </c>
      <c r="AW29" s="17">
        <f t="shared" si="102"/>
        <v>32370.596026490068</v>
      </c>
      <c r="AX29" s="17">
        <f t="shared" si="102"/>
        <v>60798.7012987013</v>
      </c>
      <c r="AY29" s="17">
        <f t="shared" si="102"/>
        <v>62978.606158833063</v>
      </c>
      <c r="AZ29" s="17">
        <f t="shared" si="102"/>
        <v>38540.72900158479</v>
      </c>
      <c r="BA29" s="17">
        <f t="shared" si="102"/>
        <v>30185.945072697898</v>
      </c>
      <c r="BB29" s="17">
        <f t="shared" si="102"/>
        <v>30834.105431309905</v>
      </c>
      <c r="BC29" s="17">
        <f>+BB29</f>
        <v>30834.105431309905</v>
      </c>
      <c r="BD29" s="17">
        <v>28062</v>
      </c>
      <c r="BE29" s="17">
        <v>27710</v>
      </c>
      <c r="BF29" s="17">
        <f t="shared" ref="BF29:BL29" si="103">+BE29</f>
        <v>27710</v>
      </c>
      <c r="BG29" s="17">
        <f t="shared" si="103"/>
        <v>27710</v>
      </c>
      <c r="BH29" s="17">
        <f t="shared" si="103"/>
        <v>27710</v>
      </c>
      <c r="BI29" s="17">
        <f t="shared" si="103"/>
        <v>27710</v>
      </c>
      <c r="BJ29" s="17">
        <f t="shared" si="103"/>
        <v>27710</v>
      </c>
      <c r="BK29" s="17">
        <f t="shared" si="103"/>
        <v>27710</v>
      </c>
      <c r="BL29" s="17">
        <f t="shared" si="103"/>
        <v>27710</v>
      </c>
      <c r="BM29" s="17">
        <f t="shared" ref="BM29" si="104">+BL29</f>
        <v>27710</v>
      </c>
      <c r="BN29" s="17">
        <f t="shared" ref="BN29:BO29" si="105">+BM29</f>
        <v>27710</v>
      </c>
      <c r="BO29" s="17">
        <f t="shared" si="105"/>
        <v>27710</v>
      </c>
    </row>
    <row r="31" spans="1:267">
      <c r="B31" s="39" t="s">
        <v>182</v>
      </c>
      <c r="BD31" s="47"/>
      <c r="BR31" s="26"/>
      <c r="BS31" s="26"/>
    </row>
    <row r="32" spans="1:267">
      <c r="B32" s="4" t="s">
        <v>18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>
        <f t="shared" ref="G32:Y39" si="106">+IFERROR(S12/O12-1,0)</f>
        <v>0.22385649699704091</v>
      </c>
      <c r="T32" s="47">
        <f t="shared" si="106"/>
        <v>0</v>
      </c>
      <c r="U32" s="47">
        <f t="shared" si="106"/>
        <v>0.22201114880781114</v>
      </c>
      <c r="V32" s="47">
        <f t="shared" si="106"/>
        <v>-0.33968553259975087</v>
      </c>
      <c r="W32" s="47">
        <f t="shared" si="106"/>
        <v>0.16489956235176195</v>
      </c>
      <c r="X32" s="47">
        <f t="shared" si="106"/>
        <v>0.17301971525090076</v>
      </c>
      <c r="Y32" s="47">
        <f t="shared" si="106"/>
        <v>0.1396841972894971</v>
      </c>
      <c r="Z32" s="47">
        <f>+IFERROR(Z12/V12-1,0)</f>
        <v>0.11575818356660927</v>
      </c>
      <c r="AA32" s="47">
        <f t="shared" ref="AA32:AE39" si="107">+IFERROR(AA12/W12-1,0)</f>
        <v>0.17611843382245529</v>
      </c>
      <c r="AB32" s="47">
        <f t="shared" si="107"/>
        <v>0.13895782656163203</v>
      </c>
      <c r="AC32" s="47">
        <f t="shared" si="107"/>
        <v>0.11519722694448076</v>
      </c>
      <c r="AD32" s="47">
        <f t="shared" si="107"/>
        <v>0.15511757205831866</v>
      </c>
      <c r="AE32" s="47">
        <f t="shared" si="107"/>
        <v>0.14182761529198751</v>
      </c>
      <c r="BD32" s="47"/>
      <c r="BR32" s="66" t="s">
        <v>116</v>
      </c>
      <c r="BS32" s="67">
        <v>0.01</v>
      </c>
    </row>
    <row r="33" spans="1:71">
      <c r="B33" s="4" t="s">
        <v>19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>
        <f t="shared" si="106"/>
        <v>1.9560947429231659</v>
      </c>
      <c r="T33" s="47">
        <f t="shared" si="106"/>
        <v>0</v>
      </c>
      <c r="U33" s="47">
        <f t="shared" si="106"/>
        <v>-8.6159669306240527E-3</v>
      </c>
      <c r="V33" s="47">
        <f t="shared" si="106"/>
        <v>-0.39957573186253714</v>
      </c>
      <c r="W33" s="47">
        <f t="shared" si="106"/>
        <v>-0.15641977721321088</v>
      </c>
      <c r="X33" s="47">
        <f t="shared" si="106"/>
        <v>-0.1137530746990032</v>
      </c>
      <c r="Y33" s="47">
        <f t="shared" si="106"/>
        <v>-0.10383803878227671</v>
      </c>
      <c r="Z33" s="47">
        <f t="shared" ref="Z33:Z39" si="108">+IFERROR(Z13/V13-1,0)</f>
        <v>-0.21368004522328998</v>
      </c>
      <c r="AA33" s="47">
        <f t="shared" si="107"/>
        <v>-0.18588704072649775</v>
      </c>
      <c r="AB33" s="47">
        <f t="shared" si="107"/>
        <v>-0.15800749866095343</v>
      </c>
      <c r="AC33" s="47">
        <f t="shared" si="107"/>
        <v>-0.10818992095969504</v>
      </c>
      <c r="AD33" s="47">
        <f t="shared" si="107"/>
        <v>3.6544452432303309E-3</v>
      </c>
      <c r="AE33" s="47">
        <f t="shared" si="107"/>
        <v>-9.6750327243754208E-3</v>
      </c>
      <c r="BD33" s="47"/>
      <c r="BR33" s="68" t="s">
        <v>34</v>
      </c>
      <c r="BS33" s="69">
        <v>0.01</v>
      </c>
    </row>
    <row r="34" spans="1:71" s="19" customFormat="1">
      <c r="A34" s="21"/>
      <c r="B34" s="10" t="s">
        <v>20</v>
      </c>
      <c r="G34" s="46">
        <f t="shared" si="106"/>
        <v>7.4444087875609632E-2</v>
      </c>
      <c r="H34" s="46">
        <f t="shared" si="106"/>
        <v>8.3042801962358803E-2</v>
      </c>
      <c r="I34" s="46">
        <f t="shared" si="106"/>
        <v>8.5927873526027598E-2</v>
      </c>
      <c r="J34" s="46">
        <f t="shared" si="106"/>
        <v>0.10355913881632284</v>
      </c>
      <c r="K34" s="46">
        <f t="shared" si="106"/>
        <v>0.13916790099590992</v>
      </c>
      <c r="L34" s="46">
        <f t="shared" si="106"/>
        <v>0.13241875375043421</v>
      </c>
      <c r="M34" s="46">
        <f t="shared" si="106"/>
        <v>0.14586855422050649</v>
      </c>
      <c r="N34" s="46">
        <f t="shared" si="106"/>
        <v>0.17563451942393082</v>
      </c>
      <c r="O34" s="46">
        <f t="shared" si="106"/>
        <v>7.8392957743248948E-2</v>
      </c>
      <c r="P34" s="46">
        <f t="shared" si="106"/>
        <v>-4.8453143182653258E-2</v>
      </c>
      <c r="Q34" s="46">
        <f t="shared" si="106"/>
        <v>0.14085447215460323</v>
      </c>
      <c r="R34" s="46">
        <f t="shared" si="106"/>
        <v>0.11629163241273588</v>
      </c>
      <c r="S34" s="46">
        <f t="shared" si="106"/>
        <v>0.23448367276923565</v>
      </c>
      <c r="T34" s="46">
        <f t="shared" si="106"/>
        <v>0.38674089825299807</v>
      </c>
      <c r="U34" s="46">
        <f t="shared" si="106"/>
        <v>0.21911947816117516</v>
      </c>
      <c r="V34" s="46">
        <f t="shared" si="106"/>
        <v>0.21951906749351568</v>
      </c>
      <c r="W34" s="46">
        <f t="shared" si="106"/>
        <v>0.1601791481848327</v>
      </c>
      <c r="X34" s="46">
        <f t="shared" si="106"/>
        <v>0.16950835333293179</v>
      </c>
      <c r="Y34" s="46">
        <f t="shared" si="106"/>
        <v>0.13720122008999569</v>
      </c>
      <c r="Z34" s="46">
        <f t="shared" si="108"/>
        <v>0.11219131780399483</v>
      </c>
      <c r="AA34" s="46">
        <f t="shared" si="107"/>
        <v>0.17225156257810426</v>
      </c>
      <c r="AB34" s="46">
        <f t="shared" si="107"/>
        <v>0.13620236213250658</v>
      </c>
      <c r="AC34" s="46">
        <f t="shared" si="107"/>
        <v>0.11340232188904031</v>
      </c>
      <c r="AD34" s="46">
        <f t="shared" si="107"/>
        <v>0.1539581555343279</v>
      </c>
      <c r="AE34" s="46">
        <f t="shared" si="107"/>
        <v>0.14070371277305393</v>
      </c>
      <c r="AU34" s="46">
        <f t="shared" ref="AU34:BD34" si="109">+AU14/AT14-1</f>
        <v>0.17697816070743366</v>
      </c>
      <c r="AV34" s="46">
        <f t="shared" si="109"/>
        <v>0.27800675109212958</v>
      </c>
      <c r="AW34" s="46">
        <f t="shared" si="109"/>
        <v>9.5649530252279069E-2</v>
      </c>
      <c r="AX34" s="46">
        <f t="shared" si="109"/>
        <v>-0.13259485255451686</v>
      </c>
      <c r="AY34" s="46">
        <f t="shared" si="109"/>
        <v>0.14650915483722904</v>
      </c>
      <c r="AZ34" s="46">
        <f t="shared" si="109"/>
        <v>8.6804565799573519E-2</v>
      </c>
      <c r="BA34" s="46">
        <f t="shared" si="109"/>
        <v>0.14828082717623992</v>
      </c>
      <c r="BB34" s="46">
        <f t="shared" si="109"/>
        <v>7.1292283055415684E-2</v>
      </c>
      <c r="BC34" s="46">
        <f t="shared" si="109"/>
        <v>0.26107310823017738</v>
      </c>
      <c r="BD34" s="46">
        <f t="shared" si="109"/>
        <v>0.14410788517543449</v>
      </c>
      <c r="BE34" s="46">
        <f t="shared" ref="BE34:BO34" si="110">+BE14/BD14-1</f>
        <v>0.14325962412845361</v>
      </c>
      <c r="BF34" s="46">
        <f t="shared" si="110"/>
        <v>0.15252254873436155</v>
      </c>
      <c r="BG34" s="46">
        <f t="shared" si="110"/>
        <v>0.14509499598608522</v>
      </c>
      <c r="BH34" s="46">
        <f t="shared" si="110"/>
        <v>0.13877136487490715</v>
      </c>
      <c r="BI34" s="46">
        <f t="shared" si="110"/>
        <v>0.13332257320728602</v>
      </c>
      <c r="BJ34" s="46">
        <f t="shared" si="110"/>
        <v>0.12857882251455699</v>
      </c>
      <c r="BK34" s="46">
        <f t="shared" si="110"/>
        <v>0.12441158598339075</v>
      </c>
      <c r="BL34" s="46">
        <f t="shared" si="110"/>
        <v>0.12072178728279548</v>
      </c>
      <c r="BM34" s="46">
        <f t="shared" si="110"/>
        <v>0.11743182228643656</v>
      </c>
      <c r="BN34" s="46">
        <f t="shared" si="110"/>
        <v>0.11448004111701215</v>
      </c>
      <c r="BO34" s="46">
        <f t="shared" si="110"/>
        <v>0.1118168486231057</v>
      </c>
      <c r="BR34" s="68" t="s">
        <v>35</v>
      </c>
      <c r="BS34" s="70">
        <v>7.4999999999999997E-2</v>
      </c>
    </row>
    <row r="35" spans="1:71">
      <c r="B35" s="4" t="s">
        <v>21</v>
      </c>
      <c r="G35" s="47">
        <f t="shared" si="106"/>
        <v>2.7971641399134883E-2</v>
      </c>
      <c r="H35" s="47">
        <f t="shared" si="106"/>
        <v>3.4934060207640227E-2</v>
      </c>
      <c r="I35" s="47">
        <f t="shared" si="106"/>
        <v>3.7119171142036667E-2</v>
      </c>
      <c r="J35" s="47">
        <f t="shared" si="106"/>
        <v>7.0073753533694383E-2</v>
      </c>
      <c r="K35" s="47">
        <f t="shared" si="106"/>
        <v>0.13296586585644565</v>
      </c>
      <c r="L35" s="47">
        <f t="shared" si="106"/>
        <v>0.16990723705869826</v>
      </c>
      <c r="M35" s="47">
        <f t="shared" si="106"/>
        <v>0.13998333386280493</v>
      </c>
      <c r="N35" s="47">
        <f t="shared" si="106"/>
        <v>0.17275960800519519</v>
      </c>
      <c r="O35" s="47">
        <f t="shared" si="106"/>
        <v>9.7140972121689595E-2</v>
      </c>
      <c r="P35" s="47">
        <f t="shared" si="106"/>
        <v>-5.9029473353142237E-2</v>
      </c>
      <c r="Q35" s="47">
        <f t="shared" si="106"/>
        <v>0.10882194059541783</v>
      </c>
      <c r="R35" s="47">
        <f t="shared" si="106"/>
        <v>4.5474852601574245E-2</v>
      </c>
      <c r="S35" s="47">
        <f t="shared" si="106"/>
        <v>0.13059080811336377</v>
      </c>
      <c r="T35" s="47">
        <f t="shared" si="106"/>
        <v>0.26326645497805412</v>
      </c>
      <c r="U35" s="47">
        <f t="shared" si="106"/>
        <v>0.1431985013368493</v>
      </c>
      <c r="V35" s="47">
        <f t="shared" si="106"/>
        <v>0.24415688634767774</v>
      </c>
      <c r="W35" s="47">
        <f t="shared" si="106"/>
        <v>0.19946582075531261</v>
      </c>
      <c r="X35" s="47">
        <f t="shared" si="106"/>
        <v>0.17311367885280204</v>
      </c>
      <c r="Y35" s="47">
        <f t="shared" si="106"/>
        <v>0.12041966272753712</v>
      </c>
      <c r="Z35" s="47">
        <f t="shared" si="108"/>
        <v>3.0155607514311011E-2</v>
      </c>
      <c r="AA35" s="47">
        <f t="shared" si="107"/>
        <v>0.10469018672060182</v>
      </c>
      <c r="AB35" s="47">
        <f t="shared" si="107"/>
        <v>9.6057739105661177E-2</v>
      </c>
      <c r="AC35" s="47">
        <f t="shared" si="107"/>
        <v>0.10813837655084968</v>
      </c>
      <c r="AD35" s="47">
        <f t="shared" si="107"/>
        <v>0.16952935817585013</v>
      </c>
      <c r="AE35" s="47">
        <f t="shared" si="107"/>
        <v>0.12492365271406469</v>
      </c>
      <c r="BD35" s="47"/>
      <c r="BR35" s="71" t="s">
        <v>36</v>
      </c>
      <c r="BS35" s="72">
        <f>NPV(BS34,BF27:JG27)</f>
        <v>83392094.631715298</v>
      </c>
    </row>
    <row r="36" spans="1:71">
      <c r="B36" s="4" t="s">
        <v>22</v>
      </c>
      <c r="G36" s="47">
        <f t="shared" si="106"/>
        <v>0.10773629412439067</v>
      </c>
      <c r="H36" s="47">
        <f t="shared" si="106"/>
        <v>0.11767494629738007</v>
      </c>
      <c r="I36" s="47">
        <f t="shared" si="106"/>
        <v>8.4738416617241574E-2</v>
      </c>
      <c r="J36" s="47">
        <f t="shared" si="106"/>
        <v>8.866574118941295E-2</v>
      </c>
      <c r="K36" s="47">
        <f t="shared" si="106"/>
        <v>9.4018434249191651E-2</v>
      </c>
      <c r="L36" s="47">
        <f t="shared" si="106"/>
        <v>7.6675774188075252E-2</v>
      </c>
      <c r="M36" s="47">
        <f t="shared" si="106"/>
        <v>0.12251212954200641</v>
      </c>
      <c r="N36" s="47">
        <f t="shared" si="106"/>
        <v>0.14739751405225121</v>
      </c>
      <c r="O36" s="47">
        <f t="shared" si="106"/>
        <v>0.12820417266269546</v>
      </c>
      <c r="P36" s="47">
        <f t="shared" si="106"/>
        <v>4.6767720953232228E-2</v>
      </c>
      <c r="Q36" s="47">
        <f t="shared" si="106"/>
        <v>8.6105795608130808E-2</v>
      </c>
      <c r="R36" s="47">
        <f t="shared" si="106"/>
        <v>7.0360662612707126E-2</v>
      </c>
      <c r="S36" s="47">
        <f t="shared" si="106"/>
        <v>0.10189930507031875</v>
      </c>
      <c r="T36" s="47">
        <f t="shared" si="106"/>
        <v>0.20567607834587021</v>
      </c>
      <c r="U36" s="47">
        <f t="shared" si="106"/>
        <v>0.23887309089296194</v>
      </c>
      <c r="V36" s="47">
        <f t="shared" si="106"/>
        <v>0.26560862367887483</v>
      </c>
      <c r="W36" s="47">
        <f t="shared" si="106"/>
        <v>0.22660370005695585</v>
      </c>
      <c r="X36" s="47">
        <f t="shared" si="106"/>
        <v>0.18389428769488436</v>
      </c>
      <c r="Y36" s="47">
        <f t="shared" si="106"/>
        <v>0.10824513631834076</v>
      </c>
      <c r="Z36" s="47">
        <f t="shared" si="108"/>
        <v>8.1429254163369214E-2</v>
      </c>
      <c r="AA36" s="47">
        <f t="shared" si="107"/>
        <v>9.7480918900627822E-2</v>
      </c>
      <c r="AB36" s="47">
        <f t="shared" si="107"/>
        <v>0.11229147194349776</v>
      </c>
      <c r="AC36" s="47">
        <f t="shared" si="107"/>
        <v>0.10607741152737549</v>
      </c>
      <c r="AD36" s="47">
        <f t="shared" si="107"/>
        <v>0.12580468551512403</v>
      </c>
      <c r="AE36" s="47">
        <f t="shared" si="107"/>
        <v>0.12959365803691036</v>
      </c>
      <c r="BD36" s="47"/>
      <c r="BR36" s="73" t="s">
        <v>15</v>
      </c>
      <c r="BS36" s="74">
        <f>Main!G7</f>
        <v>727394</v>
      </c>
    </row>
    <row r="37" spans="1:71">
      <c r="B37" s="4" t="s">
        <v>23</v>
      </c>
      <c r="G37" s="47">
        <f t="shared" si="106"/>
        <v>7.9709227223221379E-2</v>
      </c>
      <c r="H37" s="47">
        <f t="shared" si="106"/>
        <v>8.0315235119084782E-2</v>
      </c>
      <c r="I37" s="47">
        <f t="shared" si="106"/>
        <v>4.1971658313200821E-2</v>
      </c>
      <c r="J37" s="47">
        <f t="shared" si="106"/>
        <v>4.4347312463083322E-2</v>
      </c>
      <c r="K37" s="47">
        <f t="shared" si="106"/>
        <v>4.1217040442901309E-2</v>
      </c>
      <c r="L37" s="47">
        <f t="shared" si="106"/>
        <v>3.6313557368736538E-2</v>
      </c>
      <c r="M37" s="47">
        <f t="shared" si="106"/>
        <v>5.4423181183744562E-2</v>
      </c>
      <c r="N37" s="47">
        <f t="shared" si="106"/>
        <v>5.1649246640423474E-2</v>
      </c>
      <c r="O37" s="47">
        <f t="shared" si="106"/>
        <v>7.3324321279711668E-2</v>
      </c>
      <c r="P37" s="47">
        <f t="shared" si="106"/>
        <v>6.286489552172414E-2</v>
      </c>
      <c r="Q37" s="47">
        <f t="shared" si="106"/>
        <v>6.8756905775142485E-2</v>
      </c>
      <c r="R37" s="47">
        <f t="shared" si="106"/>
        <v>6.7150693772184633E-2</v>
      </c>
      <c r="S37" s="47">
        <f t="shared" si="106"/>
        <v>6.8115744287828406E-2</v>
      </c>
      <c r="T37" s="47">
        <f t="shared" si="106"/>
        <v>8.2175441533439253E-2</v>
      </c>
      <c r="U37" s="47">
        <f t="shared" si="106"/>
        <v>6.6831125760026255E-2</v>
      </c>
      <c r="V37" s="47">
        <f t="shared" si="106"/>
        <v>8.034229385262015E-2</v>
      </c>
      <c r="W37" s="47">
        <f t="shared" si="106"/>
        <v>0.10084603366447542</v>
      </c>
      <c r="X37" s="47">
        <f t="shared" si="106"/>
        <v>0.10141158271294604</v>
      </c>
      <c r="Y37" s="47">
        <f t="shared" si="106"/>
        <v>0.11132859349663704</v>
      </c>
      <c r="Z37" s="47">
        <f t="shared" si="108"/>
        <v>0.10695626212867593</v>
      </c>
      <c r="AA37" s="47">
        <f t="shared" si="107"/>
        <v>8.8358683233361823E-2</v>
      </c>
      <c r="AB37" s="47">
        <f t="shared" si="107"/>
        <v>8.7588549759039402E-2</v>
      </c>
      <c r="AC37" s="47">
        <f t="shared" si="107"/>
        <v>9.0161103724552438E-2</v>
      </c>
      <c r="AD37" s="47">
        <f t="shared" si="107"/>
        <v>0.10551378868586059</v>
      </c>
      <c r="AE37" s="47">
        <f t="shared" si="107"/>
        <v>0.11291632152610909</v>
      </c>
      <c r="BD37" s="47"/>
      <c r="BR37" s="68" t="s">
        <v>37</v>
      </c>
      <c r="BS37" s="75">
        <f>+BS35+BS36</f>
        <v>84119488.631715298</v>
      </c>
    </row>
    <row r="38" spans="1:71">
      <c r="B38" s="4" t="s">
        <v>24</v>
      </c>
      <c r="G38" s="47">
        <f t="shared" si="106"/>
        <v>-1.6864861993639124E-2</v>
      </c>
      <c r="H38" s="47">
        <f t="shared" si="106"/>
        <v>7.0171365732962787E-2</v>
      </c>
      <c r="I38" s="47">
        <f t="shared" si="106"/>
        <v>3.1889201044901228E-2</v>
      </c>
      <c r="J38" s="47">
        <f t="shared" si="106"/>
        <v>8.1496589312035184E-2</v>
      </c>
      <c r="K38" s="47">
        <f t="shared" si="106"/>
        <v>0.18014574286312457</v>
      </c>
      <c r="L38" s="47">
        <f t="shared" si="106"/>
        <v>0.10354453648149531</v>
      </c>
      <c r="M38" s="47">
        <f t="shared" si="106"/>
        <v>7.6250238823079908E-2</v>
      </c>
      <c r="N38" s="47">
        <f t="shared" si="106"/>
        <v>0.12026750764647143</v>
      </c>
      <c r="O38" s="47">
        <f t="shared" si="106"/>
        <v>0.20612556726163556</v>
      </c>
      <c r="P38" s="47">
        <f t="shared" si="106"/>
        <v>0.35729841859406442</v>
      </c>
      <c r="Q38" s="47">
        <f t="shared" si="106"/>
        <v>0.48905741183519269</v>
      </c>
      <c r="R38" s="47">
        <f t="shared" si="106"/>
        <v>0.36019238930541797</v>
      </c>
      <c r="S38" s="47">
        <f t="shared" si="106"/>
        <v>0.39830709520691587</v>
      </c>
      <c r="T38" s="47">
        <f t="shared" si="106"/>
        <v>9.4764042716996011E-2</v>
      </c>
      <c r="U38" s="47">
        <f t="shared" si="106"/>
        <v>9.7736349546971857E-2</v>
      </c>
      <c r="V38" s="47">
        <f t="shared" si="106"/>
        <v>0.11092159636131682</v>
      </c>
      <c r="W38" s="47">
        <f t="shared" si="106"/>
        <v>0.1221030843880424</v>
      </c>
      <c r="X38" s="47">
        <f t="shared" si="106"/>
        <v>0.10527360204983949</v>
      </c>
      <c r="Y38" s="47">
        <f t="shared" si="106"/>
        <v>9.3110470049210914E-2</v>
      </c>
      <c r="Z38" s="47">
        <f t="shared" si="108"/>
        <v>6.613158913035333E-2</v>
      </c>
      <c r="AA38" s="47">
        <f t="shared" si="107"/>
        <v>9.8311132614644858E-2</v>
      </c>
      <c r="AB38" s="47">
        <f t="shared" si="107"/>
        <v>0.10150528693055638</v>
      </c>
      <c r="AC38" s="47">
        <f t="shared" si="107"/>
        <v>7.2288371082167791E-2</v>
      </c>
      <c r="AD38" s="47">
        <f t="shared" si="107"/>
        <v>8.4362669913711441E-2</v>
      </c>
      <c r="AE38" s="47">
        <f t="shared" si="107"/>
        <v>6.2132784150041642E-2</v>
      </c>
      <c r="BD38" s="47"/>
      <c r="BR38" s="68" t="s">
        <v>13</v>
      </c>
      <c r="BS38" s="75">
        <f>+Main!G5</f>
        <v>27467</v>
      </c>
    </row>
    <row r="39" spans="1:71">
      <c r="B39" s="4" t="s">
        <v>25</v>
      </c>
      <c r="G39" s="47">
        <f t="shared" si="106"/>
        <v>0.10976224420731273</v>
      </c>
      <c r="H39" s="47">
        <f t="shared" si="106"/>
        <v>0.21516946129147341</v>
      </c>
      <c r="I39" s="47">
        <f t="shared" si="106"/>
        <v>0.10427295275352377</v>
      </c>
      <c r="J39" s="47">
        <f t="shared" si="106"/>
        <v>0.79788524874328304</v>
      </c>
      <c r="K39" s="47">
        <f t="shared" si="106"/>
        <v>0.33229954712378174</v>
      </c>
      <c r="L39" s="47">
        <f t="shared" si="106"/>
        <v>0.42561037191878159</v>
      </c>
      <c r="M39" s="47">
        <f t="shared" si="106"/>
        <v>5.0637303239472686E-2</v>
      </c>
      <c r="N39" s="47">
        <f t="shared" si="106"/>
        <v>8.3841110682606912E-2</v>
      </c>
      <c r="O39" s="47">
        <f t="shared" si="106"/>
        <v>3.7001684993815287E-2</v>
      </c>
      <c r="P39" s="47">
        <f t="shared" si="106"/>
        <v>-0.15443799168005268</v>
      </c>
      <c r="Q39" s="47">
        <f t="shared" si="106"/>
        <v>0.15712175197705736</v>
      </c>
      <c r="R39" s="47">
        <f t="shared" si="106"/>
        <v>0.10325932251636782</v>
      </c>
      <c r="S39" s="47">
        <f t="shared" si="106"/>
        <v>0.45677655677655671</v>
      </c>
      <c r="T39" s="47">
        <f t="shared" si="106"/>
        <v>0.42277903884185597</v>
      </c>
      <c r="U39" s="47">
        <f t="shared" si="106"/>
        <v>9.5981975215921889E-2</v>
      </c>
      <c r="V39" s="47">
        <f t="shared" si="106"/>
        <v>0.28827485002902664</v>
      </c>
      <c r="W39" s="47">
        <f t="shared" si="106"/>
        <v>-4.9650877159049145E-2</v>
      </c>
      <c r="X39" s="47">
        <f t="shared" si="106"/>
        <v>-3.5770041905179295E-2</v>
      </c>
      <c r="Y39" s="47">
        <f t="shared" si="106"/>
        <v>-3.4495991228671308E-2</v>
      </c>
      <c r="Z39" s="47">
        <f t="shared" si="108"/>
        <v>-0.15461549534663943</v>
      </c>
      <c r="AA39" s="47">
        <f t="shared" si="107"/>
        <v>6.3635500196741468E-3</v>
      </c>
      <c r="AB39" s="47">
        <f t="shared" si="107"/>
        <v>0.11131941485584429</v>
      </c>
      <c r="AC39" s="47">
        <f t="shared" si="107"/>
        <v>0.1320477515330456</v>
      </c>
      <c r="AD39" s="47">
        <f t="shared" si="107"/>
        <v>0.25300393120756914</v>
      </c>
      <c r="AE39" s="47">
        <f t="shared" si="107"/>
        <v>0.37943238506134547</v>
      </c>
      <c r="BD39" s="47"/>
      <c r="BE39" s="47"/>
      <c r="BF39" s="47"/>
      <c r="BR39" s="68" t="s">
        <v>38</v>
      </c>
      <c r="BS39" s="75">
        <f>+BS37/BS38</f>
        <v>3062.5655743880038</v>
      </c>
    </row>
    <row r="40" spans="1:71" s="47" customFormat="1">
      <c r="A40" s="30"/>
      <c r="B40" s="18"/>
      <c r="C40" s="47">
        <f t="shared" ref="C40:AD40" si="111">+C23/C14</f>
        <v>7.1875856661823362E-2</v>
      </c>
      <c r="D40" s="47">
        <f t="shared" si="111"/>
        <v>9.093567776543536E-2</v>
      </c>
      <c r="E40" s="47">
        <f t="shared" si="111"/>
        <v>3.3343557248903886E-2</v>
      </c>
      <c r="F40" s="47">
        <f t="shared" si="111"/>
        <v>5.7076839924331144E-2</v>
      </c>
      <c r="G40" s="47">
        <f t="shared" si="111"/>
        <v>8.5046373336050168E-2</v>
      </c>
      <c r="H40" s="47">
        <f t="shared" si="111"/>
        <v>8.944114581688406E-2</v>
      </c>
      <c r="I40" s="47">
        <f t="shared" si="111"/>
        <v>5.260786264894813E-2</v>
      </c>
      <c r="J40" s="47">
        <f t="shared" si="111"/>
        <v>4.0500840366316453E-2</v>
      </c>
      <c r="K40" s="47">
        <f t="shared" si="111"/>
        <v>8.9513436990957929E-2</v>
      </c>
      <c r="L40" s="47">
        <f t="shared" si="111"/>
        <v>8.6810980936822588E-2</v>
      </c>
      <c r="M40" s="47">
        <f t="shared" si="111"/>
        <v>8.6591337019313999E-2</v>
      </c>
      <c r="N40" s="47">
        <f t="shared" si="111"/>
        <v>7.2449841135823312E-2</v>
      </c>
      <c r="O40" s="47">
        <f t="shared" si="111"/>
        <v>5.7030476930361534E-2</v>
      </c>
      <c r="P40" s="47">
        <f t="shared" si="111"/>
        <v>3.2753539507216769E-4</v>
      </c>
      <c r="Q40" s="47">
        <f t="shared" si="111"/>
        <v>7.1865863543093794E-2</v>
      </c>
      <c r="R40" s="47">
        <f t="shared" si="111"/>
        <v>7.7594839865398613E-2</v>
      </c>
      <c r="S40" s="47">
        <f t="shared" si="111"/>
        <v>9.5953375536511495E-2</v>
      </c>
      <c r="T40" s="47">
        <f t="shared" si="111"/>
        <v>0.13198731016233228</v>
      </c>
      <c r="U40" s="47">
        <f t="shared" si="111"/>
        <v>0.12515295943533702</v>
      </c>
      <c r="V40" s="47">
        <f t="shared" si="111"/>
        <v>8.313386544039604E-2</v>
      </c>
      <c r="W40" s="47">
        <f t="shared" si="111"/>
        <v>9.6276785550786198E-2</v>
      </c>
      <c r="X40" s="47">
        <f t="shared" si="111"/>
        <v>0.15464373058081027</v>
      </c>
      <c r="Y40" s="47">
        <f t="shared" si="111"/>
        <v>0.15431936671658766</v>
      </c>
      <c r="Z40" s="47">
        <f t="shared" si="111"/>
        <v>0.13854725238340473</v>
      </c>
      <c r="AA40" s="47">
        <f t="shared" si="111"/>
        <v>0.15873096961048391</v>
      </c>
      <c r="AB40" s="47">
        <f t="shared" si="111"/>
        <v>0.17816519080436186</v>
      </c>
      <c r="AC40" s="47">
        <f t="shared" si="111"/>
        <v>0.16270204713044126</v>
      </c>
      <c r="AD40" s="47">
        <f t="shared" si="111"/>
        <v>0.14703018693965791</v>
      </c>
      <c r="AE40" s="47">
        <f>+AE23/AE14</f>
        <v>0.16535756267562055</v>
      </c>
      <c r="AS40" s="47">
        <f t="shared" ref="AS40:AW40" si="112">+AS23/AS14</f>
        <v>0.15702157433991262</v>
      </c>
      <c r="AT40" s="47">
        <f t="shared" si="112"/>
        <v>0.16874924942077252</v>
      </c>
      <c r="AU40" s="47">
        <f t="shared" si="112"/>
        <v>0.16781948310064951</v>
      </c>
      <c r="AV40" s="47">
        <f t="shared" si="112"/>
        <v>0.17471494685474587</v>
      </c>
      <c r="AW40" s="47">
        <f t="shared" si="112"/>
        <v>0.17257154333388947</v>
      </c>
      <c r="AX40" s="47">
        <f t="shared" ref="AX40:BL40" si="113">+AX23/AX14</f>
        <v>1.4968814542831853E-2</v>
      </c>
      <c r="AY40" s="47">
        <f t="shared" si="113"/>
        <v>6.3474720378731891E-2</v>
      </c>
      <c r="AZ40" s="47">
        <f t="shared" si="113"/>
        <v>6.6805344723570581E-2</v>
      </c>
      <c r="BA40" s="47">
        <f t="shared" si="113"/>
        <v>8.3686201180050948E-2</v>
      </c>
      <c r="BB40" s="47">
        <f t="shared" si="113"/>
        <v>5.3594087792169079E-2</v>
      </c>
      <c r="BC40" s="47">
        <f t="shared" si="113"/>
        <v>0.10921257957236598</v>
      </c>
      <c r="BD40" s="47">
        <f t="shared" si="113"/>
        <v>0.13683724601755809</v>
      </c>
      <c r="BE40" s="47">
        <f t="shared" si="113"/>
        <v>0.16169365422129575</v>
      </c>
      <c r="BF40" s="47">
        <f t="shared" si="113"/>
        <v>0.16169365422129575</v>
      </c>
      <c r="BG40" s="47">
        <f t="shared" si="113"/>
        <v>0.16169365422129583</v>
      </c>
      <c r="BH40" s="47">
        <f t="shared" si="113"/>
        <v>0.16169365422129586</v>
      </c>
      <c r="BI40" s="47">
        <f t="shared" si="113"/>
        <v>0.16169365422129561</v>
      </c>
      <c r="BJ40" s="47">
        <f t="shared" si="113"/>
        <v>0.16169365422129583</v>
      </c>
      <c r="BK40" s="47">
        <f t="shared" si="113"/>
        <v>0.16169365422129578</v>
      </c>
      <c r="BL40" s="47">
        <f t="shared" si="113"/>
        <v>0.16169365422129567</v>
      </c>
      <c r="BM40" s="47">
        <f>+BM23/BM14</f>
        <v>0.16169365422129556</v>
      </c>
      <c r="BN40" s="47">
        <f>+BN23/BN14</f>
        <v>0.16169365422129572</v>
      </c>
      <c r="BO40" s="47">
        <f>+BO23/BO14</f>
        <v>0.16169365422129583</v>
      </c>
      <c r="BR40" s="76" t="s">
        <v>39</v>
      </c>
      <c r="BS40" s="77">
        <f>+Main!G4</f>
        <v>3151.63</v>
      </c>
    </row>
    <row r="41" spans="1:71">
      <c r="B41" s="28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36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R41" s="78" t="s">
        <v>46</v>
      </c>
      <c r="BS41" s="79">
        <f>+BS39/BS40-1</f>
        <v>-2.8259797505416628E-2</v>
      </c>
    </row>
    <row r="42" spans="1:71" s="26" customFormat="1">
      <c r="A42" s="29"/>
      <c r="B42" s="10"/>
      <c r="C42" s="19"/>
      <c r="D42" s="19"/>
      <c r="E42" s="19"/>
      <c r="F42" s="19"/>
      <c r="AA42" s="37"/>
      <c r="AM42" s="19"/>
      <c r="BR42" s="17"/>
      <c r="BS42" s="17"/>
    </row>
    <row r="43" spans="1:71" s="26" customFormat="1">
      <c r="A43" s="29"/>
      <c r="B43" s="10"/>
      <c r="C43" s="19"/>
      <c r="D43" s="19"/>
      <c r="E43" s="19"/>
      <c r="F43" s="19"/>
      <c r="AA43" s="37"/>
      <c r="AM43" s="19"/>
    </row>
    <row r="44" spans="1:71" s="24" customFormat="1">
      <c r="A44" s="32"/>
      <c r="B44" s="10" t="s">
        <v>167</v>
      </c>
      <c r="C44" s="19"/>
      <c r="D44" s="19"/>
      <c r="E44" s="19"/>
      <c r="F44" s="19"/>
      <c r="O44" s="33"/>
      <c r="P44" s="33"/>
      <c r="Q44" s="33"/>
      <c r="R44" s="33"/>
      <c r="S44" s="33">
        <v>1424.91</v>
      </c>
      <c r="T44" s="33">
        <v>1407.99</v>
      </c>
      <c r="U44" s="33">
        <v>1812.75</v>
      </c>
      <c r="V44" s="33">
        <v>1750.04</v>
      </c>
      <c r="W44" s="33">
        <v>1490.25</v>
      </c>
      <c r="X44" s="33">
        <f>+BS40</f>
        <v>3151.63</v>
      </c>
      <c r="Y44" s="33"/>
      <c r="Z44" s="33"/>
      <c r="AA44" s="38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17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R44" s="17" t="s">
        <v>216</v>
      </c>
      <c r="BS44" s="85">
        <f>+Main!$G$9/Model!BE27</f>
        <v>67.743629551411217</v>
      </c>
    </row>
    <row r="45" spans="1:71" s="24" customFormat="1">
      <c r="A45" s="32"/>
      <c r="B45" s="10" t="s">
        <v>168</v>
      </c>
      <c r="C45" s="19"/>
      <c r="D45" s="19"/>
      <c r="E45" s="19"/>
      <c r="F45" s="19"/>
      <c r="O45" s="33"/>
      <c r="P45" s="33"/>
      <c r="Q45" s="33"/>
      <c r="R45" s="33"/>
      <c r="S45" s="33">
        <f>+S29*S44/1000</f>
        <v>42513.230514606745</v>
      </c>
      <c r="T45" s="33">
        <f>+T29*T44/1000</f>
        <v>40129.122990000003</v>
      </c>
      <c r="U45" s="33">
        <f>+U29*U44/1000</f>
        <v>51618.056250000001</v>
      </c>
      <c r="V45" s="33">
        <f>+V29*V44/1000</f>
        <v>49849.8894</v>
      </c>
      <c r="W45" s="33">
        <f>+W29*W44/1000</f>
        <v>42175.56525</v>
      </c>
      <c r="X45" s="33">
        <f>+Main!G6/1000</f>
        <v>86565.821210000009</v>
      </c>
      <c r="Y45" s="33"/>
      <c r="Z45" s="33"/>
      <c r="AA45" s="38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17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R45" s="17" t="s">
        <v>215</v>
      </c>
      <c r="BS45" s="85">
        <f>+Main!$G$9/Model!BF27</f>
        <v>36.590049159184296</v>
      </c>
    </row>
    <row r="46" spans="1:71" s="24" customFormat="1">
      <c r="A46" s="32"/>
      <c r="B46" s="10" t="s">
        <v>169</v>
      </c>
      <c r="C46" s="19"/>
      <c r="D46" s="19"/>
      <c r="E46" s="19"/>
      <c r="F46" s="19"/>
      <c r="O46" s="33"/>
      <c r="P46" s="33"/>
      <c r="Q46" s="33"/>
      <c r="R46" s="33"/>
      <c r="S46" s="33">
        <f>+S45-(S50/1000)</f>
        <v>41316.078514606743</v>
      </c>
      <c r="T46" s="33">
        <f>+T45-(T50/1000)</f>
        <v>38959.702990000005</v>
      </c>
      <c r="U46" s="33">
        <f>+U45-(U50/1000)</f>
        <v>50379.178250000004</v>
      </c>
      <c r="V46" s="33">
        <f>+V45-(V50/1000)</f>
        <v>48468.403400000003</v>
      </c>
      <c r="W46" s="33">
        <f>+W45-(W50/1000)</f>
        <v>40955.363250000002</v>
      </c>
      <c r="X46" s="33">
        <f>+Main!G9/1000</f>
        <v>85838.427210000009</v>
      </c>
      <c r="Y46" s="33"/>
      <c r="Z46" s="33"/>
      <c r="AA46" s="38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17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R46" s="17" t="s">
        <v>217</v>
      </c>
      <c r="BS46" s="85">
        <f>+Main!$G$9/Model!BG27</f>
        <v>31.653311537686115</v>
      </c>
    </row>
    <row r="47" spans="1:71" s="26" customFormat="1">
      <c r="A47" s="29"/>
      <c r="B47" s="10"/>
      <c r="C47" s="19"/>
      <c r="D47" s="19"/>
      <c r="E47" s="19"/>
      <c r="F47" s="19"/>
      <c r="AA47" s="37"/>
      <c r="AM47" s="19"/>
    </row>
    <row r="48" spans="1:71" s="26" customFormat="1">
      <c r="A48" s="29"/>
      <c r="B48" s="10"/>
      <c r="C48" s="19"/>
      <c r="D48" s="19"/>
      <c r="E48" s="19"/>
      <c r="F48" s="19"/>
      <c r="AA48" s="37"/>
      <c r="AM48" s="19"/>
    </row>
    <row r="49" spans="2:67"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X49" s="47"/>
      <c r="AY49" s="47"/>
      <c r="AZ49" s="47"/>
      <c r="BA49" s="47"/>
      <c r="BB49" s="47"/>
      <c r="BC49" s="47"/>
    </row>
    <row r="50" spans="2:67">
      <c r="B50" s="4" t="s">
        <v>115</v>
      </c>
      <c r="C50" s="17">
        <f>+C51+C59+C60+C56</f>
        <v>577040</v>
      </c>
      <c r="D50" s="17">
        <f t="shared" ref="D50:N50" si="114">+D51+D59+D60+D56</f>
        <v>569603</v>
      </c>
      <c r="E50" s="17">
        <f t="shared" ref="E50:F50" si="115">+E51+E59+E60+E56</f>
        <v>548357</v>
      </c>
      <c r="F50" s="17">
        <f t="shared" si="115"/>
        <v>538552</v>
      </c>
      <c r="G50" s="17">
        <f t="shared" ref="G50:H50" si="116">+G51+G59+G60+G56</f>
        <v>579977</v>
      </c>
      <c r="H50" s="17">
        <f t="shared" si="116"/>
        <v>573927</v>
      </c>
      <c r="I50" s="17">
        <f t="shared" si="114"/>
        <v>700395</v>
      </c>
      <c r="J50" s="17">
        <f t="shared" si="114"/>
        <v>706997</v>
      </c>
      <c r="K50" s="17">
        <f t="shared" si="114"/>
        <v>763406</v>
      </c>
      <c r="L50" s="17">
        <f t="shared" ref="L50:M50" si="117">+L51+L59+L60+L56</f>
        <v>746323</v>
      </c>
      <c r="M50" s="17">
        <f t="shared" si="117"/>
        <v>844058</v>
      </c>
      <c r="N50" s="17">
        <f t="shared" si="114"/>
        <v>908637</v>
      </c>
      <c r="O50" s="17">
        <f t="shared" ref="O50:T50" si="118">+O51+O59+O60+O56</f>
        <v>909249</v>
      </c>
      <c r="P50" s="17">
        <f t="shared" si="118"/>
        <v>934642</v>
      </c>
      <c r="Q50" s="17">
        <f t="shared" si="118"/>
        <v>1094285</v>
      </c>
      <c r="R50" s="17">
        <f t="shared" si="118"/>
        <v>1081780</v>
      </c>
      <c r="S50" s="17">
        <f t="shared" si="118"/>
        <v>1197152</v>
      </c>
      <c r="T50" s="17">
        <f t="shared" si="118"/>
        <v>1169420</v>
      </c>
      <c r="U50" s="17">
        <f>+U51+U59+U60+U56</f>
        <v>1238878</v>
      </c>
      <c r="V50" s="17">
        <f t="shared" ref="V50:AE50" si="119">+V51+V59+V60+V56</f>
        <v>1381486</v>
      </c>
      <c r="W50" s="17">
        <f t="shared" si="119"/>
        <v>1220202</v>
      </c>
      <c r="X50" s="17">
        <f>+X51+X59+X60+X56</f>
        <v>1152423</v>
      </c>
      <c r="Y50" s="17">
        <f t="shared" si="119"/>
        <v>1257495</v>
      </c>
      <c r="Z50" s="17">
        <f t="shared" si="119"/>
        <v>1312157</v>
      </c>
      <c r="AA50" s="17">
        <f t="shared" si="119"/>
        <v>1455741</v>
      </c>
      <c r="AB50" s="17">
        <f t="shared" si="119"/>
        <v>1811876</v>
      </c>
      <c r="AC50" s="17">
        <f t="shared" si="119"/>
        <v>1952568</v>
      </c>
      <c r="AD50" s="17">
        <f t="shared" si="119"/>
        <v>1885489</v>
      </c>
      <c r="AE50" s="17">
        <f t="shared" si="119"/>
        <v>2222821</v>
      </c>
      <c r="BE50" s="17">
        <f>+AE50</f>
        <v>2222821</v>
      </c>
      <c r="BF50" s="17">
        <f t="shared" ref="BF50:BO50" si="120">+BE50+BF27</f>
        <v>4568771.0378521383</v>
      </c>
      <c r="BG50" s="17">
        <f t="shared" si="120"/>
        <v>7280601.9029356111</v>
      </c>
      <c r="BH50" s="17">
        <f t="shared" si="120"/>
        <v>10394937.723508351</v>
      </c>
      <c r="BI50" s="17">
        <f t="shared" si="120"/>
        <v>13951495.016740199</v>
      </c>
      <c r="BJ50" s="17">
        <f t="shared" si="120"/>
        <v>17993322.113293312</v>
      </c>
      <c r="BK50" s="17">
        <f t="shared" si="120"/>
        <v>22567056.182580225</v>
      </c>
      <c r="BL50" s="17">
        <f t="shared" si="120"/>
        <v>27723199.108881813</v>
      </c>
      <c r="BM50" s="17">
        <f t="shared" si="120"/>
        <v>33516413.555167086</v>
      </c>
      <c r="BN50" s="17">
        <f t="shared" si="120"/>
        <v>40005840.644015081</v>
      </c>
      <c r="BO50" s="17">
        <f t="shared" si="120"/>
        <v>47255440.783891782</v>
      </c>
    </row>
    <row r="51" spans="2:67">
      <c r="B51" s="4" t="s">
        <v>55</v>
      </c>
      <c r="C51" s="17">
        <v>122413</v>
      </c>
      <c r="D51" s="17">
        <v>175137</v>
      </c>
      <c r="E51" s="17">
        <v>113480</v>
      </c>
      <c r="F51" s="17">
        <v>184569</v>
      </c>
      <c r="G51" s="17">
        <v>231838</v>
      </c>
      <c r="H51" s="17">
        <v>225658</v>
      </c>
      <c r="I51" s="17">
        <v>343028</v>
      </c>
      <c r="J51" s="17">
        <v>249953</v>
      </c>
      <c r="K51" s="17">
        <v>277661</v>
      </c>
      <c r="L51" s="17">
        <v>299913</v>
      </c>
      <c r="M51" s="17">
        <v>386565</v>
      </c>
      <c r="N51" s="17">
        <v>480626</v>
      </c>
      <c r="O51" s="17">
        <v>500315</v>
      </c>
      <c r="P51" s="17">
        <v>605622</v>
      </c>
      <c r="Q51" s="17">
        <v>662401</v>
      </c>
      <c r="R51" s="17">
        <v>607987</v>
      </c>
      <c r="S51" s="17">
        <v>694776</v>
      </c>
      <c r="T51" s="17">
        <v>668269</v>
      </c>
      <c r="U51" s="17">
        <v>721109</v>
      </c>
      <c r="V51" s="17">
        <v>815374</v>
      </c>
      <c r="W51" s="17">
        <v>615863</v>
      </c>
      <c r="X51" s="17">
        <v>520933</v>
      </c>
      <c r="Y51" s="17">
        <v>366623</v>
      </c>
      <c r="Z51" s="17">
        <v>384000</v>
      </c>
      <c r="AA51" s="17">
        <v>409727</v>
      </c>
      <c r="AB51" s="17">
        <v>504866</v>
      </c>
      <c r="AC51" s="17">
        <v>602307</v>
      </c>
      <c r="AD51" s="17">
        <v>560609</v>
      </c>
      <c r="AE51" s="17">
        <v>727394</v>
      </c>
    </row>
    <row r="52" spans="2:67">
      <c r="B52" s="4" t="s">
        <v>56</v>
      </c>
      <c r="C52" s="17">
        <v>21852</v>
      </c>
      <c r="D52" s="17">
        <v>24940</v>
      </c>
      <c r="E52" s="17">
        <v>23870</v>
      </c>
      <c r="F52" s="17">
        <v>40453</v>
      </c>
      <c r="G52" s="17">
        <v>26691</v>
      </c>
      <c r="H52" s="17">
        <v>23702</v>
      </c>
      <c r="I52" s="17">
        <v>26868</v>
      </c>
      <c r="J52" s="17">
        <v>62312</v>
      </c>
      <c r="K52" s="17">
        <v>49725</v>
      </c>
      <c r="L52" s="17">
        <v>49362</v>
      </c>
      <c r="M52" s="17">
        <v>49489</v>
      </c>
      <c r="N52" s="17">
        <v>80545</v>
      </c>
      <c r="O52" s="17">
        <v>63461</v>
      </c>
      <c r="P52" s="17">
        <v>68006</v>
      </c>
      <c r="Q52" s="17">
        <v>69366</v>
      </c>
      <c r="R52" s="17">
        <v>104500</v>
      </c>
      <c r="S52" s="17">
        <v>68449</v>
      </c>
      <c r="T52" s="17">
        <v>75697</v>
      </c>
      <c r="U52" s="17">
        <v>76099</v>
      </c>
      <c r="V52" s="17">
        <v>99599</v>
      </c>
      <c r="W52" s="17">
        <v>89295</v>
      </c>
      <c r="X52" s="17">
        <v>83636</v>
      </c>
      <c r="Y52" s="17">
        <v>71276</v>
      </c>
      <c r="Z52" s="17">
        <v>106880</v>
      </c>
      <c r="AA52" s="17">
        <v>65869</v>
      </c>
      <c r="AB52" s="17">
        <v>60985</v>
      </c>
      <c r="AC52" s="17">
        <v>71122</v>
      </c>
      <c r="AD52" s="17">
        <v>115535</v>
      </c>
      <c r="AE52" s="17">
        <v>89836</v>
      </c>
    </row>
    <row r="53" spans="2:67">
      <c r="B53" s="4" t="s">
        <v>57</v>
      </c>
      <c r="C53" s="17">
        <v>18319</v>
      </c>
      <c r="D53" s="17">
        <v>19126</v>
      </c>
      <c r="E53" s="17">
        <v>21634</v>
      </c>
      <c r="F53" s="17">
        <v>19860</v>
      </c>
      <c r="G53" s="17">
        <v>17404</v>
      </c>
      <c r="H53" s="17">
        <v>20851</v>
      </c>
      <c r="I53" s="17">
        <v>18285</v>
      </c>
      <c r="J53" s="17">
        <v>21555</v>
      </c>
      <c r="K53" s="17">
        <v>18780</v>
      </c>
      <c r="L53" s="17">
        <v>21144</v>
      </c>
      <c r="M53" s="17">
        <v>23871</v>
      </c>
      <c r="N53" s="17">
        <v>26096</v>
      </c>
      <c r="O53" s="17">
        <v>23335</v>
      </c>
      <c r="P53" s="17">
        <v>24178</v>
      </c>
      <c r="Q53" s="17">
        <v>25464</v>
      </c>
      <c r="R53" s="17">
        <v>26445</v>
      </c>
      <c r="S53" s="17">
        <v>24304</v>
      </c>
      <c r="T53" s="17">
        <v>25159</v>
      </c>
      <c r="U53" s="17">
        <v>28450</v>
      </c>
      <c r="V53" s="17">
        <v>32826</v>
      </c>
      <c r="W53" s="17">
        <v>29852</v>
      </c>
      <c r="X53" s="17">
        <v>29456</v>
      </c>
      <c r="Y53" s="17">
        <v>33752</v>
      </c>
      <c r="Z53" s="17">
        <v>35668</v>
      </c>
      <c r="AA53" s="17">
        <v>34599</v>
      </c>
      <c r="AB53" s="17">
        <v>36004</v>
      </c>
      <c r="AC53" s="17">
        <v>40177</v>
      </c>
      <c r="AD53" s="17">
        <v>39309</v>
      </c>
      <c r="AE53" s="17">
        <v>37947</v>
      </c>
    </row>
    <row r="54" spans="2:67">
      <c r="B54" s="4" t="s">
        <v>58</v>
      </c>
      <c r="C54" s="17">
        <v>47023</v>
      </c>
      <c r="D54" s="17">
        <v>50296</v>
      </c>
      <c r="E54" s="17">
        <v>49089</v>
      </c>
      <c r="F54" s="17">
        <v>50918</v>
      </c>
      <c r="G54" s="17">
        <v>55742</v>
      </c>
      <c r="H54" s="17">
        <v>69860</v>
      </c>
      <c r="I54" s="17">
        <v>55406</v>
      </c>
      <c r="J54" s="17">
        <v>54129</v>
      </c>
      <c r="K54" s="17">
        <v>34217</v>
      </c>
      <c r="L54" s="17">
        <v>44116</v>
      </c>
      <c r="M54" s="17">
        <v>62211</v>
      </c>
      <c r="N54" s="17">
        <v>57076</v>
      </c>
      <c r="O54" s="17">
        <v>50781</v>
      </c>
      <c r="P54" s="17">
        <v>53656</v>
      </c>
      <c r="Q54" s="17">
        <v>50794</v>
      </c>
      <c r="R54" s="17">
        <v>54906</v>
      </c>
      <c r="S54" s="17">
        <v>61615</v>
      </c>
      <c r="T54" s="17">
        <v>71613</v>
      </c>
      <c r="U54" s="17">
        <v>72821</v>
      </c>
      <c r="V54" s="17">
        <v>78756</v>
      </c>
      <c r="W54" s="17">
        <v>70403</v>
      </c>
      <c r="X54" s="17">
        <v>73716</v>
      </c>
      <c r="Y54" s="17">
        <v>76439</v>
      </c>
      <c r="Z54" s="17">
        <v>86412</v>
      </c>
      <c r="AA54" s="17">
        <v>98389</v>
      </c>
      <c r="AB54" s="17">
        <v>103422</v>
      </c>
      <c r="AC54" s="17">
        <v>104038</v>
      </c>
      <c r="AD54" s="17">
        <v>117462</v>
      </c>
      <c r="AE54" s="17">
        <v>98118</v>
      </c>
    </row>
    <row r="55" spans="2:67">
      <c r="B55" s="4" t="s">
        <v>59</v>
      </c>
      <c r="C55" s="17">
        <v>0</v>
      </c>
      <c r="D55" s="17">
        <v>0</v>
      </c>
      <c r="E55" s="17">
        <v>12986</v>
      </c>
      <c r="F55" s="17">
        <v>9353</v>
      </c>
      <c r="G55" s="17">
        <v>0</v>
      </c>
      <c r="H55" s="17">
        <v>32334</v>
      </c>
      <c r="I55" s="17">
        <v>21697</v>
      </c>
      <c r="J55" s="17">
        <v>0</v>
      </c>
      <c r="K55" s="17">
        <v>0</v>
      </c>
      <c r="L55" s="17">
        <v>0</v>
      </c>
      <c r="M55" s="17">
        <v>3824</v>
      </c>
      <c r="N55" s="17">
        <v>27705</v>
      </c>
      <c r="O55" s="17">
        <v>56631</v>
      </c>
      <c r="P55" s="17">
        <v>97840</v>
      </c>
      <c r="Q55" s="17">
        <v>60436</v>
      </c>
      <c r="R55" s="17">
        <v>282783</v>
      </c>
      <c r="S55" s="17">
        <v>244122</v>
      </c>
      <c r="T55" s="17">
        <v>284612</v>
      </c>
      <c r="U55" s="17">
        <v>318593</v>
      </c>
      <c r="V55" s="17">
        <v>94064</v>
      </c>
      <c r="W55" s="17">
        <v>50701</v>
      </c>
      <c r="X55" s="17">
        <v>97874</v>
      </c>
      <c r="Y55" s="17">
        <v>112064</v>
      </c>
      <c r="Z55" s="17">
        <v>47741</v>
      </c>
      <c r="AA55" s="17">
        <v>0</v>
      </c>
      <c r="AB55" s="17">
        <v>0</v>
      </c>
      <c r="AC55" s="17">
        <v>0</v>
      </c>
      <c r="AD55" s="17">
        <v>52960</v>
      </c>
      <c r="AE55" s="17">
        <v>0</v>
      </c>
    </row>
    <row r="56" spans="2:67">
      <c r="B56" s="4" t="s">
        <v>60</v>
      </c>
      <c r="C56" s="17">
        <v>454627</v>
      </c>
      <c r="D56" s="17">
        <v>394466</v>
      </c>
      <c r="E56" s="17">
        <v>434877</v>
      </c>
      <c r="F56" s="17">
        <v>324382</v>
      </c>
      <c r="G56" s="17">
        <v>298764</v>
      </c>
      <c r="H56" s="17">
        <v>348269</v>
      </c>
      <c r="I56" s="17">
        <v>327787</v>
      </c>
      <c r="J56" s="17">
        <v>426845</v>
      </c>
      <c r="K56" s="17">
        <v>457363</v>
      </c>
      <c r="L56" s="17">
        <v>417867</v>
      </c>
      <c r="M56" s="17">
        <v>428796</v>
      </c>
      <c r="N56" s="17">
        <v>400156</v>
      </c>
      <c r="O56" s="17">
        <v>380978</v>
      </c>
      <c r="P56" s="17">
        <v>301041</v>
      </c>
      <c r="Q56" s="17">
        <v>342819</v>
      </c>
      <c r="R56" s="17">
        <v>343616</v>
      </c>
      <c r="S56" s="17">
        <v>363585</v>
      </c>
      <c r="T56" s="17">
        <v>322460</v>
      </c>
      <c r="U56" s="17">
        <v>301534</v>
      </c>
      <c r="V56" s="17">
        <v>260945</v>
      </c>
      <c r="W56" s="17">
        <v>240379</v>
      </c>
      <c r="X56" s="17">
        <v>240684</v>
      </c>
      <c r="Y56" s="17">
        <v>417278</v>
      </c>
      <c r="Z56" s="17">
        <v>515136</v>
      </c>
      <c r="AA56" s="17">
        <v>652858</v>
      </c>
      <c r="AB56" s="17">
        <v>851142</v>
      </c>
      <c r="AC56" s="17">
        <v>851699</v>
      </c>
      <c r="AD56" s="17">
        <v>734838</v>
      </c>
      <c r="AE56" s="17">
        <v>692474</v>
      </c>
    </row>
    <row r="57" spans="2:67">
      <c r="B57" s="4" t="s">
        <v>61</v>
      </c>
      <c r="C57" s="17">
        <f t="shared" ref="C57:N57" si="121">+SUM(C51:C56)</f>
        <v>664234</v>
      </c>
      <c r="D57" s="17">
        <f t="shared" si="121"/>
        <v>663965</v>
      </c>
      <c r="E57" s="17">
        <f t="shared" si="121"/>
        <v>655936</v>
      </c>
      <c r="F57" s="17">
        <f t="shared" si="121"/>
        <v>629535</v>
      </c>
      <c r="G57" s="17">
        <f t="shared" si="121"/>
        <v>630439</v>
      </c>
      <c r="H57" s="17">
        <f t="shared" si="121"/>
        <v>720674</v>
      </c>
      <c r="I57" s="17">
        <f t="shared" si="121"/>
        <v>793071</v>
      </c>
      <c r="J57" s="17">
        <f t="shared" si="121"/>
        <v>814794</v>
      </c>
      <c r="K57" s="17">
        <f t="shared" si="121"/>
        <v>837746</v>
      </c>
      <c r="L57" s="17">
        <f t="shared" si="121"/>
        <v>832402</v>
      </c>
      <c r="M57" s="17">
        <f t="shared" si="121"/>
        <v>954756</v>
      </c>
      <c r="N57" s="17">
        <f t="shared" si="121"/>
        <v>1072204</v>
      </c>
      <c r="O57" s="17">
        <f t="shared" ref="O57:W57" si="122">+SUM(O51:O56)</f>
        <v>1075501</v>
      </c>
      <c r="P57" s="17">
        <f t="shared" si="122"/>
        <v>1150343</v>
      </c>
      <c r="Q57" s="17">
        <f t="shared" si="122"/>
        <v>1211280</v>
      </c>
      <c r="R57" s="17">
        <f t="shared" si="122"/>
        <v>1420237</v>
      </c>
      <c r="S57" s="17">
        <f t="shared" si="122"/>
        <v>1456851</v>
      </c>
      <c r="T57" s="17">
        <f t="shared" si="122"/>
        <v>1447810</v>
      </c>
      <c r="U57" s="17">
        <f t="shared" si="122"/>
        <v>1518606</v>
      </c>
      <c r="V57" s="17">
        <f t="shared" si="122"/>
        <v>1381564</v>
      </c>
      <c r="W57" s="17">
        <f t="shared" si="122"/>
        <v>1096493</v>
      </c>
      <c r="X57" s="17">
        <f t="shared" ref="X57:Z57" si="123">+SUM(X51:X56)</f>
        <v>1046299</v>
      </c>
      <c r="Y57" s="17">
        <f t="shared" si="123"/>
        <v>1077432</v>
      </c>
      <c r="Z57" s="17">
        <f t="shared" si="123"/>
        <v>1175837</v>
      </c>
      <c r="AA57" s="17">
        <f t="shared" ref="AA57:AB57" si="124">+SUM(AA51:AA56)</f>
        <v>1261442</v>
      </c>
      <c r="AB57" s="17">
        <f t="shared" si="124"/>
        <v>1556419</v>
      </c>
      <c r="AC57" s="17">
        <f t="shared" ref="AC57:AE57" si="125">+SUM(AC51:AC56)</f>
        <v>1669343</v>
      </c>
      <c r="AD57" s="17">
        <f t="shared" si="125"/>
        <v>1620713</v>
      </c>
      <c r="AE57" s="17">
        <f t="shared" si="125"/>
        <v>1645769</v>
      </c>
      <c r="BN57" s="33"/>
    </row>
    <row r="58" spans="2:67">
      <c r="B58" s="4" t="s">
        <v>193</v>
      </c>
      <c r="C58" s="17">
        <v>1322622</v>
      </c>
      <c r="D58" s="17">
        <v>1328280</v>
      </c>
      <c r="E58" s="17">
        <v>1331786</v>
      </c>
      <c r="F58" s="17">
        <v>1338366</v>
      </c>
      <c r="G58" s="17">
        <v>1343717</v>
      </c>
      <c r="H58" s="17">
        <v>1333949</v>
      </c>
      <c r="I58" s="17">
        <v>1361440</v>
      </c>
      <c r="J58" s="17">
        <v>1379254</v>
      </c>
      <c r="K58" s="17">
        <v>1366684</v>
      </c>
      <c r="L58" s="17">
        <v>1387896</v>
      </c>
      <c r="M58" s="17">
        <v>1425446</v>
      </c>
      <c r="N58" s="17">
        <v>1458690</v>
      </c>
      <c r="O58" s="17">
        <v>1465666</v>
      </c>
      <c r="P58" s="17">
        <v>1498048</v>
      </c>
      <c r="Q58" s="17">
        <v>1547217</v>
      </c>
      <c r="R58" s="17">
        <v>1584311</v>
      </c>
      <c r="S58" s="17">
        <v>1613670</v>
      </c>
      <c r="T58" s="17">
        <v>1666184</v>
      </c>
      <c r="U58" s="17">
        <v>1719224</v>
      </c>
      <c r="V58" s="17">
        <v>1769278</v>
      </c>
      <c r="W58" s="17">
        <v>1779521</v>
      </c>
      <c r="X58" s="17">
        <v>1813348</v>
      </c>
      <c r="Y58" s="17">
        <v>1871623</v>
      </c>
      <c r="Z58" s="17">
        <v>1951147</v>
      </c>
      <c r="AA58" s="17">
        <v>1981329</v>
      </c>
      <c r="AB58" s="17">
        <v>2021964</v>
      </c>
      <c r="AC58" s="17">
        <v>2093011</v>
      </c>
      <c r="AD58" s="17">
        <v>2170038</v>
      </c>
      <c r="AE58" s="17">
        <v>2202739</v>
      </c>
    </row>
    <row r="59" spans="2:67">
      <c r="B59" s="4" t="s">
        <v>62</v>
      </c>
      <c r="C59" s="17">
        <v>0</v>
      </c>
      <c r="D59" s="17">
        <v>0</v>
      </c>
      <c r="E59" s="17">
        <v>0</v>
      </c>
      <c r="F59" s="17">
        <v>0</v>
      </c>
      <c r="G59" s="17">
        <v>49375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61474</v>
      </c>
      <c r="R59" s="17">
        <v>102328</v>
      </c>
      <c r="S59" s="17">
        <v>110928</v>
      </c>
      <c r="T59" s="17">
        <v>150814</v>
      </c>
      <c r="U59" s="17">
        <v>188344</v>
      </c>
      <c r="V59" s="17">
        <v>274311</v>
      </c>
      <c r="W59" s="17">
        <v>333088</v>
      </c>
      <c r="X59" s="17">
        <v>359911</v>
      </c>
      <c r="Y59" s="17">
        <v>442620</v>
      </c>
      <c r="Z59" s="17">
        <v>388055</v>
      </c>
      <c r="AA59" s="17">
        <v>368023</v>
      </c>
      <c r="AB59" s="17">
        <v>430762</v>
      </c>
      <c r="AC59" s="17">
        <v>473247</v>
      </c>
      <c r="AD59" s="17">
        <v>564488</v>
      </c>
      <c r="AE59" s="17">
        <v>776815</v>
      </c>
    </row>
    <row r="60" spans="2:67">
      <c r="B60" s="4" t="s">
        <v>63</v>
      </c>
      <c r="C60" s="17">
        <v>0</v>
      </c>
      <c r="D60" s="17">
        <v>0</v>
      </c>
      <c r="E60" s="17">
        <v>0</v>
      </c>
      <c r="F60" s="17">
        <v>29601</v>
      </c>
      <c r="G60" s="17">
        <v>0</v>
      </c>
      <c r="H60" s="17">
        <v>0</v>
      </c>
      <c r="I60" s="17">
        <v>29580</v>
      </c>
      <c r="J60" s="17">
        <v>30199</v>
      </c>
      <c r="K60" s="17">
        <v>28382</v>
      </c>
      <c r="L60" s="17">
        <v>28543</v>
      </c>
      <c r="M60" s="17">
        <v>28697</v>
      </c>
      <c r="N60" s="17">
        <v>27855</v>
      </c>
      <c r="O60" s="17">
        <v>27956</v>
      </c>
      <c r="P60" s="17">
        <v>27979</v>
      </c>
      <c r="Q60" s="17">
        <v>27591</v>
      </c>
      <c r="R60" s="17">
        <v>27849</v>
      </c>
      <c r="S60" s="17">
        <v>27863</v>
      </c>
      <c r="T60" s="17">
        <v>27877</v>
      </c>
      <c r="U60" s="17">
        <v>27891</v>
      </c>
      <c r="V60" s="17">
        <v>30856</v>
      </c>
      <c r="W60" s="17">
        <v>30872</v>
      </c>
      <c r="X60" s="17">
        <v>30895</v>
      </c>
      <c r="Y60" s="17">
        <v>30974</v>
      </c>
      <c r="Z60" s="17">
        <v>24966</v>
      </c>
      <c r="AA60" s="17">
        <v>25133</v>
      </c>
      <c r="AB60" s="17">
        <v>25106</v>
      </c>
      <c r="AC60" s="17">
        <v>25315</v>
      </c>
      <c r="AD60" s="17">
        <v>25554</v>
      </c>
      <c r="AE60" s="17">
        <v>26138</v>
      </c>
    </row>
    <row r="61" spans="2:67">
      <c r="B61" s="4" t="s">
        <v>144</v>
      </c>
      <c r="C61" s="17">
        <v>0</v>
      </c>
      <c r="D61" s="17">
        <v>0</v>
      </c>
      <c r="E61" s="17">
        <v>0</v>
      </c>
      <c r="G61" s="17">
        <v>0</v>
      </c>
      <c r="H61" s="17">
        <v>0</v>
      </c>
      <c r="J61" s="17">
        <v>0</v>
      </c>
      <c r="K61" s="17">
        <v>0</v>
      </c>
      <c r="L61" s="17">
        <v>0</v>
      </c>
      <c r="M61" s="17">
        <v>9634</v>
      </c>
    </row>
    <row r="62" spans="2:67">
      <c r="B62" s="4" t="s">
        <v>64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2349993</v>
      </c>
      <c r="L62" s="17">
        <v>2370710</v>
      </c>
      <c r="M62" s="17">
        <v>2479464</v>
      </c>
      <c r="N62" s="17">
        <v>2505466</v>
      </c>
      <c r="O62" s="17">
        <v>2591416</v>
      </c>
      <c r="P62" s="17">
        <v>2634165</v>
      </c>
      <c r="Q62" s="17">
        <v>2708218</v>
      </c>
      <c r="R62" s="17">
        <v>2767185</v>
      </c>
      <c r="S62" s="17">
        <v>2858345</v>
      </c>
      <c r="T62" s="17">
        <v>2945912</v>
      </c>
      <c r="U62" s="17">
        <v>3094045</v>
      </c>
      <c r="V62" s="17">
        <v>3118294</v>
      </c>
      <c r="W62" s="17">
        <v>3147061</v>
      </c>
      <c r="X62" s="17">
        <v>3209934</v>
      </c>
      <c r="Y62" s="17">
        <v>3309051</v>
      </c>
      <c r="Z62" s="17">
        <v>3302402</v>
      </c>
      <c r="AA62" s="17">
        <v>3334277</v>
      </c>
      <c r="AB62" s="17">
        <v>3433719</v>
      </c>
      <c r="AC62" s="17">
        <v>3555808</v>
      </c>
      <c r="AD62" s="17">
        <v>3578548</v>
      </c>
      <c r="AE62" s="17">
        <v>3670983</v>
      </c>
    </row>
    <row r="63" spans="2:67">
      <c r="B63" s="4" t="s">
        <v>65</v>
      </c>
      <c r="C63" s="17">
        <v>53737</v>
      </c>
      <c r="D63" s="17">
        <v>54367</v>
      </c>
      <c r="E63" s="17">
        <v>54716</v>
      </c>
      <c r="F63" s="17">
        <v>26251</v>
      </c>
      <c r="G63" s="17">
        <v>51974</v>
      </c>
      <c r="H63" s="17">
        <v>52060</v>
      </c>
      <c r="I63" s="17">
        <v>24842</v>
      </c>
      <c r="J63" s="17">
        <v>19332</v>
      </c>
      <c r="K63" s="17">
        <v>20738</v>
      </c>
      <c r="L63" s="17">
        <v>17817</v>
      </c>
      <c r="M63" s="17">
        <v>18001</v>
      </c>
      <c r="N63" s="17">
        <v>18450</v>
      </c>
      <c r="O63" s="17">
        <v>24010</v>
      </c>
      <c r="P63" s="17">
        <v>37655</v>
      </c>
      <c r="Q63" s="17">
        <v>53921</v>
      </c>
      <c r="R63" s="17">
        <v>59047</v>
      </c>
      <c r="S63" s="17">
        <v>59463</v>
      </c>
      <c r="T63" s="17">
        <v>59918</v>
      </c>
      <c r="U63" s="17">
        <v>57518</v>
      </c>
      <c r="V63" s="17">
        <v>56716</v>
      </c>
      <c r="W63" s="17">
        <v>58283</v>
      </c>
      <c r="X63" s="17">
        <v>63010</v>
      </c>
      <c r="Y63" s="17">
        <v>63798</v>
      </c>
      <c r="Z63" s="17">
        <v>63158</v>
      </c>
      <c r="AA63" s="17">
        <v>61229</v>
      </c>
      <c r="AB63" s="17">
        <v>62526</v>
      </c>
      <c r="AC63" s="17">
        <v>72830</v>
      </c>
      <c r="AD63" s="17">
        <v>63082</v>
      </c>
      <c r="AE63" s="17">
        <v>66866</v>
      </c>
    </row>
    <row r="64" spans="2:67">
      <c r="B64" s="4" t="s">
        <v>66</v>
      </c>
      <c r="C64" s="17">
        <v>21939</v>
      </c>
      <c r="D64" s="17">
        <v>21939</v>
      </c>
      <c r="E64" s="17">
        <v>21939</v>
      </c>
      <c r="F64" s="17">
        <v>21939</v>
      </c>
      <c r="G64" s="17">
        <v>21939</v>
      </c>
      <c r="H64" s="17">
        <v>21939</v>
      </c>
      <c r="I64" s="17">
        <v>21939</v>
      </c>
      <c r="J64" s="17">
        <v>21939</v>
      </c>
      <c r="K64" s="17">
        <v>21939</v>
      </c>
      <c r="L64" s="17">
        <v>21939</v>
      </c>
      <c r="M64" s="17">
        <v>21939</v>
      </c>
      <c r="N64" s="17">
        <v>21939</v>
      </c>
      <c r="O64" s="17">
        <v>21939</v>
      </c>
      <c r="P64" s="17">
        <v>21939</v>
      </c>
      <c r="Q64" s="17">
        <v>21939</v>
      </c>
      <c r="R64" s="17">
        <v>1939</v>
      </c>
      <c r="S64" s="17">
        <v>21939</v>
      </c>
      <c r="T64" s="17">
        <v>21939</v>
      </c>
      <c r="U64" s="17">
        <v>21939</v>
      </c>
      <c r="V64" s="17">
        <v>21939</v>
      </c>
      <c r="W64" s="17">
        <v>21939</v>
      </c>
      <c r="X64" s="17">
        <v>21939</v>
      </c>
      <c r="Y64" s="17">
        <v>21939</v>
      </c>
      <c r="Z64" s="17">
        <v>21939</v>
      </c>
      <c r="AA64" s="17">
        <v>21939</v>
      </c>
      <c r="AB64" s="17">
        <v>21939</v>
      </c>
      <c r="AC64" s="17">
        <v>21939</v>
      </c>
      <c r="AD64" s="17">
        <v>21939</v>
      </c>
      <c r="AE64" s="17">
        <v>21939</v>
      </c>
    </row>
    <row r="65" spans="1:31">
      <c r="B65" s="4" t="s">
        <v>67</v>
      </c>
      <c r="C65" s="17">
        <f t="shared" ref="C65:D65" si="126">+SUM(C57:C64)</f>
        <v>2062532</v>
      </c>
      <c r="D65" s="17">
        <f t="shared" si="126"/>
        <v>2068551</v>
      </c>
      <c r="E65" s="17">
        <f t="shared" ref="E65:F65" si="127">+SUM(E57:E64)</f>
        <v>2064377</v>
      </c>
      <c r="F65" s="17">
        <f t="shared" si="127"/>
        <v>2045692</v>
      </c>
      <c r="G65" s="17">
        <f t="shared" ref="G65:M65" si="128">+SUM(G57:G64)</f>
        <v>2097444</v>
      </c>
      <c r="H65" s="17">
        <f t="shared" si="128"/>
        <v>2128622</v>
      </c>
      <c r="I65" s="17">
        <f t="shared" si="128"/>
        <v>2230872</v>
      </c>
      <c r="J65" s="17">
        <f t="shared" si="128"/>
        <v>2265518</v>
      </c>
      <c r="K65" s="17">
        <f t="shared" si="128"/>
        <v>4625482</v>
      </c>
      <c r="L65" s="17">
        <f t="shared" si="128"/>
        <v>4659307</v>
      </c>
      <c r="M65" s="17">
        <f t="shared" si="128"/>
        <v>4937937</v>
      </c>
      <c r="N65" s="17">
        <f t="shared" ref="N65:V65" si="129">+SUM(N57:N64)</f>
        <v>5104604</v>
      </c>
      <c r="O65" s="17">
        <f t="shared" si="129"/>
        <v>5206488</v>
      </c>
      <c r="P65" s="17">
        <f t="shared" si="129"/>
        <v>5370129</v>
      </c>
      <c r="Q65" s="17">
        <f t="shared" si="129"/>
        <v>5631640</v>
      </c>
      <c r="R65" s="17">
        <f t="shared" si="129"/>
        <v>5962896</v>
      </c>
      <c r="S65" s="17">
        <f t="shared" si="129"/>
        <v>6149059</v>
      </c>
      <c r="T65" s="17">
        <f t="shared" si="129"/>
        <v>6320454</v>
      </c>
      <c r="U65" s="17">
        <f t="shared" si="129"/>
        <v>6627567</v>
      </c>
      <c r="V65" s="17">
        <f t="shared" si="129"/>
        <v>6652958</v>
      </c>
      <c r="W65" s="17">
        <f t="shared" ref="W65:AE65" si="130">+SUM(W57:W64)</f>
        <v>6467257</v>
      </c>
      <c r="X65" s="17">
        <f t="shared" si="130"/>
        <v>6545336</v>
      </c>
      <c r="Y65" s="17">
        <f t="shared" si="130"/>
        <v>6817437</v>
      </c>
      <c r="Z65" s="17">
        <f t="shared" si="130"/>
        <v>6927504</v>
      </c>
      <c r="AA65" s="17">
        <f t="shared" si="130"/>
        <v>7053372</v>
      </c>
      <c r="AB65" s="17">
        <f t="shared" si="130"/>
        <v>7552435</v>
      </c>
      <c r="AC65" s="17">
        <f t="shared" si="130"/>
        <v>7911493</v>
      </c>
      <c r="AD65" s="17">
        <f t="shared" si="130"/>
        <v>8044362</v>
      </c>
      <c r="AE65" s="17">
        <f t="shared" si="130"/>
        <v>8411249</v>
      </c>
    </row>
    <row r="67" spans="1:31">
      <c r="B67" s="4" t="s">
        <v>68</v>
      </c>
      <c r="C67" s="17">
        <v>83840</v>
      </c>
      <c r="D67" s="17">
        <v>80976</v>
      </c>
      <c r="E67" s="17">
        <v>86705</v>
      </c>
      <c r="F67" s="17">
        <v>82028</v>
      </c>
      <c r="G67" s="17">
        <v>99001</v>
      </c>
      <c r="H67" s="17">
        <v>95597</v>
      </c>
      <c r="I67" s="17">
        <v>103486</v>
      </c>
      <c r="J67" s="17">
        <v>113071</v>
      </c>
      <c r="K67" s="17">
        <v>106214</v>
      </c>
      <c r="L67" s="17">
        <v>99007</v>
      </c>
      <c r="M67" s="17">
        <v>118483</v>
      </c>
      <c r="N67" s="17">
        <v>115816</v>
      </c>
      <c r="O67" s="17">
        <v>130423</v>
      </c>
      <c r="P67" s="17">
        <v>160523</v>
      </c>
      <c r="Q67" s="17">
        <v>157324</v>
      </c>
      <c r="R67" s="17">
        <v>121990</v>
      </c>
      <c r="S67" s="17">
        <v>147417</v>
      </c>
      <c r="T67" s="17">
        <v>140251</v>
      </c>
      <c r="U67" s="17">
        <v>171712</v>
      </c>
      <c r="V67" s="17">
        <v>163161</v>
      </c>
      <c r="W67" s="17">
        <v>168905</v>
      </c>
      <c r="X67" s="17">
        <v>158581</v>
      </c>
      <c r="Y67" s="17">
        <v>167842</v>
      </c>
      <c r="Z67" s="17">
        <v>184566</v>
      </c>
      <c r="AA67" s="17">
        <v>182606</v>
      </c>
      <c r="AB67" s="17">
        <v>162041</v>
      </c>
      <c r="AC67" s="17">
        <v>207541</v>
      </c>
      <c r="AD67" s="17">
        <v>197646</v>
      </c>
      <c r="AE67" s="17">
        <v>196866</v>
      </c>
    </row>
    <row r="68" spans="1:31">
      <c r="B68" s="4" t="s">
        <v>69</v>
      </c>
      <c r="C68" s="17">
        <v>96730</v>
      </c>
      <c r="D68" s="17">
        <v>85169</v>
      </c>
      <c r="E68" s="17">
        <v>108120</v>
      </c>
      <c r="F68" s="17">
        <v>82541</v>
      </c>
      <c r="G68" s="17">
        <v>110268</v>
      </c>
      <c r="H68" s="17">
        <v>97573</v>
      </c>
      <c r="I68" s="17">
        <v>127302</v>
      </c>
      <c r="J68" s="17">
        <v>113467</v>
      </c>
      <c r="K68" s="17">
        <v>119689</v>
      </c>
      <c r="L68" s="17">
        <v>98800</v>
      </c>
      <c r="M68" s="17">
        <v>145766</v>
      </c>
      <c r="N68" s="17">
        <v>126600</v>
      </c>
      <c r="O68" s="17">
        <v>132273</v>
      </c>
      <c r="P68" s="17">
        <v>130306</v>
      </c>
      <c r="Q68" s="17">
        <v>194877</v>
      </c>
      <c r="R68" s="17">
        <v>203054</v>
      </c>
      <c r="S68" s="17">
        <v>221667</v>
      </c>
      <c r="T68" s="17">
        <v>225104</v>
      </c>
      <c r="U68" s="17">
        <v>190912</v>
      </c>
      <c r="V68" s="17">
        <v>162405</v>
      </c>
      <c r="W68" s="17">
        <v>172454</v>
      </c>
      <c r="X68" s="17">
        <v>161052</v>
      </c>
      <c r="Y68" s="17">
        <v>128495</v>
      </c>
      <c r="Z68" s="17">
        <v>170456</v>
      </c>
      <c r="AA68" s="17">
        <v>116465</v>
      </c>
      <c r="AB68" s="17">
        <v>177475</v>
      </c>
      <c r="AC68" s="17">
        <v>155015</v>
      </c>
      <c r="AD68" s="17">
        <v>227537</v>
      </c>
      <c r="AE68" s="17">
        <v>142425</v>
      </c>
    </row>
    <row r="69" spans="1:31">
      <c r="B69" s="4" t="s">
        <v>70</v>
      </c>
      <c r="C69" s="17">
        <v>101114</v>
      </c>
      <c r="D69" s="17">
        <v>98311</v>
      </c>
      <c r="E69" s="17">
        <v>128577</v>
      </c>
      <c r="F69" s="17">
        <v>159324</v>
      </c>
      <c r="G69" s="17">
        <v>149409</v>
      </c>
      <c r="H69" s="17">
        <v>161991</v>
      </c>
      <c r="I69" s="17">
        <v>171998</v>
      </c>
      <c r="J69" s="17">
        <v>147849</v>
      </c>
      <c r="K69" s="17">
        <v>119813</v>
      </c>
      <c r="L69" s="17">
        <v>126879</v>
      </c>
      <c r="M69" s="17">
        <v>141159</v>
      </c>
      <c r="N69" s="17">
        <v>155843</v>
      </c>
      <c r="O69" s="17">
        <v>147242</v>
      </c>
      <c r="P69" s="17">
        <v>146229</v>
      </c>
      <c r="Q69" s="17">
        <v>158234</v>
      </c>
      <c r="R69" s="17">
        <v>164649</v>
      </c>
      <c r="S69" s="17">
        <v>145627</v>
      </c>
      <c r="T69" s="17">
        <v>143469</v>
      </c>
      <c r="U69" s="17">
        <v>153233</v>
      </c>
      <c r="V69" s="17">
        <v>173052</v>
      </c>
      <c r="W69" s="17">
        <v>136655</v>
      </c>
      <c r="X69" s="17">
        <v>148614</v>
      </c>
      <c r="Y69" s="17">
        <v>156455</v>
      </c>
      <c r="Z69" s="17">
        <v>147539</v>
      </c>
      <c r="AA69" s="17">
        <v>160436</v>
      </c>
      <c r="AB69" s="17">
        <v>141291</v>
      </c>
      <c r="AC69" s="17">
        <v>151148</v>
      </c>
      <c r="AD69" s="17">
        <v>147688</v>
      </c>
      <c r="AE69" s="17">
        <v>171612</v>
      </c>
    </row>
    <row r="70" spans="1:31">
      <c r="B70" s="4" t="s">
        <v>71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70474</v>
      </c>
      <c r="K70" s="17">
        <v>57088</v>
      </c>
      <c r="L70" s="17">
        <v>61794</v>
      </c>
      <c r="M70" s="17">
        <v>61809</v>
      </c>
      <c r="N70" s="17">
        <v>95195</v>
      </c>
      <c r="O70" s="17">
        <v>77499</v>
      </c>
      <c r="P70" s="17">
        <v>88924</v>
      </c>
      <c r="Q70" s="17">
        <v>91467</v>
      </c>
      <c r="R70" s="17">
        <v>127750</v>
      </c>
      <c r="S70" s="17">
        <v>110197</v>
      </c>
      <c r="T70" s="17">
        <v>113016</v>
      </c>
      <c r="U70" s="17">
        <v>120423</v>
      </c>
      <c r="V70" s="17">
        <v>156351</v>
      </c>
      <c r="W70" s="17">
        <v>132421</v>
      </c>
      <c r="X70" s="17">
        <v>132446</v>
      </c>
      <c r="Y70" s="17">
        <v>133118</v>
      </c>
      <c r="Z70" s="17">
        <v>183071</v>
      </c>
      <c r="AA70" s="17">
        <v>157898</v>
      </c>
      <c r="AB70" s="17">
        <v>158959</v>
      </c>
      <c r="AC70" s="17">
        <v>156320</v>
      </c>
      <c r="AD70" s="17">
        <v>209680</v>
      </c>
      <c r="AE70" s="17">
        <v>187317</v>
      </c>
    </row>
    <row r="71" spans="1:31">
      <c r="B71" s="4" t="s">
        <v>72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157665</v>
      </c>
      <c r="L71" s="17">
        <v>161253</v>
      </c>
      <c r="M71" s="17">
        <v>166802</v>
      </c>
      <c r="N71" s="17">
        <v>173139</v>
      </c>
      <c r="O71" s="17">
        <v>178358</v>
      </c>
      <c r="P71" s="17">
        <v>197196</v>
      </c>
      <c r="Q71" s="17">
        <v>199815</v>
      </c>
      <c r="R71" s="17">
        <v>204756</v>
      </c>
      <c r="S71" s="17">
        <v>209086</v>
      </c>
      <c r="T71" s="17">
        <v>213646</v>
      </c>
      <c r="U71" s="17">
        <v>214684</v>
      </c>
      <c r="V71" s="17">
        <v>218713</v>
      </c>
      <c r="W71" s="17">
        <v>223303</v>
      </c>
      <c r="X71" s="17">
        <v>230930</v>
      </c>
      <c r="Y71" s="17">
        <v>231947</v>
      </c>
      <c r="Z71" s="17">
        <v>236248</v>
      </c>
      <c r="AA71" s="17">
        <v>239029</v>
      </c>
      <c r="AB71" s="17">
        <v>244061</v>
      </c>
      <c r="AC71" s="17">
        <v>244994</v>
      </c>
      <c r="AD71" s="17">
        <v>248074</v>
      </c>
      <c r="AE71" s="17">
        <v>254144</v>
      </c>
    </row>
    <row r="72" spans="1:31">
      <c r="B72" s="4" t="s">
        <v>145</v>
      </c>
      <c r="C72" s="17">
        <v>24639</v>
      </c>
      <c r="D72" s="17">
        <v>3329</v>
      </c>
      <c r="E72" s="17">
        <v>0</v>
      </c>
      <c r="G72" s="17">
        <v>8642</v>
      </c>
      <c r="H72" s="17">
        <v>0</v>
      </c>
      <c r="J72" s="17">
        <v>5129</v>
      </c>
      <c r="K72" s="17">
        <v>21198</v>
      </c>
      <c r="L72" s="17">
        <v>535</v>
      </c>
      <c r="AA72" s="17">
        <v>37658</v>
      </c>
      <c r="AB72" s="17">
        <v>98423</v>
      </c>
      <c r="AC72" s="17">
        <v>172689</v>
      </c>
      <c r="AE72" s="17">
        <v>44989</v>
      </c>
    </row>
    <row r="73" spans="1:31">
      <c r="B73" s="4" t="s">
        <v>73</v>
      </c>
      <c r="C73" s="17">
        <f>+SUM(C67:C72)</f>
        <v>306323</v>
      </c>
      <c r="D73" s="17">
        <f>+SUM(D67:D72)</f>
        <v>267785</v>
      </c>
      <c r="E73" s="17">
        <f t="shared" ref="E73:W73" si="131">+SUM(E67:E72)</f>
        <v>323402</v>
      </c>
      <c r="F73" s="17">
        <f t="shared" si="131"/>
        <v>323893</v>
      </c>
      <c r="G73" s="17">
        <f t="shared" si="131"/>
        <v>367320</v>
      </c>
      <c r="H73" s="17">
        <f t="shared" si="131"/>
        <v>355161</v>
      </c>
      <c r="I73" s="17">
        <f t="shared" si="131"/>
        <v>402786</v>
      </c>
      <c r="J73" s="17">
        <f t="shared" si="131"/>
        <v>449990</v>
      </c>
      <c r="K73" s="17">
        <f t="shared" si="131"/>
        <v>581667</v>
      </c>
      <c r="L73" s="17">
        <f t="shared" si="131"/>
        <v>548268</v>
      </c>
      <c r="M73" s="17">
        <f t="shared" si="131"/>
        <v>634019</v>
      </c>
      <c r="N73" s="17">
        <f t="shared" si="131"/>
        <v>666593</v>
      </c>
      <c r="O73" s="17">
        <f t="shared" si="131"/>
        <v>665795</v>
      </c>
      <c r="P73" s="17">
        <f t="shared" si="131"/>
        <v>723178</v>
      </c>
      <c r="Q73" s="17">
        <f t="shared" si="131"/>
        <v>801717</v>
      </c>
      <c r="R73" s="17">
        <f t="shared" si="131"/>
        <v>822199</v>
      </c>
      <c r="S73" s="17">
        <f t="shared" si="131"/>
        <v>833994</v>
      </c>
      <c r="T73" s="17">
        <f t="shared" si="131"/>
        <v>835486</v>
      </c>
      <c r="U73" s="17">
        <f t="shared" si="131"/>
        <v>850964</v>
      </c>
      <c r="V73" s="17">
        <f t="shared" si="131"/>
        <v>873682</v>
      </c>
      <c r="W73" s="17">
        <f t="shared" si="131"/>
        <v>833738</v>
      </c>
      <c r="X73" s="17">
        <f t="shared" ref="X73:Z73" si="132">+SUM(X67:X72)</f>
        <v>831623</v>
      </c>
      <c r="Y73" s="17">
        <f t="shared" si="132"/>
        <v>817857</v>
      </c>
      <c r="Z73" s="17">
        <f t="shared" si="132"/>
        <v>921880</v>
      </c>
      <c r="AA73" s="17">
        <f t="shared" ref="AA73:AB73" si="133">+SUM(AA67:AA72)</f>
        <v>894092</v>
      </c>
      <c r="AB73" s="17">
        <f t="shared" si="133"/>
        <v>982250</v>
      </c>
      <c r="AC73" s="17">
        <f t="shared" ref="AC73:AE73" si="134">+SUM(AC67:AC72)</f>
        <v>1087707</v>
      </c>
      <c r="AD73" s="17">
        <f t="shared" si="134"/>
        <v>1030625</v>
      </c>
      <c r="AE73" s="17">
        <f t="shared" si="134"/>
        <v>997353</v>
      </c>
    </row>
    <row r="74" spans="1:31">
      <c r="B74" s="4" t="s">
        <v>143</v>
      </c>
      <c r="C74" s="17">
        <v>297843</v>
      </c>
      <c r="D74" s="17">
        <v>301825</v>
      </c>
      <c r="E74" s="17">
        <v>309446</v>
      </c>
      <c r="F74" s="17">
        <v>316498</v>
      </c>
      <c r="G74" s="17">
        <v>321900</v>
      </c>
      <c r="H74" s="17">
        <v>327152</v>
      </c>
      <c r="I74" s="17">
        <v>327804</v>
      </c>
      <c r="J74" s="17">
        <v>330985</v>
      </c>
      <c r="K74" s="17">
        <v>0</v>
      </c>
      <c r="L74" s="17">
        <v>0</v>
      </c>
      <c r="M74" s="17">
        <v>0</v>
      </c>
    </row>
    <row r="75" spans="1:31">
      <c r="B75" s="4" t="s">
        <v>74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2513901</v>
      </c>
      <c r="L75" s="17">
        <v>2534769</v>
      </c>
      <c r="M75" s="17">
        <v>2642737</v>
      </c>
      <c r="N75" s="17">
        <v>2678374</v>
      </c>
      <c r="O75" s="17">
        <v>2764778</v>
      </c>
      <c r="P75" s="17">
        <v>2809178</v>
      </c>
      <c r="Q75" s="17">
        <v>2891140</v>
      </c>
      <c r="R75" s="17">
        <v>2952296</v>
      </c>
      <c r="S75" s="17">
        <v>3040176</v>
      </c>
      <c r="T75" s="17">
        <v>3134555</v>
      </c>
      <c r="U75" s="17">
        <v>3274875</v>
      </c>
      <c r="V75" s="17">
        <v>3301601</v>
      </c>
      <c r="W75" s="17">
        <v>3331319</v>
      </c>
      <c r="X75" s="17">
        <v>3393423</v>
      </c>
      <c r="Y75" s="17">
        <v>3497221</v>
      </c>
      <c r="Z75" s="17">
        <v>3495162</v>
      </c>
      <c r="AA75" s="17">
        <v>3532566</v>
      </c>
      <c r="AB75" s="17">
        <v>3643931</v>
      </c>
      <c r="AC75" s="17">
        <v>3773087</v>
      </c>
      <c r="AD75" s="17">
        <v>3803551</v>
      </c>
      <c r="AE75" s="17">
        <v>3903353</v>
      </c>
    </row>
    <row r="76" spans="1:31">
      <c r="B76" s="4" t="s">
        <v>75</v>
      </c>
      <c r="C76" s="17">
        <v>15741</v>
      </c>
      <c r="D76" s="17">
        <v>12866</v>
      </c>
      <c r="E76" s="17">
        <v>7577</v>
      </c>
      <c r="F76" s="17">
        <v>814</v>
      </c>
      <c r="G76" s="17">
        <v>6549</v>
      </c>
      <c r="H76" s="17">
        <v>17845</v>
      </c>
      <c r="I76" s="17">
        <v>27322</v>
      </c>
      <c r="J76" s="17">
        <v>11566</v>
      </c>
      <c r="K76" s="17">
        <v>12528</v>
      </c>
      <c r="L76" s="17">
        <v>4407</v>
      </c>
      <c r="M76" s="17">
        <v>0</v>
      </c>
      <c r="N76" s="17">
        <v>37814</v>
      </c>
      <c r="O76" s="17">
        <v>64851</v>
      </c>
      <c r="P76" s="17">
        <v>96502</v>
      </c>
      <c r="Q76" s="17">
        <v>95221</v>
      </c>
      <c r="R76" s="17">
        <v>149422</v>
      </c>
      <c r="S76" s="17">
        <v>135929</v>
      </c>
      <c r="T76" s="17">
        <v>133510</v>
      </c>
      <c r="U76" s="17">
        <v>148395</v>
      </c>
      <c r="V76" s="17">
        <v>141765</v>
      </c>
      <c r="W76" s="17">
        <v>127729</v>
      </c>
      <c r="X76" s="17">
        <v>126239</v>
      </c>
      <c r="Y76" s="17">
        <v>133255</v>
      </c>
      <c r="Z76" s="17">
        <v>98623</v>
      </c>
      <c r="AA76" s="17">
        <v>98137</v>
      </c>
      <c r="AB76" s="17">
        <v>106440</v>
      </c>
      <c r="AC76" s="17">
        <v>111089</v>
      </c>
      <c r="AD76" s="17">
        <v>89109</v>
      </c>
      <c r="AE76" s="17">
        <v>84229</v>
      </c>
    </row>
    <row r="77" spans="1:31">
      <c r="B77" s="4" t="s">
        <v>76</v>
      </c>
      <c r="C77" s="17">
        <v>34633</v>
      </c>
      <c r="D77" s="17">
        <v>35879</v>
      </c>
      <c r="E77" s="17">
        <v>36826</v>
      </c>
      <c r="F77" s="17">
        <v>40042</v>
      </c>
      <c r="G77" s="17">
        <v>37630</v>
      </c>
      <c r="H77" s="17">
        <v>36457</v>
      </c>
      <c r="I77" s="17">
        <v>37123</v>
      </c>
      <c r="J77" s="17">
        <v>31638</v>
      </c>
      <c r="K77" s="17">
        <v>33587</v>
      </c>
      <c r="L77" s="17">
        <v>33814</v>
      </c>
      <c r="M77" s="17">
        <v>38734</v>
      </c>
      <c r="N77" s="17">
        <v>38797</v>
      </c>
      <c r="O77" s="17">
        <v>39044</v>
      </c>
      <c r="P77" s="17">
        <v>36775</v>
      </c>
      <c r="Q77" s="17">
        <v>37976</v>
      </c>
      <c r="R77" s="17">
        <v>38844</v>
      </c>
      <c r="S77" s="17">
        <v>41419</v>
      </c>
      <c r="T77" s="17">
        <v>42745</v>
      </c>
      <c r="U77" s="17">
        <v>42425</v>
      </c>
      <c r="V77" s="17">
        <v>38536</v>
      </c>
      <c r="W77" s="17">
        <v>40511</v>
      </c>
      <c r="X77" s="17">
        <v>39852</v>
      </c>
      <c r="Y77" s="17">
        <v>41723</v>
      </c>
      <c r="Z77" s="17">
        <v>43816</v>
      </c>
      <c r="AA77" s="17">
        <v>46892</v>
      </c>
      <c r="AB77" s="17">
        <v>52928</v>
      </c>
      <c r="AC77" s="17">
        <v>53296</v>
      </c>
      <c r="AD77" s="17">
        <v>58870</v>
      </c>
      <c r="AE77" s="17">
        <v>64985</v>
      </c>
    </row>
    <row r="78" spans="1:31">
      <c r="B78" s="4" t="s">
        <v>77</v>
      </c>
      <c r="C78" s="17">
        <f t="shared" ref="C78:D78" si="135">+SUM(C73:C77)</f>
        <v>654540</v>
      </c>
      <c r="D78" s="17">
        <f t="shared" si="135"/>
        <v>618355</v>
      </c>
      <c r="E78" s="17">
        <f t="shared" ref="E78:F78" si="136">+SUM(E73:E77)</f>
        <v>677251</v>
      </c>
      <c r="F78" s="17">
        <f t="shared" si="136"/>
        <v>681247</v>
      </c>
      <c r="G78" s="17">
        <f t="shared" ref="G78:H78" si="137">+SUM(G73:G77)</f>
        <v>733399</v>
      </c>
      <c r="H78" s="17">
        <f t="shared" si="137"/>
        <v>736615</v>
      </c>
      <c r="I78" s="17">
        <f t="shared" ref="I78:K78" si="138">+SUM(I73:I77)</f>
        <v>795035</v>
      </c>
      <c r="J78" s="17">
        <f t="shared" si="138"/>
        <v>824179</v>
      </c>
      <c r="K78" s="17">
        <f t="shared" si="138"/>
        <v>3141683</v>
      </c>
      <c r="L78" s="17">
        <f t="shared" ref="L78:M78" si="139">+SUM(L73:L77)</f>
        <v>3121258</v>
      </c>
      <c r="M78" s="17">
        <f t="shared" si="139"/>
        <v>3315490</v>
      </c>
      <c r="N78" s="17">
        <f t="shared" ref="N78:U78" si="140">+SUM(N73:N77)</f>
        <v>3421578</v>
      </c>
      <c r="O78" s="17">
        <f t="shared" si="140"/>
        <v>3534468</v>
      </c>
      <c r="P78" s="17">
        <f t="shared" si="140"/>
        <v>3665633</v>
      </c>
      <c r="Q78" s="17">
        <f t="shared" si="140"/>
        <v>3826054</v>
      </c>
      <c r="R78" s="17">
        <f t="shared" si="140"/>
        <v>3962761</v>
      </c>
      <c r="S78" s="17">
        <f t="shared" si="140"/>
        <v>4051518</v>
      </c>
      <c r="T78" s="17">
        <f t="shared" si="140"/>
        <v>4146296</v>
      </c>
      <c r="U78" s="17">
        <f t="shared" si="140"/>
        <v>4316659</v>
      </c>
      <c r="V78" s="17">
        <f t="shared" ref="V78:W78" si="141">+SUM(V73:V77)</f>
        <v>4355584</v>
      </c>
      <c r="W78" s="17">
        <f t="shared" si="141"/>
        <v>4333297</v>
      </c>
      <c r="X78" s="17">
        <f t="shared" ref="X78:Z78" si="142">+SUM(X73:X77)</f>
        <v>4391137</v>
      </c>
      <c r="Y78" s="17">
        <f t="shared" si="142"/>
        <v>4490056</v>
      </c>
      <c r="Z78" s="17">
        <f t="shared" si="142"/>
        <v>4559481</v>
      </c>
      <c r="AA78" s="17">
        <f t="shared" ref="AA78:AB78" si="143">+SUM(AA73:AA77)</f>
        <v>4571687</v>
      </c>
      <c r="AB78" s="17">
        <f t="shared" si="143"/>
        <v>4785549</v>
      </c>
      <c r="AC78" s="17">
        <f t="shared" ref="AC78:AE78" si="144">+SUM(AC73:AC77)</f>
        <v>5025179</v>
      </c>
      <c r="AD78" s="17">
        <f t="shared" si="144"/>
        <v>4982155</v>
      </c>
      <c r="AE78" s="17">
        <f t="shared" si="144"/>
        <v>5049920</v>
      </c>
    </row>
    <row r="79" spans="1:31">
      <c r="B79" s="4" t="s">
        <v>78</v>
      </c>
      <c r="C79" s="17">
        <v>1407722</v>
      </c>
      <c r="D79" s="17">
        <v>1450196</v>
      </c>
      <c r="E79" s="17">
        <v>1387126</v>
      </c>
      <c r="F79" s="17">
        <v>1364445</v>
      </c>
      <c r="G79" s="17">
        <v>1364045</v>
      </c>
      <c r="H79" s="17">
        <v>1392007</v>
      </c>
      <c r="I79" s="17">
        <v>1435837</v>
      </c>
      <c r="J79" s="17">
        <v>1441339</v>
      </c>
      <c r="K79" s="17">
        <v>1483799</v>
      </c>
      <c r="L79" s="17">
        <v>1538049</v>
      </c>
      <c r="M79" s="17">
        <v>1622447</v>
      </c>
      <c r="N79" s="17">
        <v>1683026</v>
      </c>
      <c r="O79" s="17">
        <v>1672020</v>
      </c>
      <c r="P79" s="17">
        <v>1704496</v>
      </c>
      <c r="Q79" s="17">
        <v>1805586</v>
      </c>
      <c r="R79" s="17">
        <v>2020135</v>
      </c>
      <c r="S79" s="17">
        <v>2097531</v>
      </c>
      <c r="T79" s="17">
        <v>2174158</v>
      </c>
      <c r="U79" s="17">
        <v>2310908</v>
      </c>
      <c r="V79" s="17">
        <v>2297374</v>
      </c>
      <c r="W79" s="17">
        <v>2133960</v>
      </c>
      <c r="X79" s="17">
        <v>2154199</v>
      </c>
      <c r="Y79" s="17">
        <v>2327381</v>
      </c>
      <c r="Z79" s="17">
        <v>2368023</v>
      </c>
      <c r="AA79" s="17">
        <v>2481685</v>
      </c>
      <c r="AB79" s="17">
        <v>2766886</v>
      </c>
      <c r="AC79" s="17">
        <v>2886314</v>
      </c>
      <c r="AD79" s="17">
        <v>3062207</v>
      </c>
      <c r="AE79" s="17">
        <v>3361329</v>
      </c>
    </row>
    <row r="80" spans="1:31" s="19" customFormat="1">
      <c r="A80" s="21"/>
      <c r="B80" s="10" t="s">
        <v>142</v>
      </c>
      <c r="C80" s="19">
        <f t="shared" ref="C80:I80" si="145">+C78+C79</f>
        <v>2062262</v>
      </c>
      <c r="D80" s="19">
        <f t="shared" si="145"/>
        <v>2068551</v>
      </c>
      <c r="E80" s="19">
        <f t="shared" si="145"/>
        <v>2064377</v>
      </c>
      <c r="F80" s="19">
        <f t="shared" si="145"/>
        <v>2045692</v>
      </c>
      <c r="G80" s="19">
        <f t="shared" si="145"/>
        <v>2097444</v>
      </c>
      <c r="H80" s="19">
        <f t="shared" si="145"/>
        <v>2128622</v>
      </c>
      <c r="I80" s="19">
        <f t="shared" si="145"/>
        <v>2230872</v>
      </c>
      <c r="J80" s="19">
        <f t="shared" ref="J80:K80" si="146">+J78+J79</f>
        <v>2265518</v>
      </c>
      <c r="K80" s="19">
        <f t="shared" si="146"/>
        <v>4625482</v>
      </c>
      <c r="L80" s="19">
        <f t="shared" ref="L80:M80" si="147">+L78+L79</f>
        <v>4659307</v>
      </c>
      <c r="M80" s="19">
        <f t="shared" si="147"/>
        <v>4937937</v>
      </c>
      <c r="N80" s="19">
        <f t="shared" ref="N80:U80" si="148">+N78+N79</f>
        <v>5104604</v>
      </c>
      <c r="O80" s="19">
        <f t="shared" si="148"/>
        <v>5206488</v>
      </c>
      <c r="P80" s="19">
        <f t="shared" si="148"/>
        <v>5370129</v>
      </c>
      <c r="Q80" s="19">
        <f t="shared" si="148"/>
        <v>5631640</v>
      </c>
      <c r="R80" s="19">
        <f t="shared" si="148"/>
        <v>5982896</v>
      </c>
      <c r="S80" s="19">
        <f t="shared" si="148"/>
        <v>6149049</v>
      </c>
      <c r="T80" s="19">
        <f t="shared" si="148"/>
        <v>6320454</v>
      </c>
      <c r="U80" s="19">
        <f t="shared" si="148"/>
        <v>6627567</v>
      </c>
      <c r="V80" s="19">
        <f t="shared" ref="V80:W80" si="149">+V78+V79</f>
        <v>6652958</v>
      </c>
      <c r="W80" s="19">
        <f t="shared" si="149"/>
        <v>6467257</v>
      </c>
      <c r="X80" s="19">
        <f t="shared" ref="X80:Z80" si="150">+X78+X79</f>
        <v>6545336</v>
      </c>
      <c r="Y80" s="19">
        <f t="shared" si="150"/>
        <v>6817437</v>
      </c>
      <c r="Z80" s="19">
        <f t="shared" si="150"/>
        <v>6927504</v>
      </c>
      <c r="AA80" s="19">
        <f t="shared" ref="AA80:AB80" si="151">+AA78+AA79</f>
        <v>7053372</v>
      </c>
      <c r="AB80" s="19">
        <f t="shared" si="151"/>
        <v>7552435</v>
      </c>
      <c r="AC80" s="19">
        <f t="shared" ref="AC80:AE80" si="152">+AC78+AC79</f>
        <v>7911493</v>
      </c>
      <c r="AD80" s="19">
        <f t="shared" si="152"/>
        <v>8044362</v>
      </c>
      <c r="AE80" s="19">
        <f t="shared" si="152"/>
        <v>8411249</v>
      </c>
    </row>
    <row r="82" spans="1:31" s="47" customFormat="1">
      <c r="A82" s="30"/>
      <c r="B82" s="18" t="s">
        <v>79</v>
      </c>
      <c r="F82" s="47">
        <f t="shared" ref="F82:H82" si="153">SUM(C27:F27)/F79</f>
        <v>0.28478832052592812</v>
      </c>
      <c r="G82" s="47">
        <f t="shared" si="153"/>
        <v>0.29552764021714828</v>
      </c>
      <c r="H82" s="47">
        <f t="shared" si="153"/>
        <v>0.30816870892172238</v>
      </c>
      <c r="I82" s="47">
        <f>SUM(F27:I27)/I79</f>
        <v>0.31150750398548027</v>
      </c>
      <c r="J82" s="47">
        <f>SUM(G27:J27)/J79</f>
        <v>0.16872644117726643</v>
      </c>
      <c r="K82" s="47">
        <f t="shared" ref="K82:S82" si="154">SUM(H27:K27)/K79</f>
        <v>0.18463484609438341</v>
      </c>
      <c r="L82" s="47">
        <f t="shared" si="154"/>
        <v>0.18027384043031139</v>
      </c>
      <c r="M82" s="47">
        <f t="shared" si="154"/>
        <v>0.20778552396472735</v>
      </c>
      <c r="N82" s="47">
        <f t="shared" si="154"/>
        <v>0.22204172722227702</v>
      </c>
      <c r="O82" s="47">
        <f t="shared" si="154"/>
        <v>0.2179112690039593</v>
      </c>
      <c r="P82" s="47">
        <f t="shared" si="154"/>
        <v>0.16567830021308352</v>
      </c>
      <c r="Q82" s="47">
        <f t="shared" si="154"/>
        <v>0.14738926863633192</v>
      </c>
      <c r="R82" s="47">
        <f t="shared" si="154"/>
        <v>0.19109762466369823</v>
      </c>
      <c r="S82" s="47">
        <f t="shared" si="154"/>
        <v>0.20647513672026779</v>
      </c>
      <c r="T82" s="47">
        <f t="shared" ref="T82" si="155">SUM(Q27:T27)/T79</f>
        <v>0.28138111397607718</v>
      </c>
      <c r="U82" s="47">
        <f t="shared" ref="U82" si="156">SUM(R27:U27)/U79</f>
        <v>0.31702863117008551</v>
      </c>
      <c r="V82" s="47">
        <f t="shared" ref="V82:Y82" si="157">SUM(S27:V27)/V79</f>
        <v>0.29262758262259431</v>
      </c>
      <c r="W82" s="47">
        <f t="shared" si="157"/>
        <v>0.32901741363474479</v>
      </c>
      <c r="X82" s="47">
        <f t="shared" si="157"/>
        <v>0.35952713746501602</v>
      </c>
      <c r="Y82" s="47">
        <f t="shared" si="157"/>
        <v>0.35615225869765199</v>
      </c>
      <c r="Z82" s="47">
        <f t="shared" ref="Z82" si="158">SUM(W27:Z27)/Z79</f>
        <v>0.38861109034836233</v>
      </c>
      <c r="AA82" s="47">
        <f t="shared" ref="AA82" si="159">SUM(X27:AA27)/AA79</f>
        <v>0.42617858430864514</v>
      </c>
      <c r="AB82" s="47">
        <f t="shared" ref="AB82" si="160">SUM(Y27:AB27)/AB79</f>
        <v>0.41600846583487716</v>
      </c>
      <c r="AC82" s="47">
        <f t="shared" ref="AC82" si="161">SUM(Z27:AC27)/AC79</f>
        <v>0.41852861469680708</v>
      </c>
      <c r="AD82" s="47">
        <f t="shared" ref="AD82:AE82" si="162">SUM(AA27:AD27)/AD79</f>
        <v>0.41378881310113913</v>
      </c>
      <c r="AE82" s="47">
        <f t="shared" si="162"/>
        <v>0.39623256158501591</v>
      </c>
    </row>
    <row r="84" spans="1:31" hidden="1" outlineLevel="1">
      <c r="B84" s="10" t="s">
        <v>146</v>
      </c>
    </row>
    <row r="85" spans="1:31" hidden="1" outlineLevel="1">
      <c r="B85" s="4" t="str">
        <f>+B67</f>
        <v>A/P</v>
      </c>
      <c r="L85" s="17">
        <f t="shared" ref="L85:U89" si="163">+L67/K67-1</f>
        <v>-6.785357862428687E-2</v>
      </c>
      <c r="M85" s="17">
        <f t="shared" si="163"/>
        <v>0.19671336370155657</v>
      </c>
      <c r="N85" s="17">
        <f t="shared" si="163"/>
        <v>-2.2509558333262958E-2</v>
      </c>
      <c r="O85" s="17">
        <f t="shared" si="163"/>
        <v>0.12612247012502587</v>
      </c>
      <c r="P85" s="17">
        <f t="shared" si="163"/>
        <v>0.23078751447214074</v>
      </c>
      <c r="Q85" s="17">
        <f>+Q67/P67-1</f>
        <v>-1.9928608361418632E-2</v>
      </c>
      <c r="R85" s="17">
        <f t="shared" si="163"/>
        <v>-0.22459383183748194</v>
      </c>
      <c r="S85" s="17">
        <f t="shared" si="163"/>
        <v>0.20843511763259293</v>
      </c>
      <c r="T85" s="17">
        <f t="shared" si="163"/>
        <v>-4.8610404498802717E-2</v>
      </c>
      <c r="U85" s="17">
        <f t="shared" si="163"/>
        <v>0.2243192561906866</v>
      </c>
      <c r="V85" s="17">
        <f>+V67/U67-1</f>
        <v>-4.9798499813641484E-2</v>
      </c>
      <c r="W85" s="17">
        <f>+W67/V67-1</f>
        <v>3.520449126935965E-2</v>
      </c>
    </row>
    <row r="86" spans="1:31" hidden="1" outlineLevel="1">
      <c r="B86" s="4" t="str">
        <f t="shared" ref="B86:B89" si="164">+B68</f>
        <v xml:space="preserve">Accrued payroll &amp; benefits </v>
      </c>
      <c r="L86" s="17">
        <f t="shared" si="163"/>
        <v>-0.17452731662892995</v>
      </c>
      <c r="M86" s="17">
        <f t="shared" si="163"/>
        <v>0.4753643724696357</v>
      </c>
      <c r="N86" s="17">
        <f t="shared" si="163"/>
        <v>-0.13148470836820658</v>
      </c>
      <c r="O86" s="17">
        <f t="shared" si="163"/>
        <v>4.4810426540284443E-2</v>
      </c>
      <c r="P86" s="17">
        <f t="shared" si="163"/>
        <v>-1.4870759716646642E-2</v>
      </c>
      <c r="Q86" s="17">
        <f t="shared" si="163"/>
        <v>0.49553359016468934</v>
      </c>
      <c r="R86" s="17">
        <f t="shared" si="163"/>
        <v>4.1959800284281812E-2</v>
      </c>
      <c r="S86" s="17">
        <f t="shared" si="163"/>
        <v>9.1665271307139973E-2</v>
      </c>
      <c r="T86" s="17">
        <f t="shared" si="163"/>
        <v>1.5505239841744567E-2</v>
      </c>
      <c r="U86" s="17">
        <f t="shared" si="163"/>
        <v>-0.15189423555334425</v>
      </c>
      <c r="V86" s="17">
        <f t="shared" ref="V86:W89" si="165">+V68/U68-1</f>
        <v>-0.14932010559839093</v>
      </c>
      <c r="W86" s="17">
        <f t="shared" si="165"/>
        <v>6.1876173763123044E-2</v>
      </c>
    </row>
    <row r="87" spans="1:31" hidden="1" outlineLevel="1">
      <c r="B87" s="4" t="str">
        <f t="shared" si="164"/>
        <v xml:space="preserve">Accrued liabilities </v>
      </c>
      <c r="L87" s="17">
        <f t="shared" si="163"/>
        <v>5.8975236410072407E-2</v>
      </c>
      <c r="M87" s="17">
        <f t="shared" si="163"/>
        <v>0.11254817582105781</v>
      </c>
      <c r="N87" s="17">
        <f t="shared" si="163"/>
        <v>0.10402453970345493</v>
      </c>
      <c r="O87" s="17">
        <f t="shared" si="163"/>
        <v>-5.5190159327014987E-2</v>
      </c>
      <c r="P87" s="17">
        <f t="shared" si="163"/>
        <v>-6.8798304831502177E-3</v>
      </c>
      <c r="Q87" s="17">
        <f t="shared" si="163"/>
        <v>8.209725840975457E-2</v>
      </c>
      <c r="R87" s="17">
        <f t="shared" si="163"/>
        <v>4.0541223757220246E-2</v>
      </c>
      <c r="S87" s="17">
        <f t="shared" si="163"/>
        <v>-0.1155306136083426</v>
      </c>
      <c r="T87" s="17">
        <f t="shared" si="163"/>
        <v>-1.4818680601811463E-2</v>
      </c>
      <c r="U87" s="17">
        <f t="shared" si="163"/>
        <v>6.8056513950748965E-2</v>
      </c>
      <c r="V87" s="17">
        <f t="shared" si="165"/>
        <v>0.12933898050680992</v>
      </c>
      <c r="W87" s="17">
        <f t="shared" si="165"/>
        <v>-0.21032406444305762</v>
      </c>
    </row>
    <row r="88" spans="1:31" hidden="1" outlineLevel="1">
      <c r="B88" s="4" t="str">
        <f t="shared" si="164"/>
        <v xml:space="preserve">Unearned revenue </v>
      </c>
      <c r="L88" s="17">
        <f t="shared" si="163"/>
        <v>8.2434136771300404E-2</v>
      </c>
      <c r="M88" s="17">
        <f t="shared" si="163"/>
        <v>2.4274201378782223E-4</v>
      </c>
      <c r="N88" s="17">
        <f t="shared" si="163"/>
        <v>0.54014787490494909</v>
      </c>
      <c r="O88" s="17">
        <f t="shared" si="163"/>
        <v>-0.18589211618257262</v>
      </c>
      <c r="P88" s="17">
        <f t="shared" si="163"/>
        <v>0.14742125704847808</v>
      </c>
      <c r="Q88" s="17">
        <f t="shared" si="163"/>
        <v>2.8597454005667711E-2</v>
      </c>
      <c r="R88" s="17">
        <f t="shared" si="163"/>
        <v>0.39667858353285879</v>
      </c>
      <c r="S88" s="17">
        <f t="shared" si="163"/>
        <v>-0.13740117416829745</v>
      </c>
      <c r="T88" s="17">
        <f t="shared" si="163"/>
        <v>2.558145866039907E-2</v>
      </c>
      <c r="U88" s="17">
        <f t="shared" si="163"/>
        <v>6.5539392652367745E-2</v>
      </c>
      <c r="V88" s="17">
        <f t="shared" si="165"/>
        <v>0.29834832216437057</v>
      </c>
      <c r="W88" s="17">
        <f t="shared" si="165"/>
        <v>-0.1530530664978158</v>
      </c>
    </row>
    <row r="89" spans="1:31" hidden="1" outlineLevel="1">
      <c r="B89" s="4" t="str">
        <f t="shared" si="164"/>
        <v>Current op lease liab</v>
      </c>
      <c r="L89" s="17">
        <f t="shared" si="163"/>
        <v>2.2757111597374147E-2</v>
      </c>
      <c r="M89" s="17">
        <f t="shared" si="163"/>
        <v>3.441176288193093E-2</v>
      </c>
      <c r="N89" s="17">
        <f t="shared" si="163"/>
        <v>3.7991151185237548E-2</v>
      </c>
      <c r="O89" s="17">
        <f t="shared" si="163"/>
        <v>3.0143410785553826E-2</v>
      </c>
      <c r="P89" s="17">
        <f t="shared" si="163"/>
        <v>0.10561903587167376</v>
      </c>
      <c r="Q89" s="17">
        <f t="shared" si="163"/>
        <v>1.3281202458467645E-2</v>
      </c>
      <c r="R89" s="17">
        <f t="shared" si="163"/>
        <v>2.4727873282786472E-2</v>
      </c>
      <c r="S89" s="17">
        <f t="shared" si="163"/>
        <v>2.1147121451874362E-2</v>
      </c>
      <c r="T89" s="17">
        <f t="shared" si="163"/>
        <v>2.1809207694441612E-2</v>
      </c>
      <c r="U89" s="17">
        <f t="shared" si="163"/>
        <v>4.8585042547018009E-3</v>
      </c>
      <c r="V89" s="17">
        <f t="shared" si="165"/>
        <v>1.8767118183003806E-2</v>
      </c>
      <c r="W89" s="17">
        <f t="shared" si="165"/>
        <v>2.0986406843671812E-2</v>
      </c>
    </row>
    <row r="90" spans="1:31" hidden="1" outlineLevel="1">
      <c r="B90" s="4" t="str">
        <f>+B75</f>
        <v>Long Term Op Lease</v>
      </c>
      <c r="L90" s="17">
        <f t="shared" ref="L90:U90" si="166">+L73/K73-1</f>
        <v>-5.7419451335557925E-2</v>
      </c>
      <c r="M90" s="17">
        <f t="shared" si="166"/>
        <v>0.15640343773483045</v>
      </c>
      <c r="N90" s="17">
        <f t="shared" si="166"/>
        <v>5.13770092063488E-2</v>
      </c>
      <c r="O90" s="17">
        <f t="shared" si="166"/>
        <v>-1.1971322831172415E-3</v>
      </c>
      <c r="P90" s="17">
        <f t="shared" si="166"/>
        <v>8.6187189750598803E-2</v>
      </c>
      <c r="Q90" s="17">
        <f t="shared" si="166"/>
        <v>0.10860258470252138</v>
      </c>
      <c r="R90" s="17">
        <f t="shared" si="166"/>
        <v>2.5547668316874939E-2</v>
      </c>
      <c r="S90" s="17">
        <f t="shared" si="166"/>
        <v>1.4345675438671268E-2</v>
      </c>
      <c r="T90" s="17">
        <f t="shared" si="166"/>
        <v>1.788981695312053E-3</v>
      </c>
      <c r="U90" s="17">
        <f t="shared" si="166"/>
        <v>1.8525744297331226E-2</v>
      </c>
      <c r="V90" s="17">
        <f>+V73/U73-1</f>
        <v>2.6696781532473679E-2</v>
      </c>
      <c r="W90" s="17">
        <f>+W73/V73-1</f>
        <v>-4.5719151819540782E-2</v>
      </c>
    </row>
    <row r="91" spans="1:31" hidden="1" outlineLevel="1">
      <c r="B91" s="4" t="str">
        <f>+B77</f>
        <v xml:space="preserve">Other liabilities </v>
      </c>
      <c r="L91" s="17">
        <f t="shared" ref="L91:U91" si="167">+L75/K75-1</f>
        <v>8.3010428811636228E-3</v>
      </c>
      <c r="M91" s="17">
        <f t="shared" si="167"/>
        <v>4.259480844211061E-2</v>
      </c>
      <c r="N91" s="17">
        <f t="shared" si="167"/>
        <v>1.348488328577524E-2</v>
      </c>
      <c r="O91" s="17">
        <f t="shared" si="167"/>
        <v>3.2259871100899229E-2</v>
      </c>
      <c r="P91" s="17">
        <f t="shared" si="167"/>
        <v>1.605915556330384E-2</v>
      </c>
      <c r="Q91" s="17">
        <f t="shared" si="167"/>
        <v>2.9176506437114336E-2</v>
      </c>
      <c r="R91" s="17">
        <f t="shared" si="167"/>
        <v>2.1152901623580966E-2</v>
      </c>
      <c r="S91" s="17">
        <f t="shared" si="167"/>
        <v>2.9766662963334189E-2</v>
      </c>
      <c r="T91" s="17">
        <f t="shared" si="167"/>
        <v>3.1043926404260791E-2</v>
      </c>
      <c r="U91" s="17">
        <f t="shared" si="167"/>
        <v>4.4765524930971079E-2</v>
      </c>
      <c r="V91" s="17">
        <f>+V75/U75-1</f>
        <v>8.1609221726020031E-3</v>
      </c>
      <c r="W91" s="17">
        <f>+W75/V75-1</f>
        <v>9.0010876541410934E-3</v>
      </c>
    </row>
    <row r="92" spans="1:31" hidden="1" outlineLevel="1">
      <c r="B92" s="4" t="str">
        <f>+B79</f>
        <v xml:space="preserve">Equity </v>
      </c>
      <c r="L92" s="17">
        <f t="shared" ref="L92:W92" si="168">+L77/K77-1</f>
        <v>6.7585673028254245E-3</v>
      </c>
      <c r="M92" s="17">
        <f t="shared" si="168"/>
        <v>0.14550186313361335</v>
      </c>
      <c r="N92" s="17">
        <f t="shared" si="168"/>
        <v>1.626478029638001E-3</v>
      </c>
      <c r="O92" s="17">
        <f t="shared" si="168"/>
        <v>6.3664716344047356E-3</v>
      </c>
      <c r="P92" s="17">
        <f t="shared" si="168"/>
        <v>-5.8113922753816216E-2</v>
      </c>
      <c r="Q92" s="17">
        <f t="shared" si="168"/>
        <v>3.2658055744391623E-2</v>
      </c>
      <c r="R92" s="17">
        <f t="shared" si="168"/>
        <v>2.2856540973246187E-2</v>
      </c>
      <c r="S92" s="17">
        <f t="shared" si="168"/>
        <v>6.6290804242611578E-2</v>
      </c>
      <c r="T92" s="17">
        <f t="shared" si="168"/>
        <v>3.2014292957338375E-2</v>
      </c>
      <c r="U92" s="17">
        <f t="shared" si="168"/>
        <v>-7.4862557024213405E-3</v>
      </c>
      <c r="V92" s="17">
        <f t="shared" si="168"/>
        <v>-9.1667648791985856E-2</v>
      </c>
      <c r="W92" s="17">
        <f t="shared" si="168"/>
        <v>5.1250778492837767E-2</v>
      </c>
    </row>
    <row r="93" spans="1:31" hidden="1" outlineLevel="1"/>
    <row r="94" spans="1:31" hidden="1" outlineLevel="1">
      <c r="B94" s="10" t="s">
        <v>147</v>
      </c>
    </row>
    <row r="95" spans="1:31" hidden="1" outlineLevel="1">
      <c r="B95" s="4" t="str">
        <f>+B76</f>
        <v>Deferred income taxes</v>
      </c>
      <c r="O95" s="17">
        <f t="shared" ref="O95:W96" si="169">STDEV(L85:O85)</f>
        <v>0.12410066422103937</v>
      </c>
      <c r="P95" s="17">
        <f t="shared" si="169"/>
        <v>0.11232707822684207</v>
      </c>
      <c r="Q95" s="17">
        <f t="shared" si="169"/>
        <v>0.12295046819827428</v>
      </c>
      <c r="R95" s="17">
        <f t="shared" si="169"/>
        <v>0.1973588550528913</v>
      </c>
      <c r="S95" s="17">
        <f t="shared" si="169"/>
        <v>0.21453093999651524</v>
      </c>
      <c r="T95" s="17">
        <f t="shared" si="169"/>
        <v>0.17781477457944547</v>
      </c>
      <c r="U95" s="17">
        <f t="shared" si="169"/>
        <v>0.21618327571176449</v>
      </c>
      <c r="V95" s="17">
        <f t="shared" si="169"/>
        <v>0.15347145850187366</v>
      </c>
      <c r="W95" s="17">
        <f t="shared" si="169"/>
        <v>0.12898559188540487</v>
      </c>
    </row>
    <row r="96" spans="1:31" hidden="1" outlineLevel="1">
      <c r="B96" s="4" t="str">
        <f>+B77</f>
        <v xml:space="preserve">Other liabilities </v>
      </c>
      <c r="O96" s="17">
        <f t="shared" si="169"/>
        <v>0.29679445765339985</v>
      </c>
      <c r="P96" s="17">
        <f t="shared" si="169"/>
        <v>0.26492351470193504</v>
      </c>
      <c r="Q96" s="17">
        <f t="shared" si="169"/>
        <v>0.27462953059622208</v>
      </c>
      <c r="R96" s="17">
        <f t="shared" si="169"/>
        <v>0.2373802919517124</v>
      </c>
      <c r="S96" s="17">
        <f t="shared" si="169"/>
        <v>0.23209223642893448</v>
      </c>
      <c r="T96" s="17">
        <f t="shared" si="169"/>
        <v>0.22513641179066099</v>
      </c>
      <c r="U96" s="17">
        <f t="shared" si="169"/>
        <v>0.10563065880929602</v>
      </c>
      <c r="V96" s="17">
        <f t="shared" si="169"/>
        <v>0.12192625526121278</v>
      </c>
      <c r="W96" s="17">
        <f t="shared" si="169"/>
        <v>0.11092359413700548</v>
      </c>
    </row>
    <row r="97" spans="1:55" hidden="1" outlineLevel="1">
      <c r="B97" s="4" t="str">
        <f>+B79</f>
        <v xml:space="preserve">Equity </v>
      </c>
      <c r="O97" s="17">
        <f t="shared" ref="O97:W101" si="170">STDEV(L88:O88)</f>
        <v>0.30842801376349016</v>
      </c>
      <c r="P97" s="17">
        <f t="shared" si="170"/>
        <v>0.30825737664218072</v>
      </c>
      <c r="Q97" s="17">
        <f t="shared" si="170"/>
        <v>0.30472320429330313</v>
      </c>
      <c r="R97" s="17">
        <f t="shared" si="170"/>
        <v>0.24293761708698589</v>
      </c>
      <c r="S97" s="17">
        <f t="shared" si="170"/>
        <v>0.22465762438944539</v>
      </c>
      <c r="T97" s="17">
        <f t="shared" si="170"/>
        <v>0.22593619323754499</v>
      </c>
      <c r="U97" s="17">
        <f t="shared" si="170"/>
        <v>0.22397028749477221</v>
      </c>
      <c r="V97" s="17">
        <f t="shared" si="170"/>
        <v>0.17977398583468304</v>
      </c>
      <c r="W97" s="17">
        <f t="shared" si="170"/>
        <v>0.1856642503816143</v>
      </c>
    </row>
    <row r="98" spans="1:55" hidden="1" outlineLevel="1">
      <c r="B98" s="4" t="str">
        <f>+B80</f>
        <v>TL+E</v>
      </c>
      <c r="O98" s="17">
        <f t="shared" si="170"/>
        <v>6.5516038370503687E-3</v>
      </c>
      <c r="P98" s="17">
        <f t="shared" si="170"/>
        <v>3.5862229870672585E-2</v>
      </c>
      <c r="Q98" s="17">
        <f t="shared" si="170"/>
        <v>4.0571828191773997E-2</v>
      </c>
      <c r="R98" s="17">
        <f t="shared" si="170"/>
        <v>4.2042551892534606E-2</v>
      </c>
      <c r="S98" s="17">
        <f t="shared" si="170"/>
        <v>4.3215430045700928E-2</v>
      </c>
      <c r="T98" s="17">
        <f t="shared" si="170"/>
        <v>4.8939127032102663E-3</v>
      </c>
      <c r="U98" s="17">
        <f t="shared" si="170"/>
        <v>8.987101746187923E-3</v>
      </c>
      <c r="V98" s="17">
        <f t="shared" si="170"/>
        <v>7.965822938511646E-3</v>
      </c>
      <c r="W98" s="17">
        <f t="shared" si="170"/>
        <v>7.9358977775194958E-3</v>
      </c>
    </row>
    <row r="99" spans="1:55" hidden="1" outlineLevel="1">
      <c r="B99" s="4" t="str">
        <f>+B84</f>
        <v>QoQ Change</v>
      </c>
      <c r="O99" s="17">
        <f t="shared" si="170"/>
        <v>9.0990099090172721E-2</v>
      </c>
      <c r="P99" s="17">
        <f t="shared" si="170"/>
        <v>6.6087455063084971E-2</v>
      </c>
      <c r="Q99" s="17">
        <f t="shared" si="170"/>
        <v>4.7823462714459017E-2</v>
      </c>
      <c r="R99" s="17">
        <f t="shared" si="170"/>
        <v>5.1222555719250218E-2</v>
      </c>
      <c r="S99" s="17">
        <f t="shared" si="170"/>
        <v>4.5870082291762093E-2</v>
      </c>
      <c r="T99" s="17">
        <f t="shared" si="170"/>
        <v>4.8338442482296622E-2</v>
      </c>
      <c r="U99" s="17">
        <f t="shared" si="170"/>
        <v>9.9771823309706895E-3</v>
      </c>
      <c r="V99" s="17">
        <f t="shared" si="170"/>
        <v>1.038820212143949E-2</v>
      </c>
      <c r="W99" s="17">
        <f t="shared" si="170"/>
        <v>3.2398277211140282E-2</v>
      </c>
    </row>
    <row r="100" spans="1:55" hidden="1" outlineLevel="1">
      <c r="B100" s="4" t="str">
        <f>+B86</f>
        <v xml:space="preserve">Accrued payroll &amp; benefits </v>
      </c>
      <c r="O100" s="17">
        <f t="shared" si="170"/>
        <v>1.6030332828902691E-2</v>
      </c>
      <c r="P100" s="17">
        <f t="shared" si="170"/>
        <v>1.3783836474006222E-2</v>
      </c>
      <c r="Q100" s="17">
        <f t="shared" si="170"/>
        <v>9.3514227877685725E-3</v>
      </c>
      <c r="R100" s="17">
        <f t="shared" si="170"/>
        <v>7.4034027628463077E-3</v>
      </c>
      <c r="S100" s="17">
        <f t="shared" si="170"/>
        <v>6.6133092154039104E-3</v>
      </c>
      <c r="T100" s="17">
        <f t="shared" si="170"/>
        <v>4.4895659941568064E-3</v>
      </c>
      <c r="U100" s="17">
        <f t="shared" si="170"/>
        <v>9.7658621544512523E-3</v>
      </c>
      <c r="V100" s="17">
        <f t="shared" si="170"/>
        <v>1.5125079584447351E-2</v>
      </c>
      <c r="W100" s="17">
        <f t="shared" si="170"/>
        <v>1.7836055907021569E-2</v>
      </c>
    </row>
    <row r="101" spans="1:55" hidden="1" outlineLevel="1">
      <c r="B101" s="4" t="str">
        <f>+B88</f>
        <v xml:space="preserve">Unearned revenue </v>
      </c>
      <c r="O101" s="17">
        <f t="shared" si="170"/>
        <v>7.0331029995739439E-2</v>
      </c>
      <c r="P101" s="17">
        <f t="shared" si="170"/>
        <v>8.6249287994458412E-2</v>
      </c>
      <c r="Q101" s="17">
        <f t="shared" si="170"/>
        <v>3.8343689807407134E-2</v>
      </c>
      <c r="R101" s="17">
        <f t="shared" si="170"/>
        <v>4.0837818268055215E-2</v>
      </c>
      <c r="S101" s="17">
        <f t="shared" si="170"/>
        <v>5.2746303871153227E-2</v>
      </c>
      <c r="T101" s="17">
        <f t="shared" si="170"/>
        <v>1.9089536328670661E-2</v>
      </c>
      <c r="U101" s="17">
        <f t="shared" si="170"/>
        <v>3.037174139132745E-2</v>
      </c>
      <c r="V101" s="17">
        <f t="shared" si="170"/>
        <v>6.8015212567306485E-2</v>
      </c>
      <c r="W101" s="17">
        <f t="shared" si="170"/>
        <v>6.3370459351594438E-2</v>
      </c>
    </row>
    <row r="102" spans="1:55" collapsed="1"/>
    <row r="103" spans="1:55" s="19" customFormat="1">
      <c r="A103" s="21"/>
      <c r="B103" s="10" t="s">
        <v>109</v>
      </c>
      <c r="N103" s="19">
        <f>+N79</f>
        <v>1683026</v>
      </c>
      <c r="O103" s="19">
        <f>+N110</f>
        <v>1672020</v>
      </c>
      <c r="P103" s="19">
        <f t="shared" ref="P103:U103" si="171">+P79</f>
        <v>1704496</v>
      </c>
      <c r="Q103" s="19">
        <f t="shared" si="171"/>
        <v>1805586</v>
      </c>
      <c r="R103" s="19">
        <f t="shared" si="171"/>
        <v>2020135</v>
      </c>
      <c r="S103" s="19">
        <f t="shared" si="171"/>
        <v>2097531</v>
      </c>
      <c r="T103" s="19">
        <f t="shared" si="171"/>
        <v>2174158</v>
      </c>
      <c r="U103" s="19">
        <f t="shared" si="171"/>
        <v>2310908</v>
      </c>
      <c r="V103" s="19">
        <v>2020135</v>
      </c>
      <c r="W103" s="19">
        <f>+V110</f>
        <v>2297374</v>
      </c>
    </row>
    <row r="104" spans="1:55">
      <c r="B104" s="4" t="s">
        <v>110</v>
      </c>
      <c r="N104" s="17">
        <v>-1051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178703</v>
      </c>
      <c r="W104" s="17">
        <v>24077</v>
      </c>
    </row>
    <row r="105" spans="1:55">
      <c r="B105" s="4" t="s">
        <v>83</v>
      </c>
      <c r="N105" s="17">
        <v>17708</v>
      </c>
      <c r="O105" s="17">
        <v>23676</v>
      </c>
      <c r="P105" s="17">
        <v>20128</v>
      </c>
      <c r="R105" s="17">
        <v>55960</v>
      </c>
      <c r="S105" s="17">
        <v>47670</v>
      </c>
      <c r="T105" s="17">
        <v>36693</v>
      </c>
      <c r="V105" s="17">
        <v>704</v>
      </c>
      <c r="W105" s="17">
        <v>0</v>
      </c>
    </row>
    <row r="106" spans="1:55">
      <c r="B106" s="4" t="s">
        <v>111</v>
      </c>
      <c r="N106" s="17">
        <v>-179</v>
      </c>
      <c r="O106" s="17">
        <v>-113</v>
      </c>
      <c r="P106" s="17">
        <v>42</v>
      </c>
      <c r="R106" s="17">
        <v>634</v>
      </c>
      <c r="S106" s="17">
        <v>25</v>
      </c>
      <c r="T106" s="17">
        <v>-81</v>
      </c>
      <c r="V106" s="17">
        <v>-554027</v>
      </c>
      <c r="W106" s="17">
        <v>-59</v>
      </c>
    </row>
    <row r="107" spans="1:55">
      <c r="B107" s="4" t="s">
        <v>112</v>
      </c>
      <c r="N107" s="17">
        <v>-102031</v>
      </c>
      <c r="O107" s="17">
        <v>-317</v>
      </c>
      <c r="P107" s="17">
        <v>-29</v>
      </c>
      <c r="R107" s="17">
        <v>-106036</v>
      </c>
      <c r="S107" s="17">
        <v>-159347</v>
      </c>
      <c r="T107" s="17">
        <v>-103340</v>
      </c>
      <c r="V107" s="17">
        <v>652984</v>
      </c>
      <c r="W107" s="17">
        <v>-345921</v>
      </c>
    </row>
    <row r="108" spans="1:55">
      <c r="B108" s="4" t="s">
        <v>32</v>
      </c>
      <c r="N108" s="17">
        <v>76388</v>
      </c>
      <c r="O108" s="17">
        <v>8175</v>
      </c>
      <c r="P108" s="17">
        <v>80244</v>
      </c>
      <c r="R108" s="17">
        <v>127101</v>
      </c>
      <c r="S108" s="17">
        <v>187974</v>
      </c>
      <c r="T108" s="17">
        <v>204434</v>
      </c>
      <c r="V108" s="17">
        <v>-1125</v>
      </c>
      <c r="W108" s="17">
        <v>158294</v>
      </c>
    </row>
    <row r="109" spans="1:55">
      <c r="B109" s="4" t="s">
        <v>113</v>
      </c>
      <c r="N109" s="17">
        <v>-1841</v>
      </c>
      <c r="O109" s="17">
        <v>1055</v>
      </c>
      <c r="P109" s="17">
        <v>705</v>
      </c>
      <c r="R109" s="17">
        <v>-263</v>
      </c>
      <c r="S109" s="17">
        <v>305</v>
      </c>
      <c r="T109" s="17">
        <v>-956</v>
      </c>
      <c r="V109" s="17">
        <v>0</v>
      </c>
      <c r="W109" s="17">
        <v>195</v>
      </c>
    </row>
    <row r="110" spans="1:55" s="19" customFormat="1">
      <c r="A110" s="21"/>
      <c r="B110" s="10" t="s">
        <v>114</v>
      </c>
      <c r="N110" s="19">
        <f>+SUM(N103:N109)</f>
        <v>1672020</v>
      </c>
      <c r="O110" s="19">
        <f>+SUM(O103:O109)</f>
        <v>1704496</v>
      </c>
      <c r="P110" s="19">
        <f>+SUM(P103:P109)</f>
        <v>1805586</v>
      </c>
      <c r="Q110" s="19">
        <f t="shared" ref="Q110:U110" si="172">+SUM(Q103:Q109)</f>
        <v>1805586</v>
      </c>
      <c r="R110" s="19">
        <f t="shared" si="172"/>
        <v>2097531</v>
      </c>
      <c r="S110" s="19">
        <f t="shared" si="172"/>
        <v>2174158</v>
      </c>
      <c r="T110" s="19">
        <f t="shared" si="172"/>
        <v>2310908</v>
      </c>
      <c r="U110" s="19">
        <f t="shared" si="172"/>
        <v>2310908</v>
      </c>
      <c r="V110" s="19">
        <f>+SUM(V103:V109)</f>
        <v>2297374</v>
      </c>
      <c r="W110" s="19">
        <f>+SUM(W103:W109)</f>
        <v>2133960</v>
      </c>
    </row>
    <row r="112" spans="1:55">
      <c r="B112" s="4" t="s">
        <v>32</v>
      </c>
      <c r="O112" s="17">
        <v>76388</v>
      </c>
      <c r="P112" s="17">
        <f>84563-O112</f>
        <v>8175</v>
      </c>
      <c r="Q112" s="17">
        <f>164807-P112-O112</f>
        <v>80244</v>
      </c>
      <c r="R112" s="17">
        <f>+BB112-SUM(O112:Q112)</f>
        <v>190959</v>
      </c>
      <c r="S112" s="17">
        <v>127101</v>
      </c>
      <c r="T112" s="17">
        <f>315075-S112</f>
        <v>187974</v>
      </c>
      <c r="U112" s="17">
        <f>519509-T112-S112</f>
        <v>204434</v>
      </c>
      <c r="V112" s="17">
        <f>+BC112-SUM(S112:U112)</f>
        <v>133475</v>
      </c>
      <c r="W112" s="17">
        <v>158294</v>
      </c>
      <c r="X112" s="17">
        <f>418236-W112</f>
        <v>259942</v>
      </c>
      <c r="Y112" s="17">
        <f>675374-SUM(W112:X112)</f>
        <v>257138</v>
      </c>
      <c r="BA112" s="17">
        <v>350158</v>
      </c>
      <c r="BB112" s="17">
        <v>355766</v>
      </c>
      <c r="BC112" s="17">
        <v>652984</v>
      </c>
    </row>
    <row r="113" spans="2:66">
      <c r="B113" s="4" t="s">
        <v>26</v>
      </c>
      <c r="O113" s="17">
        <v>58374</v>
      </c>
      <c r="P113" s="17">
        <f>118398-O113</f>
        <v>60024</v>
      </c>
      <c r="Q113" s="17">
        <f>178578-SUM(O113:P113)</f>
        <v>60180</v>
      </c>
      <c r="R113" s="17">
        <f t="shared" ref="R113:R145" si="173">+BB113-SUM(O113:Q113)</f>
        <v>59956</v>
      </c>
      <c r="S113" s="17">
        <v>63122</v>
      </c>
      <c r="T113" s="17">
        <f>125204-S113</f>
        <v>62082</v>
      </c>
      <c r="U113" s="17">
        <f>188395-T113-S113</f>
        <v>63191</v>
      </c>
      <c r="V113" s="17">
        <f t="shared" ref="V113:V145" si="174">+BC113-SUM(S113:U113)</f>
        <v>66262</v>
      </c>
      <c r="W113" s="17">
        <v>71655</v>
      </c>
      <c r="X113" s="17">
        <f>141398-W113</f>
        <v>69743</v>
      </c>
      <c r="Y113" s="17">
        <f>212814-SUM(W113:X113)</f>
        <v>71416</v>
      </c>
      <c r="BA113" s="17">
        <v>212778</v>
      </c>
      <c r="BB113" s="17">
        <v>238534</v>
      </c>
      <c r="BC113" s="17">
        <v>254657</v>
      </c>
    </row>
    <row r="114" spans="2:66">
      <c r="B114" s="4" t="s">
        <v>80</v>
      </c>
      <c r="O114" s="17">
        <v>42961</v>
      </c>
      <c r="P114" s="17">
        <f>88139-O114</f>
        <v>45178</v>
      </c>
      <c r="Q114" s="17">
        <f>53857-SUM(O114:P114)</f>
        <v>-34282</v>
      </c>
      <c r="R114" s="17">
        <f t="shared" si="173"/>
        <v>54493</v>
      </c>
      <c r="S114" s="17">
        <v>49269</v>
      </c>
      <c r="T114" s="17">
        <v>105485</v>
      </c>
      <c r="U114" s="17">
        <f>+-1024-T114-S114</f>
        <v>-155778</v>
      </c>
      <c r="V114" s="17">
        <f t="shared" si="174"/>
        <v>-11333</v>
      </c>
      <c r="W114" s="17">
        <v>-14024</v>
      </c>
      <c r="X114" s="17">
        <f>+-15537-W114</f>
        <v>-1513</v>
      </c>
      <c r="Y114" s="17">
        <f>+-8576-SUM(W114:X114)</f>
        <v>6961</v>
      </c>
      <c r="BA114" s="17">
        <v>29962</v>
      </c>
      <c r="BB114" s="17">
        <v>108350</v>
      </c>
      <c r="BC114" s="17">
        <v>-12357</v>
      </c>
    </row>
    <row r="115" spans="2:66">
      <c r="B115" s="4" t="s">
        <v>81</v>
      </c>
      <c r="O115" s="17">
        <v>27343</v>
      </c>
      <c r="P115" s="17">
        <f>55122-O115</f>
        <v>27779</v>
      </c>
      <c r="Q115" s="17">
        <f>21198-SUM(O115:P115)</f>
        <v>-33924</v>
      </c>
      <c r="R115" s="17">
        <f t="shared" si="173"/>
        <v>7676</v>
      </c>
      <c r="S115" s="17">
        <v>-13482</v>
      </c>
      <c r="T115" s="17">
        <f>+-15884-S115</f>
        <v>-2402</v>
      </c>
      <c r="U115" s="17">
        <f>12483-SUM(S115:T115)</f>
        <v>28367</v>
      </c>
      <c r="V115" s="17">
        <f t="shared" si="174"/>
        <v>4603</v>
      </c>
      <c r="W115" s="17">
        <v>4265</v>
      </c>
      <c r="X115" s="17">
        <f>8851-W115</f>
        <v>4586</v>
      </c>
      <c r="Y115" s="17">
        <f>15127-SUM(W115:X115)</f>
        <v>6276</v>
      </c>
      <c r="BA115" s="17">
        <v>15402</v>
      </c>
      <c r="BB115" s="17">
        <v>28874</v>
      </c>
      <c r="BC115" s="17">
        <v>17086</v>
      </c>
    </row>
    <row r="116" spans="2:66">
      <c r="B116" s="4" t="s">
        <v>82</v>
      </c>
      <c r="O116" s="17">
        <v>8805</v>
      </c>
      <c r="P116" s="17">
        <f>13747-O116</f>
        <v>4942</v>
      </c>
      <c r="Q116" s="17">
        <f>+-143-SUM(O116:P116)</f>
        <v>-13890</v>
      </c>
      <c r="R116" s="17">
        <f t="shared" si="173"/>
        <v>307</v>
      </c>
      <c r="S116" s="17">
        <v>4937</v>
      </c>
      <c r="T116" s="17">
        <f>8235-S116</f>
        <v>3298</v>
      </c>
      <c r="U116" s="17">
        <f>733-SUM(S116:T116)</f>
        <v>-7502</v>
      </c>
      <c r="V116" s="17">
        <f t="shared" si="174"/>
        <v>-240</v>
      </c>
      <c r="W116" s="17">
        <v>-918</v>
      </c>
      <c r="X116" s="17">
        <f>+-0.876-W116</f>
        <v>917.12400000000002</v>
      </c>
      <c r="Y116" s="17">
        <f>+-969-SUM(W116:X116)</f>
        <v>-968.12400000000002</v>
      </c>
      <c r="BA116" s="17">
        <v>33</v>
      </c>
      <c r="BB116" s="17">
        <v>164</v>
      </c>
      <c r="BC116" s="17">
        <v>493</v>
      </c>
    </row>
    <row r="117" spans="2:66">
      <c r="B117" s="4" t="s">
        <v>83</v>
      </c>
      <c r="O117" s="17">
        <v>-90</v>
      </c>
      <c r="P117" s="17">
        <f>82-O117</f>
        <v>172</v>
      </c>
      <c r="Q117" s="17">
        <f>60579-SUM(O117:P117)</f>
        <v>60497</v>
      </c>
      <c r="R117" s="17">
        <f t="shared" si="173"/>
        <v>22047</v>
      </c>
      <c r="S117" s="17">
        <v>-275</v>
      </c>
      <c r="T117" s="17">
        <f>+-220-S117</f>
        <v>55</v>
      </c>
      <c r="U117" s="17">
        <f>138741-SUM(S117:T117)</f>
        <v>138961</v>
      </c>
      <c r="V117" s="17">
        <f t="shared" si="174"/>
        <v>37651</v>
      </c>
      <c r="W117" s="17">
        <v>23590</v>
      </c>
      <c r="X117" s="17">
        <f>52221-W117</f>
        <v>28631</v>
      </c>
      <c r="Y117" s="17">
        <f>77371-SUM(W117:X117)</f>
        <v>25150</v>
      </c>
      <c r="BA117" s="17">
        <v>91396</v>
      </c>
      <c r="BB117" s="17">
        <v>82626</v>
      </c>
      <c r="BC117" s="17">
        <v>176392</v>
      </c>
    </row>
    <row r="118" spans="2:66">
      <c r="B118" s="4" t="s">
        <v>84</v>
      </c>
      <c r="O118" s="17">
        <v>17395</v>
      </c>
      <c r="P118" s="17">
        <f>40762-O118</f>
        <v>23367</v>
      </c>
      <c r="Q118" s="17">
        <f>2450-SUM(O118:P118)</f>
        <v>-38312</v>
      </c>
      <c r="R118" s="17">
        <f t="shared" si="173"/>
        <v>1193</v>
      </c>
      <c r="S118" s="17">
        <v>55390</v>
      </c>
      <c r="T118" s="17">
        <f>102680-S118</f>
        <v>47290</v>
      </c>
      <c r="U118" s="17">
        <f>2534-SUM(S118:T118)</f>
        <v>-100146</v>
      </c>
      <c r="V118" s="17">
        <f t="shared" si="174"/>
        <v>-7133</v>
      </c>
      <c r="W118" s="17">
        <v>-998</v>
      </c>
      <c r="X118" s="17">
        <f>+-11909-W118</f>
        <v>-10911</v>
      </c>
      <c r="Y118" s="17">
        <f>+-13045-SUM(W118:X118)</f>
        <v>-1136</v>
      </c>
      <c r="BA118" s="17">
        <v>-10592</v>
      </c>
      <c r="BB118" s="17">
        <v>3643</v>
      </c>
      <c r="BC118" s="17">
        <v>-4599</v>
      </c>
    </row>
    <row r="119" spans="2:66">
      <c r="B119" s="4" t="s">
        <v>56</v>
      </c>
      <c r="O119" s="17">
        <v>707</v>
      </c>
      <c r="P119" s="17">
        <f>1670-O119</f>
        <v>963</v>
      </c>
      <c r="Q119" s="17">
        <f>29333-SUM(O119:P119)</f>
        <v>27663</v>
      </c>
      <c r="R119" s="17">
        <f t="shared" si="173"/>
        <v>-26323</v>
      </c>
      <c r="S119" s="17">
        <v>2180</v>
      </c>
      <c r="T119" s="17">
        <f>2467-S119</f>
        <v>287</v>
      </c>
      <c r="U119" s="17">
        <f>21882-SUM(S119:T119)</f>
        <v>19415</v>
      </c>
      <c r="V119" s="17">
        <f t="shared" si="174"/>
        <v>-23569</v>
      </c>
      <c r="W119" s="17">
        <v>10394</v>
      </c>
      <c r="X119" s="17">
        <f>12353-W119</f>
        <v>1959</v>
      </c>
      <c r="Y119" s="17">
        <f>22891-SUM(W119:X119)</f>
        <v>10538</v>
      </c>
      <c r="BA119" s="17">
        <v>-2630</v>
      </c>
      <c r="BB119" s="17">
        <v>3010</v>
      </c>
      <c r="BC119" s="17">
        <v>-1687</v>
      </c>
    </row>
    <row r="120" spans="2:66">
      <c r="B120" s="4" t="s">
        <v>57</v>
      </c>
      <c r="O120" s="17">
        <v>25967</v>
      </c>
      <c r="P120" s="17">
        <f>22598-O120</f>
        <v>-3369</v>
      </c>
      <c r="Q120" s="17">
        <f>614-SUM(O120:P120)</f>
        <v>-21984</v>
      </c>
      <c r="R120" s="17">
        <f t="shared" si="173"/>
        <v>-1008</v>
      </c>
      <c r="S120" s="17">
        <v>32175</v>
      </c>
      <c r="T120" s="17">
        <f>37286-S120</f>
        <v>5111</v>
      </c>
      <c r="U120" s="17">
        <f>+-1996-SUM(S120:T120)</f>
        <v>-39282</v>
      </c>
      <c r="V120" s="17">
        <f t="shared" si="174"/>
        <v>-4396</v>
      </c>
      <c r="W120" s="17">
        <v>2970</v>
      </c>
      <c r="X120" s="17">
        <f>3320-W120</f>
        <v>350</v>
      </c>
      <c r="Y120" s="17">
        <f>+-1056-SUM(W120:X120)</f>
        <v>-4376</v>
      </c>
      <c r="BA120" s="17">
        <v>-4530</v>
      </c>
      <c r="BB120" s="17">
        <v>-394</v>
      </c>
      <c r="BC120" s="17">
        <v>-6392</v>
      </c>
    </row>
    <row r="121" spans="2:66">
      <c r="B121" s="4" t="s">
        <v>85</v>
      </c>
      <c r="O121" s="17">
        <v>2734</v>
      </c>
      <c r="P121" s="17">
        <f>2029-O121</f>
        <v>-705</v>
      </c>
      <c r="Q121" s="17">
        <f>+-6015-SUM(O121:P121)</f>
        <v>-8044</v>
      </c>
      <c r="R121" s="17">
        <f t="shared" si="173"/>
        <v>-5427</v>
      </c>
      <c r="S121" s="17">
        <v>2148</v>
      </c>
      <c r="T121" s="17">
        <f>1309-S121</f>
        <v>-839</v>
      </c>
      <c r="U121" s="17">
        <f>+-19343-SUM(S121:T121)</f>
        <v>-20652</v>
      </c>
      <c r="V121" s="17">
        <f t="shared" si="174"/>
        <v>-7483</v>
      </c>
      <c r="W121" s="17">
        <v>5920</v>
      </c>
      <c r="X121" s="17">
        <f>948-W121</f>
        <v>-4972</v>
      </c>
      <c r="Y121" s="17">
        <f>+-3169-SUM(W121:X121)</f>
        <v>-4117</v>
      </c>
      <c r="BA121" s="17">
        <v>-23066</v>
      </c>
      <c r="BB121" s="17">
        <v>-11442</v>
      </c>
      <c r="BC121" s="17">
        <v>-26826</v>
      </c>
    </row>
    <row r="122" spans="2:66">
      <c r="B122" s="4" t="s">
        <v>86</v>
      </c>
      <c r="O122" s="17">
        <v>-4158</v>
      </c>
      <c r="P122" s="17">
        <f>+-6250-O122</f>
        <v>-2092</v>
      </c>
      <c r="Q122" s="17">
        <f>136052-SUM(O122:P122)</f>
        <v>142302</v>
      </c>
      <c r="R122" s="17">
        <f t="shared" si="173"/>
        <v>48486</v>
      </c>
      <c r="S122" s="17">
        <v>-8756</v>
      </c>
      <c r="T122" s="17">
        <f>+-18186-S122</f>
        <v>-9430</v>
      </c>
      <c r="U122" s="17">
        <f>151628-SUM(S122:T122)</f>
        <v>169814</v>
      </c>
      <c r="V122" s="17">
        <f t="shared" si="174"/>
        <v>72209</v>
      </c>
      <c r="W122" s="17">
        <v>55125</v>
      </c>
      <c r="X122" s="17">
        <f>112505-W122</f>
        <v>57380</v>
      </c>
      <c r="Y122" s="17">
        <f>171464-SUM(W122:X122)</f>
        <v>58959</v>
      </c>
      <c r="BA122" s="17">
        <v>163952</v>
      </c>
      <c r="BB122" s="17">
        <v>184538</v>
      </c>
      <c r="BC122" s="17">
        <v>223837</v>
      </c>
    </row>
    <row r="123" spans="2:66">
      <c r="B123" s="4" t="s">
        <v>65</v>
      </c>
      <c r="O123" s="17">
        <v>-5133</v>
      </c>
      <c r="P123" s="17">
        <f>+-8574-O123</f>
        <v>-3441</v>
      </c>
      <c r="Q123" s="17">
        <f>+-21754-SUM(O123:P123)</f>
        <v>-13180</v>
      </c>
      <c r="R123" s="17">
        <f t="shared" si="173"/>
        <v>-4823</v>
      </c>
      <c r="S123" s="17">
        <v>-186</v>
      </c>
      <c r="T123" s="17">
        <f>117-S123</f>
        <v>303</v>
      </c>
      <c r="U123" s="17">
        <f>1901-SUM(S123:T123)</f>
        <v>1784</v>
      </c>
      <c r="V123" s="17">
        <f t="shared" si="174"/>
        <v>2092</v>
      </c>
      <c r="W123" s="17">
        <v>-1132</v>
      </c>
      <c r="X123" s="17">
        <f>+-3014-W123</f>
        <v>-1882</v>
      </c>
      <c r="Y123" s="17">
        <f>+-1537-SUM(W123:X123)</f>
        <v>1477</v>
      </c>
      <c r="BA123" s="17">
        <v>2818</v>
      </c>
      <c r="BB123" s="17">
        <v>-26577</v>
      </c>
      <c r="BC123" s="17">
        <v>3993</v>
      </c>
    </row>
    <row r="124" spans="2:66">
      <c r="B124" s="4" t="s">
        <v>68</v>
      </c>
      <c r="O124" s="17">
        <v>20245</v>
      </c>
      <c r="P124" s="17">
        <f>40530-O124</f>
        <v>20285</v>
      </c>
      <c r="Q124" s="17">
        <f>5776-SUM(O124:P124)</f>
        <v>-34754</v>
      </c>
      <c r="R124" s="17">
        <f t="shared" si="173"/>
        <v>-9635</v>
      </c>
      <c r="S124" s="17">
        <v>19446</v>
      </c>
      <c r="T124" s="17">
        <f>12525-S124</f>
        <v>-6921</v>
      </c>
      <c r="U124" s="17">
        <f>28712-SUM(S124:T124)</f>
        <v>16187</v>
      </c>
      <c r="V124" s="17">
        <f t="shared" si="174"/>
        <v>-7272</v>
      </c>
      <c r="W124" s="17">
        <v>15702</v>
      </c>
      <c r="X124" s="17">
        <f>+-2972-W124</f>
        <v>-18674</v>
      </c>
      <c r="Y124" s="17">
        <f>10774-SUM(W124:X124)</f>
        <v>13746</v>
      </c>
      <c r="BA124" s="17">
        <v>-973</v>
      </c>
      <c r="BB124" s="17">
        <v>-3859</v>
      </c>
      <c r="BC124" s="17">
        <v>21440</v>
      </c>
      <c r="BN124" s="19"/>
    </row>
    <row r="125" spans="2:66">
      <c r="B125" s="4" t="s">
        <v>87</v>
      </c>
      <c r="O125" s="17">
        <v>5839</v>
      </c>
      <c r="P125" s="17">
        <f>3264-O125</f>
        <v>-2575</v>
      </c>
      <c r="Q125" s="17">
        <f>68514-SUM(O125:P125)</f>
        <v>65250</v>
      </c>
      <c r="R125" s="17">
        <f t="shared" si="173"/>
        <v>8169</v>
      </c>
      <c r="S125" s="17">
        <v>18188</v>
      </c>
      <c r="T125" s="17">
        <f>21068-S125</f>
        <v>2880</v>
      </c>
      <c r="U125" s="17">
        <f>+-13193-SUM(S125:T125)</f>
        <v>-34261</v>
      </c>
      <c r="V125" s="17">
        <f t="shared" si="174"/>
        <v>-31362</v>
      </c>
      <c r="W125" s="17">
        <v>10438</v>
      </c>
      <c r="X125" s="17">
        <f>+-0.583-W125</f>
        <v>-10438.583000000001</v>
      </c>
      <c r="Y125" s="17">
        <f>-32861-SUM(W125:X125)</f>
        <v>-32860.417000000001</v>
      </c>
      <c r="BA125" s="17">
        <v>11759</v>
      </c>
      <c r="BB125" s="17">
        <v>76683</v>
      </c>
      <c r="BC125" s="17">
        <v>-44555</v>
      </c>
    </row>
    <row r="126" spans="2:66">
      <c r="B126" s="4" t="s">
        <v>88</v>
      </c>
      <c r="O126" s="17">
        <v>-9389</v>
      </c>
      <c r="P126" s="17">
        <f>+-8120-O126</f>
        <v>1269</v>
      </c>
      <c r="Q126" s="17">
        <f>1965-SUM(O126:P126)</f>
        <v>10085</v>
      </c>
      <c r="R126" s="17">
        <f t="shared" si="173"/>
        <v>3631</v>
      </c>
      <c r="S126" s="17">
        <v>-17869</v>
      </c>
      <c r="T126" s="17">
        <f>+-20102-S126</f>
        <v>-2233</v>
      </c>
      <c r="U126" s="17">
        <f>+-7407-SUM(S126:T126)</f>
        <v>12695</v>
      </c>
      <c r="V126" s="17">
        <f t="shared" si="174"/>
        <v>18404</v>
      </c>
      <c r="W126" s="17">
        <v>-31151</v>
      </c>
      <c r="X126" s="17">
        <f>+-22293-W126</f>
        <v>8858</v>
      </c>
      <c r="Y126" s="17">
        <f>+-16562-SUM(W126:X126)</f>
        <v>5731</v>
      </c>
      <c r="BA126" s="17">
        <v>36543</v>
      </c>
      <c r="BB126" s="17">
        <v>5596</v>
      </c>
      <c r="BC126" s="17">
        <v>10997</v>
      </c>
    </row>
    <row r="127" spans="2:66">
      <c r="B127" s="4" t="s">
        <v>71</v>
      </c>
      <c r="O127" s="17">
        <v>-15924</v>
      </c>
      <c r="P127" s="17">
        <f>+-4027-O127</f>
        <v>11897</v>
      </c>
      <c r="Q127" s="17">
        <f>+-593-SUM(O127:P127)</f>
        <v>3434</v>
      </c>
      <c r="R127" s="17">
        <f t="shared" si="173"/>
        <v>37551</v>
      </c>
      <c r="S127" s="17">
        <v>-15606</v>
      </c>
      <c r="T127" s="17">
        <f>+-11487-S127</f>
        <v>4119</v>
      </c>
      <c r="U127" s="17">
        <f>+-2978-SUM(S127:T127)</f>
        <v>8509</v>
      </c>
      <c r="V127" s="17">
        <f t="shared" si="174"/>
        <v>37365</v>
      </c>
      <c r="W127" s="17">
        <v>-21604</v>
      </c>
      <c r="X127" s="17">
        <f>+-20062-W127</f>
        <v>1542</v>
      </c>
      <c r="Y127" s="17">
        <f>-18141-SUM(W127:X127)</f>
        <v>1921</v>
      </c>
      <c r="BA127" s="17">
        <v>30400</v>
      </c>
      <c r="BB127" s="17">
        <v>36958</v>
      </c>
      <c r="BC127" s="17">
        <v>34387</v>
      </c>
    </row>
    <row r="128" spans="2:66">
      <c r="B128" s="4" t="s">
        <v>89</v>
      </c>
      <c r="O128" s="17">
        <v>-29179</v>
      </c>
      <c r="P128" s="17">
        <f>+-70119-O128</f>
        <v>-40940</v>
      </c>
      <c r="Q128" s="17">
        <f>+-32677-SUM(O128:P128)</f>
        <v>37442</v>
      </c>
      <c r="R128" s="17">
        <f t="shared" si="173"/>
        <v>-222574</v>
      </c>
      <c r="S128" s="17">
        <v>38640</v>
      </c>
      <c r="T128" s="17">
        <f>+-1851-S128</f>
        <v>-40491</v>
      </c>
      <c r="U128" s="17">
        <f>+-35850-SUM(S128:T128)</f>
        <v>-33999</v>
      </c>
      <c r="V128" s="17">
        <f t="shared" si="174"/>
        <v>229229</v>
      </c>
      <c r="W128" s="17">
        <v>43367</v>
      </c>
      <c r="X128" s="17">
        <f>+-3832-W128</f>
        <v>-47199</v>
      </c>
      <c r="Y128" s="17">
        <f>+-18070-SUM(W128:X128)</f>
        <v>-14238</v>
      </c>
      <c r="BA128" s="17">
        <v>-32083</v>
      </c>
      <c r="BB128" s="17">
        <v>-255251</v>
      </c>
      <c r="BC128" s="17">
        <v>193379</v>
      </c>
    </row>
    <row r="129" spans="1:55">
      <c r="B129" s="4" t="s">
        <v>90</v>
      </c>
      <c r="O129" s="17">
        <v>-40918</v>
      </c>
      <c r="P129" s="17">
        <f>+-69468-O129</f>
        <v>-28550</v>
      </c>
      <c r="Q129" s="17">
        <f>+-115069-SUM(O129:P129)</f>
        <v>-45601</v>
      </c>
      <c r="R129" s="17">
        <f t="shared" si="173"/>
        <v>-50085</v>
      </c>
      <c r="S129" s="17">
        <v>-50902</v>
      </c>
      <c r="T129" s="17">
        <f>+-101818-S129</f>
        <v>-50916</v>
      </c>
      <c r="U129" s="17">
        <f>+-141540-SUM(R129:T129)</f>
        <v>10363</v>
      </c>
      <c r="V129" s="17">
        <f t="shared" si="174"/>
        <v>-115709</v>
      </c>
      <c r="W129" s="17">
        <v>-49596</v>
      </c>
      <c r="X129" s="17">
        <f>+-100024-W129</f>
        <v>-50428</v>
      </c>
      <c r="Y129" s="17">
        <f>+-153200-SUM(W129:X129)</f>
        <v>-53176</v>
      </c>
      <c r="BA129" s="17">
        <v>-151557</v>
      </c>
      <c r="BB129" s="17">
        <v>-165154</v>
      </c>
      <c r="BC129" s="17">
        <v>-207164</v>
      </c>
    </row>
    <row r="130" spans="1:55">
      <c r="B130" s="4" t="s">
        <v>91</v>
      </c>
      <c r="O130" s="17">
        <v>104</v>
      </c>
      <c r="P130" s="17">
        <f>587-O130</f>
        <v>483</v>
      </c>
      <c r="Q130" s="17">
        <f>1351-SUM(O130:P130)</f>
        <v>764</v>
      </c>
      <c r="R130" s="17">
        <f t="shared" si="173"/>
        <v>431</v>
      </c>
      <c r="S130" s="17">
        <v>453</v>
      </c>
      <c r="T130" s="17">
        <f>955-S130</f>
        <v>502</v>
      </c>
      <c r="U130" s="17">
        <f>474-SUM(S130:T130)</f>
        <v>-481</v>
      </c>
      <c r="V130" s="17">
        <f t="shared" si="174"/>
        <v>-4458</v>
      </c>
      <c r="W130" s="17">
        <v>595</v>
      </c>
      <c r="X130" s="17">
        <f>0.958-W130</f>
        <v>-594.04200000000003</v>
      </c>
      <c r="Y130" s="17">
        <f>2968-SUM(W130:X130)</f>
        <v>2967.0419999999999</v>
      </c>
      <c r="BA130" s="17">
        <v>1862</v>
      </c>
      <c r="BB130" s="17">
        <v>1782</v>
      </c>
      <c r="BC130" s="17">
        <v>-3984</v>
      </c>
    </row>
    <row r="131" spans="1:55" s="19" customFormat="1">
      <c r="A131" s="21"/>
      <c r="B131" s="10" t="s">
        <v>40</v>
      </c>
      <c r="O131" s="19">
        <f>+SUM(O112:O130)</f>
        <v>182071</v>
      </c>
      <c r="P131" s="19">
        <f>SUM(P112:P130)</f>
        <v>122862</v>
      </c>
      <c r="Q131" s="19">
        <f>+SUM(Q112:Q130)</f>
        <v>243890</v>
      </c>
      <c r="R131" s="19">
        <f t="shared" si="173"/>
        <v>115024</v>
      </c>
      <c r="S131" s="19">
        <f>+SUM(S112:S130)</f>
        <v>305973</v>
      </c>
      <c r="T131" s="19">
        <f>+SUM(T112:T130)</f>
        <v>306154</v>
      </c>
      <c r="U131" s="19">
        <f>+SUM(U112:U130)</f>
        <v>281619</v>
      </c>
      <c r="V131" s="19">
        <f>+BC131-SUM(S131:U131)</f>
        <v>388335</v>
      </c>
      <c r="W131" s="19">
        <f>+SUM(W112:W130)</f>
        <v>282892</v>
      </c>
      <c r="X131" s="19">
        <f>+SUM(X112:X130)</f>
        <v>287296.49900000001</v>
      </c>
      <c r="Y131" s="19">
        <f>+SUM(Y112:Y130)</f>
        <v>351408.50099999999</v>
      </c>
      <c r="Z131" s="19">
        <f>1323179-SUM(W131:Y131)</f>
        <v>401582</v>
      </c>
      <c r="AA131" s="19">
        <v>455036</v>
      </c>
      <c r="AB131" s="19">
        <f>1037546-AA131</f>
        <v>582510</v>
      </c>
      <c r="AC131" s="19">
        <f>1518018-SUM(AA131:AB131)</f>
        <v>480472</v>
      </c>
      <c r="AD131" s="19">
        <f>1783477-SUM(AA131:AC131)</f>
        <v>265459</v>
      </c>
      <c r="AE131" s="19">
        <v>569234</v>
      </c>
      <c r="BA131" s="19">
        <f>+SUM(BA112:BA130)</f>
        <v>721632</v>
      </c>
      <c r="BB131" s="19">
        <f>+SUM(BB112:BB130)</f>
        <v>663847</v>
      </c>
      <c r="BC131" s="19">
        <f>+SUM(BC112:BC130)</f>
        <v>1282081</v>
      </c>
    </row>
    <row r="133" spans="1:55">
      <c r="B133" s="4" t="s">
        <v>41</v>
      </c>
      <c r="O133" s="17">
        <v>-77653</v>
      </c>
      <c r="P133" s="17">
        <f>+-165455-O133</f>
        <v>-87802</v>
      </c>
      <c r="Q133" s="17">
        <f>+-246758-SUM(O133:P133)</f>
        <v>-81303</v>
      </c>
      <c r="R133" s="17">
        <f t="shared" si="173"/>
        <v>-126594</v>
      </c>
      <c r="S133" s="17">
        <v>-86619</v>
      </c>
      <c r="T133" s="17">
        <f>+-212123-S133</f>
        <v>-125504</v>
      </c>
      <c r="U133" s="17">
        <f>+-320569-SUM(S133:T133)</f>
        <v>-108446</v>
      </c>
      <c r="V133" s="17">
        <f t="shared" si="174"/>
        <v>-121906</v>
      </c>
      <c r="W133" s="17">
        <v>-96162</v>
      </c>
      <c r="X133" s="17">
        <f>+-196495-W133</f>
        <v>-100333</v>
      </c>
      <c r="Y133" s="17">
        <f>+-335518-SUM(W133:X133)</f>
        <v>-139023</v>
      </c>
      <c r="Z133" s="17">
        <f>+-479164-SUM(W133:Y133)</f>
        <v>-143646</v>
      </c>
      <c r="AA133" s="17">
        <v>-120369</v>
      </c>
      <c r="AB133" s="17">
        <f>+-257601-AA133</f>
        <v>-137232</v>
      </c>
      <c r="AC133" s="17">
        <f>+-388801-SUM(AA133:AB133)</f>
        <v>-131200</v>
      </c>
      <c r="AD133" s="17">
        <f>+-560731-SUM(AA133:AC133)</f>
        <v>-171930</v>
      </c>
      <c r="AE133" s="17">
        <v>-132703</v>
      </c>
      <c r="BA133" s="17">
        <v>-333912</v>
      </c>
      <c r="BB133" s="17">
        <v>-373352</v>
      </c>
      <c r="BC133" s="17">
        <v>-442475</v>
      </c>
    </row>
    <row r="134" spans="1:55">
      <c r="B134" s="4" t="s">
        <v>92</v>
      </c>
      <c r="O134" s="17">
        <v>-80746</v>
      </c>
      <c r="P134" s="17">
        <f>+-101104-O134</f>
        <v>-20358</v>
      </c>
      <c r="Q134" s="17">
        <f>+-325069-SUM(O134:P134)</f>
        <v>-223965</v>
      </c>
      <c r="R134" s="17">
        <f t="shared" si="173"/>
        <v>-143349</v>
      </c>
      <c r="S134" s="17">
        <v>-90477</v>
      </c>
      <c r="T134" s="17">
        <f>+-190920-S134</f>
        <v>-100443</v>
      </c>
      <c r="U134" s="17">
        <f>+-288899-SUM(S134:T134)</f>
        <v>-97979</v>
      </c>
      <c r="V134" s="17">
        <f t="shared" si="174"/>
        <v>-140451</v>
      </c>
      <c r="W134" s="17">
        <v>-118827</v>
      </c>
      <c r="X134" s="17">
        <f>195242-W134</f>
        <v>314069</v>
      </c>
      <c r="Y134" s="17">
        <f>+-513813-SUM(W134:X134)</f>
        <v>-709055</v>
      </c>
      <c r="BA134" s="17">
        <v>-448754</v>
      </c>
      <c r="BB134" s="17">
        <v>-468418</v>
      </c>
      <c r="BC134" s="17">
        <v>-429350</v>
      </c>
    </row>
    <row r="135" spans="1:55">
      <c r="B135" s="4" t="s">
        <v>93</v>
      </c>
      <c r="O135" s="17">
        <v>99037</v>
      </c>
      <c r="P135" s="17">
        <f>198578-O135</f>
        <v>99541</v>
      </c>
      <c r="Q135" s="17">
        <f>318505-SUM(O135:P135)</f>
        <v>119927</v>
      </c>
      <c r="R135" s="17">
        <f t="shared" si="173"/>
        <v>100573</v>
      </c>
      <c r="S135" s="17">
        <v>60593</v>
      </c>
      <c r="T135" s="17">
        <f>162045-S135</f>
        <v>101452</v>
      </c>
      <c r="U135" s="17">
        <f>243441-SUM(S135:T135)</f>
        <v>81396</v>
      </c>
      <c r="V135" s="17">
        <f t="shared" si="174"/>
        <v>102307</v>
      </c>
      <c r="W135" s="17">
        <v>81923</v>
      </c>
      <c r="X135" s="17">
        <f>142540-W135</f>
        <v>60617</v>
      </c>
      <c r="Y135" s="17">
        <f>202997-SUM(W135:X135)</f>
        <v>60457</v>
      </c>
      <c r="BA135" s="17">
        <v>476723</v>
      </c>
      <c r="BB135" s="17">
        <v>419078</v>
      </c>
      <c r="BC135" s="17">
        <v>345748</v>
      </c>
    </row>
    <row r="136" spans="1:55">
      <c r="B136" s="4" t="s">
        <v>94</v>
      </c>
      <c r="O136" s="17">
        <v>0</v>
      </c>
      <c r="P136" s="17">
        <f>0-O136</f>
        <v>0</v>
      </c>
      <c r="Q136" s="17">
        <f>0-SUM(O136:P136)</f>
        <v>0</v>
      </c>
      <c r="R136" s="17">
        <f t="shared" si="173"/>
        <v>0</v>
      </c>
      <c r="S136" s="17">
        <v>0</v>
      </c>
      <c r="T136" s="17">
        <f>2885-S136</f>
        <v>2885</v>
      </c>
      <c r="U136" s="17">
        <f>2885-SUM(S136:T136)</f>
        <v>0</v>
      </c>
      <c r="V136" s="17">
        <f t="shared" si="174"/>
        <v>1150</v>
      </c>
      <c r="W136" s="17">
        <v>0</v>
      </c>
      <c r="X136" s="17">
        <v>0</v>
      </c>
      <c r="Y136" s="17">
        <v>0</v>
      </c>
      <c r="BA136" s="17">
        <v>13969</v>
      </c>
      <c r="BB136" s="17">
        <v>0</v>
      </c>
      <c r="BC136" s="17">
        <v>4035</v>
      </c>
    </row>
    <row r="137" spans="1:55">
      <c r="B137" s="4" t="s">
        <v>95</v>
      </c>
      <c r="O137" s="17">
        <v>0</v>
      </c>
      <c r="P137" s="17">
        <f>+-7525-O137</f>
        <v>-7525</v>
      </c>
      <c r="Q137" s="17">
        <f>+-10025-SUM(O137:P137)</f>
        <v>-2500</v>
      </c>
      <c r="R137" s="17">
        <f t="shared" si="173"/>
        <v>0</v>
      </c>
      <c r="S137" s="17">
        <v>0</v>
      </c>
      <c r="T137" s="17">
        <f>0-S137</f>
        <v>0</v>
      </c>
      <c r="U137" s="17">
        <f>0-SUM(S137:T137)</f>
        <v>0</v>
      </c>
      <c r="V137" s="17">
        <f t="shared" si="174"/>
        <v>0</v>
      </c>
      <c r="W137" s="17">
        <v>0</v>
      </c>
      <c r="X137" s="17">
        <v>0</v>
      </c>
      <c r="Y137" s="17">
        <v>0</v>
      </c>
      <c r="BA137" s="17">
        <v>0</v>
      </c>
      <c r="BB137" s="17">
        <v>-10025</v>
      </c>
      <c r="BC137" s="17">
        <v>0</v>
      </c>
    </row>
    <row r="138" spans="1:55" s="19" customFormat="1">
      <c r="A138" s="21"/>
      <c r="B138" s="10" t="s">
        <v>96</v>
      </c>
      <c r="O138" s="19">
        <f>+SUM(O133:O137)</f>
        <v>-59362</v>
      </c>
      <c r="P138" s="19">
        <f>+SUM(P133:P137)</f>
        <v>-16144</v>
      </c>
      <c r="Q138" s="19">
        <f>+SUM(Q133:Q137)</f>
        <v>-187841</v>
      </c>
      <c r="R138" s="19">
        <f t="shared" si="173"/>
        <v>-169370</v>
      </c>
      <c r="S138" s="19">
        <f>SUM(S133:S137)</f>
        <v>-116503</v>
      </c>
      <c r="T138" s="19">
        <f>+SUM(T133:T137)</f>
        <v>-121610</v>
      </c>
      <c r="U138" s="19">
        <f>+SUM(U133:U137)</f>
        <v>-125029</v>
      </c>
      <c r="V138" s="19">
        <f t="shared" si="174"/>
        <v>-158900</v>
      </c>
      <c r="W138" s="19">
        <f>+SUM(W133:W137)</f>
        <v>-133066</v>
      </c>
      <c r="X138" s="19">
        <f>+SUM(X133:X137)</f>
        <v>274353</v>
      </c>
      <c r="Y138" s="19">
        <f>+SUM(Y133:Y137)</f>
        <v>-787621</v>
      </c>
      <c r="BA138" s="19">
        <f>+SUM(BA133:BA137)</f>
        <v>-291974</v>
      </c>
      <c r="BB138" s="19">
        <f>+SUM(BB133:BB137)</f>
        <v>-432717</v>
      </c>
      <c r="BC138" s="19">
        <f>+SUM(BC133:BC137)</f>
        <v>-522042</v>
      </c>
    </row>
    <row r="140" spans="1:55">
      <c r="B140" s="4" t="s">
        <v>97</v>
      </c>
      <c r="O140" s="17">
        <v>-54401</v>
      </c>
      <c r="P140" s="17">
        <f>+-54401-O140</f>
        <v>0</v>
      </c>
      <c r="Q140" s="17">
        <f>+-54401-SUM(O140:P140)</f>
        <v>0</v>
      </c>
      <c r="R140" s="17">
        <f t="shared" si="173"/>
        <v>0</v>
      </c>
      <c r="S140" s="17">
        <f>+-57229</f>
        <v>-57229</v>
      </c>
      <c r="T140" s="17">
        <f>+-203151-S140</f>
        <v>-145922</v>
      </c>
      <c r="U140" s="17">
        <f>+-300733-SUM(S140:T140)</f>
        <v>-97582</v>
      </c>
      <c r="V140" s="17">
        <f t="shared" si="174"/>
        <v>-165729</v>
      </c>
      <c r="W140" s="17">
        <v>-263308</v>
      </c>
      <c r="X140" s="17">
        <f>+-521910-W140</f>
        <v>-258602</v>
      </c>
      <c r="Y140" s="17">
        <f>+-629775-SUM(W140:X140)</f>
        <v>-107865</v>
      </c>
      <c r="BA140" s="17">
        <v>-190617</v>
      </c>
      <c r="BB140" s="17">
        <v>-54401</v>
      </c>
      <c r="BC140" s="17">
        <v>-466462</v>
      </c>
    </row>
    <row r="141" spans="1:55">
      <c r="B141" s="4" t="s">
        <v>98</v>
      </c>
      <c r="O141" s="17">
        <v>-47630</v>
      </c>
      <c r="P141" s="17">
        <f>+-47947-O141</f>
        <v>-317</v>
      </c>
      <c r="Q141" s="17">
        <f>+-47976-SUM(O141:P141)</f>
        <v>-29</v>
      </c>
      <c r="R141" s="17">
        <f t="shared" si="173"/>
        <v>-579</v>
      </c>
      <c r="S141" s="17">
        <v>-44810</v>
      </c>
      <c r="T141" s="17">
        <f>+-58860-S141</f>
        <v>-14050</v>
      </c>
      <c r="U141" s="17">
        <f>+-63492-SUM(S141:T141)</f>
        <v>-4632</v>
      </c>
      <c r="V141" s="17">
        <f t="shared" si="174"/>
        <v>-16378</v>
      </c>
      <c r="W141" s="17">
        <v>-85811</v>
      </c>
      <c r="X141" s="17">
        <f>+-91505-W141</f>
        <v>-5694</v>
      </c>
      <c r="Y141" s="17">
        <f>+-92374-SUM(W141:X141)</f>
        <v>-869</v>
      </c>
      <c r="BA141" s="17">
        <v>-10420</v>
      </c>
      <c r="BB141" s="17">
        <v>-48555</v>
      </c>
      <c r="BC141" s="17">
        <v>-79870</v>
      </c>
    </row>
    <row r="142" spans="1:55">
      <c r="B142" s="4" t="s">
        <v>99</v>
      </c>
      <c r="O142" s="17">
        <v>-69</v>
      </c>
      <c r="P142" s="17">
        <f>+-1855-O142</f>
        <v>-1786</v>
      </c>
      <c r="Q142" s="17">
        <f>+-1865-SUM(O142:P142)</f>
        <v>-10</v>
      </c>
      <c r="R142" s="17">
        <f t="shared" si="173"/>
        <v>-30</v>
      </c>
      <c r="S142" s="17">
        <v>-221</v>
      </c>
      <c r="T142" s="17">
        <f>+-2208-S142</f>
        <v>-1987</v>
      </c>
      <c r="U142" s="17">
        <f>+-2342-SUM(S142:T142)</f>
        <v>-134</v>
      </c>
      <c r="V142" s="17">
        <f t="shared" si="174"/>
        <v>68</v>
      </c>
      <c r="W142" s="17">
        <v>-359</v>
      </c>
      <c r="X142" s="17">
        <f>+-0.588-W142</f>
        <v>358.41199999999998</v>
      </c>
      <c r="Y142" s="17">
        <f>+-586-SUM(W142:X142)</f>
        <v>-585.41200000000003</v>
      </c>
      <c r="BA142" s="17">
        <v>-698</v>
      </c>
      <c r="BB142" s="17">
        <v>-1895</v>
      </c>
      <c r="BC142" s="17">
        <v>-2274</v>
      </c>
    </row>
    <row r="143" spans="1:55" s="19" customFormat="1">
      <c r="A143" s="21"/>
      <c r="B143" s="10" t="s">
        <v>100</v>
      </c>
      <c r="O143" s="19">
        <f>+SUM(O140:O142)</f>
        <v>-102100</v>
      </c>
      <c r="P143" s="19">
        <f>+SUM(P140:P142)</f>
        <v>-2103</v>
      </c>
      <c r="Q143" s="19">
        <f>+SUM(Q140:Q142)</f>
        <v>-39</v>
      </c>
      <c r="R143" s="19">
        <f t="shared" si="173"/>
        <v>-609</v>
      </c>
      <c r="S143" s="19">
        <f>+SUM(S140:S142)</f>
        <v>-102260</v>
      </c>
      <c r="T143" s="19">
        <f>+SUM(T140:T142)</f>
        <v>-161959</v>
      </c>
      <c r="U143" s="19">
        <f>+SUM(U140:U142)</f>
        <v>-102348</v>
      </c>
      <c r="V143" s="19">
        <f t="shared" si="174"/>
        <v>-182039</v>
      </c>
      <c r="W143" s="19">
        <f>+SUM(W140:W142)</f>
        <v>-349478</v>
      </c>
      <c r="X143" s="19">
        <f>+SUM(X140:X142)</f>
        <v>-263937.58799999999</v>
      </c>
      <c r="Y143" s="19">
        <f>+SUM(Y140:Y142)</f>
        <v>-109319.412</v>
      </c>
      <c r="BA143" s="19">
        <f>+SUM(BA140:BA142)</f>
        <v>-201735</v>
      </c>
      <c r="BB143" s="19">
        <f>+SUM(BB140:BB142)</f>
        <v>-104851</v>
      </c>
      <c r="BC143" s="19">
        <f>+SUM(BC140:BC142)</f>
        <v>-548606</v>
      </c>
    </row>
    <row r="144" spans="1:55">
      <c r="B144" s="4" t="s">
        <v>101</v>
      </c>
      <c r="O144" s="17">
        <v>-819</v>
      </c>
      <c r="P144" s="17">
        <f>+-104-O144</f>
        <v>715</v>
      </c>
      <c r="Q144" s="17">
        <f>377-SUM(O144:P144)</f>
        <v>481</v>
      </c>
      <c r="R144" s="17">
        <f t="shared" si="173"/>
        <v>699</v>
      </c>
      <c r="S144" s="17">
        <v>-407</v>
      </c>
      <c r="T144" s="17">
        <f>+-216-S144</f>
        <v>191</v>
      </c>
      <c r="U144" s="17">
        <f>+-788-SUM(S144:T144)</f>
        <v>-572</v>
      </c>
      <c r="V144" s="17">
        <f t="shared" si="174"/>
        <v>-251</v>
      </c>
      <c r="W144" s="17">
        <v>147</v>
      </c>
      <c r="X144" s="17">
        <f>+-0.49-W144</f>
        <v>-147.49</v>
      </c>
      <c r="Y144" s="17">
        <f>+-1170-SUM(W144:X144)</f>
        <v>-1169.51</v>
      </c>
      <c r="BA144" s="17">
        <v>406</v>
      </c>
      <c r="BB144" s="17">
        <v>1076</v>
      </c>
      <c r="BC144" s="17">
        <v>-1039</v>
      </c>
    </row>
    <row r="145" spans="1:66" s="19" customFormat="1">
      <c r="A145" s="21"/>
      <c r="B145" s="10" t="s">
        <v>102</v>
      </c>
      <c r="O145" s="19">
        <f t="shared" ref="O145:T145" si="175">+O131+O138+O143+O144</f>
        <v>19790</v>
      </c>
      <c r="P145" s="19">
        <f t="shared" si="175"/>
        <v>105330</v>
      </c>
      <c r="Q145" s="19">
        <f t="shared" si="175"/>
        <v>56491</v>
      </c>
      <c r="R145" s="19">
        <f t="shared" si="173"/>
        <v>-54256</v>
      </c>
      <c r="S145" s="19">
        <f t="shared" si="175"/>
        <v>86803</v>
      </c>
      <c r="T145" s="19">
        <f t="shared" si="175"/>
        <v>22776</v>
      </c>
      <c r="U145" s="19">
        <f>+U131+U138+U143+U144</f>
        <v>53670</v>
      </c>
      <c r="V145" s="19">
        <f t="shared" si="174"/>
        <v>47145</v>
      </c>
      <c r="W145" s="19">
        <f>+W131+W138+W143+W144</f>
        <v>-199505</v>
      </c>
      <c r="X145" s="19">
        <f>+X131+X138+X143+X144</f>
        <v>297564.42100000009</v>
      </c>
      <c r="Y145" s="19">
        <f>+Y131+Y138+Y143+Y144</f>
        <v>-546701.42099999997</v>
      </c>
      <c r="BA145" s="19">
        <f t="shared" ref="BA145:BB145" si="176">+BA131+BA138+BA143+BA144</f>
        <v>228329</v>
      </c>
      <c r="BB145" s="19">
        <f t="shared" si="176"/>
        <v>127355</v>
      </c>
      <c r="BC145" s="19">
        <f>+BC131+BC138+BC143+BC144</f>
        <v>210394</v>
      </c>
    </row>
    <row r="146" spans="1:66">
      <c r="B146" s="4" t="s">
        <v>103</v>
      </c>
      <c r="O146" s="17">
        <f>+N51+N60</f>
        <v>508481</v>
      </c>
      <c r="P146" s="17">
        <f>+N51+N60</f>
        <v>508481</v>
      </c>
      <c r="Q146" s="17">
        <f>+N51+N60</f>
        <v>508481</v>
      </c>
      <c r="R146" s="17">
        <f>+O51+O60</f>
        <v>528271</v>
      </c>
      <c r="S146" s="17">
        <f>+R51+R60</f>
        <v>635836</v>
      </c>
      <c r="T146" s="17">
        <f>+R51+R60</f>
        <v>635836</v>
      </c>
      <c r="U146" s="17">
        <f>+R51+R60</f>
        <v>635836</v>
      </c>
      <c r="V146" s="17">
        <f>+S51+S60</f>
        <v>722639</v>
      </c>
      <c r="W146" s="17">
        <f>+$V$51+$V$60</f>
        <v>846230</v>
      </c>
      <c r="Y146" s="17">
        <f>+$V$51+$V$60</f>
        <v>846230</v>
      </c>
      <c r="BA146" s="17">
        <v>280152</v>
      </c>
      <c r="BB146" s="17">
        <v>508481</v>
      </c>
      <c r="BC146" s="17">
        <v>635836</v>
      </c>
    </row>
    <row r="147" spans="1:66">
      <c r="B147" s="4" t="s">
        <v>104</v>
      </c>
      <c r="O147" s="17">
        <f t="shared" ref="O147:T147" si="177">+O145+O146</f>
        <v>528271</v>
      </c>
      <c r="P147" s="17">
        <f t="shared" si="177"/>
        <v>613811</v>
      </c>
      <c r="Q147" s="17">
        <f t="shared" si="177"/>
        <v>564972</v>
      </c>
      <c r="R147" s="17">
        <f t="shared" ref="R147" si="178">+R145+R146</f>
        <v>474015</v>
      </c>
      <c r="S147" s="17">
        <f t="shared" si="177"/>
        <v>722639</v>
      </c>
      <c r="T147" s="17">
        <f t="shared" si="177"/>
        <v>658612</v>
      </c>
      <c r="U147" s="17">
        <f>+U145+U146</f>
        <v>689506</v>
      </c>
      <c r="V147" s="17">
        <f>+V145+V146</f>
        <v>769784</v>
      </c>
      <c r="W147" s="17">
        <f>+W145+W146</f>
        <v>646725</v>
      </c>
      <c r="Y147" s="17">
        <f>+SUM(Y145:Y146)</f>
        <v>299528.57900000003</v>
      </c>
      <c r="BA147" s="17">
        <f>+BA145+BA146</f>
        <v>508481</v>
      </c>
      <c r="BB147" s="17">
        <f>+BB145+BB146</f>
        <v>635836</v>
      </c>
      <c r="BC147" s="17">
        <f>+BC145+BC146</f>
        <v>846230</v>
      </c>
    </row>
    <row r="149" spans="1:66" s="19" customFormat="1">
      <c r="A149" s="21"/>
      <c r="B149" s="10" t="s">
        <v>184</v>
      </c>
      <c r="O149" s="19">
        <f t="shared" ref="O149:X149" si="179">+O131+O133</f>
        <v>104418</v>
      </c>
      <c r="P149" s="19">
        <f t="shared" si="179"/>
        <v>35060</v>
      </c>
      <c r="Q149" s="19">
        <f t="shared" si="179"/>
        <v>162587</v>
      </c>
      <c r="R149" s="19">
        <f t="shared" si="179"/>
        <v>-11570</v>
      </c>
      <c r="S149" s="19">
        <f t="shared" si="179"/>
        <v>219354</v>
      </c>
      <c r="T149" s="19">
        <f t="shared" si="179"/>
        <v>180650</v>
      </c>
      <c r="U149" s="19">
        <f t="shared" si="179"/>
        <v>173173</v>
      </c>
      <c r="V149" s="19">
        <f t="shared" si="179"/>
        <v>266429</v>
      </c>
      <c r="W149" s="19">
        <f t="shared" si="179"/>
        <v>186730</v>
      </c>
      <c r="X149" s="19">
        <f t="shared" si="179"/>
        <v>186963.49900000001</v>
      </c>
      <c r="Y149" s="19">
        <f>+Y131+Y133</f>
        <v>212385.50099999999</v>
      </c>
      <c r="Z149" s="19">
        <f t="shared" ref="Z149:AD149" si="180">+Z131+Z133</f>
        <v>257936</v>
      </c>
      <c r="AA149" s="19">
        <f t="shared" si="180"/>
        <v>334667</v>
      </c>
      <c r="AB149" s="19">
        <f t="shared" si="180"/>
        <v>445278</v>
      </c>
      <c r="AC149" s="19">
        <f t="shared" si="180"/>
        <v>349272</v>
      </c>
      <c r="AD149" s="19">
        <f t="shared" si="180"/>
        <v>93529</v>
      </c>
      <c r="AE149" s="19">
        <f t="shared" ref="AE149" si="181">+AE131+AE133</f>
        <v>436531</v>
      </c>
      <c r="BA149" s="19">
        <f t="shared" ref="BA149:BC149" si="182">+BA131+BA133-BA117</f>
        <v>296324</v>
      </c>
      <c r="BB149" s="19">
        <f t="shared" si="182"/>
        <v>207869</v>
      </c>
      <c r="BC149" s="19">
        <f t="shared" si="182"/>
        <v>663214</v>
      </c>
    </row>
    <row r="150" spans="1:66">
      <c r="B150" s="4" t="s">
        <v>105</v>
      </c>
      <c r="O150" s="17">
        <f t="shared" ref="O150:Y150" si="183">+O27</f>
        <v>85724</v>
      </c>
      <c r="P150" s="17">
        <f t="shared" si="183"/>
        <v>13561</v>
      </c>
      <c r="Q150" s="17">
        <f t="shared" si="183"/>
        <v>88235</v>
      </c>
      <c r="R150" s="17">
        <f t="shared" si="183"/>
        <v>198523</v>
      </c>
      <c r="S150" s="17">
        <f t="shared" si="183"/>
        <v>132769</v>
      </c>
      <c r="T150" s="17">
        <f t="shared" si="183"/>
        <v>192240</v>
      </c>
      <c r="U150" s="17">
        <f t="shared" si="183"/>
        <v>209092</v>
      </c>
      <c r="V150" s="17">
        <f t="shared" si="183"/>
        <v>138174</v>
      </c>
      <c r="W150" s="17">
        <f t="shared" si="183"/>
        <v>162604</v>
      </c>
      <c r="X150" s="17">
        <f t="shared" si="183"/>
        <v>264623</v>
      </c>
      <c r="Y150" s="17">
        <f t="shared" si="183"/>
        <v>263501</v>
      </c>
      <c r="Z150" s="17">
        <f t="shared" ref="Z150:AD150" si="184">+Z27</f>
        <v>229512</v>
      </c>
      <c r="AA150" s="17">
        <f t="shared" si="184"/>
        <v>300005</v>
      </c>
      <c r="AB150" s="17">
        <f t="shared" si="184"/>
        <v>358030</v>
      </c>
      <c r="AC150" s="17">
        <f t="shared" si="184"/>
        <v>320458</v>
      </c>
      <c r="AD150" s="17">
        <f t="shared" si="184"/>
        <v>288614</v>
      </c>
      <c r="AE150" s="17">
        <f t="shared" ref="AE150" si="185">+AE27</f>
        <v>364766</v>
      </c>
      <c r="BA150" s="17">
        <f t="shared" ref="BA150:BB150" si="186">+BA27</f>
        <v>373702</v>
      </c>
      <c r="BB150" s="17">
        <f t="shared" si="186"/>
        <v>386043</v>
      </c>
      <c r="BC150" s="17">
        <f>+BC27</f>
        <v>672275</v>
      </c>
    </row>
    <row r="152" spans="1:66" s="19" customFormat="1">
      <c r="A152" s="21"/>
      <c r="B152" s="10" t="s">
        <v>106</v>
      </c>
      <c r="R152" s="19">
        <f t="shared" ref="R152:T152" si="187">+SUM(O149:R149)</f>
        <v>290495</v>
      </c>
      <c r="S152" s="19">
        <f t="shared" si="187"/>
        <v>405431</v>
      </c>
      <c r="T152" s="19">
        <f t="shared" si="187"/>
        <v>551021</v>
      </c>
      <c r="U152" s="19">
        <f>+SUM(R149:U149)</f>
        <v>561607</v>
      </c>
      <c r="V152" s="19">
        <f t="shared" ref="V152:W152" si="188">+SUM(S149:V149)</f>
        <v>839606</v>
      </c>
      <c r="W152" s="19">
        <f t="shared" si="188"/>
        <v>806982</v>
      </c>
      <c r="X152" s="19">
        <f t="shared" ref="X152:X153" si="189">+SUM(U149:X149)</f>
        <v>813295.49900000007</v>
      </c>
      <c r="Y152" s="19">
        <f t="shared" ref="Y152:Y153" si="190">+SUM(V149:Y149)</f>
        <v>852508</v>
      </c>
      <c r="Z152" s="19">
        <f t="shared" ref="Z152:Z153" si="191">+SUM(W149:Z149)</f>
        <v>844015</v>
      </c>
      <c r="AA152" s="19">
        <f t="shared" ref="AA152:AA153" si="192">+SUM(X149:AA149)</f>
        <v>991952</v>
      </c>
      <c r="AB152" s="19">
        <f t="shared" ref="AB152:AB153" si="193">+SUM(Y149:AB149)</f>
        <v>1250266.5009999999</v>
      </c>
      <c r="AC152" s="19">
        <f t="shared" ref="AC152:AC153" si="194">+SUM(Z149:AC149)</f>
        <v>1387153</v>
      </c>
      <c r="AD152" s="19">
        <f t="shared" ref="AD152:AE153" si="195">+SUM(AA149:AD149)</f>
        <v>1222746</v>
      </c>
      <c r="AE152" s="19">
        <f t="shared" si="195"/>
        <v>1324610</v>
      </c>
      <c r="BB152" s="19">
        <f>+U152</f>
        <v>561607</v>
      </c>
      <c r="BC152" s="19">
        <f>+BB152*1.2</f>
        <v>673928.4</v>
      </c>
      <c r="BD152" s="19">
        <f t="shared" ref="BD152:BN152" si="196">+BC152*1.1</f>
        <v>741321.24000000011</v>
      </c>
      <c r="BE152" s="19">
        <f t="shared" si="196"/>
        <v>815453.36400000018</v>
      </c>
      <c r="BF152" s="19">
        <f t="shared" si="196"/>
        <v>896998.70040000032</v>
      </c>
      <c r="BG152" s="19">
        <f t="shared" si="196"/>
        <v>986698.57044000039</v>
      </c>
      <c r="BH152" s="19">
        <f t="shared" si="196"/>
        <v>1085368.4274840006</v>
      </c>
      <c r="BI152" s="19">
        <f t="shared" si="196"/>
        <v>1193905.2702324006</v>
      </c>
      <c r="BJ152" s="19">
        <f t="shared" si="196"/>
        <v>1313295.7972556408</v>
      </c>
      <c r="BK152" s="19">
        <f t="shared" si="196"/>
        <v>1444625.3769812051</v>
      </c>
      <c r="BL152" s="19">
        <f t="shared" si="196"/>
        <v>1589087.9146793257</v>
      </c>
      <c r="BM152" s="19">
        <f t="shared" si="196"/>
        <v>1747996.7061472584</v>
      </c>
      <c r="BN152" s="19">
        <f t="shared" si="196"/>
        <v>1922796.3767619843</v>
      </c>
    </row>
    <row r="153" spans="1:66">
      <c r="B153" s="4" t="s">
        <v>107</v>
      </c>
      <c r="R153" s="17">
        <f t="shared" ref="R153:T153" si="197">+SUM(O150:R150)</f>
        <v>386043</v>
      </c>
      <c r="S153" s="17">
        <f t="shared" si="197"/>
        <v>433088</v>
      </c>
      <c r="T153" s="17">
        <f t="shared" si="197"/>
        <v>611767</v>
      </c>
      <c r="U153" s="17">
        <f>+SUM(R150:U150)</f>
        <v>732624</v>
      </c>
      <c r="V153" s="17">
        <f t="shared" ref="V153:W153" si="198">+SUM(S150:V150)</f>
        <v>672275</v>
      </c>
      <c r="W153" s="17">
        <f t="shared" si="198"/>
        <v>702110</v>
      </c>
      <c r="X153" s="17">
        <f t="shared" si="189"/>
        <v>774493</v>
      </c>
      <c r="Y153" s="17">
        <f t="shared" si="190"/>
        <v>828902</v>
      </c>
      <c r="Z153" s="17">
        <f t="shared" si="191"/>
        <v>920240</v>
      </c>
      <c r="AA153" s="17">
        <f t="shared" si="192"/>
        <v>1057641</v>
      </c>
      <c r="AB153" s="17">
        <f t="shared" si="193"/>
        <v>1151048</v>
      </c>
      <c r="AC153" s="17">
        <f t="shared" si="194"/>
        <v>1208005</v>
      </c>
      <c r="AD153" s="17">
        <f t="shared" si="195"/>
        <v>1267107</v>
      </c>
      <c r="AE153" s="17">
        <f t="shared" si="195"/>
        <v>1331868</v>
      </c>
    </row>
    <row r="155" spans="1:66" s="19" customFormat="1">
      <c r="A155" s="21"/>
      <c r="B155" s="10" t="s">
        <v>108</v>
      </c>
      <c r="R155" s="19">
        <f t="shared" ref="R155:T155" si="199">+R152-R153</f>
        <v>-95548</v>
      </c>
      <c r="S155" s="19">
        <f t="shared" si="199"/>
        <v>-27657</v>
      </c>
      <c r="T155" s="19">
        <f t="shared" si="199"/>
        <v>-60746</v>
      </c>
      <c r="U155" s="19">
        <f>+U152-U153</f>
        <v>-171017</v>
      </c>
      <c r="V155" s="19">
        <f t="shared" ref="V155:Y155" si="200">+V152-V153</f>
        <v>167331</v>
      </c>
      <c r="W155" s="19">
        <f t="shared" si="200"/>
        <v>104872</v>
      </c>
      <c r="X155" s="19">
        <f t="shared" si="200"/>
        <v>38802.499000000069</v>
      </c>
      <c r="Y155" s="19">
        <f t="shared" si="200"/>
        <v>23606</v>
      </c>
      <c r="Z155" s="19">
        <f t="shared" ref="Z155:AD155" si="201">+Z152-Z153</f>
        <v>-76225</v>
      </c>
      <c r="AA155" s="19">
        <f t="shared" si="201"/>
        <v>-65689</v>
      </c>
      <c r="AB155" s="19">
        <f t="shared" si="201"/>
        <v>99218.500999999931</v>
      </c>
      <c r="AC155" s="19">
        <f t="shared" si="201"/>
        <v>179148</v>
      </c>
      <c r="AD155" s="19">
        <f t="shared" si="201"/>
        <v>-44361</v>
      </c>
      <c r="AE155" s="19">
        <f t="shared" ref="AE155" si="202">+AE152-AE153</f>
        <v>-7258</v>
      </c>
    </row>
    <row r="158" spans="1:66">
      <c r="B158" s="4" t="s">
        <v>162</v>
      </c>
      <c r="W158" s="17">
        <v>280766000</v>
      </c>
    </row>
    <row r="159" spans="1:66">
      <c r="B159" s="10" t="s">
        <v>128</v>
      </c>
      <c r="U159" s="17">
        <v>54451</v>
      </c>
    </row>
    <row r="160" spans="1:66">
      <c r="B160" s="4" t="s">
        <v>13</v>
      </c>
      <c r="U160" s="17">
        <v>1812.75</v>
      </c>
    </row>
    <row r="161" spans="2:68">
      <c r="B161" s="4" t="s">
        <v>129</v>
      </c>
    </row>
    <row r="165" spans="2:68">
      <c r="B165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</row>
    <row r="166" spans="2:68">
      <c r="B166" s="42" t="s">
        <v>197</v>
      </c>
      <c r="BF166" s="62">
        <v>7000</v>
      </c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</row>
    <row r="167" spans="2:68">
      <c r="B167" s="42" t="s">
        <v>39</v>
      </c>
      <c r="BF167" s="62">
        <v>3437</v>
      </c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</row>
    <row r="168" spans="2:68">
      <c r="B168" s="42" t="s">
        <v>196</v>
      </c>
      <c r="BF168" s="64">
        <v>300</v>
      </c>
      <c r="BG168" s="64">
        <v>301</v>
      </c>
      <c r="BH168" s="64">
        <v>302</v>
      </c>
      <c r="BI168" s="64">
        <v>303</v>
      </c>
      <c r="BJ168" s="64">
        <v>304</v>
      </c>
      <c r="BK168" s="64">
        <v>305</v>
      </c>
      <c r="BL168" s="64">
        <v>306</v>
      </c>
      <c r="BM168" s="64">
        <v>307</v>
      </c>
      <c r="BN168" s="64">
        <v>308</v>
      </c>
      <c r="BO168" s="64">
        <v>309</v>
      </c>
      <c r="BP168" s="64">
        <v>310</v>
      </c>
    </row>
    <row r="169" spans="2:68">
      <c r="B169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</row>
    <row r="170" spans="2:68">
      <c r="B170" s="42" t="s">
        <v>195</v>
      </c>
      <c r="BF170" s="65">
        <f t="shared" ref="BF170:BP170" si="203">($BF$166-$BF$167)/BF168</f>
        <v>11.876666666666667</v>
      </c>
      <c r="BG170" s="65">
        <f t="shared" si="203"/>
        <v>11.837209302325581</v>
      </c>
      <c r="BH170" s="65">
        <f t="shared" si="203"/>
        <v>11.798013245033113</v>
      </c>
      <c r="BI170" s="65">
        <f t="shared" si="203"/>
        <v>11.759075907590759</v>
      </c>
      <c r="BJ170" s="65">
        <f t="shared" si="203"/>
        <v>11.720394736842104</v>
      </c>
      <c r="BK170" s="65">
        <f t="shared" si="203"/>
        <v>11.681967213114755</v>
      </c>
      <c r="BL170" s="65">
        <f t="shared" si="203"/>
        <v>11.643790849673202</v>
      </c>
      <c r="BM170" s="65">
        <f t="shared" si="203"/>
        <v>11.60586319218241</v>
      </c>
      <c r="BN170" s="65">
        <f t="shared" si="203"/>
        <v>11.568181818181818</v>
      </c>
      <c r="BO170" s="65">
        <f t="shared" si="203"/>
        <v>11.53074433656958</v>
      </c>
      <c r="BP170" s="65">
        <f t="shared" si="203"/>
        <v>11.493548387096775</v>
      </c>
    </row>
    <row r="171" spans="2:68">
      <c r="B171" s="42" t="s">
        <v>194</v>
      </c>
      <c r="BF171" s="65"/>
      <c r="BG171" s="65">
        <f t="shared" ref="BG171:BP171" si="204">+BF170-BG170</f>
        <v>3.9457364341085821E-2</v>
      </c>
      <c r="BH171" s="65">
        <f t="shared" si="204"/>
        <v>3.9196057292468112E-2</v>
      </c>
      <c r="BI171" s="65">
        <f t="shared" si="204"/>
        <v>3.8937337442353837E-2</v>
      </c>
      <c r="BJ171" s="65">
        <f t="shared" si="204"/>
        <v>3.8681170748654736E-2</v>
      </c>
      <c r="BK171" s="65">
        <f t="shared" si="204"/>
        <v>3.8427523727349922E-2</v>
      </c>
      <c r="BL171" s="65">
        <f t="shared" si="204"/>
        <v>3.8176363441552397E-2</v>
      </c>
      <c r="BM171" s="65">
        <f t="shared" si="204"/>
        <v>3.7927657490792299E-2</v>
      </c>
      <c r="BN171" s="65">
        <f t="shared" si="204"/>
        <v>3.7681374000591461E-2</v>
      </c>
      <c r="BO171" s="65">
        <f t="shared" si="204"/>
        <v>3.7437481612238699E-2</v>
      </c>
      <c r="BP171" s="65">
        <f t="shared" si="204"/>
        <v>3.7195949472804912E-2</v>
      </c>
    </row>
    <row r="172" spans="2:68">
      <c r="B172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</row>
    <row r="173" spans="2:68">
      <c r="B173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</row>
    <row r="174" spans="2:68">
      <c r="B174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</row>
  </sheetData>
  <conditionalFormatting sqref="BS41">
    <cfRule type="cellIs" dxfId="0" priority="1" operator="greaterThan">
      <formula>0</formula>
    </cfRule>
  </conditionalFormatting>
  <hyperlinks>
    <hyperlink ref="A1" location="Main!A1" display="Main " xr:uid="{6EE904AE-D8DA-B549-AA4D-F92A8482A325}"/>
  </hyperlinks>
  <pageMargins left="0.7" right="0.7" top="0.75" bottom="0.75" header="0.3" footer="0.3"/>
  <ignoredErrors>
    <ignoredError sqref="AZ14:BB14 B86:E89 B90:E90 B85:E85 B91:E91 B92:E92 BC24:BC27 BC15:BC21 BC23 BC30 BE25 BC28 BC29 BE30 Z12:Z13 AA29:AE35 AA14:AB28 AE14:AE28" formulaRange="1"/>
    <ignoredError sqref="R23:R25 R27 N14:N21 R14 V25 BL25:BN25 P131:Q131 O103 J23:J27 F23:F27 R131:R145 V131:V143 V145 BF25:BK25 N23:N28 AC12:AD13" formula="1"/>
    <ignoredError sqref="Z14:Z21 Z23:Z28 AC14:AD28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A1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baseColWidth="10" defaultRowHeight="14"/>
  <cols>
    <col min="1" max="1" width="4.33203125" style="3" customWidth="1"/>
    <col min="2" max="2" width="11.83203125" style="14" bestFit="1" customWidth="1"/>
    <col min="3" max="3" width="13.6640625" style="3" bestFit="1" customWidth="1"/>
    <col min="4" max="16384" width="10.83203125" style="3"/>
  </cols>
  <sheetData>
    <row r="1" spans="1:3">
      <c r="A1" s="1" t="s">
        <v>220</v>
      </c>
    </row>
    <row r="2" spans="1:3">
      <c r="B2" s="14" t="s">
        <v>154</v>
      </c>
      <c r="C2" s="9">
        <v>600000000</v>
      </c>
    </row>
    <row r="4" spans="1:3">
      <c r="B4" s="14" t="s">
        <v>155</v>
      </c>
      <c r="C4" s="15">
        <v>1.75E-3</v>
      </c>
    </row>
    <row r="5" spans="1:3">
      <c r="B5" s="14" t="s">
        <v>156</v>
      </c>
      <c r="C5" s="16">
        <v>1.375E-2</v>
      </c>
    </row>
    <row r="6" spans="1:3">
      <c r="B6" s="14" t="s">
        <v>157</v>
      </c>
      <c r="C6" s="16">
        <v>1.06E-2</v>
      </c>
    </row>
    <row r="7" spans="1:3">
      <c r="C7" s="9">
        <f>+C2*(SUM(C5:C6))</f>
        <v>14610000</v>
      </c>
    </row>
    <row r="8" spans="1:3">
      <c r="C8" s="9">
        <f>+C2*C4</f>
        <v>1050000</v>
      </c>
    </row>
  </sheetData>
  <hyperlinks>
    <hyperlink ref="A1" location="Main!A1" display="Main" xr:uid="{84C29B4F-4CEB-794C-8379-BA32AE99E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2024-05-27T01:17:05Z</dcterms:modified>
</cp:coreProperties>
</file>