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8D891AD8-D30B-5C4D-8DA6-9C15ABB997D9}" xr6:coauthVersionLast="47" xr6:coauthVersionMax="47" xr10:uidLastSave="{00000000-0000-0000-0000-000000000000}"/>
  <bookViews>
    <workbookView xWindow="16300" yWindow="500" windowWidth="27240" windowHeight="28200" activeTab="1" xr2:uid="{10FC5C33-829B-A044-B89B-4B437A64DB68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M21" i="2"/>
  <c r="L21" i="2"/>
  <c r="Z16" i="2"/>
  <c r="Y16" i="2"/>
  <c r="X16" i="2"/>
  <c r="N17" i="2"/>
  <c r="M17" i="2"/>
  <c r="L17" i="2"/>
  <c r="K17" i="2"/>
  <c r="C35" i="2"/>
  <c r="D35" i="2"/>
  <c r="E35" i="2"/>
  <c r="F35" i="2"/>
  <c r="G35" i="2"/>
  <c r="H35" i="2"/>
  <c r="I35" i="2"/>
  <c r="J35" i="2"/>
  <c r="N16" i="2"/>
  <c r="M16" i="2"/>
  <c r="L16" i="2"/>
  <c r="K16" i="2"/>
  <c r="J69" i="2" l="1"/>
  <c r="I69" i="2"/>
  <c r="H69" i="2"/>
  <c r="G69" i="2"/>
  <c r="F69" i="2"/>
  <c r="E69" i="2"/>
  <c r="D69" i="2"/>
  <c r="C69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D62" i="2"/>
  <c r="D49" i="2"/>
  <c r="H62" i="2"/>
  <c r="H49" i="2"/>
  <c r="E62" i="2"/>
  <c r="E49" i="2"/>
  <c r="I62" i="2"/>
  <c r="I49" i="2"/>
  <c r="E41" i="2"/>
  <c r="D41" i="2"/>
  <c r="C41" i="2"/>
  <c r="C49" i="2"/>
  <c r="C62" i="2"/>
  <c r="G62" i="2"/>
  <c r="G49" i="2"/>
  <c r="D73" i="2"/>
  <c r="E73" i="2" s="1"/>
  <c r="D72" i="2"/>
  <c r="E72" i="2" s="1"/>
  <c r="F72" i="2" s="1"/>
  <c r="H73" i="2"/>
  <c r="H72" i="2"/>
  <c r="I72" i="2" s="1"/>
  <c r="J72" i="2" s="1"/>
  <c r="I73" i="2"/>
  <c r="J73" i="2" s="1"/>
  <c r="G74" i="2"/>
  <c r="C74" i="2"/>
  <c r="F62" i="2"/>
  <c r="F49" i="2"/>
  <c r="I41" i="2"/>
  <c r="H41" i="2"/>
  <c r="G41" i="2"/>
  <c r="F41" i="2"/>
  <c r="J41" i="2"/>
  <c r="K23" i="2" s="1"/>
  <c r="J62" i="2"/>
  <c r="J49" i="2"/>
  <c r="AJ38" i="2"/>
  <c r="AJ36" i="2"/>
  <c r="X1" i="2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T17" i="2"/>
  <c r="W16" i="2"/>
  <c r="V16" i="2"/>
  <c r="I19" i="2"/>
  <c r="H19" i="2"/>
  <c r="G19" i="2"/>
  <c r="F19" i="2"/>
  <c r="E19" i="2"/>
  <c r="D19" i="2"/>
  <c r="J19" i="2"/>
  <c r="T38" i="2"/>
  <c r="T37" i="2"/>
  <c r="S38" i="2"/>
  <c r="S37" i="2"/>
  <c r="R38" i="2"/>
  <c r="R37" i="2"/>
  <c r="J38" i="2"/>
  <c r="I38" i="2"/>
  <c r="H38" i="2"/>
  <c r="G38" i="2"/>
  <c r="F38" i="2"/>
  <c r="E38" i="2"/>
  <c r="J37" i="2"/>
  <c r="I37" i="2"/>
  <c r="H37" i="2"/>
  <c r="G37" i="2"/>
  <c r="F37" i="2"/>
  <c r="E37" i="2"/>
  <c r="D38" i="2"/>
  <c r="D37" i="2"/>
  <c r="C38" i="2"/>
  <c r="C37" i="2"/>
  <c r="K27" i="2"/>
  <c r="L27" i="2" s="1"/>
  <c r="M27" i="2" s="1"/>
  <c r="I17" i="2"/>
  <c r="H17" i="2"/>
  <c r="G17" i="2"/>
  <c r="F17" i="2"/>
  <c r="E17" i="2"/>
  <c r="D17" i="2"/>
  <c r="C17" i="2"/>
  <c r="J17" i="2"/>
  <c r="R35" i="2"/>
  <c r="S35" i="2"/>
  <c r="S33" i="2"/>
  <c r="S32" i="2"/>
  <c r="S31" i="2"/>
  <c r="R24" i="2"/>
  <c r="R26" i="2" s="1"/>
  <c r="R28" i="2" s="1"/>
  <c r="T33" i="2"/>
  <c r="T32" i="2"/>
  <c r="T31" i="2"/>
  <c r="S24" i="2"/>
  <c r="S26" i="2" s="1"/>
  <c r="S28" i="2" s="1"/>
  <c r="U16" i="2"/>
  <c r="U19" i="2" s="1"/>
  <c r="T35" i="2"/>
  <c r="T24" i="2"/>
  <c r="T26" i="2" s="1"/>
  <c r="T28" i="2" s="1"/>
  <c r="U2" i="2"/>
  <c r="V3" i="2"/>
  <c r="V2" i="2" s="1"/>
  <c r="U25" i="2"/>
  <c r="U23" i="2"/>
  <c r="U22" i="2"/>
  <c r="U33" i="2" s="1"/>
  <c r="U21" i="2"/>
  <c r="U32" i="2" s="1"/>
  <c r="U20" i="2"/>
  <c r="V25" i="2"/>
  <c r="V23" i="2"/>
  <c r="V22" i="2"/>
  <c r="V21" i="2"/>
  <c r="V20" i="2"/>
  <c r="R4" i="2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G31" i="2"/>
  <c r="G33" i="2"/>
  <c r="G32" i="2"/>
  <c r="C24" i="2"/>
  <c r="C26" i="2" s="1"/>
  <c r="C28" i="2" s="1"/>
  <c r="G24" i="2"/>
  <c r="G26" i="2" s="1"/>
  <c r="G28" i="2" s="1"/>
  <c r="D24" i="2"/>
  <c r="D26" i="2" s="1"/>
  <c r="D28" i="2" s="1"/>
  <c r="H33" i="2"/>
  <c r="H32" i="2"/>
  <c r="H31" i="2"/>
  <c r="H24" i="2"/>
  <c r="H26" i="2" s="1"/>
  <c r="H28" i="2" s="1"/>
  <c r="I33" i="2"/>
  <c r="I32" i="2"/>
  <c r="I31" i="2"/>
  <c r="E24" i="2"/>
  <c r="E26" i="2" s="1"/>
  <c r="E28" i="2" s="1"/>
  <c r="I24" i="2"/>
  <c r="I26" i="2" s="1"/>
  <c r="I28" i="2" s="1"/>
  <c r="I2" i="2"/>
  <c r="H2" i="2"/>
  <c r="G2" i="2"/>
  <c r="F2" i="2"/>
  <c r="E2" i="2"/>
  <c r="D2" i="2"/>
  <c r="C2" i="2"/>
  <c r="J2" i="2"/>
  <c r="J33" i="2"/>
  <c r="J32" i="2"/>
  <c r="J31" i="2"/>
  <c r="F24" i="2"/>
  <c r="F26" i="2" s="1"/>
  <c r="F28" i="2" s="1"/>
  <c r="J24" i="2"/>
  <c r="J26" i="2" s="1"/>
  <c r="J28" i="2" s="1"/>
  <c r="L6" i="1"/>
  <c r="L5" i="1"/>
  <c r="K7" i="1"/>
  <c r="K6" i="1"/>
  <c r="AJ34" i="2" s="1"/>
  <c r="K4" i="1"/>
  <c r="E67" i="2" l="1"/>
  <c r="E68" i="2" s="1"/>
  <c r="H18" i="2"/>
  <c r="L20" i="2"/>
  <c r="L31" i="2" s="1"/>
  <c r="C67" i="2"/>
  <c r="C68" i="2" s="1"/>
  <c r="J75" i="2"/>
  <c r="D67" i="2"/>
  <c r="D68" i="2" s="1"/>
  <c r="C75" i="2"/>
  <c r="D75" i="2"/>
  <c r="G78" i="2" s="1"/>
  <c r="F67" i="2"/>
  <c r="F68" i="2" s="1"/>
  <c r="E75" i="2"/>
  <c r="U17" i="2"/>
  <c r="U18" i="2" s="1"/>
  <c r="G67" i="2"/>
  <c r="G68" i="2" s="1"/>
  <c r="F75" i="2"/>
  <c r="H67" i="2"/>
  <c r="H68" i="2" s="1"/>
  <c r="G75" i="2"/>
  <c r="I67" i="2"/>
  <c r="I68" i="2" s="1"/>
  <c r="H75" i="2"/>
  <c r="J67" i="2"/>
  <c r="J68" i="2" s="1"/>
  <c r="I75" i="2"/>
  <c r="J63" i="2"/>
  <c r="C63" i="2"/>
  <c r="V37" i="2"/>
  <c r="V38" i="2"/>
  <c r="D18" i="2"/>
  <c r="F63" i="2"/>
  <c r="V17" i="2"/>
  <c r="H74" i="2"/>
  <c r="D63" i="2"/>
  <c r="H63" i="2"/>
  <c r="E63" i="2"/>
  <c r="I63" i="2"/>
  <c r="G63" i="2"/>
  <c r="E74" i="2"/>
  <c r="I74" i="2"/>
  <c r="D74" i="2"/>
  <c r="F73" i="2"/>
  <c r="F74" i="2" s="1"/>
  <c r="I77" i="2" s="1"/>
  <c r="J74" i="2"/>
  <c r="M20" i="2"/>
  <c r="M31" i="2" s="1"/>
  <c r="AA16" i="2"/>
  <c r="AB16" i="2" s="1"/>
  <c r="AC16" i="2" s="1"/>
  <c r="AD16" i="2" s="1"/>
  <c r="AE16" i="2" s="1"/>
  <c r="AF16" i="2" s="1"/>
  <c r="F18" i="2"/>
  <c r="G18" i="2"/>
  <c r="V19" i="2"/>
  <c r="I18" i="2"/>
  <c r="K20" i="2"/>
  <c r="J18" i="2"/>
  <c r="U37" i="2"/>
  <c r="U38" i="2"/>
  <c r="N20" i="2"/>
  <c r="E18" i="2"/>
  <c r="N27" i="2"/>
  <c r="V35" i="2"/>
  <c r="L22" i="2"/>
  <c r="V33" i="2"/>
  <c r="V28" i="2"/>
  <c r="V32" i="2"/>
  <c r="U35" i="2"/>
  <c r="U28" i="2"/>
  <c r="V31" i="2"/>
  <c r="U31" i="2"/>
  <c r="U24" i="2"/>
  <c r="V24" i="2"/>
  <c r="V26" i="2"/>
  <c r="U26" i="2"/>
  <c r="N35" i="2" l="1"/>
  <c r="K22" i="2"/>
  <c r="K38" i="2" s="1"/>
  <c r="K21" i="2"/>
  <c r="K35" i="2"/>
  <c r="V18" i="2"/>
  <c r="J77" i="2"/>
  <c r="F78" i="2"/>
  <c r="I78" i="2"/>
  <c r="I79" i="2" s="1"/>
  <c r="J78" i="2"/>
  <c r="G77" i="2"/>
  <c r="G79" i="2" s="1"/>
  <c r="H77" i="2"/>
  <c r="H78" i="2"/>
  <c r="F77" i="2"/>
  <c r="M22" i="2"/>
  <c r="M33" i="2" s="1"/>
  <c r="K24" i="2"/>
  <c r="K31" i="2"/>
  <c r="N31" i="2"/>
  <c r="N22" i="2"/>
  <c r="N38" i="2" s="1"/>
  <c r="W20" i="2"/>
  <c r="L33" i="2"/>
  <c r="L38" i="2"/>
  <c r="K37" i="2"/>
  <c r="K33" i="2"/>
  <c r="V27" i="2"/>
  <c r="U27" i="2"/>
  <c r="K32" i="2" l="1"/>
  <c r="M35" i="2"/>
  <c r="L35" i="2"/>
  <c r="M38" i="2"/>
  <c r="J79" i="2"/>
  <c r="H79" i="2"/>
  <c r="F79" i="2"/>
  <c r="N33" i="2"/>
  <c r="W31" i="2"/>
  <c r="W17" i="2"/>
  <c r="W22" i="2"/>
  <c r="W33" i="2" s="1"/>
  <c r="N37" i="2"/>
  <c r="N32" i="2"/>
  <c r="L37" i="2"/>
  <c r="L32" i="2"/>
  <c r="K25" i="2"/>
  <c r="W38" i="2" l="1"/>
  <c r="X17" i="2"/>
  <c r="W18" i="2"/>
  <c r="K26" i="2"/>
  <c r="M37" i="2"/>
  <c r="M32" i="2"/>
  <c r="W21" i="2"/>
  <c r="K28" i="2" l="1"/>
  <c r="K41" i="2"/>
  <c r="W32" i="2"/>
  <c r="W35" i="2"/>
  <c r="Y17" i="2"/>
  <c r="X20" i="2"/>
  <c r="W37" i="2"/>
  <c r="L23" i="2" l="1"/>
  <c r="X22" i="2"/>
  <c r="X31" i="2"/>
  <c r="X21" i="2"/>
  <c r="X35" i="2" s="1"/>
  <c r="Z17" i="2"/>
  <c r="Y20" i="2"/>
  <c r="L24" i="2" l="1"/>
  <c r="AA17" i="2"/>
  <c r="Z20" i="2"/>
  <c r="Y22" i="2"/>
  <c r="Y31" i="2"/>
  <c r="Y21" i="2"/>
  <c r="Y35" i="2" s="1"/>
  <c r="X32" i="2"/>
  <c r="X37" i="2"/>
  <c r="X33" i="2"/>
  <c r="X38" i="2"/>
  <c r="L25" i="2" l="1"/>
  <c r="L26" i="2" s="1"/>
  <c r="Y38" i="2"/>
  <c r="Y33" i="2"/>
  <c r="Z22" i="2"/>
  <c r="Z21" i="2"/>
  <c r="Z31" i="2"/>
  <c r="Z35" i="2"/>
  <c r="Y32" i="2"/>
  <c r="Y37" i="2"/>
  <c r="AB17" i="2"/>
  <c r="AA20" i="2"/>
  <c r="L28" i="2" l="1"/>
  <c r="L41" i="2"/>
  <c r="M23" i="2" s="1"/>
  <c r="Z33" i="2"/>
  <c r="Z38" i="2"/>
  <c r="Z37" i="2"/>
  <c r="Z32" i="2"/>
  <c r="AA22" i="2"/>
  <c r="AA21" i="2"/>
  <c r="AA31" i="2"/>
  <c r="AC17" i="2"/>
  <c r="AB20" i="2"/>
  <c r="M24" i="2" l="1"/>
  <c r="AD17" i="2"/>
  <c r="AC20" i="2"/>
  <c r="AA32" i="2"/>
  <c r="AA37" i="2"/>
  <c r="AA33" i="2"/>
  <c r="AA38" i="2"/>
  <c r="AB31" i="2"/>
  <c r="AB21" i="2"/>
  <c r="AB22" i="2"/>
  <c r="AA35" i="2"/>
  <c r="M25" i="2" l="1"/>
  <c r="M26" i="2" s="1"/>
  <c r="AB32" i="2"/>
  <c r="AB37" i="2"/>
  <c r="AB35" i="2"/>
  <c r="AC22" i="2"/>
  <c r="AC21" i="2"/>
  <c r="AC31" i="2"/>
  <c r="AB33" i="2"/>
  <c r="AB38" i="2"/>
  <c r="AE17" i="2"/>
  <c r="AD20" i="2"/>
  <c r="M41" i="2" l="1"/>
  <c r="M28" i="2"/>
  <c r="AD22" i="2"/>
  <c r="AD21" i="2"/>
  <c r="AD31" i="2"/>
  <c r="AF17" i="2"/>
  <c r="AF20" i="2" s="1"/>
  <c r="AE20" i="2"/>
  <c r="AC37" i="2"/>
  <c r="AC32" i="2"/>
  <c r="AC33" i="2"/>
  <c r="AC38" i="2"/>
  <c r="AC35" i="2"/>
  <c r="N23" i="2" l="1"/>
  <c r="AF31" i="2"/>
  <c r="AE22" i="2"/>
  <c r="AE21" i="2"/>
  <c r="AE31" i="2"/>
  <c r="AE35" i="2"/>
  <c r="AD35" i="2"/>
  <c r="AD32" i="2"/>
  <c r="AD37" i="2"/>
  <c r="AD33" i="2"/>
  <c r="AD38" i="2"/>
  <c r="N24" i="2" l="1"/>
  <c r="W23" i="2"/>
  <c r="AF21" i="2"/>
  <c r="AE32" i="2"/>
  <c r="AE37" i="2"/>
  <c r="AF22" i="2"/>
  <c r="AE33" i="2"/>
  <c r="AE38" i="2"/>
  <c r="N25" i="2" l="1"/>
  <c r="W24" i="2"/>
  <c r="AF38" i="2"/>
  <c r="AF33" i="2"/>
  <c r="AF37" i="2"/>
  <c r="AF32" i="2"/>
  <c r="AF35" i="2"/>
  <c r="N26" i="2" l="1"/>
  <c r="W25" i="2"/>
  <c r="N28" i="2" l="1"/>
  <c r="W28" i="2" s="1"/>
  <c r="W26" i="2"/>
  <c r="N41" i="2"/>
  <c r="V41" i="2" s="1"/>
  <c r="W41" i="2" l="1"/>
  <c r="X23" i="2" s="1"/>
  <c r="X24" i="2" s="1"/>
  <c r="X25" i="2" s="1"/>
  <c r="W27" i="2"/>
  <c r="X27" i="2" s="1"/>
  <c r="Y27" i="2" s="1"/>
  <c r="Z27" i="2" s="1"/>
  <c r="AA27" i="2" s="1"/>
  <c r="AB27" i="2" s="1"/>
  <c r="AC27" i="2" s="1"/>
  <c r="AD27" i="2" s="1"/>
  <c r="AE27" i="2" s="1"/>
  <c r="AF27" i="2" s="1"/>
  <c r="X26" i="2" l="1"/>
  <c r="X41" i="2" s="1"/>
  <c r="Y23" i="2" s="1"/>
  <c r="Y24" i="2" s="1"/>
  <c r="Y25" i="2" s="1"/>
  <c r="X28" i="2"/>
  <c r="Y26" i="2"/>
  <c r="Y28" i="2" s="1"/>
  <c r="Y41" i="2" l="1"/>
  <c r="Z23" i="2" s="1"/>
  <c r="Z24" i="2" s="1"/>
  <c r="Z25" i="2" s="1"/>
  <c r="Z26" i="2" l="1"/>
  <c r="Z28" i="2" s="1"/>
  <c r="Z41" i="2" l="1"/>
  <c r="AA23" i="2" s="1"/>
  <c r="AA24" i="2" s="1"/>
  <c r="AA25" i="2" s="1"/>
  <c r="AA26" i="2" l="1"/>
  <c r="AA28" i="2" s="1"/>
  <c r="AA41" i="2" l="1"/>
  <c r="AB23" i="2" s="1"/>
  <c r="AB24" i="2" s="1"/>
  <c r="AB25" i="2" l="1"/>
  <c r="AB26" i="2" s="1"/>
  <c r="AB28" i="2" l="1"/>
  <c r="AB41" i="2"/>
  <c r="AC23" i="2" l="1"/>
  <c r="AC24" i="2" s="1"/>
  <c r="AC25" i="2" l="1"/>
  <c r="AC26" i="2" s="1"/>
  <c r="AC28" i="2" l="1"/>
  <c r="AC41" i="2"/>
  <c r="AD23" i="2" l="1"/>
  <c r="AD24" i="2" s="1"/>
  <c r="AD25" i="2" l="1"/>
  <c r="AD26" i="2"/>
  <c r="AD28" i="2" l="1"/>
  <c r="AD41" i="2"/>
  <c r="AE23" i="2" l="1"/>
  <c r="AE24" i="2" s="1"/>
  <c r="AE25" i="2" l="1"/>
  <c r="AE26" i="2"/>
  <c r="AE28" i="2" l="1"/>
  <c r="AE41" i="2"/>
  <c r="AF23" i="2" l="1"/>
  <c r="AF24" i="2" s="1"/>
  <c r="AF25" i="2" s="1"/>
  <c r="AF26" i="2" s="1"/>
  <c r="AF41" i="2" s="1"/>
  <c r="AF28" i="2" l="1"/>
  <c r="AG26" i="2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AJ33" i="2" s="1"/>
  <c r="AJ35" i="2" s="1"/>
  <c r="AJ37" i="2" s="1"/>
  <c r="AJ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tc={4CF73EC0-EFBF-FA4C-8696-355C60BE8140}</author>
    <author>tc={0392756C-3ED6-3C4A-A1D7-EEFFA33FA438}</author>
    <author>tc={6C8219AD-A5DC-1443-A44C-23D7934945A2}</author>
  </authors>
  <commentList>
    <comment ref="N16" authorId="0" shapeId="0" xr:uid="{4CF73EC0-EFBF-FA4C-8696-355C60BE814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is to open 90 net stores in Fy24</t>
      </text>
    </comment>
    <comment ref="K28" authorId="1" shapeId="0" xr:uid="{0392756C-3ED6-3C4A-A1D7-EEFFA33FA43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1.29-1.35</t>
      </text>
    </comment>
    <comment ref="W28" authorId="2" shapeId="0" xr:uid="{6C8219AD-A5DC-1443-A44C-23D7934945A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5.64-5.89</t>
      </text>
    </comment>
  </commentList>
</comments>
</file>

<file path=xl/sharedStrings.xml><?xml version="1.0" encoding="utf-8"?>
<sst xmlns="http://schemas.openxmlformats.org/spreadsheetml/2006/main" count="105" uniqueCount="93">
  <si>
    <t>P</t>
  </si>
  <si>
    <t>S</t>
  </si>
  <si>
    <t>MC</t>
  </si>
  <si>
    <t>C</t>
  </si>
  <si>
    <t>D</t>
  </si>
  <si>
    <t>EV</t>
  </si>
  <si>
    <t>Q423</t>
  </si>
  <si>
    <t>Founded</t>
  </si>
  <si>
    <t>Founder</t>
  </si>
  <si>
    <t>Q122</t>
  </si>
  <si>
    <t>Q223</t>
  </si>
  <si>
    <t>Q323</t>
  </si>
  <si>
    <t>SG&amp;A</t>
  </si>
  <si>
    <t>Interest (Income)</t>
  </si>
  <si>
    <t>EBT</t>
  </si>
  <si>
    <t>T</t>
  </si>
  <si>
    <t>Net Earnings</t>
  </si>
  <si>
    <t>$M</t>
  </si>
  <si>
    <t>Diluted</t>
  </si>
  <si>
    <t>EPS</t>
  </si>
  <si>
    <t>Q222</t>
  </si>
  <si>
    <t>Q322</t>
  </si>
  <si>
    <t>Q422</t>
  </si>
  <si>
    <t>Q123</t>
  </si>
  <si>
    <t>Q124</t>
  </si>
  <si>
    <t>Q224</t>
  </si>
  <si>
    <t>Q324</t>
  </si>
  <si>
    <t>Q424</t>
  </si>
  <si>
    <t xml:space="preserve">Units </t>
  </si>
  <si>
    <t>SPU ($M)</t>
  </si>
  <si>
    <t>SPU q/q</t>
  </si>
  <si>
    <t>ongoing uncertainty in the macroeconomic and geopolitical environments.</t>
  </si>
  <si>
    <t>Presses</t>
  </si>
  <si>
    <t>In addition, while inflation has moderated, housing, food, and gasoline costs remain elevated and continue to pressure our low-to-moderate income customers’ discretionary spend.</t>
  </si>
  <si>
    <t>As a result, while we hope to do better, we believe it is prudent to continue to take a conservative approach to forecasting our business in 2024</t>
  </si>
  <si>
    <t>MGMT 2024 Guidance</t>
  </si>
  <si>
    <t xml:space="preserve">Growth Y/Y </t>
  </si>
  <si>
    <t>% Sales</t>
  </si>
  <si>
    <t>GM%</t>
  </si>
  <si>
    <t xml:space="preserve">Maturity </t>
  </si>
  <si>
    <t>ROIC</t>
  </si>
  <si>
    <t>NPV</t>
  </si>
  <si>
    <t xml:space="preserve">Net Cash </t>
  </si>
  <si>
    <t xml:space="preserve">Total Value </t>
  </si>
  <si>
    <t>Shares</t>
  </si>
  <si>
    <t xml:space="preserve">Estimate </t>
  </si>
  <si>
    <t>Current</t>
  </si>
  <si>
    <t>Upside</t>
  </si>
  <si>
    <t xml:space="preserve">Cash </t>
  </si>
  <si>
    <t>Total L + E</t>
  </si>
  <si>
    <t>E</t>
  </si>
  <si>
    <t>A/P</t>
  </si>
  <si>
    <t>Accrued E</t>
  </si>
  <si>
    <t>Current lease</t>
  </si>
  <si>
    <t>Accrued payroll</t>
  </si>
  <si>
    <t>Income Tax P</t>
  </si>
  <si>
    <t xml:space="preserve">Current debt </t>
  </si>
  <si>
    <t>LTD</t>
  </si>
  <si>
    <t>NCOL</t>
  </si>
  <si>
    <t>OLTL</t>
  </si>
  <si>
    <t>Deferred i/t</t>
  </si>
  <si>
    <t>A/R</t>
  </si>
  <si>
    <t>Inventory</t>
  </si>
  <si>
    <t>Prepaid E</t>
  </si>
  <si>
    <t>PPE</t>
  </si>
  <si>
    <t>Op lease</t>
  </si>
  <si>
    <t>OLTA</t>
  </si>
  <si>
    <t xml:space="preserve">Total Assets </t>
  </si>
  <si>
    <t xml:space="preserve">Check </t>
  </si>
  <si>
    <t xml:space="preserve">CFFO </t>
  </si>
  <si>
    <t>Capex</t>
  </si>
  <si>
    <t xml:space="preserve">Free Cash Flow </t>
  </si>
  <si>
    <t>Total debt</t>
  </si>
  <si>
    <t>Net Cash Per Share</t>
  </si>
  <si>
    <t xml:space="preserve">Current Ratio </t>
  </si>
  <si>
    <t xml:space="preserve">Net income </t>
  </si>
  <si>
    <t>4Q FCF</t>
  </si>
  <si>
    <t xml:space="preserve">4Q NI </t>
  </si>
  <si>
    <t xml:space="preserve">4Q FCF - 4Q NI </t>
  </si>
  <si>
    <t xml:space="preserve">Buybacks </t>
  </si>
  <si>
    <t>2.1B plan approved for 24/25</t>
  </si>
  <si>
    <t xml:space="preserve">Dividend </t>
  </si>
  <si>
    <t>Home Accents</t>
  </si>
  <si>
    <t>Ladies</t>
  </si>
  <si>
    <t>Men's</t>
  </si>
  <si>
    <t>Accessories</t>
  </si>
  <si>
    <t>Shoes</t>
  </si>
  <si>
    <t>Children's</t>
  </si>
  <si>
    <t xml:space="preserve">Strategy </t>
  </si>
  <si>
    <t>Our long-term strategy is to open additional stores based on market penetration, local demographic characteristics, competition, expected store profitability, and the ability to leverage overhead expenses.</t>
  </si>
  <si>
    <t xml:space="preserve">CEO </t>
  </si>
  <si>
    <t>Barbara Rentler</t>
  </si>
  <si>
    <t>Stuart G. Moldsaw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</si>
</sst>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m/d;@"/>
    <numFmt numFmtId="165" formatCode="&quot;$&quot;#,##0.00"/>
    <numFmt numFmtId="166" formatCode="0.0%"/>
    <numFmt numFmtId="167" formatCode="&quot;$&quot;#,##0"/>
    <numFmt numFmtId="168" formatCode="0.0\x"/>
    <numFmt numFmtId="169" formatCode="&quot;$&quot;#,##0.0000"/>
  </numFmts>
  <fonts count="7">
    <font>
      <sz val="10"/>
      <color theme="1"/>
      <name val="ArialMT"/>
      <family val="2"/>
    </font>
    <font>
      <sz val="10"/>
      <name val="ArialMT"/>
      <family val="2"/>
    </font>
    <font>
      <u/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theme="1"/>
      <name val="ArialMT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165" fontId="0" fillId="0" borderId="0" xfId="0" applyNumberFormat="1"/>
    <xf numFmtId="3" fontId="2" fillId="0" borderId="0" xfId="0" applyNumberFormat="1" applyFont="1"/>
    <xf numFmtId="3" fontId="3" fillId="0" borderId="0" xfId="1" applyNumberFormat="1"/>
    <xf numFmtId="166" fontId="0" fillId="0" borderId="0" xfId="0" applyNumberFormat="1"/>
    <xf numFmtId="1" fontId="0" fillId="0" borderId="0" xfId="0" applyNumberFormat="1"/>
    <xf numFmtId="8" fontId="0" fillId="0" borderId="0" xfId="0" applyNumberFormat="1"/>
    <xf numFmtId="3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9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1417</xdr:colOff>
      <xdr:row>0</xdr:row>
      <xdr:rowOff>0</xdr:rowOff>
    </xdr:from>
    <xdr:to>
      <xdr:col>10</xdr:col>
      <xdr:colOff>40105</xdr:colOff>
      <xdr:row>101</xdr:row>
      <xdr:rowOff>100264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CE9CF8-A79E-C265-1A65-F95B49F62611}"/>
            </a:ext>
          </a:extLst>
        </xdr:cNvPr>
        <xdr:cNvCxnSpPr/>
      </xdr:nvCxnSpPr>
      <xdr:spPr>
        <a:xfrm>
          <a:off x="6150891" y="0"/>
          <a:ext cx="38688" cy="149726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7471</xdr:colOff>
      <xdr:row>0</xdr:row>
      <xdr:rowOff>0</xdr:rowOff>
    </xdr:from>
    <xdr:to>
      <xdr:col>22</xdr:col>
      <xdr:colOff>40106</xdr:colOff>
      <xdr:row>101</xdr:row>
      <xdr:rowOff>100264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B3EAE4B-420D-DA49-B05A-E18F53102723}"/>
            </a:ext>
          </a:extLst>
        </xdr:cNvPr>
        <xdr:cNvCxnSpPr/>
      </xdr:nvCxnSpPr>
      <xdr:spPr>
        <a:xfrm>
          <a:off x="12620576" y="0"/>
          <a:ext cx="32635" cy="149726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44C2AA02-EA99-794E-A39F-E6627488209D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6" dT="2024-03-27T16:24:27.49" personId="{44C2AA02-EA99-794E-A39F-E6627488209D}" id="{4CF73EC0-EFBF-FA4C-8696-355C60BE8140}">
    <text>Guide is to open 90 net stores in Fy24</text>
  </threadedComment>
  <threadedComment ref="K28" dT="2024-03-27T15:40:08.38" personId="{44C2AA02-EA99-794E-A39F-E6627488209D}" id="{0392756C-3ED6-3C4A-A1D7-EEFFA33FA438}">
    <text>Guidance: 1.29-1.35</text>
  </threadedComment>
  <threadedComment ref="W28" dT="2024-03-27T15:39:27.82" personId="{44C2AA02-EA99-794E-A39F-E6627488209D}" id="{6C8219AD-A5DC-1443-A44C-23D7934945A2}">
    <text>guidance: 5.64-5.89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rossstores.com/news-releases/news-release-details/ross-stores-reports-results-fourth-quarter-and-fiscal-20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4FE6-2313-B74F-A1A4-640C3AC891C8}">
  <dimension ref="B2:L16"/>
  <sheetViews>
    <sheetView zoomScale="251" workbookViewId="0">
      <selection activeCell="E17" sqref="E17"/>
    </sheetView>
  </sheetViews>
  <sheetFormatPr baseColWidth="10" defaultRowHeight="13"/>
  <cols>
    <col min="1" max="1" width="3" style="1" customWidth="1"/>
    <col min="2" max="9" width="10.83203125" style="1"/>
    <col min="10" max="10" width="3.6640625" style="1" bestFit="1" customWidth="1"/>
    <col min="11" max="11" width="6.6640625" style="1" bestFit="1" customWidth="1"/>
    <col min="12" max="12" width="5.5" style="1" bestFit="1" customWidth="1"/>
    <col min="13" max="16384" width="10.83203125" style="1"/>
  </cols>
  <sheetData>
    <row r="2" spans="2:12">
      <c r="B2" s="1" t="s">
        <v>7</v>
      </c>
      <c r="C2" s="10">
        <v>1982</v>
      </c>
      <c r="J2" s="1" t="s">
        <v>0</v>
      </c>
      <c r="K2" s="1">
        <v>144.57</v>
      </c>
    </row>
    <row r="3" spans="2:12">
      <c r="B3" s="1" t="s">
        <v>8</v>
      </c>
      <c r="C3" s="1" t="s">
        <v>92</v>
      </c>
      <c r="J3" s="1" t="s">
        <v>1</v>
      </c>
      <c r="K3" s="2">
        <v>335.01799999999997</v>
      </c>
      <c r="L3" s="1" t="s">
        <v>6</v>
      </c>
    </row>
    <row r="4" spans="2:12">
      <c r="B4" s="1" t="s">
        <v>90</v>
      </c>
      <c r="C4" s="1" t="s">
        <v>91</v>
      </c>
      <c r="J4" s="1" t="s">
        <v>2</v>
      </c>
      <c r="K4" s="2">
        <f>+K2*K3</f>
        <v>48433.552259999997</v>
      </c>
    </row>
    <row r="5" spans="2:12">
      <c r="J5" s="1" t="s">
        <v>3</v>
      </c>
      <c r="K5" s="2">
        <v>4872.4459999999999</v>
      </c>
      <c r="L5" s="1" t="str">
        <f>+L3</f>
        <v>Q423</v>
      </c>
    </row>
    <row r="6" spans="2:12">
      <c r="J6" s="1" t="s">
        <v>4</v>
      </c>
      <c r="K6" s="2">
        <f>249.713+2211.017</f>
        <v>2460.73</v>
      </c>
      <c r="L6" s="1" t="str">
        <f>+L5</f>
        <v>Q423</v>
      </c>
    </row>
    <row r="7" spans="2:12">
      <c r="C7" s="7" t="s">
        <v>88</v>
      </c>
      <c r="J7" s="1" t="s">
        <v>5</v>
      </c>
      <c r="K7" s="2">
        <f>+K4-K5+K6</f>
        <v>46021.836260000004</v>
      </c>
    </row>
    <row r="8" spans="2:12">
      <c r="C8" s="19" t="s">
        <v>89</v>
      </c>
    </row>
    <row r="10" spans="2:12">
      <c r="C10" s="7" t="s">
        <v>35</v>
      </c>
    </row>
    <row r="11" spans="2:12">
      <c r="C11" s="1" t="s">
        <v>31</v>
      </c>
    </row>
    <row r="12" spans="2:12">
      <c r="C12" s="1" t="s">
        <v>33</v>
      </c>
    </row>
    <row r="13" spans="2:12">
      <c r="C13" s="1" t="s">
        <v>34</v>
      </c>
    </row>
    <row r="15" spans="2:12">
      <c r="C15" s="7" t="s">
        <v>32</v>
      </c>
    </row>
    <row r="16" spans="2:12">
      <c r="C16" s="8" t="s">
        <v>6</v>
      </c>
    </row>
  </sheetData>
  <hyperlinks>
    <hyperlink ref="C16" r:id="rId1" xr:uid="{86AC9E1F-38E1-9A45-A1AA-AF0141C28B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20DD-22DD-4B44-8C8A-9167A0B0744B}">
  <dimension ref="A1:HN83"/>
  <sheetViews>
    <sheetView tabSelected="1" zoomScale="160" zoomScaleNormal="160" workbookViewId="0">
      <pane xSplit="2" ySplit="4" topLeftCell="AA5" activePane="bottomRight" state="frozen"/>
      <selection pane="topRight" activeCell="C1" sqref="C1"/>
      <selection pane="bottomLeft" activeCell="A3" sqref="A3"/>
      <selection pane="bottomRight" activeCell="AJ32" sqref="AJ32"/>
    </sheetView>
  </sheetViews>
  <sheetFormatPr baseColWidth="10" defaultRowHeight="13" outlineLevelRow="1"/>
  <cols>
    <col min="1" max="1" width="3.5" style="1" bestFit="1" customWidth="1"/>
    <col min="2" max="2" width="16.83203125" style="1" bestFit="1" customWidth="1"/>
    <col min="3" max="10" width="7.5" style="1" bestFit="1" customWidth="1"/>
    <col min="11" max="14" width="6.1640625" style="1" bestFit="1" customWidth="1"/>
    <col min="15" max="16" width="10.83203125" style="1"/>
    <col min="17" max="17" width="5.1640625" style="1" bestFit="1" customWidth="1"/>
    <col min="18" max="32" width="6.6640625" style="1" bestFit="1" customWidth="1"/>
    <col min="33" max="34" width="5.6640625" style="1" bestFit="1" customWidth="1"/>
    <col min="35" max="35" width="10.83203125" style="1"/>
    <col min="36" max="36" width="10.6640625" style="1" bestFit="1" customWidth="1"/>
    <col min="37" max="146" width="5.6640625" style="1" bestFit="1" customWidth="1"/>
    <col min="147" max="222" width="6.6640625" style="1" bestFit="1" customWidth="1"/>
    <col min="223" max="16384" width="10.83203125" style="1"/>
  </cols>
  <sheetData>
    <row r="1" spans="1:222" customFormat="1">
      <c r="A1" t="s">
        <v>17</v>
      </c>
      <c r="W1">
        <v>1</v>
      </c>
      <c r="X1">
        <f>+W1+1</f>
        <v>2</v>
      </c>
      <c r="Y1">
        <f t="shared" ref="Y1:AG1" si="0">+X1+1</f>
        <v>3</v>
      </c>
      <c r="Z1">
        <f t="shared" si="0"/>
        <v>4</v>
      </c>
      <c r="AA1">
        <f t="shared" si="0"/>
        <v>5</v>
      </c>
      <c r="AB1">
        <f t="shared" si="0"/>
        <v>6</v>
      </c>
      <c r="AC1">
        <f t="shared" si="0"/>
        <v>7</v>
      </c>
      <c r="AD1">
        <f t="shared" si="0"/>
        <v>8</v>
      </c>
      <c r="AE1">
        <f t="shared" si="0"/>
        <v>9</v>
      </c>
      <c r="AF1">
        <f t="shared" si="0"/>
        <v>10</v>
      </c>
      <c r="AG1">
        <f t="shared" si="0"/>
        <v>11</v>
      </c>
      <c r="AH1">
        <f t="shared" ref="AH1:CS1" si="1">+AG1+1</f>
        <v>12</v>
      </c>
      <c r="AI1">
        <f t="shared" si="1"/>
        <v>13</v>
      </c>
      <c r="AJ1">
        <f t="shared" si="1"/>
        <v>14</v>
      </c>
      <c r="AK1">
        <f t="shared" si="1"/>
        <v>15</v>
      </c>
      <c r="AL1">
        <f t="shared" si="1"/>
        <v>16</v>
      </c>
      <c r="AM1">
        <f t="shared" si="1"/>
        <v>17</v>
      </c>
      <c r="AN1">
        <f t="shared" si="1"/>
        <v>18</v>
      </c>
      <c r="AO1">
        <f t="shared" si="1"/>
        <v>19</v>
      </c>
      <c r="AP1">
        <f t="shared" si="1"/>
        <v>20</v>
      </c>
      <c r="AQ1">
        <f t="shared" si="1"/>
        <v>21</v>
      </c>
      <c r="AR1">
        <f t="shared" si="1"/>
        <v>22</v>
      </c>
      <c r="AS1">
        <f t="shared" si="1"/>
        <v>23</v>
      </c>
      <c r="AT1">
        <f t="shared" si="1"/>
        <v>24</v>
      </c>
      <c r="AU1">
        <f t="shared" si="1"/>
        <v>25</v>
      </c>
      <c r="AV1">
        <f t="shared" si="1"/>
        <v>26</v>
      </c>
      <c r="AW1">
        <f t="shared" si="1"/>
        <v>27</v>
      </c>
      <c r="AX1">
        <f t="shared" si="1"/>
        <v>28</v>
      </c>
      <c r="AY1">
        <f t="shared" si="1"/>
        <v>29</v>
      </c>
      <c r="AZ1">
        <f t="shared" si="1"/>
        <v>30</v>
      </c>
      <c r="BA1">
        <f t="shared" si="1"/>
        <v>31</v>
      </c>
      <c r="BB1">
        <f t="shared" si="1"/>
        <v>32</v>
      </c>
      <c r="BC1">
        <f t="shared" si="1"/>
        <v>33</v>
      </c>
      <c r="BD1">
        <f t="shared" si="1"/>
        <v>34</v>
      </c>
      <c r="BE1">
        <f t="shared" si="1"/>
        <v>35</v>
      </c>
      <c r="BF1">
        <f t="shared" si="1"/>
        <v>36</v>
      </c>
      <c r="BG1">
        <f t="shared" si="1"/>
        <v>37</v>
      </c>
      <c r="BH1">
        <f t="shared" si="1"/>
        <v>38</v>
      </c>
      <c r="BI1">
        <f t="shared" si="1"/>
        <v>39</v>
      </c>
      <c r="BJ1">
        <f t="shared" si="1"/>
        <v>40</v>
      </c>
      <c r="BK1">
        <f t="shared" si="1"/>
        <v>41</v>
      </c>
      <c r="BL1">
        <f t="shared" si="1"/>
        <v>42</v>
      </c>
      <c r="BM1">
        <f t="shared" si="1"/>
        <v>43</v>
      </c>
      <c r="BN1">
        <f t="shared" si="1"/>
        <v>44</v>
      </c>
      <c r="BO1">
        <f t="shared" si="1"/>
        <v>45</v>
      </c>
      <c r="BP1">
        <f t="shared" si="1"/>
        <v>46</v>
      </c>
      <c r="BQ1">
        <f t="shared" si="1"/>
        <v>47</v>
      </c>
      <c r="BR1">
        <f t="shared" si="1"/>
        <v>48</v>
      </c>
      <c r="BS1">
        <f t="shared" si="1"/>
        <v>49</v>
      </c>
      <c r="BT1">
        <f t="shared" si="1"/>
        <v>50</v>
      </c>
      <c r="BU1">
        <f t="shared" si="1"/>
        <v>51</v>
      </c>
      <c r="BV1">
        <f t="shared" si="1"/>
        <v>52</v>
      </c>
      <c r="BW1">
        <f t="shared" si="1"/>
        <v>53</v>
      </c>
      <c r="BX1">
        <f t="shared" si="1"/>
        <v>54</v>
      </c>
      <c r="BY1">
        <f t="shared" si="1"/>
        <v>55</v>
      </c>
      <c r="BZ1">
        <f t="shared" si="1"/>
        <v>56</v>
      </c>
      <c r="CA1">
        <f t="shared" si="1"/>
        <v>57</v>
      </c>
      <c r="CB1">
        <f t="shared" si="1"/>
        <v>58</v>
      </c>
      <c r="CC1">
        <f t="shared" si="1"/>
        <v>59</v>
      </c>
      <c r="CD1">
        <f t="shared" si="1"/>
        <v>60</v>
      </c>
      <c r="CE1">
        <f t="shared" si="1"/>
        <v>61</v>
      </c>
      <c r="CF1">
        <f t="shared" si="1"/>
        <v>62</v>
      </c>
      <c r="CG1">
        <f t="shared" si="1"/>
        <v>63</v>
      </c>
      <c r="CH1">
        <f t="shared" si="1"/>
        <v>64</v>
      </c>
      <c r="CI1">
        <f t="shared" si="1"/>
        <v>65</v>
      </c>
      <c r="CJ1">
        <f t="shared" si="1"/>
        <v>66</v>
      </c>
      <c r="CK1">
        <f t="shared" si="1"/>
        <v>67</v>
      </c>
      <c r="CL1">
        <f t="shared" si="1"/>
        <v>68</v>
      </c>
      <c r="CM1">
        <f t="shared" si="1"/>
        <v>69</v>
      </c>
      <c r="CN1">
        <f t="shared" si="1"/>
        <v>70</v>
      </c>
      <c r="CO1">
        <f t="shared" si="1"/>
        <v>71</v>
      </c>
      <c r="CP1">
        <f t="shared" si="1"/>
        <v>72</v>
      </c>
      <c r="CQ1">
        <f t="shared" si="1"/>
        <v>73</v>
      </c>
      <c r="CR1">
        <f t="shared" si="1"/>
        <v>74</v>
      </c>
      <c r="CS1">
        <f t="shared" si="1"/>
        <v>75</v>
      </c>
      <c r="CT1">
        <f t="shared" ref="CT1:DX1" si="2">+CS1+1</f>
        <v>76</v>
      </c>
      <c r="CU1">
        <f t="shared" si="2"/>
        <v>77</v>
      </c>
      <c r="CV1">
        <f t="shared" si="2"/>
        <v>78</v>
      </c>
      <c r="CW1">
        <f t="shared" si="2"/>
        <v>79</v>
      </c>
      <c r="CX1">
        <f t="shared" si="2"/>
        <v>80</v>
      </c>
      <c r="CY1">
        <f t="shared" si="2"/>
        <v>81</v>
      </c>
      <c r="CZ1">
        <f t="shared" si="2"/>
        <v>82</v>
      </c>
      <c r="DA1">
        <f t="shared" si="2"/>
        <v>83</v>
      </c>
      <c r="DB1">
        <f t="shared" si="2"/>
        <v>84</v>
      </c>
      <c r="DC1">
        <f t="shared" si="2"/>
        <v>85</v>
      </c>
      <c r="DD1">
        <f t="shared" si="2"/>
        <v>86</v>
      </c>
      <c r="DE1">
        <f t="shared" si="2"/>
        <v>87</v>
      </c>
      <c r="DF1">
        <f t="shared" si="2"/>
        <v>88</v>
      </c>
      <c r="DG1">
        <f t="shared" si="2"/>
        <v>89</v>
      </c>
      <c r="DH1">
        <f t="shared" si="2"/>
        <v>90</v>
      </c>
      <c r="DI1">
        <f t="shared" si="2"/>
        <v>91</v>
      </c>
      <c r="DJ1">
        <f t="shared" si="2"/>
        <v>92</v>
      </c>
      <c r="DK1">
        <f t="shared" si="2"/>
        <v>93</v>
      </c>
      <c r="DL1">
        <f t="shared" si="2"/>
        <v>94</v>
      </c>
      <c r="DM1">
        <f t="shared" si="2"/>
        <v>95</v>
      </c>
      <c r="DN1">
        <f t="shared" si="2"/>
        <v>96</v>
      </c>
      <c r="DO1">
        <f t="shared" si="2"/>
        <v>97</v>
      </c>
      <c r="DP1">
        <f t="shared" si="2"/>
        <v>98</v>
      </c>
      <c r="DQ1">
        <f t="shared" si="2"/>
        <v>99</v>
      </c>
      <c r="DR1">
        <f t="shared" si="2"/>
        <v>100</v>
      </c>
      <c r="DS1">
        <f t="shared" si="2"/>
        <v>101</v>
      </c>
      <c r="DT1">
        <f t="shared" si="2"/>
        <v>102</v>
      </c>
      <c r="DU1">
        <f t="shared" si="2"/>
        <v>103</v>
      </c>
      <c r="DV1">
        <f t="shared" si="2"/>
        <v>104</v>
      </c>
      <c r="DW1">
        <f t="shared" si="2"/>
        <v>105</v>
      </c>
      <c r="DX1">
        <f t="shared" si="2"/>
        <v>106</v>
      </c>
      <c r="DY1">
        <f t="shared" ref="DY1:GJ1" si="3">+DX1+1</f>
        <v>107</v>
      </c>
      <c r="DZ1">
        <f t="shared" si="3"/>
        <v>108</v>
      </c>
      <c r="EA1">
        <f t="shared" si="3"/>
        <v>109</v>
      </c>
      <c r="EB1">
        <f t="shared" si="3"/>
        <v>110</v>
      </c>
      <c r="EC1">
        <f t="shared" si="3"/>
        <v>111</v>
      </c>
      <c r="ED1">
        <f t="shared" si="3"/>
        <v>112</v>
      </c>
      <c r="EE1">
        <f t="shared" si="3"/>
        <v>113</v>
      </c>
      <c r="EF1">
        <f t="shared" si="3"/>
        <v>114</v>
      </c>
      <c r="EG1">
        <f t="shared" si="3"/>
        <v>115</v>
      </c>
      <c r="EH1">
        <f t="shared" si="3"/>
        <v>116</v>
      </c>
      <c r="EI1">
        <f t="shared" si="3"/>
        <v>117</v>
      </c>
      <c r="EJ1">
        <f t="shared" si="3"/>
        <v>118</v>
      </c>
      <c r="EK1">
        <f t="shared" si="3"/>
        <v>119</v>
      </c>
      <c r="EL1">
        <f t="shared" si="3"/>
        <v>120</v>
      </c>
      <c r="EM1">
        <f t="shared" si="3"/>
        <v>121</v>
      </c>
      <c r="EN1">
        <f t="shared" si="3"/>
        <v>122</v>
      </c>
      <c r="EO1">
        <f t="shared" si="3"/>
        <v>123</v>
      </c>
      <c r="EP1">
        <f t="shared" si="3"/>
        <v>124</v>
      </c>
      <c r="EQ1">
        <f t="shared" si="3"/>
        <v>125</v>
      </c>
      <c r="ER1">
        <f t="shared" si="3"/>
        <v>126</v>
      </c>
      <c r="ES1">
        <f t="shared" si="3"/>
        <v>127</v>
      </c>
      <c r="ET1">
        <f t="shared" si="3"/>
        <v>128</v>
      </c>
      <c r="EU1">
        <f t="shared" si="3"/>
        <v>129</v>
      </c>
      <c r="EV1">
        <f t="shared" si="3"/>
        <v>130</v>
      </c>
      <c r="EW1">
        <f t="shared" si="3"/>
        <v>131</v>
      </c>
      <c r="EX1">
        <f t="shared" si="3"/>
        <v>132</v>
      </c>
      <c r="EY1">
        <f t="shared" si="3"/>
        <v>133</v>
      </c>
      <c r="EZ1">
        <f t="shared" si="3"/>
        <v>134</v>
      </c>
      <c r="FA1">
        <f t="shared" si="3"/>
        <v>135</v>
      </c>
      <c r="FB1">
        <f t="shared" si="3"/>
        <v>136</v>
      </c>
      <c r="FC1">
        <f t="shared" si="3"/>
        <v>137</v>
      </c>
      <c r="FD1">
        <f t="shared" si="3"/>
        <v>138</v>
      </c>
      <c r="FE1">
        <f t="shared" si="3"/>
        <v>139</v>
      </c>
      <c r="FF1">
        <f t="shared" si="3"/>
        <v>140</v>
      </c>
      <c r="FG1">
        <f t="shared" si="3"/>
        <v>141</v>
      </c>
      <c r="FH1">
        <f t="shared" si="3"/>
        <v>142</v>
      </c>
      <c r="FI1">
        <f t="shared" si="3"/>
        <v>143</v>
      </c>
      <c r="FJ1">
        <f t="shared" si="3"/>
        <v>144</v>
      </c>
      <c r="FK1">
        <f t="shared" si="3"/>
        <v>145</v>
      </c>
      <c r="FL1">
        <f t="shared" si="3"/>
        <v>146</v>
      </c>
      <c r="FM1">
        <f t="shared" si="3"/>
        <v>147</v>
      </c>
      <c r="FN1">
        <f t="shared" si="3"/>
        <v>148</v>
      </c>
      <c r="FO1">
        <f t="shared" si="3"/>
        <v>149</v>
      </c>
      <c r="FP1">
        <f t="shared" si="3"/>
        <v>150</v>
      </c>
      <c r="FQ1">
        <f t="shared" si="3"/>
        <v>151</v>
      </c>
      <c r="FR1">
        <f t="shared" si="3"/>
        <v>152</v>
      </c>
      <c r="FS1">
        <f t="shared" si="3"/>
        <v>153</v>
      </c>
      <c r="FT1">
        <f t="shared" si="3"/>
        <v>154</v>
      </c>
      <c r="FU1">
        <f t="shared" si="3"/>
        <v>155</v>
      </c>
      <c r="FV1">
        <f t="shared" si="3"/>
        <v>156</v>
      </c>
      <c r="FW1">
        <f t="shared" si="3"/>
        <v>157</v>
      </c>
      <c r="FX1">
        <f t="shared" si="3"/>
        <v>158</v>
      </c>
      <c r="FY1">
        <f t="shared" si="3"/>
        <v>159</v>
      </c>
      <c r="FZ1">
        <f t="shared" si="3"/>
        <v>160</v>
      </c>
      <c r="GA1">
        <f t="shared" si="3"/>
        <v>161</v>
      </c>
      <c r="GB1">
        <f t="shared" si="3"/>
        <v>162</v>
      </c>
      <c r="GC1">
        <f t="shared" si="3"/>
        <v>163</v>
      </c>
      <c r="GD1">
        <f t="shared" si="3"/>
        <v>164</v>
      </c>
      <c r="GE1">
        <f t="shared" si="3"/>
        <v>165</v>
      </c>
      <c r="GF1">
        <f t="shared" si="3"/>
        <v>166</v>
      </c>
      <c r="GG1">
        <f t="shared" si="3"/>
        <v>167</v>
      </c>
      <c r="GH1">
        <f t="shared" si="3"/>
        <v>168</v>
      </c>
      <c r="GI1">
        <f t="shared" si="3"/>
        <v>169</v>
      </c>
      <c r="GJ1">
        <f t="shared" si="3"/>
        <v>170</v>
      </c>
      <c r="GK1">
        <f t="shared" ref="GK1:HN1" si="4">+GJ1+1</f>
        <v>171</v>
      </c>
      <c r="GL1">
        <f t="shared" si="4"/>
        <v>172</v>
      </c>
      <c r="GM1">
        <f t="shared" si="4"/>
        <v>173</v>
      </c>
      <c r="GN1">
        <f t="shared" si="4"/>
        <v>174</v>
      </c>
      <c r="GO1">
        <f t="shared" si="4"/>
        <v>175</v>
      </c>
      <c r="GP1">
        <f t="shared" si="4"/>
        <v>176</v>
      </c>
      <c r="GQ1">
        <f t="shared" si="4"/>
        <v>177</v>
      </c>
      <c r="GR1">
        <f t="shared" si="4"/>
        <v>178</v>
      </c>
      <c r="GS1">
        <f t="shared" si="4"/>
        <v>179</v>
      </c>
      <c r="GT1">
        <f t="shared" si="4"/>
        <v>180</v>
      </c>
      <c r="GU1">
        <f t="shared" si="4"/>
        <v>181</v>
      </c>
      <c r="GV1">
        <f t="shared" si="4"/>
        <v>182</v>
      </c>
      <c r="GW1">
        <f t="shared" si="4"/>
        <v>183</v>
      </c>
      <c r="GX1">
        <f t="shared" si="4"/>
        <v>184</v>
      </c>
      <c r="GY1">
        <f t="shared" si="4"/>
        <v>185</v>
      </c>
      <c r="GZ1">
        <f t="shared" si="4"/>
        <v>186</v>
      </c>
      <c r="HA1">
        <f t="shared" si="4"/>
        <v>187</v>
      </c>
      <c r="HB1">
        <f t="shared" si="4"/>
        <v>188</v>
      </c>
      <c r="HC1">
        <f t="shared" si="4"/>
        <v>189</v>
      </c>
      <c r="HD1">
        <f t="shared" si="4"/>
        <v>190</v>
      </c>
      <c r="HE1">
        <f t="shared" si="4"/>
        <v>191</v>
      </c>
      <c r="HF1">
        <f t="shared" si="4"/>
        <v>192</v>
      </c>
      <c r="HG1">
        <f t="shared" si="4"/>
        <v>193</v>
      </c>
      <c r="HH1">
        <f t="shared" si="4"/>
        <v>194</v>
      </c>
      <c r="HI1">
        <f t="shared" si="4"/>
        <v>195</v>
      </c>
      <c r="HJ1">
        <f t="shared" si="4"/>
        <v>196</v>
      </c>
      <c r="HK1">
        <f t="shared" si="4"/>
        <v>197</v>
      </c>
      <c r="HL1">
        <f t="shared" si="4"/>
        <v>198</v>
      </c>
      <c r="HM1">
        <f t="shared" si="4"/>
        <v>199</v>
      </c>
      <c r="HN1">
        <f t="shared" si="4"/>
        <v>200</v>
      </c>
    </row>
    <row r="2" spans="1:222" customFormat="1">
      <c r="C2">
        <f t="shared" ref="C2:I2" si="5">YEAR(C3)</f>
        <v>2022</v>
      </c>
      <c r="D2">
        <f t="shared" si="5"/>
        <v>1900</v>
      </c>
      <c r="E2">
        <f t="shared" si="5"/>
        <v>1900</v>
      </c>
      <c r="F2">
        <f t="shared" si="5"/>
        <v>1900</v>
      </c>
      <c r="G2">
        <f t="shared" si="5"/>
        <v>2023</v>
      </c>
      <c r="H2">
        <f t="shared" si="5"/>
        <v>2023</v>
      </c>
      <c r="I2">
        <f t="shared" si="5"/>
        <v>2023</v>
      </c>
      <c r="J2">
        <f>YEAR(J3)</f>
        <v>2024</v>
      </c>
      <c r="U2">
        <f>YEAR(U3)</f>
        <v>2023</v>
      </c>
      <c r="V2">
        <f>YEAR(V3)</f>
        <v>2024</v>
      </c>
    </row>
    <row r="3" spans="1:222" s="3" customFormat="1">
      <c r="C3" s="3">
        <v>44681</v>
      </c>
      <c r="G3" s="3">
        <v>45045</v>
      </c>
      <c r="H3" s="3">
        <v>45136</v>
      </c>
      <c r="I3" s="3">
        <v>45227</v>
      </c>
      <c r="J3" s="3">
        <v>45325</v>
      </c>
      <c r="R3" s="3">
        <v>43862</v>
      </c>
      <c r="S3" s="3">
        <v>44226</v>
      </c>
      <c r="T3" s="3">
        <v>44590</v>
      </c>
      <c r="U3" s="3">
        <v>44954</v>
      </c>
      <c r="V3" s="3">
        <f>+J3</f>
        <v>45325</v>
      </c>
    </row>
    <row r="4" spans="1:222" customFormat="1">
      <c r="C4" t="s">
        <v>9</v>
      </c>
      <c r="D4" t="s">
        <v>20</v>
      </c>
      <c r="E4" t="s">
        <v>21</v>
      </c>
      <c r="F4" t="s">
        <v>22</v>
      </c>
      <c r="G4" t="s">
        <v>23</v>
      </c>
      <c r="H4" t="s">
        <v>10</v>
      </c>
      <c r="I4" t="s">
        <v>11</v>
      </c>
      <c r="J4" t="s">
        <v>6</v>
      </c>
      <c r="K4" t="s">
        <v>24</v>
      </c>
      <c r="L4" t="s">
        <v>25</v>
      </c>
      <c r="M4" t="s">
        <v>26</v>
      </c>
      <c r="N4" t="s">
        <v>27</v>
      </c>
      <c r="Q4">
        <v>2018</v>
      </c>
      <c r="R4">
        <f>+Q4+1</f>
        <v>2019</v>
      </c>
      <c r="S4">
        <f t="shared" ref="S4:AF4" si="6">+R4+1</f>
        <v>2020</v>
      </c>
      <c r="T4">
        <f t="shared" si="6"/>
        <v>2021</v>
      </c>
      <c r="U4">
        <f t="shared" si="6"/>
        <v>2022</v>
      </c>
      <c r="V4">
        <f t="shared" si="6"/>
        <v>2023</v>
      </c>
      <c r="W4">
        <f t="shared" si="6"/>
        <v>2024</v>
      </c>
      <c r="X4">
        <f t="shared" si="6"/>
        <v>2025</v>
      </c>
      <c r="Y4">
        <f t="shared" si="6"/>
        <v>2026</v>
      </c>
      <c r="Z4">
        <f t="shared" si="6"/>
        <v>2027</v>
      </c>
      <c r="AA4">
        <f t="shared" si="6"/>
        <v>2028</v>
      </c>
      <c r="AB4">
        <f t="shared" si="6"/>
        <v>2029</v>
      </c>
      <c r="AC4">
        <f t="shared" si="6"/>
        <v>2030</v>
      </c>
      <c r="AD4">
        <f t="shared" si="6"/>
        <v>2031</v>
      </c>
      <c r="AE4">
        <f t="shared" si="6"/>
        <v>2032</v>
      </c>
      <c r="AF4">
        <f t="shared" si="6"/>
        <v>2033</v>
      </c>
    </row>
    <row r="5" spans="1:222" customFormat="1">
      <c r="B5" t="s">
        <v>82</v>
      </c>
    </row>
    <row r="6" spans="1:222" customFormat="1">
      <c r="B6" t="s">
        <v>83</v>
      </c>
    </row>
    <row r="7" spans="1:222" customFormat="1">
      <c r="B7" t="s">
        <v>84</v>
      </c>
    </row>
    <row r="8" spans="1:222" customFormat="1">
      <c r="B8" t="s">
        <v>85</v>
      </c>
    </row>
    <row r="9" spans="1:222" customFormat="1">
      <c r="B9" t="s">
        <v>86</v>
      </c>
    </row>
    <row r="10" spans="1:222" customFormat="1">
      <c r="B10" t="s">
        <v>87</v>
      </c>
    </row>
    <row r="11" spans="1:222" customFormat="1"/>
    <row r="12" spans="1:222" customFormat="1"/>
    <row r="13" spans="1:222" customFormat="1"/>
    <row r="14" spans="1:222" customFormat="1"/>
    <row r="15" spans="1:222" customFormat="1">
      <c r="W15" s="1"/>
    </row>
    <row r="16" spans="1:222">
      <c r="B16" s="1" t="s">
        <v>28</v>
      </c>
      <c r="C16" s="1">
        <v>1951</v>
      </c>
      <c r="D16" s="1">
        <v>1980</v>
      </c>
      <c r="E16" s="1">
        <v>2019</v>
      </c>
      <c r="F16" s="1">
        <v>2015</v>
      </c>
      <c r="G16" s="1">
        <v>2034</v>
      </c>
      <c r="H16" s="1">
        <v>2061</v>
      </c>
      <c r="I16" s="1">
        <v>2112</v>
      </c>
      <c r="J16" s="1">
        <v>2109</v>
      </c>
      <c r="K16" s="1">
        <f>+J16+23</f>
        <v>2132</v>
      </c>
      <c r="L16" s="1">
        <f>+K16+23</f>
        <v>2155</v>
      </c>
      <c r="M16" s="1">
        <f>+L16+23</f>
        <v>2178</v>
      </c>
      <c r="N16" s="1">
        <f>+M16+21</f>
        <v>2199</v>
      </c>
      <c r="T16" s="1">
        <v>1923</v>
      </c>
      <c r="U16" s="1">
        <f>+F16</f>
        <v>2015</v>
      </c>
      <c r="V16" s="1">
        <f>+J16</f>
        <v>2109</v>
      </c>
      <c r="W16" s="1">
        <f>+N16</f>
        <v>2199</v>
      </c>
      <c r="X16" s="1">
        <f>+W16+90</f>
        <v>2289</v>
      </c>
      <c r="Y16" s="1">
        <f>+X16+90</f>
        <v>2379</v>
      </c>
      <c r="Z16" s="1">
        <f>+Y16+90</f>
        <v>2469</v>
      </c>
      <c r="AA16" s="1">
        <f t="shared" ref="Y16:AF16" si="7">+Z16+90</f>
        <v>2559</v>
      </c>
      <c r="AB16" s="1">
        <f t="shared" si="7"/>
        <v>2649</v>
      </c>
      <c r="AC16" s="1">
        <f t="shared" si="7"/>
        <v>2739</v>
      </c>
      <c r="AD16" s="1">
        <f t="shared" si="7"/>
        <v>2829</v>
      </c>
      <c r="AE16" s="1">
        <f t="shared" si="7"/>
        <v>2919</v>
      </c>
      <c r="AF16" s="1">
        <f t="shared" si="7"/>
        <v>3009</v>
      </c>
    </row>
    <row r="17" spans="2:222" s="6" customFormat="1">
      <c r="B17" s="6" t="s">
        <v>29</v>
      </c>
      <c r="C17" s="6">
        <f t="shared" ref="C17:I17" si="8">+C20/C16</f>
        <v>2.2209636084059459</v>
      </c>
      <c r="D17" s="6">
        <f t="shared" si="8"/>
        <v>2.3146510101010103</v>
      </c>
      <c r="E17" s="6">
        <f t="shared" si="8"/>
        <v>2.2612625061911835</v>
      </c>
      <c r="F17" s="6">
        <f t="shared" si="8"/>
        <v>2.587707692307692</v>
      </c>
      <c r="G17" s="6">
        <f t="shared" si="8"/>
        <v>2.2097767944936084</v>
      </c>
      <c r="H17" s="6">
        <f t="shared" si="8"/>
        <v>2.3944226103833088</v>
      </c>
      <c r="I17" s="6">
        <f t="shared" si="8"/>
        <v>2.3318413825757576</v>
      </c>
      <c r="J17" s="6">
        <f>+J20/J16</f>
        <v>2.8556192508297773</v>
      </c>
      <c r="K17" s="6">
        <f>+G17*1.01</f>
        <v>2.2318745624385445</v>
      </c>
      <c r="L17" s="6">
        <f t="shared" ref="L17:N17" si="9">+H17*1.01</f>
        <v>2.418366836487142</v>
      </c>
      <c r="M17" s="6">
        <f t="shared" si="9"/>
        <v>2.355159796401515</v>
      </c>
      <c r="N17" s="6">
        <f t="shared" si="9"/>
        <v>2.8841754433380751</v>
      </c>
      <c r="T17" s="6">
        <f>+T20/T16</f>
        <v>9.8368403536141447</v>
      </c>
      <c r="U17" s="6">
        <f>+U20/U16</f>
        <v>9.2783270471464014</v>
      </c>
      <c r="V17" s="6">
        <f>+V20/V16</f>
        <v>9.6618971076339495</v>
      </c>
      <c r="W17" s="6">
        <f>+W20/W16</f>
        <v>9.7506943775405599</v>
      </c>
      <c r="X17" s="6">
        <f>+W17*1.02</f>
        <v>9.9457082650913708</v>
      </c>
      <c r="Y17" s="6">
        <f t="shared" ref="Y17:AF17" si="10">+X17*1.02</f>
        <v>10.144622430393198</v>
      </c>
      <c r="Z17" s="6">
        <f t="shared" si="10"/>
        <v>10.347514879001062</v>
      </c>
      <c r="AA17" s="6">
        <f t="shared" si="10"/>
        <v>10.554465176581084</v>
      </c>
      <c r="AB17" s="6">
        <f t="shared" si="10"/>
        <v>10.765554480112707</v>
      </c>
      <c r="AC17" s="6">
        <f t="shared" si="10"/>
        <v>10.980865569714961</v>
      </c>
      <c r="AD17" s="6">
        <f t="shared" si="10"/>
        <v>11.200482881109261</v>
      </c>
      <c r="AE17" s="6">
        <f t="shared" si="10"/>
        <v>11.424492538731446</v>
      </c>
      <c r="AF17" s="6">
        <f t="shared" si="10"/>
        <v>11.652982389506075</v>
      </c>
    </row>
    <row r="18" spans="2:222" s="6" customFormat="1" hidden="1" outlineLevel="1">
      <c r="B18" s="6" t="s">
        <v>30</v>
      </c>
      <c r="D18" s="4">
        <f t="shared" ref="D18:I18" si="11">+D17/C17-1</f>
        <v>4.2183222336680481E-2</v>
      </c>
      <c r="E18" s="4">
        <f t="shared" si="11"/>
        <v>-2.3065465885285574E-2</v>
      </c>
      <c r="F18" s="4">
        <f t="shared" si="11"/>
        <v>0.14436412633328666</v>
      </c>
      <c r="G18" s="4">
        <f t="shared" si="11"/>
        <v>-0.14604852740420948</v>
      </c>
      <c r="H18" s="4">
        <f t="shared" si="11"/>
        <v>8.3558582183416386E-2</v>
      </c>
      <c r="I18" s="4">
        <f t="shared" si="11"/>
        <v>-2.613624994024466E-2</v>
      </c>
      <c r="J18" s="4">
        <f>+J17/I17-1</f>
        <v>0.22461985286299946</v>
      </c>
      <c r="U18" s="4">
        <f t="shared" ref="U18:V18" si="12">+U17/T17-1</f>
        <v>-5.6777713817683373E-2</v>
      </c>
      <c r="V18" s="4">
        <f t="shared" si="12"/>
        <v>4.1340433306402691E-2</v>
      </c>
      <c r="W18" s="4">
        <f>+W17/V17-1</f>
        <v>9.1904590700362387E-3</v>
      </c>
    </row>
    <row r="19" spans="2:222" s="10" customFormat="1" collapsed="1">
      <c r="D19" s="10">
        <f t="shared" ref="D19:I19" si="13">+D16-C16</f>
        <v>29</v>
      </c>
      <c r="E19" s="10">
        <f t="shared" si="13"/>
        <v>39</v>
      </c>
      <c r="F19" s="10">
        <f t="shared" si="13"/>
        <v>-4</v>
      </c>
      <c r="G19" s="10">
        <f t="shared" si="13"/>
        <v>19</v>
      </c>
      <c r="H19" s="10">
        <f t="shared" si="13"/>
        <v>27</v>
      </c>
      <c r="I19" s="10">
        <f t="shared" si="13"/>
        <v>51</v>
      </c>
      <c r="J19" s="10">
        <f>+J16-I16</f>
        <v>-3</v>
      </c>
      <c r="U19" s="10">
        <f>+U16-T16</f>
        <v>92</v>
      </c>
      <c r="V19" s="10">
        <f>+V16-U16</f>
        <v>94</v>
      </c>
    </row>
    <row r="20" spans="2:222">
      <c r="B20" s="1" t="s">
        <v>1</v>
      </c>
      <c r="C20" s="1">
        <v>4333.1000000000004</v>
      </c>
      <c r="D20" s="1">
        <v>4583.009</v>
      </c>
      <c r="E20" s="1">
        <v>4565.4889999999996</v>
      </c>
      <c r="F20" s="1">
        <v>5214.2309999999998</v>
      </c>
      <c r="G20" s="1">
        <v>4494.6859999999997</v>
      </c>
      <c r="H20" s="1">
        <v>4934.9049999999997</v>
      </c>
      <c r="I20" s="1">
        <v>4924.8490000000002</v>
      </c>
      <c r="J20" s="1">
        <v>6022.5010000000002</v>
      </c>
      <c r="K20" s="1">
        <f>+K16*K17</f>
        <v>4758.3565671189772</v>
      </c>
      <c r="L20" s="1">
        <f>+L16*L17</f>
        <v>5211.5805326297914</v>
      </c>
      <c r="M20" s="1">
        <f>+M16*M17</f>
        <v>5129.5380365624997</v>
      </c>
      <c r="N20" s="1">
        <f>+N16*N17</f>
        <v>6342.3017999004269</v>
      </c>
      <c r="R20" s="1">
        <v>16039.073</v>
      </c>
      <c r="S20" s="1">
        <v>12531.565000000001</v>
      </c>
      <c r="T20" s="1">
        <v>18916.243999999999</v>
      </c>
      <c r="U20" s="1">
        <f t="shared" ref="U20:U26" si="14">SUM(C20:F20)</f>
        <v>18695.828999999998</v>
      </c>
      <c r="V20" s="1">
        <f t="shared" ref="V20:V26" si="15">SUM(G20:J20)</f>
        <v>20376.940999999999</v>
      </c>
      <c r="W20" s="1">
        <f>SUM(K20:N20)</f>
        <v>21441.776936211692</v>
      </c>
      <c r="X20" s="1">
        <f>+X16*X17</f>
        <v>22765.726218794149</v>
      </c>
      <c r="Y20" s="1">
        <f t="shared" ref="Y20:AF20" si="16">+Y16*Y17</f>
        <v>24134.05676190542</v>
      </c>
      <c r="Z20" s="1">
        <f t="shared" si="16"/>
        <v>25548.014236253624</v>
      </c>
      <c r="AA20" s="1">
        <f t="shared" si="16"/>
        <v>27008.876386870994</v>
      </c>
      <c r="AB20" s="1">
        <f t="shared" si="16"/>
        <v>28517.953817818561</v>
      </c>
      <c r="AC20" s="1">
        <f t="shared" si="16"/>
        <v>30076.59079544928</v>
      </c>
      <c r="AD20" s="1">
        <f t="shared" si="16"/>
        <v>31686.166070658099</v>
      </c>
      <c r="AE20" s="1">
        <f t="shared" si="16"/>
        <v>33348.093720557088</v>
      </c>
      <c r="AF20" s="1">
        <f t="shared" si="16"/>
        <v>35063.824010023782</v>
      </c>
    </row>
    <row r="21" spans="2:222">
      <c r="B21" s="1" t="s">
        <v>3</v>
      </c>
      <c r="C21" s="1">
        <v>3196.4459999999999</v>
      </c>
      <c r="D21" s="1">
        <v>3399.5349999999999</v>
      </c>
      <c r="E21" s="1">
        <v>3424.0459999999998</v>
      </c>
      <c r="F21" s="1">
        <v>3926.203</v>
      </c>
      <c r="G21" s="1">
        <v>3292.6060000000002</v>
      </c>
      <c r="H21" s="1">
        <v>3569.3670000000002</v>
      </c>
      <c r="I21" s="1">
        <v>3564.268</v>
      </c>
      <c r="J21" s="1">
        <v>4375.3599999999997</v>
      </c>
      <c r="K21" s="1">
        <f>+K$20*(G21/G$20)</f>
        <v>3485.7592683972471</v>
      </c>
      <c r="L21" s="1">
        <f>+L20*(H21/H20)</f>
        <v>3769.4836214701604</v>
      </c>
      <c r="M21" s="1">
        <f>+M20*(I21/I20)</f>
        <v>3712.40788875</v>
      </c>
      <c r="N21" s="1">
        <f>+N20*(J21/J20)</f>
        <v>4607.6959726884779</v>
      </c>
      <c r="R21" s="1">
        <v>11536.187</v>
      </c>
      <c r="S21" s="1">
        <v>9838.5740000000005</v>
      </c>
      <c r="T21" s="1">
        <v>13708.906999999999</v>
      </c>
      <c r="U21" s="1">
        <f t="shared" si="14"/>
        <v>13946.23</v>
      </c>
      <c r="V21" s="1">
        <f t="shared" si="15"/>
        <v>14801.600999999999</v>
      </c>
      <c r="W21" s="1">
        <f t="shared" ref="W21:W28" si="17">SUM(K21:N21)</f>
        <v>15575.346751305886</v>
      </c>
      <c r="X21" s="1">
        <f>+X20*(W21/W20)</f>
        <v>16537.065979087747</v>
      </c>
      <c r="Y21" s="1">
        <f t="shared" ref="Y21:AF21" si="18">+Y20*(X21/X20)</f>
        <v>17531.023837280361</v>
      </c>
      <c r="Z21" s="1">
        <f t="shared" si="18"/>
        <v>18558.125183409044</v>
      </c>
      <c r="AA21" s="1">
        <f t="shared" si="18"/>
        <v>19619.298173847961</v>
      </c>
      <c r="AB21" s="1">
        <f t="shared" si="18"/>
        <v>20715.494833831075</v>
      </c>
      <c r="AC21" s="1">
        <f t="shared" si="18"/>
        <v>21847.691640943973</v>
      </c>
      <c r="AD21" s="1">
        <f t="shared" si="18"/>
        <v>23016.890122407855</v>
      </c>
      <c r="AE21" s="1">
        <f t="shared" si="18"/>
        <v>24224.117466473908</v>
      </c>
      <c r="AF21" s="1">
        <f t="shared" si="18"/>
        <v>25470.42714825365</v>
      </c>
    </row>
    <row r="22" spans="2:222">
      <c r="B22" s="1" t="s">
        <v>12</v>
      </c>
      <c r="C22" s="1">
        <v>669.49599999999998</v>
      </c>
      <c r="D22" s="1">
        <v>667.06299999999999</v>
      </c>
      <c r="E22" s="1">
        <v>693.36699999999996</v>
      </c>
      <c r="F22" s="1">
        <v>729.34199999999998</v>
      </c>
      <c r="G22" s="1">
        <v>746.22199999999998</v>
      </c>
      <c r="H22" s="1">
        <v>807.89800000000002</v>
      </c>
      <c r="I22" s="1">
        <v>810.47</v>
      </c>
      <c r="J22" s="1">
        <v>903.08699999999999</v>
      </c>
      <c r="K22" s="1">
        <f>+K20*0.15</f>
        <v>713.75348506784655</v>
      </c>
      <c r="L22" s="1">
        <f t="shared" ref="L22" si="19">+L$20*(H22/H$20)</f>
        <v>853.19281508976223</v>
      </c>
      <c r="M22" s="1">
        <f t="shared" ref="M22" si="20">+M$20*(I22/I$20)</f>
        <v>844.15515937499993</v>
      </c>
      <c r="N22" s="1">
        <f>+N20*0.16</f>
        <v>1014.7682879840684</v>
      </c>
      <c r="R22" s="1">
        <v>2356.7040000000002</v>
      </c>
      <c r="S22" s="1">
        <v>2503.2809999999999</v>
      </c>
      <c r="T22" s="1">
        <v>2874.4690000000001</v>
      </c>
      <c r="U22" s="1">
        <f t="shared" si="14"/>
        <v>2759.268</v>
      </c>
      <c r="V22" s="1">
        <f t="shared" si="15"/>
        <v>3267.6770000000001</v>
      </c>
      <c r="W22" s="1">
        <f t="shared" si="17"/>
        <v>3425.8697475166773</v>
      </c>
      <c r="X22" s="1">
        <f>+X20*(W22/W20)</f>
        <v>3637.4043515720728</v>
      </c>
      <c r="Y22" s="1">
        <f t="shared" ref="Y22:AF22" si="21">+Y20*(X22/X20)</f>
        <v>3856.0299918906776</v>
      </c>
      <c r="Z22" s="1">
        <f t="shared" si="21"/>
        <v>4081.9456960813973</v>
      </c>
      <c r="AA22" s="1">
        <f t="shared" si="21"/>
        <v>4315.3556164429901</v>
      </c>
      <c r="AB22" s="1">
        <f t="shared" si="21"/>
        <v>4556.4691553406146</v>
      </c>
      <c r="AC22" s="1">
        <f t="shared" si="21"/>
        <v>4805.5010935475666</v>
      </c>
      <c r="AD22" s="1">
        <f t="shared" si="21"/>
        <v>5062.6717216206598</v>
      </c>
      <c r="AE22" s="1">
        <f t="shared" si="21"/>
        <v>5328.2069743792572</v>
      </c>
      <c r="AF22" s="1">
        <f t="shared" si="21"/>
        <v>5602.3385685595513</v>
      </c>
    </row>
    <row r="23" spans="2:222">
      <c r="B23" s="1" t="s">
        <v>13</v>
      </c>
      <c r="C23" s="1">
        <v>17.696000000000002</v>
      </c>
      <c r="D23" s="1">
        <v>10.667</v>
      </c>
      <c r="E23" s="1">
        <v>-2.802</v>
      </c>
      <c r="F23" s="1">
        <v>-22.719000000000001</v>
      </c>
      <c r="G23" s="1">
        <v>-31.396999999999998</v>
      </c>
      <c r="H23" s="1">
        <v>-37.213999999999999</v>
      </c>
      <c r="I23" s="1">
        <v>-43.319000000000003</v>
      </c>
      <c r="J23" s="1">
        <v>-52.188000000000002</v>
      </c>
      <c r="K23" s="1">
        <f>+-J41*$AJ$31</f>
        <v>-24.117160000000005</v>
      </c>
      <c r="L23" s="1">
        <f t="shared" ref="L23:N23" si="22">+-K41*$AJ$31</f>
        <v>-28.580895840362864</v>
      </c>
      <c r="M23" s="1">
        <f t="shared" si="22"/>
        <v>-33.308982305568236</v>
      </c>
      <c r="N23" s="1">
        <f t="shared" si="22"/>
        <v>-37.951302481275441</v>
      </c>
      <c r="R23" s="1">
        <v>-18.106000000000002</v>
      </c>
      <c r="S23" s="1">
        <v>83.412999999999997</v>
      </c>
      <c r="T23" s="1">
        <v>74.328000000000003</v>
      </c>
      <c r="U23" s="1">
        <f t="shared" si="14"/>
        <v>2.8419999999999987</v>
      </c>
      <c r="V23" s="1">
        <f t="shared" si="15"/>
        <v>-164.11799999999999</v>
      </c>
      <c r="W23" s="1">
        <f t="shared" si="17"/>
        <v>-123.95834062720655</v>
      </c>
      <c r="X23" s="1">
        <f>+-W41*$AJ$31</f>
        <v>-63.390232812972329</v>
      </c>
      <c r="Y23" s="1">
        <f t="shared" ref="Y23:AF23" si="23">+-X41*$AJ$31</f>
        <v>-83.716874850914479</v>
      </c>
      <c r="Z23" s="1">
        <f t="shared" si="23"/>
        <v>-105.39171421442488</v>
      </c>
      <c r="AA23" s="1">
        <f t="shared" si="23"/>
        <v>-128.46483979783847</v>
      </c>
      <c r="AB23" s="1">
        <f t="shared" si="23"/>
        <v>-152.98783763358659</v>
      </c>
      <c r="AC23" s="1">
        <f t="shared" si="23"/>
        <v>-179.01383099378197</v>
      </c>
      <c r="AD23" s="1">
        <f t="shared" si="23"/>
        <v>-206.59752149893845</v>
      </c>
      <c r="AE23" s="1">
        <f t="shared" si="23"/>
        <v>-235.79523125808504</v>
      </c>
      <c r="AF23" s="1">
        <f t="shared" si="23"/>
        <v>-266.66494606510167</v>
      </c>
    </row>
    <row r="24" spans="2:222">
      <c r="B24" s="1" t="s">
        <v>14</v>
      </c>
      <c r="C24" s="1">
        <f t="shared" ref="C24:J24" si="24">+C20-SUM(C21:C23)</f>
        <v>449.46200000000044</v>
      </c>
      <c r="D24" s="1">
        <f t="shared" si="24"/>
        <v>505.74400000000014</v>
      </c>
      <c r="E24" s="1">
        <f t="shared" si="24"/>
        <v>450.8779999999997</v>
      </c>
      <c r="F24" s="1">
        <f t="shared" si="24"/>
        <v>581.40499999999975</v>
      </c>
      <c r="G24" s="1">
        <f t="shared" si="24"/>
        <v>487.2549999999992</v>
      </c>
      <c r="H24" s="1">
        <f t="shared" si="24"/>
        <v>594.85399999999936</v>
      </c>
      <c r="I24" s="1">
        <f t="shared" si="24"/>
        <v>593.43000000000029</v>
      </c>
      <c r="J24" s="1">
        <f t="shared" si="24"/>
        <v>796.24200000000019</v>
      </c>
      <c r="K24" s="1">
        <f t="shared" ref="K24:N24" si="25">+K20-SUM(K21:K23)</f>
        <v>582.96097365388323</v>
      </c>
      <c r="L24" s="1">
        <f t="shared" si="25"/>
        <v>617.48499191023166</v>
      </c>
      <c r="M24" s="1">
        <f t="shared" si="25"/>
        <v>606.28397074306758</v>
      </c>
      <c r="N24" s="1">
        <f t="shared" si="25"/>
        <v>757.78884170915626</v>
      </c>
      <c r="R24" s="1">
        <f>+R20-SUM(R21:R23)</f>
        <v>2164.2880000000005</v>
      </c>
      <c r="S24" s="1">
        <f>+S20-SUM(S21:S23)</f>
        <v>106.29700000000048</v>
      </c>
      <c r="T24" s="1">
        <f>+T20-SUM(T21:T23)</f>
        <v>2258.5399999999972</v>
      </c>
      <c r="U24" s="1">
        <f t="shared" si="14"/>
        <v>1987.489</v>
      </c>
      <c r="V24" s="1">
        <f t="shared" si="15"/>
        <v>2471.780999999999</v>
      </c>
      <c r="W24" s="1">
        <f t="shared" si="17"/>
        <v>2564.5187780163387</v>
      </c>
      <c r="X24" s="1">
        <f>+X20-SUM(X21:X23)</f>
        <v>2654.6461209473018</v>
      </c>
      <c r="Y24" s="1">
        <f t="shared" ref="Y24:AF24" si="26">+Y20-SUM(Y21:Y23)</f>
        <v>2830.7198075852939</v>
      </c>
      <c r="Z24" s="1">
        <f t="shared" si="26"/>
        <v>3013.3350709776059</v>
      </c>
      <c r="AA24" s="1">
        <f t="shared" si="26"/>
        <v>3202.6874363778807</v>
      </c>
      <c r="AB24" s="1">
        <f t="shared" si="26"/>
        <v>3398.9776662804579</v>
      </c>
      <c r="AC24" s="1">
        <f t="shared" si="26"/>
        <v>3602.411891951524</v>
      </c>
      <c r="AD24" s="1">
        <f t="shared" si="26"/>
        <v>3813.201748128522</v>
      </c>
      <c r="AE24" s="1">
        <f t="shared" si="26"/>
        <v>4031.5645109620091</v>
      </c>
      <c r="AF24" s="1">
        <f t="shared" si="26"/>
        <v>4257.723239275685</v>
      </c>
    </row>
    <row r="25" spans="2:222">
      <c r="B25" s="1" t="s">
        <v>15</v>
      </c>
      <c r="C25" s="1">
        <v>111.017</v>
      </c>
      <c r="D25" s="1">
        <v>121.227</v>
      </c>
      <c r="E25" s="1">
        <v>108.842</v>
      </c>
      <c r="F25" s="1">
        <v>134.36199999999999</v>
      </c>
      <c r="G25" s="1">
        <v>116.06399999999999</v>
      </c>
      <c r="H25" s="1">
        <v>148.535</v>
      </c>
      <c r="I25" s="1">
        <v>146.10300000000001</v>
      </c>
      <c r="J25" s="1">
        <v>186.559</v>
      </c>
      <c r="K25" s="1">
        <f>+K24*(J25/J24)</f>
        <v>136.58738961759713</v>
      </c>
      <c r="L25" s="1">
        <f t="shared" ref="L25:N25" si="27">+L24*(K25/K24)</f>
        <v>144.67634538969418</v>
      </c>
      <c r="M25" s="1">
        <f t="shared" si="27"/>
        <v>142.05195317234697</v>
      </c>
      <c r="N25" s="1">
        <f t="shared" si="27"/>
        <v>177.54944918808405</v>
      </c>
      <c r="R25" s="1">
        <v>503.36</v>
      </c>
      <c r="S25" s="1">
        <v>20.914999999999999</v>
      </c>
      <c r="T25" s="1">
        <v>535.95100000000002</v>
      </c>
      <c r="U25" s="1">
        <f t="shared" si="14"/>
        <v>475.44799999999998</v>
      </c>
      <c r="V25" s="1">
        <f t="shared" si="15"/>
        <v>597.26099999999997</v>
      </c>
      <c r="W25" s="1">
        <f t="shared" si="17"/>
        <v>600.86513736772235</v>
      </c>
      <c r="X25" s="1">
        <f>+X24*(W25/W24)</f>
        <v>621.98191715308599</v>
      </c>
      <c r="Y25" s="1">
        <f t="shared" ref="Y25:AF25" si="28">+Y24*(X25/X24)</f>
        <v>663.23587123425375</v>
      </c>
      <c r="Z25" s="1">
        <f t="shared" si="28"/>
        <v>706.02251263624748</v>
      </c>
      <c r="AA25" s="1">
        <f t="shared" si="28"/>
        <v>750.38765280306848</v>
      </c>
      <c r="AB25" s="1">
        <f t="shared" si="28"/>
        <v>796.37833026092028</v>
      </c>
      <c r="AC25" s="1">
        <f t="shared" si="28"/>
        <v>844.04284143587518</v>
      </c>
      <c r="AD25" s="1">
        <f t="shared" si="28"/>
        <v>893.43077221386045</v>
      </c>
      <c r="AE25" s="1">
        <f t="shared" si="28"/>
        <v>944.59303026034945</v>
      </c>
      <c r="AF25" s="1">
        <f t="shared" si="28"/>
        <v>997.58187811749724</v>
      </c>
    </row>
    <row r="26" spans="2:222">
      <c r="B26" s="1" t="s">
        <v>16</v>
      </c>
      <c r="C26" s="1">
        <f t="shared" ref="C26:J26" si="29">+C24-C25</f>
        <v>338.44500000000045</v>
      </c>
      <c r="D26" s="1">
        <f t="shared" si="29"/>
        <v>384.51700000000017</v>
      </c>
      <c r="E26" s="1">
        <f t="shared" si="29"/>
        <v>342.03599999999972</v>
      </c>
      <c r="F26" s="1">
        <f t="shared" si="29"/>
        <v>447.04299999999978</v>
      </c>
      <c r="G26" s="1">
        <f t="shared" si="29"/>
        <v>371.19099999999924</v>
      </c>
      <c r="H26" s="1">
        <f t="shared" si="29"/>
        <v>446.31899999999939</v>
      </c>
      <c r="I26" s="1">
        <f t="shared" si="29"/>
        <v>447.32700000000028</v>
      </c>
      <c r="J26" s="1">
        <f t="shared" si="29"/>
        <v>609.68300000000022</v>
      </c>
      <c r="K26" s="1">
        <f t="shared" ref="K26:N26" si="30">+K24-K25</f>
        <v>446.3735840362861</v>
      </c>
      <c r="L26" s="1">
        <f t="shared" si="30"/>
        <v>472.80864652053748</v>
      </c>
      <c r="M26" s="1">
        <f t="shared" si="30"/>
        <v>464.23201757072059</v>
      </c>
      <c r="N26" s="1">
        <f t="shared" si="30"/>
        <v>580.2393925210722</v>
      </c>
      <c r="R26" s="1">
        <f>+R24-R25</f>
        <v>1660.9280000000003</v>
      </c>
      <c r="S26" s="1">
        <f>+S24-S25</f>
        <v>85.382000000000488</v>
      </c>
      <c r="T26" s="1">
        <f>+T24-T25</f>
        <v>1722.5889999999972</v>
      </c>
      <c r="U26" s="1">
        <f t="shared" si="14"/>
        <v>1512.0410000000002</v>
      </c>
      <c r="V26" s="1">
        <f t="shared" si="15"/>
        <v>1874.5199999999991</v>
      </c>
      <c r="W26" s="1">
        <f t="shared" si="17"/>
        <v>1963.6536406486164</v>
      </c>
      <c r="X26" s="1">
        <f>+X24-X25</f>
        <v>2032.6642037942158</v>
      </c>
      <c r="Y26" s="1">
        <f t="shared" ref="Y26:AF26" si="31">+Y24-Y25</f>
        <v>2167.48393635104</v>
      </c>
      <c r="Z26" s="1">
        <f t="shared" si="31"/>
        <v>2307.3125583413585</v>
      </c>
      <c r="AA26" s="1">
        <f t="shared" si="31"/>
        <v>2452.299783574812</v>
      </c>
      <c r="AB26" s="1">
        <f t="shared" si="31"/>
        <v>2602.5993360195375</v>
      </c>
      <c r="AC26" s="1">
        <f t="shared" si="31"/>
        <v>2758.3690505156487</v>
      </c>
      <c r="AD26" s="1">
        <f t="shared" si="31"/>
        <v>2919.7709759146614</v>
      </c>
      <c r="AE26" s="1">
        <f t="shared" si="31"/>
        <v>3086.9714807016599</v>
      </c>
      <c r="AF26" s="1">
        <f t="shared" si="31"/>
        <v>3260.1413611581879</v>
      </c>
      <c r="AG26" s="1">
        <f>+AF26*(1+$AJ$31)</f>
        <v>3292.7427747697698</v>
      </c>
      <c r="AH26" s="1">
        <f t="shared" ref="AH26:CS26" si="32">+AG26*(1+$AJ$31)</f>
        <v>3325.6702025174677</v>
      </c>
      <c r="AI26" s="1">
        <f t="shared" si="32"/>
        <v>3358.9269045426422</v>
      </c>
      <c r="AJ26" s="1">
        <f t="shared" si="32"/>
        <v>3392.5161735880688</v>
      </c>
      <c r="AK26" s="1">
        <f t="shared" si="32"/>
        <v>3426.4413353239497</v>
      </c>
      <c r="AL26" s="1">
        <f t="shared" si="32"/>
        <v>3460.7057486771891</v>
      </c>
      <c r="AM26" s="1">
        <f t="shared" si="32"/>
        <v>3495.3128061639609</v>
      </c>
      <c r="AN26" s="1">
        <f t="shared" si="32"/>
        <v>3530.2659342256006</v>
      </c>
      <c r="AO26" s="1">
        <f t="shared" si="32"/>
        <v>3565.5685935678566</v>
      </c>
      <c r="AP26" s="1">
        <f t="shared" si="32"/>
        <v>3601.2242795035354</v>
      </c>
      <c r="AQ26" s="1">
        <f t="shared" si="32"/>
        <v>3637.2365222985709</v>
      </c>
      <c r="AR26" s="1">
        <f t="shared" si="32"/>
        <v>3673.6088875215564</v>
      </c>
      <c r="AS26" s="1">
        <f t="shared" si="32"/>
        <v>3710.3449763967719</v>
      </c>
      <c r="AT26" s="1">
        <f t="shared" si="32"/>
        <v>3747.4484261607395</v>
      </c>
      <c r="AU26" s="1">
        <f t="shared" si="32"/>
        <v>3784.9229104223468</v>
      </c>
      <c r="AV26" s="1">
        <f t="shared" si="32"/>
        <v>3822.7721395265703</v>
      </c>
      <c r="AW26" s="1">
        <f t="shared" si="32"/>
        <v>3860.999860921836</v>
      </c>
      <c r="AX26" s="1">
        <f t="shared" si="32"/>
        <v>3899.6098595310546</v>
      </c>
      <c r="AY26" s="1">
        <f t="shared" si="32"/>
        <v>3938.6059581263653</v>
      </c>
      <c r="AZ26" s="1">
        <f t="shared" si="32"/>
        <v>3977.9920177076292</v>
      </c>
      <c r="BA26" s="1">
        <f t="shared" si="32"/>
        <v>4017.7719378847055</v>
      </c>
      <c r="BB26" s="1">
        <f t="shared" si="32"/>
        <v>4057.9496572635526</v>
      </c>
      <c r="BC26" s="1">
        <f t="shared" si="32"/>
        <v>4098.529153836188</v>
      </c>
      <c r="BD26" s="1">
        <f t="shared" si="32"/>
        <v>4139.5144453745497</v>
      </c>
      <c r="BE26" s="1">
        <f t="shared" si="32"/>
        <v>4180.9095898282949</v>
      </c>
      <c r="BF26" s="1">
        <f t="shared" si="32"/>
        <v>4222.7186857265779</v>
      </c>
      <c r="BG26" s="1">
        <f t="shared" si="32"/>
        <v>4264.945872583844</v>
      </c>
      <c r="BH26" s="1">
        <f t="shared" si="32"/>
        <v>4307.5953313096825</v>
      </c>
      <c r="BI26" s="1">
        <f t="shared" si="32"/>
        <v>4350.6712846227792</v>
      </c>
      <c r="BJ26" s="1">
        <f t="shared" si="32"/>
        <v>4394.1779974690071</v>
      </c>
      <c r="BK26" s="1">
        <f t="shared" si="32"/>
        <v>4438.1197774436969</v>
      </c>
      <c r="BL26" s="1">
        <f t="shared" si="32"/>
        <v>4482.500975218134</v>
      </c>
      <c r="BM26" s="1">
        <f t="shared" si="32"/>
        <v>4527.3259849703154</v>
      </c>
      <c r="BN26" s="1">
        <f t="shared" si="32"/>
        <v>4572.5992448200186</v>
      </c>
      <c r="BO26" s="1">
        <f t="shared" si="32"/>
        <v>4618.3252372682191</v>
      </c>
      <c r="BP26" s="1">
        <f t="shared" si="32"/>
        <v>4664.5084896409016</v>
      </c>
      <c r="BQ26" s="1">
        <f t="shared" si="32"/>
        <v>4711.1535745373103</v>
      </c>
      <c r="BR26" s="1">
        <f t="shared" si="32"/>
        <v>4758.2651102826831</v>
      </c>
      <c r="BS26" s="1">
        <f t="shared" si="32"/>
        <v>4805.8477613855102</v>
      </c>
      <c r="BT26" s="1">
        <f t="shared" si="32"/>
        <v>4853.9062389993651</v>
      </c>
      <c r="BU26" s="1">
        <f t="shared" si="32"/>
        <v>4902.445301389359</v>
      </c>
      <c r="BV26" s="1">
        <f t="shared" si="32"/>
        <v>4951.4697544032524</v>
      </c>
      <c r="BW26" s="1">
        <f t="shared" si="32"/>
        <v>5000.9844519472854</v>
      </c>
      <c r="BX26" s="1">
        <f t="shared" si="32"/>
        <v>5050.994296466758</v>
      </c>
      <c r="BY26" s="1">
        <f t="shared" si="32"/>
        <v>5101.504239431426</v>
      </c>
      <c r="BZ26" s="1">
        <f t="shared" si="32"/>
        <v>5152.5192818257401</v>
      </c>
      <c r="CA26" s="1">
        <f t="shared" si="32"/>
        <v>5204.044474643998</v>
      </c>
      <c r="CB26" s="1">
        <f t="shared" si="32"/>
        <v>5256.0849193904378</v>
      </c>
      <c r="CC26" s="1">
        <f t="shared" si="32"/>
        <v>5308.6457685843425</v>
      </c>
      <c r="CD26" s="1">
        <f t="shared" si="32"/>
        <v>5361.7322262701864</v>
      </c>
      <c r="CE26" s="1">
        <f t="shared" si="32"/>
        <v>5415.3495485328885</v>
      </c>
      <c r="CF26" s="1">
        <f t="shared" si="32"/>
        <v>5469.5030440182172</v>
      </c>
      <c r="CG26" s="1">
        <f t="shared" si="32"/>
        <v>5524.1980744583998</v>
      </c>
      <c r="CH26" s="1">
        <f t="shared" si="32"/>
        <v>5579.4400552029838</v>
      </c>
      <c r="CI26" s="1">
        <f t="shared" si="32"/>
        <v>5635.2344557550141</v>
      </c>
      <c r="CJ26" s="1">
        <f t="shared" si="32"/>
        <v>5691.5868003125643</v>
      </c>
      <c r="CK26" s="1">
        <f t="shared" si="32"/>
        <v>5748.5026683156902</v>
      </c>
      <c r="CL26" s="1">
        <f t="shared" si="32"/>
        <v>5805.9876949988475</v>
      </c>
      <c r="CM26" s="1">
        <f t="shared" si="32"/>
        <v>5864.0475719488359</v>
      </c>
      <c r="CN26" s="1">
        <f t="shared" si="32"/>
        <v>5922.6880476683245</v>
      </c>
      <c r="CO26" s="1">
        <f t="shared" si="32"/>
        <v>5981.9149281450082</v>
      </c>
      <c r="CP26" s="1">
        <f t="shared" si="32"/>
        <v>6041.7340774264585</v>
      </c>
      <c r="CQ26" s="1">
        <f t="shared" si="32"/>
        <v>6102.1514182007231</v>
      </c>
      <c r="CR26" s="1">
        <f t="shared" si="32"/>
        <v>6163.1729323827303</v>
      </c>
      <c r="CS26" s="1">
        <f t="shared" si="32"/>
        <v>6224.8046617065575</v>
      </c>
      <c r="CT26" s="1">
        <f t="shared" ref="CT26:DX26" si="33">+CS26*(1+$AJ$31)</f>
        <v>6287.0527083236229</v>
      </c>
      <c r="CU26" s="1">
        <f t="shared" si="33"/>
        <v>6349.923235406859</v>
      </c>
      <c r="CV26" s="1">
        <f t="shared" si="33"/>
        <v>6413.4224677609272</v>
      </c>
      <c r="CW26" s="1">
        <f t="shared" si="33"/>
        <v>6477.5566924385366</v>
      </c>
      <c r="CX26" s="1">
        <f t="shared" si="33"/>
        <v>6542.3322593629218</v>
      </c>
      <c r="CY26" s="1">
        <f t="shared" si="33"/>
        <v>6607.7555819565514</v>
      </c>
      <c r="CZ26" s="1">
        <f t="shared" si="33"/>
        <v>6673.8331377761169</v>
      </c>
      <c r="DA26" s="1">
        <f t="shared" si="33"/>
        <v>6740.5714691538778</v>
      </c>
      <c r="DB26" s="1">
        <f t="shared" si="33"/>
        <v>6807.9771838454171</v>
      </c>
      <c r="DC26" s="1">
        <f t="shared" si="33"/>
        <v>6876.0569556838709</v>
      </c>
      <c r="DD26" s="1">
        <f t="shared" si="33"/>
        <v>6944.81752524071</v>
      </c>
      <c r="DE26" s="1">
        <f t="shared" si="33"/>
        <v>7014.265700493117</v>
      </c>
      <c r="DF26" s="1">
        <f t="shared" si="33"/>
        <v>7084.4083574980486</v>
      </c>
      <c r="DG26" s="1">
        <f t="shared" si="33"/>
        <v>7155.2524410730293</v>
      </c>
      <c r="DH26" s="1">
        <f t="shared" si="33"/>
        <v>7226.8049654837596</v>
      </c>
      <c r="DI26" s="1">
        <f t="shared" si="33"/>
        <v>7299.0730151385969</v>
      </c>
      <c r="DJ26" s="1">
        <f t="shared" si="33"/>
        <v>7372.0637452899828</v>
      </c>
      <c r="DK26" s="1">
        <f t="shared" si="33"/>
        <v>7445.7843827428824</v>
      </c>
      <c r="DL26" s="1">
        <f t="shared" si="33"/>
        <v>7520.2422265703117</v>
      </c>
      <c r="DM26" s="1">
        <f t="shared" si="33"/>
        <v>7595.4446488360145</v>
      </c>
      <c r="DN26" s="1">
        <f t="shared" si="33"/>
        <v>7671.3990953243747</v>
      </c>
      <c r="DO26" s="1">
        <f t="shared" si="33"/>
        <v>7748.1130862776181</v>
      </c>
      <c r="DP26" s="1">
        <f t="shared" si="33"/>
        <v>7825.594217140394</v>
      </c>
      <c r="DQ26" s="1">
        <f t="shared" si="33"/>
        <v>7903.8501593117981</v>
      </c>
      <c r="DR26" s="1">
        <f t="shared" si="33"/>
        <v>7982.8886609049159</v>
      </c>
      <c r="DS26" s="1">
        <f t="shared" si="33"/>
        <v>8062.7175475139647</v>
      </c>
      <c r="DT26" s="1">
        <f t="shared" si="33"/>
        <v>8143.3447229891044</v>
      </c>
      <c r="DU26" s="1">
        <f t="shared" si="33"/>
        <v>8224.778170218995</v>
      </c>
      <c r="DV26" s="1">
        <f t="shared" si="33"/>
        <v>8307.025951921185</v>
      </c>
      <c r="DW26" s="1">
        <f t="shared" si="33"/>
        <v>8390.0962114403974</v>
      </c>
      <c r="DX26" s="1">
        <f t="shared" si="33"/>
        <v>8473.9971735548006</v>
      </c>
      <c r="DY26" s="1">
        <f t="shared" ref="DY26:GJ26" si="34">+DX26*(1+$AJ$31)</f>
        <v>8558.7371452903481</v>
      </c>
      <c r="DZ26" s="1">
        <f t="shared" si="34"/>
        <v>8644.3245167432524</v>
      </c>
      <c r="EA26" s="1">
        <f t="shared" si="34"/>
        <v>8730.7677619106853</v>
      </c>
      <c r="EB26" s="1">
        <f t="shared" si="34"/>
        <v>8818.0754395297918</v>
      </c>
      <c r="EC26" s="1">
        <f t="shared" si="34"/>
        <v>8906.25619392509</v>
      </c>
      <c r="ED26" s="1">
        <f t="shared" si="34"/>
        <v>8995.3187558643403</v>
      </c>
      <c r="EE26" s="1">
        <f t="shared" si="34"/>
        <v>9085.2719434229839</v>
      </c>
      <c r="EF26" s="1">
        <f t="shared" si="34"/>
        <v>9176.1246628572135</v>
      </c>
      <c r="EG26" s="1">
        <f t="shared" si="34"/>
        <v>9267.8859094857853</v>
      </c>
      <c r="EH26" s="1">
        <f t="shared" si="34"/>
        <v>9360.5647685806434</v>
      </c>
      <c r="EI26" s="1">
        <f t="shared" si="34"/>
        <v>9454.17041626645</v>
      </c>
      <c r="EJ26" s="1">
        <f t="shared" si="34"/>
        <v>9548.7121204291143</v>
      </c>
      <c r="EK26" s="1">
        <f t="shared" si="34"/>
        <v>9644.1992416334051</v>
      </c>
      <c r="EL26" s="1">
        <f t="shared" si="34"/>
        <v>9740.6412340497391</v>
      </c>
      <c r="EM26" s="1">
        <f t="shared" si="34"/>
        <v>9838.047646390236</v>
      </c>
      <c r="EN26" s="1">
        <f t="shared" si="34"/>
        <v>9936.4281228541386</v>
      </c>
      <c r="EO26" s="1">
        <f t="shared" si="34"/>
        <v>10035.79240408268</v>
      </c>
      <c r="EP26" s="1">
        <f t="shared" si="34"/>
        <v>10136.150328123507</v>
      </c>
      <c r="EQ26" s="1">
        <f t="shared" si="34"/>
        <v>10237.511831404743</v>
      </c>
      <c r="ER26" s="1">
        <f t="shared" si="34"/>
        <v>10339.88694971879</v>
      </c>
      <c r="ES26" s="1">
        <f t="shared" si="34"/>
        <v>10443.285819215978</v>
      </c>
      <c r="ET26" s="1">
        <f t="shared" si="34"/>
        <v>10547.718677408138</v>
      </c>
      <c r="EU26" s="1">
        <f t="shared" si="34"/>
        <v>10653.19586418222</v>
      </c>
      <c r="EV26" s="1">
        <f t="shared" si="34"/>
        <v>10759.727822824043</v>
      </c>
      <c r="EW26" s="1">
        <f t="shared" si="34"/>
        <v>10867.325101052284</v>
      </c>
      <c r="EX26" s="1">
        <f t="shared" si="34"/>
        <v>10975.998352062807</v>
      </c>
      <c r="EY26" s="1">
        <f t="shared" si="34"/>
        <v>11085.758335583434</v>
      </c>
      <c r="EZ26" s="1">
        <f t="shared" si="34"/>
        <v>11196.615918939269</v>
      </c>
      <c r="FA26" s="1">
        <f t="shared" si="34"/>
        <v>11308.582078128662</v>
      </c>
      <c r="FB26" s="1">
        <f t="shared" si="34"/>
        <v>11421.667898909949</v>
      </c>
      <c r="FC26" s="1">
        <f t="shared" si="34"/>
        <v>11535.884577899049</v>
      </c>
      <c r="FD26" s="1">
        <f t="shared" si="34"/>
        <v>11651.243423678039</v>
      </c>
      <c r="FE26" s="1">
        <f t="shared" si="34"/>
        <v>11767.755857914819</v>
      </c>
      <c r="FF26" s="1">
        <f t="shared" si="34"/>
        <v>11885.433416493966</v>
      </c>
      <c r="FG26" s="1">
        <f t="shared" si="34"/>
        <v>12004.287750658907</v>
      </c>
      <c r="FH26" s="1">
        <f t="shared" si="34"/>
        <v>12124.330628165495</v>
      </c>
      <c r="FI26" s="1">
        <f t="shared" si="34"/>
        <v>12245.573934447149</v>
      </c>
      <c r="FJ26" s="1">
        <f t="shared" si="34"/>
        <v>12368.029673791621</v>
      </c>
      <c r="FK26" s="1">
        <f t="shared" si="34"/>
        <v>12491.709970529539</v>
      </c>
      <c r="FL26" s="1">
        <f t="shared" si="34"/>
        <v>12616.627070234834</v>
      </c>
      <c r="FM26" s="1">
        <f t="shared" si="34"/>
        <v>12742.793340937182</v>
      </c>
      <c r="FN26" s="1">
        <f t="shared" si="34"/>
        <v>12870.221274346553</v>
      </c>
      <c r="FO26" s="1">
        <f t="shared" si="34"/>
        <v>12998.923487090018</v>
      </c>
      <c r="FP26" s="1">
        <f t="shared" si="34"/>
        <v>13128.912721960918</v>
      </c>
      <c r="FQ26" s="1">
        <f t="shared" si="34"/>
        <v>13260.201849180527</v>
      </c>
      <c r="FR26" s="1">
        <f t="shared" si="34"/>
        <v>13392.803867672332</v>
      </c>
      <c r="FS26" s="1">
        <f t="shared" si="34"/>
        <v>13526.731906349056</v>
      </c>
      <c r="FT26" s="1">
        <f t="shared" si="34"/>
        <v>13661.999225412546</v>
      </c>
      <c r="FU26" s="1">
        <f t="shared" si="34"/>
        <v>13798.619217666672</v>
      </c>
      <c r="FV26" s="1">
        <f t="shared" si="34"/>
        <v>13936.605409843338</v>
      </c>
      <c r="FW26" s="1">
        <f t="shared" si="34"/>
        <v>14075.971463941771</v>
      </c>
      <c r="FX26" s="1">
        <f t="shared" si="34"/>
        <v>14216.731178581189</v>
      </c>
      <c r="FY26" s="1">
        <f t="shared" si="34"/>
        <v>14358.898490367001</v>
      </c>
      <c r="FZ26" s="1">
        <f t="shared" si="34"/>
        <v>14502.487475270671</v>
      </c>
      <c r="GA26" s="1">
        <f t="shared" si="34"/>
        <v>14647.512350023379</v>
      </c>
      <c r="GB26" s="1">
        <f t="shared" si="34"/>
        <v>14793.987473523612</v>
      </c>
      <c r="GC26" s="1">
        <f t="shared" si="34"/>
        <v>14941.927348258849</v>
      </c>
      <c r="GD26" s="1">
        <f t="shared" si="34"/>
        <v>15091.346621741437</v>
      </c>
      <c r="GE26" s="1">
        <f t="shared" si="34"/>
        <v>15242.260087958852</v>
      </c>
      <c r="GF26" s="1">
        <f t="shared" si="34"/>
        <v>15394.68268883844</v>
      </c>
      <c r="GG26" s="1">
        <f t="shared" si="34"/>
        <v>15548.629515726825</v>
      </c>
      <c r="GH26" s="1">
        <f t="shared" si="34"/>
        <v>15704.115810884094</v>
      </c>
      <c r="GI26" s="1">
        <f t="shared" si="34"/>
        <v>15861.156968992935</v>
      </c>
      <c r="GJ26" s="1">
        <f t="shared" si="34"/>
        <v>16019.768538682863</v>
      </c>
      <c r="GK26" s="1">
        <f t="shared" ref="GK26:HN26" si="35">+GJ26*(1+$AJ$31)</f>
        <v>16179.966224069693</v>
      </c>
      <c r="GL26" s="1">
        <f t="shared" si="35"/>
        <v>16341.76588631039</v>
      </c>
      <c r="GM26" s="1">
        <f t="shared" si="35"/>
        <v>16505.183545173495</v>
      </c>
      <c r="GN26" s="1">
        <f t="shared" si="35"/>
        <v>16670.235380625229</v>
      </c>
      <c r="GO26" s="1">
        <f t="shared" si="35"/>
        <v>16836.937734431482</v>
      </c>
      <c r="GP26" s="1">
        <f t="shared" si="35"/>
        <v>17005.307111775797</v>
      </c>
      <c r="GQ26" s="1">
        <f t="shared" si="35"/>
        <v>17175.360182893557</v>
      </c>
      <c r="GR26" s="1">
        <f t="shared" si="35"/>
        <v>17347.113784722493</v>
      </c>
      <c r="GS26" s="1">
        <f t="shared" si="35"/>
        <v>17520.584922569717</v>
      </c>
      <c r="GT26" s="1">
        <f t="shared" si="35"/>
        <v>17695.790771795415</v>
      </c>
      <c r="GU26" s="1">
        <f t="shared" si="35"/>
        <v>17872.74867951337</v>
      </c>
      <c r="GV26" s="1">
        <f t="shared" si="35"/>
        <v>18051.476166308505</v>
      </c>
      <c r="GW26" s="1">
        <f t="shared" si="35"/>
        <v>18231.99092797159</v>
      </c>
      <c r="GX26" s="1">
        <f t="shared" si="35"/>
        <v>18414.310837251305</v>
      </c>
      <c r="GY26" s="1">
        <f t="shared" si="35"/>
        <v>18598.45394562382</v>
      </c>
      <c r="GZ26" s="1">
        <f t="shared" si="35"/>
        <v>18784.43848508006</v>
      </c>
      <c r="HA26" s="1">
        <f t="shared" si="35"/>
        <v>18972.282869930859</v>
      </c>
      <c r="HB26" s="1">
        <f t="shared" si="35"/>
        <v>19162.005698630168</v>
      </c>
      <c r="HC26" s="1">
        <f t="shared" si="35"/>
        <v>19353.625755616471</v>
      </c>
      <c r="HD26" s="1">
        <f t="shared" si="35"/>
        <v>19547.162013172638</v>
      </c>
      <c r="HE26" s="1">
        <f t="shared" si="35"/>
        <v>19742.633633304366</v>
      </c>
      <c r="HF26" s="1">
        <f t="shared" si="35"/>
        <v>19940.059969637408</v>
      </c>
      <c r="HG26" s="1">
        <f t="shared" si="35"/>
        <v>20139.460569333783</v>
      </c>
      <c r="HH26" s="1">
        <f t="shared" si="35"/>
        <v>20340.855175027122</v>
      </c>
      <c r="HI26" s="1">
        <f t="shared" si="35"/>
        <v>20544.263726777393</v>
      </c>
      <c r="HJ26" s="1">
        <f t="shared" si="35"/>
        <v>20749.706364045167</v>
      </c>
      <c r="HK26" s="1">
        <f t="shared" si="35"/>
        <v>20957.203427685617</v>
      </c>
      <c r="HL26" s="1">
        <f t="shared" si="35"/>
        <v>21166.775461962476</v>
      </c>
      <c r="HM26" s="1">
        <f t="shared" si="35"/>
        <v>21378.443216582102</v>
      </c>
      <c r="HN26" s="1">
        <f t="shared" si="35"/>
        <v>21592.227648747921</v>
      </c>
    </row>
    <row r="27" spans="2:222">
      <c r="B27" s="1" t="s">
        <v>18</v>
      </c>
      <c r="C27" s="1">
        <v>348.82</v>
      </c>
      <c r="D27" s="1">
        <v>346.10599999999999</v>
      </c>
      <c r="E27" s="1">
        <v>343.72</v>
      </c>
      <c r="F27" s="1">
        <v>342.04500000000002</v>
      </c>
      <c r="G27" s="1">
        <v>340.04399999999998</v>
      </c>
      <c r="H27" s="1">
        <v>337.93200000000002</v>
      </c>
      <c r="I27" s="1">
        <v>336.26100000000002</v>
      </c>
      <c r="J27" s="1">
        <v>335.01799999999997</v>
      </c>
      <c r="K27" s="1">
        <f>+J27</f>
        <v>335.01799999999997</v>
      </c>
      <c r="L27" s="1">
        <f t="shared" ref="L27:N27" si="36">+K27</f>
        <v>335.01799999999997</v>
      </c>
      <c r="M27" s="1">
        <f t="shared" si="36"/>
        <v>335.01799999999997</v>
      </c>
      <c r="N27" s="1">
        <f t="shared" si="36"/>
        <v>335.01799999999997</v>
      </c>
      <c r="R27" s="1">
        <v>361.18200000000002</v>
      </c>
      <c r="S27" s="1">
        <v>354.61900000000003</v>
      </c>
      <c r="T27" s="1">
        <v>353.73399999999998</v>
      </c>
      <c r="U27" s="1">
        <f>+U26/U28</f>
        <v>344.95421188990332</v>
      </c>
      <c r="V27" s="1">
        <f>+V26/V28</f>
        <v>336.99347631907779</v>
      </c>
      <c r="W27" s="1">
        <f>+W26/W28</f>
        <v>335.01799999999997</v>
      </c>
      <c r="X27" s="1">
        <f>+W27</f>
        <v>335.01799999999997</v>
      </c>
      <c r="Y27" s="1">
        <f t="shared" ref="Y27:AF27" si="37">+X27</f>
        <v>335.01799999999997</v>
      </c>
      <c r="Z27" s="1">
        <f t="shared" si="37"/>
        <v>335.01799999999997</v>
      </c>
      <c r="AA27" s="1">
        <f t="shared" si="37"/>
        <v>335.01799999999997</v>
      </c>
      <c r="AB27" s="1">
        <f t="shared" si="37"/>
        <v>335.01799999999997</v>
      </c>
      <c r="AC27" s="1">
        <f t="shared" si="37"/>
        <v>335.01799999999997</v>
      </c>
      <c r="AD27" s="1">
        <f t="shared" si="37"/>
        <v>335.01799999999997</v>
      </c>
      <c r="AE27" s="1">
        <f t="shared" si="37"/>
        <v>335.01799999999997</v>
      </c>
      <c r="AF27" s="1">
        <f t="shared" si="37"/>
        <v>335.01799999999997</v>
      </c>
    </row>
    <row r="28" spans="2:222" s="5" customFormat="1">
      <c r="B28" s="5" t="s">
        <v>19</v>
      </c>
      <c r="C28" s="5">
        <f t="shared" ref="C28:K28" si="38">+C26/C27</f>
        <v>0.97025686600539085</v>
      </c>
      <c r="D28" s="5">
        <f t="shared" si="38"/>
        <v>1.1109804510756824</v>
      </c>
      <c r="E28" s="5">
        <f t="shared" si="38"/>
        <v>0.99510066333061709</v>
      </c>
      <c r="F28" s="5">
        <f t="shared" si="38"/>
        <v>1.3069713049452549</v>
      </c>
      <c r="G28" s="5">
        <f t="shared" si="38"/>
        <v>1.0915969698039056</v>
      </c>
      <c r="H28" s="5">
        <f t="shared" si="38"/>
        <v>1.3207361244273976</v>
      </c>
      <c r="I28" s="5">
        <f t="shared" si="38"/>
        <v>1.3302970014363851</v>
      </c>
      <c r="J28" s="5">
        <f t="shared" si="38"/>
        <v>1.8198514706672486</v>
      </c>
      <c r="K28" s="5">
        <f t="shared" si="38"/>
        <v>1.3323868688735714</v>
      </c>
      <c r="L28" s="5">
        <f t="shared" ref="L28:N28" si="39">+L26/L27</f>
        <v>1.4112932634083468</v>
      </c>
      <c r="M28" s="5">
        <f t="shared" si="39"/>
        <v>1.3856927614955632</v>
      </c>
      <c r="N28" s="5">
        <f t="shared" si="39"/>
        <v>1.7319648273259116</v>
      </c>
      <c r="R28" s="5">
        <f>+R26/R27</f>
        <v>4.5985901844499457</v>
      </c>
      <c r="S28" s="5">
        <f>+S26/S27</f>
        <v>0.24077108107574743</v>
      </c>
      <c r="T28" s="5">
        <f>+T26/T27</f>
        <v>4.869729796966074</v>
      </c>
      <c r="U28" s="5">
        <f>SUM(C28:F28)</f>
        <v>4.3833092853569449</v>
      </c>
      <c r="V28" s="5">
        <f>SUM(G28:J28)</f>
        <v>5.5624815663349363</v>
      </c>
      <c r="W28" s="5">
        <f t="shared" si="17"/>
        <v>5.8613377211033928</v>
      </c>
      <c r="X28" s="5">
        <f>+X26/X27</f>
        <v>6.0673283339826991</v>
      </c>
      <c r="Y28" s="5">
        <f t="shared" ref="Y28:AF28" si="40">+Y26/Y27</f>
        <v>6.4697536739848012</v>
      </c>
      <c r="Z28" s="5">
        <f t="shared" si="40"/>
        <v>6.8871301194006254</v>
      </c>
      <c r="AA28" s="5">
        <f t="shared" si="40"/>
        <v>7.3199045531130036</v>
      </c>
      <c r="AB28" s="5">
        <f t="shared" si="40"/>
        <v>7.7685358279839818</v>
      </c>
      <c r="AC28" s="5">
        <f t="shared" si="40"/>
        <v>8.2334950674759231</v>
      </c>
      <c r="AD28" s="5">
        <f t="shared" si="40"/>
        <v>8.715265973513846</v>
      </c>
      <c r="AE28" s="5">
        <f t="shared" si="40"/>
        <v>9.2143451417585336</v>
      </c>
      <c r="AF28" s="5">
        <f t="shared" si="40"/>
        <v>9.7312423844634868</v>
      </c>
    </row>
    <row r="30" spans="2:222">
      <c r="B30" s="7" t="s">
        <v>36</v>
      </c>
    </row>
    <row r="31" spans="2:222" s="4" customFormat="1">
      <c r="B31" s="1" t="s">
        <v>1</v>
      </c>
      <c r="G31" s="4">
        <f t="shared" ref="G31:N33" si="41">+G20/C20-1</f>
        <v>3.7291084904571559E-2</v>
      </c>
      <c r="H31" s="4">
        <f t="shared" si="41"/>
        <v>7.6782742516979585E-2</v>
      </c>
      <c r="I31" s="4">
        <f t="shared" si="41"/>
        <v>7.8712269375744937E-2</v>
      </c>
      <c r="J31" s="4">
        <f t="shared" si="41"/>
        <v>0.15501231149904959</v>
      </c>
      <c r="K31" s="4">
        <f t="shared" si="41"/>
        <v>5.8662733529990296E-2</v>
      </c>
      <c r="L31" s="4">
        <f t="shared" si="41"/>
        <v>5.6065016982047577E-2</v>
      </c>
      <c r="M31" s="4">
        <f t="shared" si="41"/>
        <v>4.1562499999999947E-2</v>
      </c>
      <c r="N31" s="4">
        <f t="shared" si="41"/>
        <v>5.3100995732574763E-2</v>
      </c>
      <c r="S31" s="9">
        <f>+S20/R20-1</f>
        <v>-0.21868520705654249</v>
      </c>
      <c r="T31" s="9">
        <f>+T20/S20-1</f>
        <v>0.50948776150464825</v>
      </c>
      <c r="U31" s="9">
        <f>+U20/T20-1</f>
        <v>-1.1652154624353539E-2</v>
      </c>
      <c r="V31" s="9">
        <f>+V20/U20-1</f>
        <v>8.9919093718711318E-2</v>
      </c>
      <c r="W31" s="9">
        <f t="shared" ref="W31:AF31" si="42">+W20/V20-1</f>
        <v>5.2256908247989342E-2</v>
      </c>
      <c r="X31" s="9">
        <f>+X20/W20-1</f>
        <v>6.174624829467934E-2</v>
      </c>
      <c r="Y31" s="9">
        <f>+Y20/X20-1</f>
        <v>6.0104849279161154E-2</v>
      </c>
      <c r="Z31" s="9">
        <f t="shared" si="42"/>
        <v>5.8587641866330475E-2</v>
      </c>
      <c r="AA31" s="9">
        <f t="shared" si="42"/>
        <v>5.718104495747256E-2</v>
      </c>
      <c r="AB31" s="9">
        <f t="shared" si="42"/>
        <v>5.5873388042204208E-2</v>
      </c>
      <c r="AC31" s="9">
        <f t="shared" si="42"/>
        <v>5.4654586636466718E-2</v>
      </c>
      <c r="AD31" s="9">
        <f t="shared" si="42"/>
        <v>5.3515881708652735E-2</v>
      </c>
      <c r="AE31" s="9">
        <f t="shared" si="42"/>
        <v>5.2449628844114526E-2</v>
      </c>
      <c r="AF31" s="9">
        <f t="shared" si="42"/>
        <v>5.1449126413155355E-2</v>
      </c>
      <c r="AI31" s="4" t="s">
        <v>40</v>
      </c>
      <c r="AJ31" s="4">
        <v>0.01</v>
      </c>
    </row>
    <row r="32" spans="2:222" s="4" customFormat="1">
      <c r="B32" s="1" t="s">
        <v>3</v>
      </c>
      <c r="G32" s="4">
        <f t="shared" si="41"/>
        <v>3.0083411388773795E-2</v>
      </c>
      <c r="H32" s="4">
        <f t="shared" si="41"/>
        <v>4.995742064723574E-2</v>
      </c>
      <c r="I32" s="4">
        <f t="shared" si="41"/>
        <v>4.0952136741153611E-2</v>
      </c>
      <c r="J32" s="4">
        <f t="shared" si="41"/>
        <v>0.11439984127157965</v>
      </c>
      <c r="K32" s="4">
        <f t="shared" si="41"/>
        <v>5.8662733529990074E-2</v>
      </c>
      <c r="L32" s="4">
        <f t="shared" si="41"/>
        <v>5.6065016982047577E-2</v>
      </c>
      <c r="M32" s="4">
        <f t="shared" si="41"/>
        <v>4.1562499999999947E-2</v>
      </c>
      <c r="N32" s="4">
        <f t="shared" si="41"/>
        <v>5.3100995732574763E-2</v>
      </c>
      <c r="S32" s="4">
        <f t="shared" ref="S32:T32" si="43">+S21/R21-1</f>
        <v>-0.14715546826694115</v>
      </c>
      <c r="T32" s="4">
        <f t="shared" si="43"/>
        <v>0.39338353302013052</v>
      </c>
      <c r="U32" s="4">
        <f t="shared" ref="U32:V33" si="44">+U21/T21-1</f>
        <v>1.7311591653514036E-2</v>
      </c>
      <c r="V32" s="4">
        <f t="shared" si="44"/>
        <v>6.1333492994164018E-2</v>
      </c>
      <c r="W32" s="4">
        <f t="shared" ref="W32:AF32" si="45">+W21/V21-1</f>
        <v>5.2274463506068569E-2</v>
      </c>
      <c r="X32" s="4">
        <f t="shared" si="45"/>
        <v>6.174624829467934E-2</v>
      </c>
      <c r="Y32" s="4">
        <f t="shared" si="45"/>
        <v>6.0104849279161154E-2</v>
      </c>
      <c r="Z32" s="4">
        <f t="shared" si="45"/>
        <v>5.8587641866330253E-2</v>
      </c>
      <c r="AA32" s="4">
        <f t="shared" si="45"/>
        <v>5.718104495747256E-2</v>
      </c>
      <c r="AB32" s="4">
        <f t="shared" si="45"/>
        <v>5.5873388042204208E-2</v>
      </c>
      <c r="AC32" s="4">
        <f t="shared" si="45"/>
        <v>5.4654586636466718E-2</v>
      </c>
      <c r="AD32" s="4">
        <f t="shared" si="45"/>
        <v>5.3515881708652957E-2</v>
      </c>
      <c r="AE32" s="4">
        <f t="shared" si="45"/>
        <v>5.2449628844114304E-2</v>
      </c>
      <c r="AF32" s="4">
        <f t="shared" si="45"/>
        <v>5.1449126413155355E-2</v>
      </c>
      <c r="AI32" s="4" t="s">
        <v>39</v>
      </c>
      <c r="AJ32" s="9">
        <v>7.4999999999999997E-2</v>
      </c>
    </row>
    <row r="33" spans="2:36" s="4" customFormat="1">
      <c r="B33" s="1" t="s">
        <v>12</v>
      </c>
      <c r="G33" s="4">
        <f t="shared" si="41"/>
        <v>0.11460262645333197</v>
      </c>
      <c r="H33" s="4">
        <f t="shared" si="41"/>
        <v>0.21112698500741311</v>
      </c>
      <c r="I33" s="4">
        <f t="shared" si="41"/>
        <v>0.16889035676633024</v>
      </c>
      <c r="J33" s="4">
        <f t="shared" si="41"/>
        <v>0.23822157506355035</v>
      </c>
      <c r="K33" s="4">
        <f t="shared" si="41"/>
        <v>-4.351053028743912E-2</v>
      </c>
      <c r="L33" s="4">
        <f t="shared" si="41"/>
        <v>5.6065016982047577E-2</v>
      </c>
      <c r="M33" s="4">
        <f t="shared" si="41"/>
        <v>4.1562499999999947E-2</v>
      </c>
      <c r="N33" s="4">
        <f t="shared" si="41"/>
        <v>0.12366614510458951</v>
      </c>
      <c r="S33" s="4">
        <f t="shared" ref="S33:T33" si="46">+S22/R22-1</f>
        <v>6.2195761538148098E-2</v>
      </c>
      <c r="T33" s="4">
        <f t="shared" si="46"/>
        <v>0.14828059654509418</v>
      </c>
      <c r="U33" s="4">
        <f t="shared" si="44"/>
        <v>-4.00773151493371E-2</v>
      </c>
      <c r="V33" s="4">
        <f t="shared" si="44"/>
        <v>0.18425502705790087</v>
      </c>
      <c r="W33" s="4">
        <f t="shared" ref="W33:AF33" si="47">+W22/V22-1</f>
        <v>4.8411378332888111E-2</v>
      </c>
      <c r="X33" s="4">
        <f t="shared" si="47"/>
        <v>6.174624829467934E-2</v>
      </c>
      <c r="Y33" s="4">
        <f t="shared" si="47"/>
        <v>6.0104849279161376E-2</v>
      </c>
      <c r="Z33" s="4">
        <f t="shared" si="47"/>
        <v>5.8587641866330253E-2</v>
      </c>
      <c r="AA33" s="4">
        <f t="shared" si="47"/>
        <v>5.7181044957472782E-2</v>
      </c>
      <c r="AB33" s="4">
        <f t="shared" si="47"/>
        <v>5.5873388042204208E-2</v>
      </c>
      <c r="AC33" s="4">
        <f t="shared" si="47"/>
        <v>5.4654586636466718E-2</v>
      </c>
      <c r="AD33" s="4">
        <f t="shared" si="47"/>
        <v>5.3515881708652735E-2</v>
      </c>
      <c r="AE33" s="4">
        <f t="shared" si="47"/>
        <v>5.2449628844114526E-2</v>
      </c>
      <c r="AF33" s="4">
        <f t="shared" si="47"/>
        <v>5.1449126413155355E-2</v>
      </c>
      <c r="AI33" s="4" t="s">
        <v>41</v>
      </c>
      <c r="AJ33" s="11">
        <f>NPV(AJ32,W26:HN26)</f>
        <v>41522.828019475441</v>
      </c>
    </row>
    <row r="34" spans="2:36" s="4" customFormat="1">
      <c r="AI34" s="4" t="s">
        <v>42</v>
      </c>
      <c r="AJ34" s="1">
        <f>+main!K5-main!K6</f>
        <v>2411.7159999999999</v>
      </c>
    </row>
    <row r="35" spans="2:36">
      <c r="B35" s="1" t="s">
        <v>38</v>
      </c>
      <c r="C35" s="4">
        <f>(C20-C21)/C20</f>
        <v>0.26231889409429748</v>
      </c>
      <c r="D35" s="4">
        <f>(D20-D21)/D20</f>
        <v>0.25823078244009562</v>
      </c>
      <c r="E35" s="4">
        <f>(E20-E21)/E20</f>
        <v>0.25001549669706791</v>
      </c>
      <c r="F35" s="4">
        <f>(F20-F21)/F20</f>
        <v>0.24702166052865704</v>
      </c>
      <c r="G35" s="4">
        <f>(G20-G21)/G20</f>
        <v>0.26744471137694592</v>
      </c>
      <c r="H35" s="4">
        <f>(H20-H21)/H20</f>
        <v>0.27671008864405688</v>
      </c>
      <c r="I35" s="4">
        <f>(I20-I21)/I20</f>
        <v>0.27626857188920922</v>
      </c>
      <c r="J35" s="4">
        <f>(J20-J21)/J20</f>
        <v>0.27349783752630352</v>
      </c>
      <c r="K35" s="4">
        <f>(K20-K21)/K20</f>
        <v>0.26744471137694592</v>
      </c>
      <c r="L35" s="4">
        <f>(L20-L21)/L20</f>
        <v>0.27671008864405694</v>
      </c>
      <c r="M35" s="4">
        <f>(M20-M21)/M20</f>
        <v>0.27626857188920917</v>
      </c>
      <c r="N35" s="4">
        <f>(N20-N21)/N20</f>
        <v>0.27349783752630347</v>
      </c>
      <c r="R35" s="4">
        <f>(R20-R21)/R20</f>
        <v>0.28074477870385656</v>
      </c>
      <c r="S35" s="4">
        <f>(S20-S21)/S20</f>
        <v>0.2148966230474805</v>
      </c>
      <c r="T35" s="4">
        <f>(T20-T21)/T20</f>
        <v>0.27528387770849222</v>
      </c>
      <c r="U35" s="4">
        <f>(U20-U21)/U20</f>
        <v>0.25404591580293118</v>
      </c>
      <c r="V35" s="4">
        <f>(V20-V21)/V20</f>
        <v>0.27361025386489563</v>
      </c>
      <c r="W35" s="4">
        <f t="shared" ref="W35:AF35" si="48">(W20-W21)/W20</f>
        <v>0.27359813518992238</v>
      </c>
      <c r="X35" s="4">
        <f t="shared" si="48"/>
        <v>0.27359813518992238</v>
      </c>
      <c r="Y35" s="4">
        <f t="shared" si="48"/>
        <v>0.27359813518992232</v>
      </c>
      <c r="Z35" s="4">
        <f t="shared" si="48"/>
        <v>0.27359813518992238</v>
      </c>
      <c r="AA35" s="4">
        <f t="shared" si="48"/>
        <v>0.27359813518992238</v>
      </c>
      <c r="AB35" s="4">
        <f t="shared" si="48"/>
        <v>0.27359813518992238</v>
      </c>
      <c r="AC35" s="4">
        <f t="shared" si="48"/>
        <v>0.27359813518992238</v>
      </c>
      <c r="AD35" s="4">
        <f t="shared" si="48"/>
        <v>0.27359813518992232</v>
      </c>
      <c r="AE35" s="4">
        <f t="shared" si="48"/>
        <v>0.27359813518992238</v>
      </c>
      <c r="AF35" s="4">
        <f t="shared" si="48"/>
        <v>0.27359813518992238</v>
      </c>
      <c r="AI35" s="12" t="s">
        <v>43</v>
      </c>
      <c r="AJ35" s="12">
        <f>SUM(AJ33:AJ34)</f>
        <v>43934.544019475441</v>
      </c>
    </row>
    <row r="36" spans="2:36" s="9" customFormat="1">
      <c r="B36" s="7" t="s">
        <v>37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AI36" s="9" t="s">
        <v>44</v>
      </c>
      <c r="AJ36" s="10">
        <f>+main!K3</f>
        <v>335.01799999999997</v>
      </c>
    </row>
    <row r="37" spans="2:36" s="9" customFormat="1">
      <c r="B37" s="9" t="s">
        <v>3</v>
      </c>
      <c r="C37" s="9">
        <f t="shared" ref="C37:N37" si="49">+C21/C$20</f>
        <v>0.73768110590570257</v>
      </c>
      <c r="D37" s="9">
        <f t="shared" si="49"/>
        <v>0.74176921755990444</v>
      </c>
      <c r="E37" s="9">
        <f t="shared" si="49"/>
        <v>0.74998450330293209</v>
      </c>
      <c r="F37" s="9">
        <f t="shared" si="49"/>
        <v>0.75297833947134296</v>
      </c>
      <c r="G37" s="9">
        <f t="shared" si="49"/>
        <v>0.73255528862305408</v>
      </c>
      <c r="H37" s="9">
        <f t="shared" si="49"/>
        <v>0.72328991135594312</v>
      </c>
      <c r="I37" s="9">
        <f t="shared" si="49"/>
        <v>0.72373142811079083</v>
      </c>
      <c r="J37" s="9">
        <f t="shared" si="49"/>
        <v>0.72650216247369648</v>
      </c>
      <c r="K37" s="9">
        <f t="shared" si="49"/>
        <v>0.73255528862305408</v>
      </c>
      <c r="L37" s="9">
        <f t="shared" si="49"/>
        <v>0.72328991135594312</v>
      </c>
      <c r="M37" s="9">
        <f t="shared" si="49"/>
        <v>0.72373142811079083</v>
      </c>
      <c r="N37" s="9">
        <f t="shared" si="49"/>
        <v>0.72650216247369659</v>
      </c>
      <c r="R37" s="9">
        <f t="shared" ref="R37:V38" si="50">+R21/R$20</f>
        <v>0.7192552212961435</v>
      </c>
      <c r="S37" s="9">
        <f t="shared" si="50"/>
        <v>0.78510337695251953</v>
      </c>
      <c r="T37" s="9">
        <f t="shared" si="50"/>
        <v>0.72471612229150772</v>
      </c>
      <c r="U37" s="9">
        <f t="shared" si="50"/>
        <v>0.74595408419706888</v>
      </c>
      <c r="V37" s="9">
        <f t="shared" si="50"/>
        <v>0.72638974613510432</v>
      </c>
      <c r="W37" s="9">
        <f t="shared" ref="W37:AF37" si="51">+W21/W$20</f>
        <v>0.72640186481007762</v>
      </c>
      <c r="X37" s="9">
        <f t="shared" si="51"/>
        <v>0.72640186481007762</v>
      </c>
      <c r="Y37" s="9">
        <f t="shared" si="51"/>
        <v>0.72640186481007762</v>
      </c>
      <c r="Z37" s="9">
        <f t="shared" si="51"/>
        <v>0.72640186481007762</v>
      </c>
      <c r="AA37" s="9">
        <f t="shared" si="51"/>
        <v>0.72640186481007762</v>
      </c>
      <c r="AB37" s="9">
        <f t="shared" si="51"/>
        <v>0.72640186481007762</v>
      </c>
      <c r="AC37" s="9">
        <f t="shared" si="51"/>
        <v>0.72640186481007762</v>
      </c>
      <c r="AD37" s="9">
        <f t="shared" si="51"/>
        <v>0.72640186481007762</v>
      </c>
      <c r="AE37" s="9">
        <f t="shared" si="51"/>
        <v>0.72640186481007762</v>
      </c>
      <c r="AF37" s="9">
        <f t="shared" si="51"/>
        <v>0.72640186481007762</v>
      </c>
      <c r="AI37" s="13" t="s">
        <v>45</v>
      </c>
      <c r="AJ37" s="14">
        <f>+AJ35/AJ36</f>
        <v>131.14084622162227</v>
      </c>
    </row>
    <row r="38" spans="2:36">
      <c r="B38" s="9" t="s">
        <v>12</v>
      </c>
      <c r="C38" s="9">
        <f t="shared" ref="C38:N38" si="52">+C22/C$20</f>
        <v>0.15450739655212203</v>
      </c>
      <c r="D38" s="9">
        <f t="shared" si="52"/>
        <v>0.14555131792235187</v>
      </c>
      <c r="E38" s="9">
        <f t="shared" si="52"/>
        <v>0.15187135485377362</v>
      </c>
      <c r="F38" s="9">
        <f t="shared" si="52"/>
        <v>0.13987527595152574</v>
      </c>
      <c r="G38" s="9">
        <f t="shared" si="52"/>
        <v>0.16602316602316602</v>
      </c>
      <c r="H38" s="9">
        <f t="shared" si="52"/>
        <v>0.16371095289574977</v>
      </c>
      <c r="I38" s="9">
        <f t="shared" si="52"/>
        <v>0.16456748217051934</v>
      </c>
      <c r="J38" s="9">
        <f t="shared" si="52"/>
        <v>0.149952154428866</v>
      </c>
      <c r="K38" s="9">
        <f t="shared" si="52"/>
        <v>0.15</v>
      </c>
      <c r="L38" s="9">
        <f t="shared" si="52"/>
        <v>0.16371095289574977</v>
      </c>
      <c r="M38" s="9">
        <f t="shared" si="52"/>
        <v>0.16456748217051934</v>
      </c>
      <c r="N38" s="9">
        <f t="shared" si="52"/>
        <v>0.16</v>
      </c>
      <c r="R38" s="9">
        <f t="shared" si="50"/>
        <v>0.14693517511891119</v>
      </c>
      <c r="S38" s="9">
        <f t="shared" si="50"/>
        <v>0.19975805096969132</v>
      </c>
      <c r="T38" s="9">
        <f t="shared" si="50"/>
        <v>0.1519577036540658</v>
      </c>
      <c r="U38" s="9">
        <f t="shared" si="50"/>
        <v>0.14758735758655048</v>
      </c>
      <c r="V38" s="9">
        <f t="shared" si="50"/>
        <v>0.16036150862879764</v>
      </c>
      <c r="W38" s="9">
        <f t="shared" ref="W38:AF38" si="53">+W22/W$20</f>
        <v>0.15977545880215449</v>
      </c>
      <c r="X38" s="9">
        <f t="shared" si="53"/>
        <v>0.15977545880215449</v>
      </c>
      <c r="Y38" s="9">
        <f t="shared" si="53"/>
        <v>0.15977545880215449</v>
      </c>
      <c r="Z38" s="9">
        <f t="shared" si="53"/>
        <v>0.15977545880215449</v>
      </c>
      <c r="AA38" s="9">
        <f t="shared" si="53"/>
        <v>0.15977545880215452</v>
      </c>
      <c r="AB38" s="9">
        <f t="shared" si="53"/>
        <v>0.15977545880215452</v>
      </c>
      <c r="AC38" s="9">
        <f t="shared" si="53"/>
        <v>0.15977545880215455</v>
      </c>
      <c r="AD38" s="9">
        <f t="shared" si="53"/>
        <v>0.15977545880215452</v>
      </c>
      <c r="AE38" s="9">
        <f t="shared" si="53"/>
        <v>0.15977545880215452</v>
      </c>
      <c r="AF38" s="9">
        <f t="shared" si="53"/>
        <v>0.15977545880215452</v>
      </c>
      <c r="AI38" s="1" t="s">
        <v>46</v>
      </c>
      <c r="AJ38" s="1">
        <f>+main!K2</f>
        <v>144.57</v>
      </c>
    </row>
    <row r="39" spans="2:36">
      <c r="AI39" s="12" t="s">
        <v>47</v>
      </c>
      <c r="AJ39" s="15">
        <f>+AJ37/AJ38-1</f>
        <v>-9.2890321493931838E-2</v>
      </c>
    </row>
    <row r="41" spans="2:36" s="12" customFormat="1">
      <c r="B41" s="12" t="s">
        <v>42</v>
      </c>
      <c r="C41" s="12">
        <f t="shared" ref="C41" si="54">+C42-C56-C57</f>
        <v>1562.1999999999998</v>
      </c>
      <c r="D41" s="12">
        <f t="shared" ref="D41" si="55">+D42-D56-D57</f>
        <v>1562.1999999999998</v>
      </c>
      <c r="E41" s="12">
        <f t="shared" ref="E41" si="56">+E42-E56-E57</f>
        <v>1451.0299999999997</v>
      </c>
      <c r="F41" s="12">
        <f t="shared" ref="F41:I41" si="57">+F42-F56-F57</f>
        <v>2095.366</v>
      </c>
      <c r="G41" s="12">
        <f t="shared" si="57"/>
        <v>1958.9189999999994</v>
      </c>
      <c r="H41" s="12">
        <f t="shared" si="57"/>
        <v>1958.9189999999994</v>
      </c>
      <c r="I41" s="12">
        <f t="shared" si="57"/>
        <v>2039.8260000000005</v>
      </c>
      <c r="J41" s="12">
        <f>+J42-J56-J57</f>
        <v>2411.7160000000003</v>
      </c>
      <c r="K41" s="12">
        <f>+J41+K26</f>
        <v>2858.0895840362864</v>
      </c>
      <c r="L41" s="12">
        <f t="shared" ref="L41:N41" si="58">+K41+L26</f>
        <v>3330.8982305568238</v>
      </c>
      <c r="M41" s="12">
        <f t="shared" si="58"/>
        <v>3795.1302481275443</v>
      </c>
      <c r="N41" s="12">
        <f t="shared" si="58"/>
        <v>4375.369640648616</v>
      </c>
      <c r="V41" s="12">
        <f>+N41</f>
        <v>4375.369640648616</v>
      </c>
      <c r="W41" s="12">
        <f>+V41+W26</f>
        <v>6339.0232812972326</v>
      </c>
      <c r="X41" s="12">
        <f t="shared" ref="X41:AF41" si="59">+W41+X26</f>
        <v>8371.6874850914483</v>
      </c>
      <c r="Y41" s="12">
        <f t="shared" si="59"/>
        <v>10539.171421442488</v>
      </c>
      <c r="Z41" s="12">
        <f t="shared" si="59"/>
        <v>12846.483979783847</v>
      </c>
      <c r="AA41" s="12">
        <f t="shared" si="59"/>
        <v>15298.783763358659</v>
      </c>
      <c r="AB41" s="12">
        <f t="shared" si="59"/>
        <v>17901.383099378196</v>
      </c>
      <c r="AC41" s="12">
        <f t="shared" si="59"/>
        <v>20659.752149893844</v>
      </c>
      <c r="AD41" s="12">
        <f t="shared" si="59"/>
        <v>23579.523125808504</v>
      </c>
      <c r="AE41" s="12">
        <f t="shared" si="59"/>
        <v>26666.494606510165</v>
      </c>
      <c r="AF41" s="12">
        <f t="shared" si="59"/>
        <v>29926.635967668353</v>
      </c>
    </row>
    <row r="42" spans="2:36">
      <c r="B42" s="1" t="s">
        <v>48</v>
      </c>
      <c r="C42" s="1">
        <v>4015.567</v>
      </c>
      <c r="D42" s="1">
        <v>4015.567</v>
      </c>
      <c r="E42" s="1">
        <v>3906.49</v>
      </c>
      <c r="F42" s="1">
        <v>4551.8760000000002</v>
      </c>
      <c r="G42" s="1">
        <v>4416.4799999999996</v>
      </c>
      <c r="H42" s="1">
        <v>4416.4799999999996</v>
      </c>
      <c r="I42" s="1">
        <v>4499.4970000000003</v>
      </c>
      <c r="J42" s="1">
        <v>4872.4459999999999</v>
      </c>
    </row>
    <row r="43" spans="2:36">
      <c r="B43" s="1" t="s">
        <v>61</v>
      </c>
      <c r="C43" s="1">
        <v>164.071</v>
      </c>
      <c r="D43" s="1">
        <v>164.071</v>
      </c>
      <c r="E43" s="1">
        <v>168.483</v>
      </c>
      <c r="F43" s="1">
        <v>145.69399999999999</v>
      </c>
      <c r="G43" s="1">
        <v>170.816</v>
      </c>
      <c r="H43" s="1">
        <v>170.816</v>
      </c>
      <c r="I43" s="1">
        <v>171.91499999999999</v>
      </c>
      <c r="J43" s="1">
        <v>130.76599999999999</v>
      </c>
    </row>
    <row r="44" spans="2:36">
      <c r="B44" s="1" t="s">
        <v>62</v>
      </c>
      <c r="C44" s="1">
        <v>2673.5509999999999</v>
      </c>
      <c r="D44" s="1">
        <v>2673.5509999999999</v>
      </c>
      <c r="E44" s="1">
        <v>2494.002</v>
      </c>
      <c r="F44" s="1">
        <v>2023.4949999999999</v>
      </c>
      <c r="G44" s="1">
        <v>2241.7350000000001</v>
      </c>
      <c r="H44" s="1">
        <v>2241.7350000000001</v>
      </c>
      <c r="I44" s="1">
        <v>2613.808</v>
      </c>
      <c r="J44" s="1">
        <v>2192.2199999999998</v>
      </c>
    </row>
    <row r="45" spans="2:36">
      <c r="B45" s="1" t="s">
        <v>63</v>
      </c>
      <c r="C45" s="1">
        <v>194.81299999999999</v>
      </c>
      <c r="D45" s="1">
        <v>194.81299999999999</v>
      </c>
      <c r="E45" s="1">
        <v>192.214</v>
      </c>
      <c r="F45" s="1">
        <v>183.654</v>
      </c>
      <c r="G45" s="1">
        <v>210.59700000000001</v>
      </c>
      <c r="H45" s="1">
        <v>210.59700000000001</v>
      </c>
      <c r="I45" s="1">
        <v>206.72499999999999</v>
      </c>
      <c r="J45" s="1">
        <v>202.70599999999999</v>
      </c>
    </row>
    <row r="46" spans="2:36">
      <c r="B46" s="1" t="s">
        <v>64</v>
      </c>
      <c r="C46" s="1">
        <v>2887.9259999999999</v>
      </c>
      <c r="D46" s="1">
        <v>2887.9259999999999</v>
      </c>
      <c r="E46" s="1">
        <v>3008.7379999999998</v>
      </c>
      <c r="F46" s="1">
        <v>3181.527</v>
      </c>
      <c r="G46" s="1">
        <v>3224.7330000000002</v>
      </c>
      <c r="H46" s="1">
        <v>3224.7330000000002</v>
      </c>
      <c r="I46" s="1">
        <v>3397.5189999999998</v>
      </c>
      <c r="J46" s="1">
        <v>3531.9009999999998</v>
      </c>
    </row>
    <row r="47" spans="2:36">
      <c r="B47" s="1" t="s">
        <v>65</v>
      </c>
      <c r="C47" s="1">
        <v>3057.6410000000001</v>
      </c>
      <c r="D47" s="1">
        <v>3057.6410000000001</v>
      </c>
      <c r="E47" s="1">
        <v>3101.8820000000001</v>
      </c>
      <c r="F47" s="1">
        <v>3098.134</v>
      </c>
      <c r="G47" s="1">
        <v>3122.4740000000002</v>
      </c>
      <c r="H47" s="1">
        <v>3122.4740000000002</v>
      </c>
      <c r="I47" s="1">
        <v>3160.0169999999998</v>
      </c>
      <c r="J47" s="1">
        <v>3126.8409999999999</v>
      </c>
    </row>
    <row r="48" spans="2:36">
      <c r="B48" s="1" t="s">
        <v>66</v>
      </c>
      <c r="C48" s="1">
        <v>240.12899999999999</v>
      </c>
      <c r="D48" s="1">
        <v>240.12899999999999</v>
      </c>
      <c r="E48" s="1">
        <v>228.286</v>
      </c>
      <c r="F48" s="1">
        <v>232.083</v>
      </c>
      <c r="G48" s="1">
        <v>232.06899999999999</v>
      </c>
      <c r="H48" s="1">
        <v>232.06899999999999</v>
      </c>
      <c r="I48" s="1">
        <v>221.13900000000001</v>
      </c>
      <c r="J48" s="1">
        <v>243.22900000000001</v>
      </c>
    </row>
    <row r="49" spans="2:10">
      <c r="B49" s="1" t="s">
        <v>67</v>
      </c>
      <c r="C49" s="1">
        <f t="shared" ref="C49:J49" si="60">+SUM(C42:C48)</f>
        <v>13233.698</v>
      </c>
      <c r="D49" s="1">
        <f t="shared" si="60"/>
        <v>13233.698</v>
      </c>
      <c r="E49" s="1">
        <f t="shared" si="60"/>
        <v>13100.094999999999</v>
      </c>
      <c r="F49" s="1">
        <f t="shared" si="60"/>
        <v>13416.463000000002</v>
      </c>
      <c r="G49" s="1">
        <f t="shared" si="60"/>
        <v>13618.903999999999</v>
      </c>
      <c r="H49" s="1">
        <f t="shared" si="60"/>
        <v>13618.903999999999</v>
      </c>
      <c r="I49" s="1">
        <f t="shared" si="60"/>
        <v>14270.619999999999</v>
      </c>
      <c r="J49" s="1">
        <f t="shared" si="60"/>
        <v>14300.108999999999</v>
      </c>
    </row>
    <row r="51" spans="2:10">
      <c r="B51" s="1" t="s">
        <v>51</v>
      </c>
      <c r="C51" s="1">
        <v>2175.35</v>
      </c>
      <c r="D51" s="1">
        <v>2175.35</v>
      </c>
      <c r="E51" s="1">
        <v>1927.7570000000001</v>
      </c>
      <c r="F51" s="1">
        <v>2009.924</v>
      </c>
      <c r="G51" s="1">
        <v>2061.529</v>
      </c>
      <c r="H51" s="1">
        <v>2061.529</v>
      </c>
      <c r="I51" s="1">
        <v>2280.2779999999998</v>
      </c>
      <c r="J51" s="1">
        <v>1955.85</v>
      </c>
    </row>
    <row r="52" spans="2:10">
      <c r="B52" s="1" t="s">
        <v>52</v>
      </c>
      <c r="C52" s="1">
        <v>582.79200000000003</v>
      </c>
      <c r="D52" s="1">
        <v>582.79200000000003</v>
      </c>
      <c r="E52" s="1">
        <v>616.75300000000004</v>
      </c>
      <c r="F52" s="1">
        <v>638.56100000000004</v>
      </c>
      <c r="G52" s="1">
        <v>607.29399999999998</v>
      </c>
      <c r="H52" s="1">
        <v>607.29399999999998</v>
      </c>
      <c r="I52" s="1">
        <v>665.279</v>
      </c>
      <c r="J52" s="1">
        <v>671.86699999999996</v>
      </c>
    </row>
    <row r="53" spans="2:10">
      <c r="B53" s="1" t="s">
        <v>53</v>
      </c>
      <c r="C53" s="1">
        <v>635.79899999999998</v>
      </c>
      <c r="D53" s="1">
        <v>635.79899999999998</v>
      </c>
      <c r="E53" s="1">
        <v>656.83699999999999</v>
      </c>
      <c r="F53" s="1">
        <v>655.976</v>
      </c>
      <c r="G53" s="1">
        <v>654.70899999999995</v>
      </c>
      <c r="H53" s="1">
        <v>654.70899999999995</v>
      </c>
      <c r="I53" s="1">
        <v>680.08799999999997</v>
      </c>
      <c r="J53" s="1">
        <v>683.625</v>
      </c>
    </row>
    <row r="54" spans="2:10">
      <c r="B54" s="1" t="s">
        <v>54</v>
      </c>
      <c r="C54" s="1">
        <v>272.76</v>
      </c>
      <c r="D54" s="1">
        <v>272.76</v>
      </c>
      <c r="E54" s="1">
        <v>251.47900000000001</v>
      </c>
      <c r="F54" s="1">
        <v>279.70999999999998</v>
      </c>
      <c r="G54" s="1">
        <v>299.46499999999997</v>
      </c>
      <c r="H54" s="1">
        <v>299.46499999999997</v>
      </c>
      <c r="I54" s="1">
        <v>509.48399999999998</v>
      </c>
      <c r="J54" s="1">
        <v>548.37099999999998</v>
      </c>
    </row>
    <row r="55" spans="2:10">
      <c r="B55" s="1" t="s">
        <v>55</v>
      </c>
      <c r="C55" s="1">
        <v>89.361000000000004</v>
      </c>
      <c r="D55" s="1">
        <v>89.361000000000004</v>
      </c>
      <c r="E55" s="1">
        <v>11.404</v>
      </c>
      <c r="F55" s="1">
        <v>52.075000000000003</v>
      </c>
      <c r="G55" s="1">
        <v>158.16999999999999</v>
      </c>
      <c r="H55" s="1">
        <v>158.16999999999999</v>
      </c>
      <c r="I55" s="1">
        <v>20.96</v>
      </c>
      <c r="J55" s="1">
        <v>76.37</v>
      </c>
    </row>
    <row r="56" spans="2:10">
      <c r="B56" s="1" t="s">
        <v>56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249.59800000000001</v>
      </c>
      <c r="J56" s="1">
        <v>249.71299999999999</v>
      </c>
    </row>
    <row r="57" spans="2:10">
      <c r="B57" s="1" t="s">
        <v>57</v>
      </c>
      <c r="C57" s="1">
        <v>2453.3670000000002</v>
      </c>
      <c r="D57" s="1">
        <v>2453.3670000000002</v>
      </c>
      <c r="E57" s="1">
        <v>2455.46</v>
      </c>
      <c r="F57" s="1">
        <v>2456.5100000000002</v>
      </c>
      <c r="G57" s="1">
        <v>2457.5610000000001</v>
      </c>
      <c r="H57" s="1">
        <v>2457.5610000000001</v>
      </c>
      <c r="I57" s="1">
        <v>2210.0729999999999</v>
      </c>
      <c r="J57" s="1">
        <v>2211.0169999999998</v>
      </c>
    </row>
    <row r="58" spans="2:10">
      <c r="B58" s="1" t="s">
        <v>58</v>
      </c>
      <c r="C58" s="1">
        <v>2567.2860000000001</v>
      </c>
      <c r="D58" s="1">
        <v>2567.2860000000001</v>
      </c>
      <c r="E58" s="1">
        <v>2596.221</v>
      </c>
      <c r="F58" s="1">
        <v>2593.9609999999998</v>
      </c>
      <c r="G58" s="1">
        <v>2619.4659999999999</v>
      </c>
      <c r="H58" s="1">
        <v>2619.4659999999999</v>
      </c>
      <c r="I58" s="1">
        <v>2640.0680000000002</v>
      </c>
      <c r="J58" s="1">
        <v>2603.3490000000002</v>
      </c>
    </row>
    <row r="59" spans="2:10">
      <c r="B59" s="1" t="s">
        <v>59</v>
      </c>
      <c r="C59" s="1">
        <v>236.21100000000001</v>
      </c>
      <c r="D59" s="1">
        <v>236.21100000000001</v>
      </c>
      <c r="E59" s="1">
        <v>223.16200000000001</v>
      </c>
      <c r="F59" s="1">
        <v>224.10400000000001</v>
      </c>
      <c r="G59" s="1">
        <v>222.46299999999999</v>
      </c>
      <c r="H59" s="1">
        <v>222.46299999999999</v>
      </c>
      <c r="I59" s="1">
        <v>218.97</v>
      </c>
      <c r="J59" s="1">
        <v>232.38300000000001</v>
      </c>
    </row>
    <row r="60" spans="2:10">
      <c r="B60" s="1" t="s">
        <v>60</v>
      </c>
      <c r="C60" s="1">
        <v>166.875</v>
      </c>
      <c r="D60" s="1">
        <v>166.875</v>
      </c>
      <c r="E60" s="1">
        <v>214.02199999999999</v>
      </c>
      <c r="F60" s="1">
        <v>217.059</v>
      </c>
      <c r="G60" s="1">
        <v>227.851</v>
      </c>
      <c r="H60" s="1">
        <v>227.851</v>
      </c>
      <c r="I60" s="1">
        <v>212.86600000000001</v>
      </c>
      <c r="J60" s="1">
        <v>196.238</v>
      </c>
    </row>
    <row r="61" spans="2:10">
      <c r="B61" s="1" t="s">
        <v>50</v>
      </c>
      <c r="C61" s="1">
        <v>4053.8969999999999</v>
      </c>
      <c r="D61" s="1">
        <v>4053.8969999999999</v>
      </c>
      <c r="E61" s="1">
        <v>4147</v>
      </c>
      <c r="F61" s="1">
        <v>4288.5829999999996</v>
      </c>
      <c r="G61" s="1">
        <v>4310.3959999999997</v>
      </c>
      <c r="H61" s="1">
        <v>4310.3959999999997</v>
      </c>
      <c r="I61" s="1">
        <v>4582.9560000000001</v>
      </c>
      <c r="J61" s="1">
        <v>4871.326</v>
      </c>
    </row>
    <row r="62" spans="2:10">
      <c r="B62" s="1" t="s">
        <v>49</v>
      </c>
      <c r="C62" s="1">
        <f t="shared" ref="C62:J62" si="61">+SUM(C51:C61)</f>
        <v>13233.698</v>
      </c>
      <c r="D62" s="1">
        <f t="shared" si="61"/>
        <v>13233.698</v>
      </c>
      <c r="E62" s="1">
        <f t="shared" si="61"/>
        <v>13100.095000000001</v>
      </c>
      <c r="F62" s="1">
        <f t="shared" si="61"/>
        <v>13416.463</v>
      </c>
      <c r="G62" s="1">
        <f t="shared" si="61"/>
        <v>13618.903999999999</v>
      </c>
      <c r="H62" s="1">
        <f t="shared" si="61"/>
        <v>13618.903999999999</v>
      </c>
      <c r="I62" s="1">
        <f t="shared" si="61"/>
        <v>14270.62</v>
      </c>
      <c r="J62" s="1">
        <f t="shared" si="61"/>
        <v>14300.109</v>
      </c>
    </row>
    <row r="63" spans="2:10">
      <c r="B63" s="1" t="s">
        <v>68</v>
      </c>
      <c r="C63" s="1" t="str">
        <f t="shared" ref="C63:J63" si="62">IF(C62=C49,"Balance","Error")</f>
        <v>Balance</v>
      </c>
      <c r="D63" s="1" t="str">
        <f t="shared" si="62"/>
        <v>Balance</v>
      </c>
      <c r="E63" s="1" t="str">
        <f t="shared" si="62"/>
        <v>Balance</v>
      </c>
      <c r="F63" s="1" t="str">
        <f t="shared" si="62"/>
        <v>Balance</v>
      </c>
      <c r="G63" s="1" t="str">
        <f t="shared" si="62"/>
        <v>Balance</v>
      </c>
      <c r="H63" s="1" t="str">
        <f t="shared" si="62"/>
        <v>Balance</v>
      </c>
      <c r="I63" s="1" t="str">
        <f t="shared" si="62"/>
        <v>Balance</v>
      </c>
      <c r="J63" s="1" t="str">
        <f t="shared" si="62"/>
        <v>Balance</v>
      </c>
    </row>
    <row r="65" spans="2:10">
      <c r="B65" s="1" t="s">
        <v>72</v>
      </c>
      <c r="C65" s="1">
        <f>SUM(C56:C57)</f>
        <v>2453.3670000000002</v>
      </c>
      <c r="D65" s="1">
        <f t="shared" ref="D65:J65" si="63">SUM(D56:D57)</f>
        <v>2453.3670000000002</v>
      </c>
      <c r="E65" s="1">
        <f t="shared" si="63"/>
        <v>2455.46</v>
      </c>
      <c r="F65" s="1">
        <f t="shared" si="63"/>
        <v>2456.5100000000002</v>
      </c>
      <c r="G65" s="1">
        <f t="shared" si="63"/>
        <v>2457.5610000000001</v>
      </c>
      <c r="H65" s="1">
        <f t="shared" si="63"/>
        <v>2457.5610000000001</v>
      </c>
      <c r="I65" s="1">
        <f t="shared" si="63"/>
        <v>2459.6709999999998</v>
      </c>
      <c r="J65" s="1">
        <f t="shared" si="63"/>
        <v>2460.73</v>
      </c>
    </row>
    <row r="66" spans="2:10">
      <c r="B66" s="1" t="s">
        <v>48</v>
      </c>
      <c r="C66" s="1">
        <f>+C42</f>
        <v>4015.567</v>
      </c>
      <c r="D66" s="1">
        <f t="shared" ref="D66:J66" si="64">+D42</f>
        <v>4015.567</v>
      </c>
      <c r="E66" s="1">
        <f t="shared" si="64"/>
        <v>3906.49</v>
      </c>
      <c r="F66" s="1">
        <f t="shared" si="64"/>
        <v>4551.8760000000002</v>
      </c>
      <c r="G66" s="1">
        <f t="shared" si="64"/>
        <v>4416.4799999999996</v>
      </c>
      <c r="H66" s="1">
        <f t="shared" si="64"/>
        <v>4416.4799999999996</v>
      </c>
      <c r="I66" s="1">
        <f t="shared" si="64"/>
        <v>4499.4970000000003</v>
      </c>
      <c r="J66" s="1">
        <f t="shared" si="64"/>
        <v>4872.4459999999999</v>
      </c>
    </row>
    <row r="67" spans="2:10">
      <c r="B67" s="1" t="s">
        <v>42</v>
      </c>
      <c r="C67" s="1">
        <f>+C66-C65</f>
        <v>1562.1999999999998</v>
      </c>
      <c r="D67" s="1">
        <f t="shared" ref="D67:J67" si="65">+D66-D65</f>
        <v>1562.1999999999998</v>
      </c>
      <c r="E67" s="1">
        <f t="shared" si="65"/>
        <v>1451.0299999999997</v>
      </c>
      <c r="F67" s="1">
        <f t="shared" si="65"/>
        <v>2095.366</v>
      </c>
      <c r="G67" s="1">
        <f t="shared" si="65"/>
        <v>1958.9189999999994</v>
      </c>
      <c r="H67" s="1">
        <f t="shared" si="65"/>
        <v>1958.9189999999994</v>
      </c>
      <c r="I67" s="1">
        <f t="shared" si="65"/>
        <v>2039.8260000000005</v>
      </c>
      <c r="J67" s="1">
        <f t="shared" si="65"/>
        <v>2411.7159999999999</v>
      </c>
    </row>
    <row r="68" spans="2:10">
      <c r="B68" s="1" t="s">
        <v>73</v>
      </c>
      <c r="C68" s="16">
        <f>+C67/C27</f>
        <v>4.4785276073619631</v>
      </c>
      <c r="D68" s="16">
        <f t="shared" ref="D68:J68" si="66">+D67/D27</f>
        <v>4.5136461084176522</v>
      </c>
      <c r="E68" s="16">
        <f t="shared" si="66"/>
        <v>4.2215466077039441</v>
      </c>
      <c r="F68" s="16">
        <f t="shared" si="66"/>
        <v>6.1259951176014846</v>
      </c>
      <c r="G68" s="16">
        <f t="shared" si="66"/>
        <v>5.7607809577584064</v>
      </c>
      <c r="H68" s="16">
        <f t="shared" si="66"/>
        <v>5.7967845602073771</v>
      </c>
      <c r="I68" s="16">
        <f t="shared" si="66"/>
        <v>6.0661985778903897</v>
      </c>
      <c r="J68" s="16">
        <f t="shared" si="66"/>
        <v>7.1987654394689242</v>
      </c>
    </row>
    <row r="69" spans="2:10" s="17" customFormat="1">
      <c r="B69" s="17" t="s">
        <v>74</v>
      </c>
      <c r="C69" s="17">
        <f>+SUM(C42:C45)/SUM(C51:C56)</f>
        <v>1.8764338820818189</v>
      </c>
      <c r="D69" s="17">
        <f t="shared" ref="D69:J69" si="67">+SUM(D42:D45)/SUM(D51:D56)</f>
        <v>1.8764338820818189</v>
      </c>
      <c r="E69" s="17">
        <f t="shared" si="67"/>
        <v>1.9517148110835598</v>
      </c>
      <c r="F69" s="17">
        <f t="shared" si="67"/>
        <v>1.8988591530936028</v>
      </c>
      <c r="G69" s="17">
        <f t="shared" si="67"/>
        <v>1.861760668068879</v>
      </c>
      <c r="H69" s="17">
        <f t="shared" si="67"/>
        <v>1.861760668068879</v>
      </c>
      <c r="I69" s="17">
        <f t="shared" si="67"/>
        <v>1.7005168546925828</v>
      </c>
      <c r="J69" s="17">
        <f t="shared" si="67"/>
        <v>1.7674387380560352</v>
      </c>
    </row>
    <row r="72" spans="2:10">
      <c r="B72" s="1" t="s">
        <v>69</v>
      </c>
      <c r="C72" s="1">
        <v>-416.267</v>
      </c>
      <c r="D72" s="1">
        <f>+-56.265-C72</f>
        <v>360.00200000000001</v>
      </c>
      <c r="E72" s="1">
        <f>472.667-SUM(C72:D72)</f>
        <v>528.93200000000002</v>
      </c>
      <c r="F72" s="1">
        <f>1689.373-SUM(C72:E72)</f>
        <v>1216.7060000000001</v>
      </c>
      <c r="G72" s="1">
        <v>413.15199999999999</v>
      </c>
      <c r="H72" s="1">
        <f>1116.281-G72</f>
        <v>703.12899999999991</v>
      </c>
      <c r="I72" s="1">
        <f>1565.735-SUM(G72:H72)</f>
        <v>449.45399999999995</v>
      </c>
      <c r="J72" s="1">
        <f>2514.49-SUM(G72:I72)</f>
        <v>948.75499999999988</v>
      </c>
    </row>
    <row r="73" spans="2:10">
      <c r="B73" s="1" t="s">
        <v>70</v>
      </c>
      <c r="C73" s="1">
        <v>-109.848</v>
      </c>
      <c r="D73" s="1">
        <f>+-243.346-C73</f>
        <v>-133.49799999999999</v>
      </c>
      <c r="E73" s="1">
        <f>+-417.901-SUM(C73:D73)</f>
        <v>-174.55500000000001</v>
      </c>
      <c r="F73" s="1">
        <f>+-654.07-SUM(C73:E73)</f>
        <v>-236.16900000000004</v>
      </c>
      <c r="G73" s="1">
        <v>-167.25299999999999</v>
      </c>
      <c r="H73" s="1">
        <f>-363.459-G73</f>
        <v>-196.20600000000002</v>
      </c>
      <c r="I73" s="1">
        <f>+-540.458-SUM(G73:H73)</f>
        <v>-176.99899999999997</v>
      </c>
      <c r="J73" s="1">
        <f>+-762.812-SUM(G73:I73)</f>
        <v>-222.35400000000004</v>
      </c>
    </row>
    <row r="74" spans="2:10">
      <c r="B74" s="1" t="s">
        <v>71</v>
      </c>
      <c r="C74" s="1">
        <f t="shared" ref="C74:I74" si="68">+SUM(C72:C73)</f>
        <v>-526.11500000000001</v>
      </c>
      <c r="D74" s="1">
        <f t="shared" si="68"/>
        <v>226.50400000000002</v>
      </c>
      <c r="E74" s="1">
        <f t="shared" si="68"/>
        <v>354.37700000000001</v>
      </c>
      <c r="F74" s="1">
        <f t="shared" si="68"/>
        <v>980.53700000000003</v>
      </c>
      <c r="G74" s="1">
        <f t="shared" si="68"/>
        <v>245.899</v>
      </c>
      <c r="H74" s="1">
        <f t="shared" si="68"/>
        <v>506.92299999999989</v>
      </c>
      <c r="I74" s="1">
        <f t="shared" si="68"/>
        <v>272.45499999999998</v>
      </c>
      <c r="J74" s="1">
        <f>+SUM(J72:J73)</f>
        <v>726.40099999999984</v>
      </c>
    </row>
    <row r="75" spans="2:10">
      <c r="B75" s="1" t="s">
        <v>75</v>
      </c>
      <c r="C75" s="1">
        <f>+C26</f>
        <v>338.44500000000045</v>
      </c>
      <c r="D75" s="1">
        <f t="shared" ref="D75:J75" si="69">+D26</f>
        <v>384.51700000000017</v>
      </c>
      <c r="E75" s="1">
        <f t="shared" si="69"/>
        <v>342.03599999999972</v>
      </c>
      <c r="F75" s="1">
        <f t="shared" si="69"/>
        <v>447.04299999999978</v>
      </c>
      <c r="G75" s="1">
        <f t="shared" si="69"/>
        <v>371.19099999999924</v>
      </c>
      <c r="H75" s="1">
        <f t="shared" si="69"/>
        <v>446.31899999999939</v>
      </c>
      <c r="I75" s="1">
        <f t="shared" si="69"/>
        <v>447.32700000000028</v>
      </c>
      <c r="J75" s="1">
        <f t="shared" si="69"/>
        <v>609.68300000000022</v>
      </c>
    </row>
    <row r="77" spans="2:10">
      <c r="B77" s="1" t="s">
        <v>76</v>
      </c>
      <c r="F77" s="1">
        <f t="shared" ref="F77:I77" si="70">SUM(C74:F74)</f>
        <v>1035.3030000000001</v>
      </c>
      <c r="G77" s="1">
        <f t="shared" si="70"/>
        <v>1807.317</v>
      </c>
      <c r="H77" s="1">
        <f t="shared" si="70"/>
        <v>2087.7359999999999</v>
      </c>
      <c r="I77" s="1">
        <f t="shared" si="70"/>
        <v>2005.8139999999999</v>
      </c>
      <c r="J77" s="1">
        <f>SUM(G74:J74)</f>
        <v>1751.6779999999997</v>
      </c>
    </row>
    <row r="78" spans="2:10">
      <c r="B78" s="1" t="s">
        <v>77</v>
      </c>
      <c r="F78" s="1">
        <f t="shared" ref="F78:I78" si="71">SUM(C75:F75)</f>
        <v>1512.0410000000002</v>
      </c>
      <c r="G78" s="1">
        <f t="shared" si="71"/>
        <v>1544.7869999999989</v>
      </c>
      <c r="H78" s="1">
        <f t="shared" si="71"/>
        <v>1606.5889999999981</v>
      </c>
      <c r="I78" s="1">
        <f t="shared" si="71"/>
        <v>1711.8799999999987</v>
      </c>
      <c r="J78" s="1">
        <f>SUM(G75:J75)</f>
        <v>1874.5199999999991</v>
      </c>
    </row>
    <row r="79" spans="2:10">
      <c r="B79" s="1" t="s">
        <v>78</v>
      </c>
      <c r="F79" s="1">
        <f t="shared" ref="F79:I79" si="72">+F77-F78</f>
        <v>-476.73800000000006</v>
      </c>
      <c r="G79" s="1">
        <f t="shared" si="72"/>
        <v>262.53000000000111</v>
      </c>
      <c r="H79" s="1">
        <f t="shared" si="72"/>
        <v>481.14700000000175</v>
      </c>
      <c r="I79" s="1">
        <f t="shared" si="72"/>
        <v>293.93400000000111</v>
      </c>
      <c r="J79" s="1">
        <f>+J77-J78</f>
        <v>-122.84199999999942</v>
      </c>
    </row>
    <row r="82" spans="2:10">
      <c r="B82" s="7" t="s">
        <v>79</v>
      </c>
      <c r="J82" s="1" t="s">
        <v>80</v>
      </c>
    </row>
    <row r="83" spans="2:10">
      <c r="B83" s="1" t="s">
        <v>81</v>
      </c>
      <c r="J83" s="18">
        <v>0.36749999999999999</v>
      </c>
    </row>
  </sheetData>
  <pageMargins left="0.7" right="0.7" top="0.75" bottom="0.75" header="0.3" footer="0.3"/>
  <ignoredErrors>
    <ignoredError sqref="U27:V27 K22" formula="1"/>
    <ignoredError sqref="U20:V26" formula="1" formulaRange="1"/>
    <ignoredError sqref="C65:J65 C69:J69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2024-03-27T04:07:30Z</dcterms:created>
  <dcterms:modified xsi:type="dcterms:W3CDTF">2024-03-27T16:35:26Z</dcterms:modified>
</cp:coreProperties>
</file>