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1D357E57-102C-7B40-BCD0-073D5D3CC28F}" xr6:coauthVersionLast="47" xr6:coauthVersionMax="47" xr10:uidLastSave="{00000000-0000-0000-0000-000000000000}"/>
  <bookViews>
    <workbookView xWindow="55660" yWindow="1020" windowWidth="42800" windowHeight="23720" activeTab="1" xr2:uid="{3D7C89C3-2DC8-6C46-9AA8-1E93E31D4DA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5" i="2" l="1"/>
  <c r="AB35" i="2"/>
  <c r="AA35" i="2"/>
  <c r="Z35" i="2"/>
  <c r="Y35" i="2"/>
  <c r="X35" i="2"/>
  <c r="W35" i="2"/>
  <c r="V35" i="2"/>
  <c r="U35" i="2"/>
  <c r="AC34" i="2"/>
  <c r="AB34" i="2"/>
  <c r="AA34" i="2"/>
  <c r="Z34" i="2"/>
  <c r="Y34" i="2"/>
  <c r="X34" i="2"/>
  <c r="W34" i="2"/>
  <c r="V34" i="2"/>
  <c r="U34" i="2"/>
  <c r="AC33" i="2"/>
  <c r="AB33" i="2"/>
  <c r="AA33" i="2"/>
  <c r="Z33" i="2"/>
  <c r="Y33" i="2"/>
  <c r="X33" i="2"/>
  <c r="W33" i="2"/>
  <c r="V33" i="2"/>
  <c r="U33" i="2"/>
  <c r="AC32" i="2"/>
  <c r="AB32" i="2"/>
  <c r="AA32" i="2"/>
  <c r="Z32" i="2"/>
  <c r="Y32" i="2"/>
  <c r="X32" i="2"/>
  <c r="W32" i="2"/>
  <c r="V32" i="2"/>
  <c r="U32" i="2"/>
  <c r="AC31" i="2"/>
  <c r="AB31" i="2"/>
  <c r="AA31" i="2"/>
  <c r="Z31" i="2"/>
  <c r="Y31" i="2"/>
  <c r="X31" i="2"/>
  <c r="W31" i="2"/>
  <c r="V31" i="2"/>
  <c r="U31" i="2"/>
  <c r="AC30" i="2"/>
  <c r="AB30" i="2"/>
  <c r="AA30" i="2"/>
  <c r="Z30" i="2"/>
  <c r="Y30" i="2"/>
  <c r="X30" i="2"/>
  <c r="W30" i="2"/>
  <c r="V30" i="2"/>
  <c r="U30" i="2"/>
  <c r="T16" i="2"/>
  <c r="T15" i="2"/>
  <c r="T14" i="2"/>
  <c r="AC13" i="2"/>
  <c r="AB13" i="2"/>
  <c r="AA13" i="2"/>
  <c r="Z13" i="2"/>
  <c r="Y13" i="2"/>
  <c r="X13" i="2"/>
  <c r="W13" i="2"/>
  <c r="V13" i="2"/>
  <c r="U13" i="2"/>
  <c r="T13" i="2"/>
  <c r="AC12" i="2"/>
  <c r="AB12" i="2"/>
  <c r="AA12" i="2"/>
  <c r="Z12" i="2"/>
  <c r="Y12" i="2"/>
  <c r="X12" i="2"/>
  <c r="W12" i="2"/>
  <c r="V12" i="2"/>
  <c r="U12" i="2"/>
  <c r="T12" i="2"/>
  <c r="T31" i="2" s="1"/>
  <c r="AC11" i="2"/>
  <c r="AB11" i="2"/>
  <c r="AA11" i="2"/>
  <c r="Z11" i="2"/>
  <c r="Y11" i="2"/>
  <c r="X11" i="2"/>
  <c r="W11" i="2"/>
  <c r="V11" i="2"/>
  <c r="U11" i="2"/>
  <c r="T11" i="2"/>
  <c r="N35" i="2"/>
  <c r="N34" i="2"/>
  <c r="N33" i="2"/>
  <c r="N32" i="2"/>
  <c r="N31" i="2"/>
  <c r="N30" i="2"/>
  <c r="T35" i="2"/>
  <c r="T34" i="2"/>
  <c r="T33" i="2"/>
  <c r="T32" i="2"/>
  <c r="T30" i="2"/>
  <c r="S35" i="2"/>
  <c r="S34" i="2"/>
  <c r="S33" i="2"/>
  <c r="S32" i="2"/>
  <c r="S31" i="2"/>
  <c r="S30" i="2"/>
  <c r="R35" i="2"/>
  <c r="R34" i="2"/>
  <c r="R33" i="2"/>
  <c r="R32" i="2"/>
  <c r="R31" i="2"/>
  <c r="R30" i="2"/>
  <c r="Q35" i="2"/>
  <c r="Q34" i="2"/>
  <c r="Q33" i="2"/>
  <c r="Q32" i="2"/>
  <c r="Q31" i="2"/>
  <c r="Q30" i="2"/>
  <c r="K35" i="2"/>
  <c r="J35" i="2"/>
  <c r="I35" i="2"/>
  <c r="H35" i="2"/>
  <c r="G35" i="2"/>
  <c r="F35" i="2"/>
  <c r="E35" i="2"/>
  <c r="D35" i="2"/>
  <c r="C35" i="2"/>
  <c r="K34" i="2"/>
  <c r="J34" i="2"/>
  <c r="I34" i="2"/>
  <c r="H34" i="2"/>
  <c r="G34" i="2"/>
  <c r="F34" i="2"/>
  <c r="E34" i="2"/>
  <c r="D34" i="2"/>
  <c r="C34" i="2"/>
  <c r="K33" i="2"/>
  <c r="J33" i="2"/>
  <c r="I33" i="2"/>
  <c r="H33" i="2"/>
  <c r="G33" i="2"/>
  <c r="F33" i="2"/>
  <c r="E33" i="2"/>
  <c r="D33" i="2"/>
  <c r="C33" i="2"/>
  <c r="K32" i="2"/>
  <c r="J32" i="2"/>
  <c r="I32" i="2"/>
  <c r="H32" i="2"/>
  <c r="G32" i="2"/>
  <c r="F32" i="2"/>
  <c r="E32" i="2"/>
  <c r="D32" i="2"/>
  <c r="C32" i="2"/>
  <c r="K31" i="2"/>
  <c r="J31" i="2"/>
  <c r="I31" i="2"/>
  <c r="H31" i="2"/>
  <c r="G31" i="2"/>
  <c r="F31" i="2"/>
  <c r="E31" i="2"/>
  <c r="D31" i="2"/>
  <c r="C31" i="2"/>
  <c r="K30" i="2"/>
  <c r="J30" i="2"/>
  <c r="I30" i="2"/>
  <c r="H30" i="2"/>
  <c r="G30" i="2"/>
  <c r="F30" i="2"/>
  <c r="E30" i="2"/>
  <c r="D30" i="2"/>
  <c r="C30" i="2"/>
  <c r="L35" i="2"/>
  <c r="L34" i="2"/>
  <c r="L33" i="2"/>
  <c r="L32" i="2"/>
  <c r="L31" i="2"/>
  <c r="L30" i="2"/>
  <c r="R3" i="2"/>
  <c r="S3" i="2"/>
  <c r="K29" i="2"/>
  <c r="K10" i="2"/>
  <c r="K18" i="2" s="1"/>
  <c r="K22" i="2" s="1"/>
  <c r="K24" i="2" s="1"/>
  <c r="K26" i="2" s="1"/>
  <c r="K4" i="2"/>
  <c r="J4" i="2"/>
  <c r="I4" i="2"/>
  <c r="H4" i="2"/>
  <c r="G4" i="2"/>
  <c r="F4" i="2"/>
  <c r="L4" i="2"/>
  <c r="L10" i="2"/>
  <c r="L18" i="2" s="1"/>
  <c r="L22" i="2" s="1"/>
  <c r="L24" i="2" s="1"/>
  <c r="L26" i="2" s="1"/>
  <c r="D6" i="1"/>
  <c r="D5" i="1"/>
  <c r="AF34" i="2"/>
  <c r="AF32" i="2"/>
  <c r="AE1" i="2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F25" i="2"/>
  <c r="F23" i="2"/>
  <c r="F21" i="2"/>
  <c r="F20" i="2"/>
  <c r="F19" i="2"/>
  <c r="F17" i="2"/>
  <c r="F16" i="2"/>
  <c r="F15" i="2"/>
  <c r="F14" i="2"/>
  <c r="F13" i="2"/>
  <c r="F12" i="2"/>
  <c r="F11" i="2"/>
  <c r="F9" i="2"/>
  <c r="F8" i="2"/>
  <c r="F7" i="2"/>
  <c r="F6" i="2"/>
  <c r="J25" i="2"/>
  <c r="J23" i="2"/>
  <c r="J21" i="2"/>
  <c r="J20" i="2"/>
  <c r="J19" i="2"/>
  <c r="J17" i="2"/>
  <c r="J16" i="2"/>
  <c r="J15" i="2"/>
  <c r="J14" i="2"/>
  <c r="J13" i="2"/>
  <c r="J12" i="2"/>
  <c r="J11" i="2"/>
  <c r="J9" i="2"/>
  <c r="J8" i="2"/>
  <c r="J7" i="2"/>
  <c r="J6" i="2"/>
  <c r="C10" i="2"/>
  <c r="C18" i="2" s="1"/>
  <c r="C22" i="2" s="1"/>
  <c r="C24" i="2" s="1"/>
  <c r="C26" i="2" s="1"/>
  <c r="G10" i="2"/>
  <c r="G18" i="2" s="1"/>
  <c r="G22" i="2" s="1"/>
  <c r="G24" i="2" s="1"/>
  <c r="G26" i="2" s="1"/>
  <c r="D10" i="2"/>
  <c r="D18" i="2" s="1"/>
  <c r="D22" i="2" s="1"/>
  <c r="D24" i="2" s="1"/>
  <c r="D26" i="2" s="1"/>
  <c r="H10" i="2"/>
  <c r="H18" i="2" s="1"/>
  <c r="H22" i="2" s="1"/>
  <c r="H24" i="2" s="1"/>
  <c r="H26" i="2" s="1"/>
  <c r="E10" i="2"/>
  <c r="E18" i="2" s="1"/>
  <c r="E22" i="2" s="1"/>
  <c r="E24" i="2" s="1"/>
  <c r="E26" i="2" s="1"/>
  <c r="I10" i="2"/>
  <c r="I18" i="2" s="1"/>
  <c r="I22" i="2" s="1"/>
  <c r="I24" i="2" s="1"/>
  <c r="I26" i="2" s="1"/>
  <c r="Q10" i="2"/>
  <c r="Q18" i="2" s="1"/>
  <c r="Q22" i="2" s="1"/>
  <c r="Q24" i="2" s="1"/>
  <c r="Q26" i="2" s="1"/>
  <c r="R10" i="2"/>
  <c r="R18" i="2" s="1"/>
  <c r="R22" i="2" s="1"/>
  <c r="R24" i="2" s="1"/>
  <c r="R26" i="2" s="1"/>
  <c r="S10" i="2"/>
  <c r="S18" i="2" s="1"/>
  <c r="S22" i="2" s="1"/>
  <c r="S24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E5" i="1"/>
  <c r="E6" i="1" s="1"/>
  <c r="D4" i="1"/>
  <c r="D7" i="1" s="1"/>
  <c r="L29" i="2" l="1"/>
  <c r="S29" i="2"/>
  <c r="E29" i="2"/>
  <c r="G29" i="2"/>
  <c r="T10" i="2"/>
  <c r="S28" i="2"/>
  <c r="D29" i="2"/>
  <c r="Q29" i="2"/>
  <c r="I29" i="2"/>
  <c r="H29" i="2"/>
  <c r="R29" i="2"/>
  <c r="R28" i="2"/>
  <c r="C29" i="2"/>
  <c r="J10" i="2"/>
  <c r="J18" i="2" s="1"/>
  <c r="F10" i="2"/>
  <c r="F18" i="2" s="1"/>
  <c r="F22" i="2" l="1"/>
  <c r="F24" i="2" s="1"/>
  <c r="F26" i="2" s="1"/>
  <c r="F29" i="2"/>
  <c r="J22" i="2"/>
  <c r="J24" i="2" s="1"/>
  <c r="J26" i="2" s="1"/>
  <c r="J29" i="2"/>
  <c r="T17" i="2"/>
  <c r="T28" i="2"/>
  <c r="U10" i="2"/>
  <c r="T18" i="2" l="1"/>
  <c r="T19" i="2" s="1"/>
  <c r="U14" i="2"/>
  <c r="U28" i="2"/>
  <c r="U16" i="2"/>
  <c r="U15" i="2"/>
  <c r="U17" i="2"/>
  <c r="V10" i="2"/>
  <c r="T21" i="2" l="1"/>
  <c r="T22" i="2" s="1"/>
  <c r="T23" i="2" s="1"/>
  <c r="T24" i="2" s="1"/>
  <c r="T25" i="2" s="1"/>
  <c r="U18" i="2"/>
  <c r="U19" i="2" s="1"/>
  <c r="W10" i="2"/>
  <c r="V28" i="2"/>
  <c r="V15" i="2"/>
  <c r="W15" i="2" s="1"/>
  <c r="V16" i="2"/>
  <c r="V17" i="2"/>
  <c r="V14" i="2"/>
  <c r="W14" i="2" s="1"/>
  <c r="U21" i="2" l="1"/>
  <c r="U22" i="2" s="1"/>
  <c r="U23" i="2" s="1"/>
  <c r="U24" i="2" s="1"/>
  <c r="U25" i="2" s="1"/>
  <c r="W16" i="2"/>
  <c r="V18" i="2"/>
  <c r="X10" i="2"/>
  <c r="X15" i="2" s="1"/>
  <c r="W28" i="2"/>
  <c r="W17" i="2"/>
  <c r="X17" i="2" l="1"/>
  <c r="Y10" i="2"/>
  <c r="X28" i="2"/>
  <c r="V19" i="2"/>
  <c r="V21" i="2"/>
  <c r="V22" i="2" s="1"/>
  <c r="V23" i="2" s="1"/>
  <c r="V24" i="2" s="1"/>
  <c r="V25" i="2" s="1"/>
  <c r="X14" i="2"/>
  <c r="W18" i="2"/>
  <c r="X16" i="2"/>
  <c r="X18" i="2" l="1"/>
  <c r="Y16" i="2"/>
  <c r="Y14" i="2"/>
  <c r="W21" i="2"/>
  <c r="W19" i="2"/>
  <c r="Z10" i="2"/>
  <c r="Z14" i="2" s="1"/>
  <c r="Y28" i="2"/>
  <c r="Y17" i="2"/>
  <c r="Y15" i="2"/>
  <c r="X19" i="2" l="1"/>
  <c r="X21" i="2"/>
  <c r="X22" i="2" s="1"/>
  <c r="Z16" i="2"/>
  <c r="Z15" i="2"/>
  <c r="Z17" i="2"/>
  <c r="Y18" i="2"/>
  <c r="W22" i="2"/>
  <c r="W23" i="2" s="1"/>
  <c r="W24" i="2" s="1"/>
  <c r="W25" i="2" s="1"/>
  <c r="AA10" i="2"/>
  <c r="Z28" i="2"/>
  <c r="AA17" i="2" l="1"/>
  <c r="AA15" i="2"/>
  <c r="Z18" i="2"/>
  <c r="AA16" i="2"/>
  <c r="Y19" i="2"/>
  <c r="Y21" i="2"/>
  <c r="Z21" i="2" s="1"/>
  <c r="AB10" i="2"/>
  <c r="AB17" i="2" s="1"/>
  <c r="AA28" i="2"/>
  <c r="AA14" i="2"/>
  <c r="X23" i="2"/>
  <c r="X24" i="2" s="1"/>
  <c r="X25" i="2" s="1"/>
  <c r="Z19" i="2" l="1"/>
  <c r="Z22" i="2" s="1"/>
  <c r="AA18" i="2"/>
  <c r="AA21" i="2" s="1"/>
  <c r="AB15" i="2"/>
  <c r="AB14" i="2"/>
  <c r="AC10" i="2"/>
  <c r="AB28" i="2"/>
  <c r="AB16" i="2"/>
  <c r="Y22" i="2"/>
  <c r="Y23" i="2" s="1"/>
  <c r="Y24" i="2" s="1"/>
  <c r="Y25" i="2" s="1"/>
  <c r="AA19" i="2" l="1"/>
  <c r="AA22" i="2" s="1"/>
  <c r="AC28" i="2"/>
  <c r="AC17" i="2"/>
  <c r="AC15" i="2"/>
  <c r="AC16" i="2"/>
  <c r="AB18" i="2"/>
  <c r="AC14" i="2"/>
  <c r="Z23" i="2"/>
  <c r="Z24" i="2" s="1"/>
  <c r="Z25" i="2" s="1"/>
  <c r="AA23" i="2" l="1"/>
  <c r="AA24" i="2" s="1"/>
  <c r="AA25" i="2" s="1"/>
  <c r="AC18" i="2"/>
  <c r="AB21" i="2"/>
  <c r="AB19" i="2"/>
  <c r="AC19" i="2" l="1"/>
  <c r="AC21" i="2"/>
  <c r="AB22" i="2"/>
  <c r="AB23" i="2" s="1"/>
  <c r="AB24" i="2" s="1"/>
  <c r="AB25" i="2" s="1"/>
  <c r="AC22" i="2" l="1"/>
  <c r="AC23" i="2"/>
  <c r="AC24" i="2" s="1"/>
  <c r="AC25" i="2" s="1"/>
  <c r="AD24" i="2" l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EF24" i="2" s="1"/>
  <c r="EG24" i="2" s="1"/>
  <c r="EH24" i="2" s="1"/>
  <c r="EI24" i="2" s="1"/>
  <c r="EJ24" i="2" s="1"/>
  <c r="EK24" i="2" s="1"/>
  <c r="EL24" i="2" s="1"/>
  <c r="EM24" i="2" s="1"/>
  <c r="EN24" i="2" s="1"/>
  <c r="EO24" i="2" s="1"/>
  <c r="EP24" i="2" s="1"/>
  <c r="EQ24" i="2" s="1"/>
  <c r="ER24" i="2" s="1"/>
  <c r="ES24" i="2" s="1"/>
  <c r="ET24" i="2" s="1"/>
  <c r="EU24" i="2" s="1"/>
  <c r="EV24" i="2" s="1"/>
  <c r="EW24" i="2" s="1"/>
  <c r="EX24" i="2" s="1"/>
  <c r="EY24" i="2" s="1"/>
  <c r="EZ24" i="2" s="1"/>
  <c r="FA24" i="2" s="1"/>
  <c r="FB24" i="2" s="1"/>
  <c r="FC24" i="2" s="1"/>
  <c r="FD24" i="2" s="1"/>
  <c r="FE24" i="2" s="1"/>
  <c r="FF24" i="2" s="1"/>
  <c r="FG24" i="2" s="1"/>
  <c r="FH24" i="2" s="1"/>
  <c r="FI24" i="2" s="1"/>
  <c r="FJ24" i="2" s="1"/>
  <c r="FK24" i="2" s="1"/>
  <c r="FL24" i="2" s="1"/>
  <c r="FM24" i="2" s="1"/>
  <c r="FN24" i="2" s="1"/>
  <c r="FO24" i="2" s="1"/>
  <c r="FP24" i="2" s="1"/>
  <c r="FQ24" i="2" s="1"/>
  <c r="FR24" i="2" s="1"/>
  <c r="FS24" i="2" s="1"/>
  <c r="FT24" i="2" s="1"/>
  <c r="FU24" i="2" s="1"/>
  <c r="FV24" i="2" s="1"/>
  <c r="FW24" i="2" s="1"/>
  <c r="FX24" i="2" s="1"/>
  <c r="FY24" i="2" s="1"/>
  <c r="FZ24" i="2" s="1"/>
  <c r="GA24" i="2" s="1"/>
  <c r="GB24" i="2" s="1"/>
  <c r="GC24" i="2" s="1"/>
  <c r="GD24" i="2" s="1"/>
  <c r="GE24" i="2" s="1"/>
  <c r="GF24" i="2" s="1"/>
  <c r="GG24" i="2" s="1"/>
  <c r="GH24" i="2" s="1"/>
  <c r="GI24" i="2" s="1"/>
  <c r="GJ24" i="2" s="1"/>
  <c r="GK24" i="2" s="1"/>
  <c r="GL24" i="2" s="1"/>
  <c r="GM24" i="2" s="1"/>
  <c r="GN24" i="2" s="1"/>
  <c r="GO24" i="2" s="1"/>
  <c r="GP24" i="2" s="1"/>
  <c r="GQ24" i="2" s="1"/>
  <c r="GR24" i="2" s="1"/>
  <c r="GS24" i="2" s="1"/>
  <c r="GT24" i="2" s="1"/>
  <c r="GU24" i="2" s="1"/>
  <c r="GV24" i="2" s="1"/>
  <c r="GW24" i="2" s="1"/>
  <c r="GX24" i="2" s="1"/>
  <c r="GY24" i="2" s="1"/>
  <c r="GZ24" i="2" s="1"/>
  <c r="HA24" i="2" s="1"/>
  <c r="HB24" i="2" s="1"/>
  <c r="HC24" i="2" s="1"/>
  <c r="HD24" i="2" s="1"/>
  <c r="HE24" i="2" s="1"/>
  <c r="HF24" i="2" s="1"/>
  <c r="HG24" i="2" s="1"/>
  <c r="HH24" i="2" s="1"/>
  <c r="HI24" i="2" s="1"/>
  <c r="HJ24" i="2" s="1"/>
  <c r="HK24" i="2" s="1"/>
  <c r="AF31" i="2" s="1"/>
  <c r="AF33" i="2" s="1"/>
  <c r="AF3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tc={6E55465F-DEE0-F340-AB62-7E43DB9CA405}</author>
  </authors>
  <commentList>
    <comment ref="U10" authorId="0" shapeId="0" xr:uid="{6E55465F-DEE0-F340-AB62-7E43DB9CA40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EXPECTING ECONOMIC SLOWDOWN</t>
      </text>
    </comment>
  </commentList>
</comments>
</file>

<file path=xl/sharedStrings.xml><?xml version="1.0" encoding="utf-8"?>
<sst xmlns="http://schemas.openxmlformats.org/spreadsheetml/2006/main" count="59" uniqueCount="51">
  <si>
    <t>P</t>
  </si>
  <si>
    <t>S</t>
  </si>
  <si>
    <t>MC</t>
  </si>
  <si>
    <t>C</t>
  </si>
  <si>
    <t>D</t>
  </si>
  <si>
    <t>EV</t>
  </si>
  <si>
    <t>Sales</t>
  </si>
  <si>
    <t>Franchise royalty revenue and fees</t>
  </si>
  <si>
    <t>Franchise rental income</t>
  </si>
  <si>
    <t>Ad funds revenue</t>
  </si>
  <si>
    <t xml:space="preserve">Total Revenue </t>
  </si>
  <si>
    <t>Cost of sales</t>
  </si>
  <si>
    <t>Franchie support and other costs</t>
  </si>
  <si>
    <t>Franchise rental expense</t>
  </si>
  <si>
    <t>Ad funds expense</t>
  </si>
  <si>
    <t>G&amp;A</t>
  </si>
  <si>
    <t>D&amp;A</t>
  </si>
  <si>
    <t>Other op income</t>
  </si>
  <si>
    <t>Operating Income</t>
  </si>
  <si>
    <t>Interest exp</t>
  </si>
  <si>
    <t>Investment (loss) income</t>
  </si>
  <si>
    <t>Other income</t>
  </si>
  <si>
    <t>EBT</t>
  </si>
  <si>
    <t>Taxes</t>
  </si>
  <si>
    <t xml:space="preserve">Net Income </t>
  </si>
  <si>
    <t>EPS</t>
  </si>
  <si>
    <t>Diluted</t>
  </si>
  <si>
    <t>Q122</t>
  </si>
  <si>
    <t>Q222</t>
  </si>
  <si>
    <t>Q322</t>
  </si>
  <si>
    <t>Q422</t>
  </si>
  <si>
    <t>Q123</t>
  </si>
  <si>
    <t>Q223</t>
  </si>
  <si>
    <t>Q323</t>
  </si>
  <si>
    <t>Q423</t>
  </si>
  <si>
    <t xml:space="preserve">TERMINAL </t>
  </si>
  <si>
    <t>DISCOUNT</t>
  </si>
  <si>
    <t>NPV</t>
  </si>
  <si>
    <t>SHARES</t>
  </si>
  <si>
    <t>ESTIMATE</t>
  </si>
  <si>
    <t>OM%</t>
  </si>
  <si>
    <t>CURRENT</t>
  </si>
  <si>
    <t>UPSIDE</t>
  </si>
  <si>
    <t>Q224</t>
  </si>
  <si>
    <t>Q124</t>
  </si>
  <si>
    <t>Q324</t>
  </si>
  <si>
    <t>Q424</t>
  </si>
  <si>
    <t xml:space="preserve">Rev Per Unit </t>
  </si>
  <si>
    <t>Net Units</t>
  </si>
  <si>
    <t>PRESS RELEASES</t>
  </si>
  <si>
    <t xml:space="preserve">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</si>
</sst>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%"/>
    <numFmt numFmtId="167" formatCode="#,##0.0"/>
  </numFmts>
  <fonts count="4">
    <font>
      <sz val="10"/>
      <color theme="1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  <font>
      <u/>
      <sz val="10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3" fontId="3" fillId="0" borderId="0" xfId="1" applyNumberForma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0</xdr:row>
      <xdr:rowOff>7938</xdr:rowOff>
    </xdr:from>
    <xdr:to>
      <xdr:col>12</xdr:col>
      <xdr:colOff>15874</xdr:colOff>
      <xdr:row>72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ACE030-8AF2-BE4E-A652-8875A124AFBE}"/>
            </a:ext>
          </a:extLst>
        </xdr:cNvPr>
        <xdr:cNvCxnSpPr/>
      </xdr:nvCxnSpPr>
      <xdr:spPr>
        <a:xfrm flipH="1">
          <a:off x="8242300" y="7938"/>
          <a:ext cx="28574" cy="119300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7938</xdr:colOff>
      <xdr:row>0</xdr:row>
      <xdr:rowOff>0</xdr:rowOff>
    </xdr:from>
    <xdr:to>
      <xdr:col>19</xdr:col>
      <xdr:colOff>25400</xdr:colOff>
      <xdr:row>72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800243-6A75-9C43-B362-B3C2AF0B31F2}"/>
            </a:ext>
          </a:extLst>
        </xdr:cNvPr>
        <xdr:cNvCxnSpPr/>
      </xdr:nvCxnSpPr>
      <xdr:spPr>
        <a:xfrm>
          <a:off x="12758738" y="0"/>
          <a:ext cx="17462" cy="11963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7B4DB77F-2F5B-6949-A266-FEB61CC1C9A3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0" dT="2024-04-10T10:50:17.26" personId="{7B4DB77F-2F5B-6949-A266-FEB61CC1C9A3}" id="{6E55465F-DEE0-F340-AB62-7E43DB9CA405}">
    <text>EXPECTING ECONOMIC SLOWDOWN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wendys.com/news/news-details/2024/THE-WENDYS-COMPANY-REPORTS-SECOND-QUARTER-2024-RESULTS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E926-FCFD-FA4C-A197-5F9D1809D4A1}">
  <dimension ref="B2:E11"/>
  <sheetViews>
    <sheetView zoomScale="217" workbookViewId="0">
      <selection activeCell="D4" sqref="D4"/>
    </sheetView>
  </sheetViews>
  <sheetFormatPr baseColWidth="10" defaultRowHeight="13"/>
  <cols>
    <col min="1" max="2" width="10.83203125" style="1"/>
    <col min="3" max="3" width="3.6640625" style="1" bestFit="1" customWidth="1"/>
    <col min="4" max="4" width="10.83203125" style="1"/>
    <col min="5" max="5" width="4.33203125" style="1" bestFit="1" customWidth="1"/>
    <col min="6" max="16384" width="10.83203125" style="1"/>
  </cols>
  <sheetData>
    <row r="2" spans="2:5">
      <c r="C2" s="1" t="s">
        <v>0</v>
      </c>
      <c r="D2" s="6">
        <v>16.97</v>
      </c>
    </row>
    <row r="3" spans="2:5">
      <c r="C3" s="1" t="s">
        <v>1</v>
      </c>
      <c r="D3" s="1">
        <v>203.24270799999999</v>
      </c>
      <c r="E3" s="1" t="s">
        <v>43</v>
      </c>
    </row>
    <row r="4" spans="2:5">
      <c r="C4" s="1" t="s">
        <v>2</v>
      </c>
      <c r="D4" s="1">
        <f>+D2*D3</f>
        <v>3449.0287547599996</v>
      </c>
    </row>
    <row r="5" spans="2:5">
      <c r="C5" s="1" t="s">
        <v>3</v>
      </c>
      <c r="D5" s="1">
        <f>465.489+35.718</f>
        <v>501.20699999999999</v>
      </c>
      <c r="E5" s="1" t="str">
        <f>+E3</f>
        <v>Q224</v>
      </c>
    </row>
    <row r="6" spans="2:5">
      <c r="C6" s="1" t="s">
        <v>4</v>
      </c>
      <c r="D6" s="1">
        <f>29.25+2721.27</f>
        <v>2750.52</v>
      </c>
      <c r="E6" s="1" t="str">
        <f>+E5</f>
        <v>Q224</v>
      </c>
    </row>
    <row r="7" spans="2:5">
      <c r="C7" s="1" t="s">
        <v>5</v>
      </c>
      <c r="D7" s="1">
        <f>+D4-D5+D6</f>
        <v>5698.3417547600002</v>
      </c>
    </row>
    <row r="10" spans="2:5">
      <c r="B10" s="7" t="s">
        <v>49</v>
      </c>
    </row>
    <row r="11" spans="2:5">
      <c r="B11" s="8" t="s">
        <v>43</v>
      </c>
    </row>
  </sheetData>
  <hyperlinks>
    <hyperlink ref="B11" r:id="rId1" xr:uid="{EC459189-7B0B-2542-982C-CC25AB89C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6EAE-8D79-DA4F-B5A2-8384717399EE}">
  <dimension ref="B1:HK3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Z64" sqref="Z64"/>
    </sheetView>
  </sheetViews>
  <sheetFormatPr baseColWidth="10" defaultColWidth="7.83203125" defaultRowHeight="13"/>
  <cols>
    <col min="1" max="1" width="1.5" style="1" customWidth="1"/>
    <col min="2" max="2" width="28.83203125" style="1" bestFit="1" customWidth="1"/>
    <col min="3" max="10" width="7.83203125" style="1" bestFit="1" customWidth="1"/>
    <col min="11" max="14" width="7.6640625" style="1" customWidth="1"/>
    <col min="15" max="16" width="7.83203125" style="1"/>
    <col min="17" max="20" width="9.33203125" style="1" bestFit="1" customWidth="1"/>
    <col min="21" max="29" width="9.1640625" style="1" bestFit="1" customWidth="1"/>
    <col min="30" max="31" width="10.1640625" style="1" bestFit="1" customWidth="1"/>
    <col min="32" max="32" width="13.1640625" style="1" bestFit="1" customWidth="1"/>
    <col min="33" max="16384" width="7.83203125" style="1"/>
  </cols>
  <sheetData>
    <row r="1" spans="2:219">
      <c r="AD1" s="2">
        <v>11</v>
      </c>
      <c r="AE1" s="2">
        <f>+AD1+1</f>
        <v>12</v>
      </c>
      <c r="AF1" s="2">
        <f t="shared" ref="AF1:CQ1" si="0">+AE1+1</f>
        <v>13</v>
      </c>
      <c r="AG1" s="2">
        <f t="shared" si="0"/>
        <v>14</v>
      </c>
      <c r="AH1" s="2">
        <f t="shared" si="0"/>
        <v>15</v>
      </c>
      <c r="AI1" s="2">
        <f t="shared" si="0"/>
        <v>16</v>
      </c>
      <c r="AJ1" s="2">
        <f t="shared" si="0"/>
        <v>17</v>
      </c>
      <c r="AK1" s="2">
        <f t="shared" si="0"/>
        <v>18</v>
      </c>
      <c r="AL1" s="2">
        <f t="shared" si="0"/>
        <v>19</v>
      </c>
      <c r="AM1" s="2">
        <f t="shared" si="0"/>
        <v>20</v>
      </c>
      <c r="AN1" s="2">
        <f t="shared" si="0"/>
        <v>21</v>
      </c>
      <c r="AO1" s="2">
        <f t="shared" si="0"/>
        <v>22</v>
      </c>
      <c r="AP1" s="2">
        <f t="shared" si="0"/>
        <v>23</v>
      </c>
      <c r="AQ1" s="2">
        <f t="shared" si="0"/>
        <v>24</v>
      </c>
      <c r="AR1" s="2">
        <f t="shared" si="0"/>
        <v>25</v>
      </c>
      <c r="AS1" s="2">
        <f t="shared" si="0"/>
        <v>26</v>
      </c>
      <c r="AT1" s="2">
        <f t="shared" si="0"/>
        <v>27</v>
      </c>
      <c r="AU1" s="2">
        <f t="shared" si="0"/>
        <v>28</v>
      </c>
      <c r="AV1" s="2">
        <f t="shared" si="0"/>
        <v>29</v>
      </c>
      <c r="AW1" s="2">
        <f t="shared" si="0"/>
        <v>30</v>
      </c>
      <c r="AX1" s="2">
        <f t="shared" si="0"/>
        <v>31</v>
      </c>
      <c r="AY1" s="2">
        <f t="shared" si="0"/>
        <v>32</v>
      </c>
      <c r="AZ1" s="2">
        <f t="shared" si="0"/>
        <v>33</v>
      </c>
      <c r="BA1" s="2">
        <f t="shared" si="0"/>
        <v>34</v>
      </c>
      <c r="BB1" s="2">
        <f t="shared" si="0"/>
        <v>35</v>
      </c>
      <c r="BC1" s="2">
        <f t="shared" si="0"/>
        <v>36</v>
      </c>
      <c r="BD1" s="2">
        <f t="shared" si="0"/>
        <v>37</v>
      </c>
      <c r="BE1" s="2">
        <f t="shared" si="0"/>
        <v>38</v>
      </c>
      <c r="BF1" s="2">
        <f t="shared" si="0"/>
        <v>39</v>
      </c>
      <c r="BG1" s="2">
        <f t="shared" si="0"/>
        <v>40</v>
      </c>
      <c r="BH1" s="2">
        <f t="shared" si="0"/>
        <v>41</v>
      </c>
      <c r="BI1" s="2">
        <f t="shared" si="0"/>
        <v>42</v>
      </c>
      <c r="BJ1" s="2">
        <f t="shared" si="0"/>
        <v>43</v>
      </c>
      <c r="BK1" s="2">
        <f t="shared" si="0"/>
        <v>44</v>
      </c>
      <c r="BL1" s="2">
        <f t="shared" si="0"/>
        <v>45</v>
      </c>
      <c r="BM1" s="2">
        <f t="shared" si="0"/>
        <v>46</v>
      </c>
      <c r="BN1" s="2">
        <f t="shared" si="0"/>
        <v>47</v>
      </c>
      <c r="BO1" s="2">
        <f t="shared" si="0"/>
        <v>48</v>
      </c>
      <c r="BP1" s="2">
        <f t="shared" si="0"/>
        <v>49</v>
      </c>
      <c r="BQ1" s="2">
        <f t="shared" si="0"/>
        <v>50</v>
      </c>
      <c r="BR1" s="2">
        <f t="shared" si="0"/>
        <v>51</v>
      </c>
      <c r="BS1" s="2">
        <f t="shared" si="0"/>
        <v>52</v>
      </c>
      <c r="BT1" s="2">
        <f t="shared" si="0"/>
        <v>53</v>
      </c>
      <c r="BU1" s="2">
        <f t="shared" si="0"/>
        <v>54</v>
      </c>
      <c r="BV1" s="2">
        <f t="shared" si="0"/>
        <v>55</v>
      </c>
      <c r="BW1" s="2">
        <f t="shared" si="0"/>
        <v>56</v>
      </c>
      <c r="BX1" s="2">
        <f t="shared" si="0"/>
        <v>57</v>
      </c>
      <c r="BY1" s="2">
        <f t="shared" si="0"/>
        <v>58</v>
      </c>
      <c r="BZ1" s="2">
        <f t="shared" si="0"/>
        <v>59</v>
      </c>
      <c r="CA1" s="2">
        <f t="shared" si="0"/>
        <v>60</v>
      </c>
      <c r="CB1" s="2">
        <f t="shared" si="0"/>
        <v>61</v>
      </c>
      <c r="CC1" s="2">
        <f t="shared" si="0"/>
        <v>62</v>
      </c>
      <c r="CD1" s="2">
        <f t="shared" si="0"/>
        <v>63</v>
      </c>
      <c r="CE1" s="2">
        <f t="shared" si="0"/>
        <v>64</v>
      </c>
      <c r="CF1" s="2">
        <f t="shared" si="0"/>
        <v>65</v>
      </c>
      <c r="CG1" s="2">
        <f t="shared" si="0"/>
        <v>66</v>
      </c>
      <c r="CH1" s="2">
        <f t="shared" si="0"/>
        <v>67</v>
      </c>
      <c r="CI1" s="2">
        <f t="shared" si="0"/>
        <v>68</v>
      </c>
      <c r="CJ1" s="2">
        <f t="shared" si="0"/>
        <v>69</v>
      </c>
      <c r="CK1" s="2">
        <f t="shared" si="0"/>
        <v>70</v>
      </c>
      <c r="CL1" s="2">
        <f t="shared" si="0"/>
        <v>71</v>
      </c>
      <c r="CM1" s="2">
        <f t="shared" si="0"/>
        <v>72</v>
      </c>
      <c r="CN1" s="2">
        <f t="shared" si="0"/>
        <v>73</v>
      </c>
      <c r="CO1" s="2">
        <f t="shared" si="0"/>
        <v>74</v>
      </c>
      <c r="CP1" s="2">
        <f t="shared" si="0"/>
        <v>75</v>
      </c>
      <c r="CQ1" s="2">
        <f t="shared" si="0"/>
        <v>76</v>
      </c>
      <c r="CR1" s="2">
        <f t="shared" ref="CR1:FC1" si="1">+CQ1+1</f>
        <v>77</v>
      </c>
      <c r="CS1" s="2">
        <f t="shared" si="1"/>
        <v>78</v>
      </c>
      <c r="CT1" s="2">
        <f t="shared" si="1"/>
        <v>79</v>
      </c>
      <c r="CU1" s="2">
        <f t="shared" si="1"/>
        <v>80</v>
      </c>
      <c r="CV1" s="2">
        <f t="shared" si="1"/>
        <v>81</v>
      </c>
      <c r="CW1" s="2">
        <f t="shared" si="1"/>
        <v>82</v>
      </c>
      <c r="CX1" s="2">
        <f t="shared" si="1"/>
        <v>83</v>
      </c>
      <c r="CY1" s="2">
        <f t="shared" si="1"/>
        <v>84</v>
      </c>
      <c r="CZ1" s="2">
        <f t="shared" si="1"/>
        <v>85</v>
      </c>
      <c r="DA1" s="2">
        <f t="shared" si="1"/>
        <v>86</v>
      </c>
      <c r="DB1" s="2">
        <f t="shared" si="1"/>
        <v>87</v>
      </c>
      <c r="DC1" s="2">
        <f t="shared" si="1"/>
        <v>88</v>
      </c>
      <c r="DD1" s="2">
        <f t="shared" si="1"/>
        <v>89</v>
      </c>
      <c r="DE1" s="2">
        <f t="shared" si="1"/>
        <v>90</v>
      </c>
      <c r="DF1" s="2">
        <f t="shared" si="1"/>
        <v>91</v>
      </c>
      <c r="DG1" s="2">
        <f t="shared" si="1"/>
        <v>92</v>
      </c>
      <c r="DH1" s="2">
        <f t="shared" si="1"/>
        <v>93</v>
      </c>
      <c r="DI1" s="2">
        <f t="shared" si="1"/>
        <v>94</v>
      </c>
      <c r="DJ1" s="2">
        <f t="shared" si="1"/>
        <v>95</v>
      </c>
      <c r="DK1" s="2">
        <f t="shared" si="1"/>
        <v>96</v>
      </c>
      <c r="DL1" s="2">
        <f t="shared" si="1"/>
        <v>97</v>
      </c>
      <c r="DM1" s="2">
        <f t="shared" si="1"/>
        <v>98</v>
      </c>
      <c r="DN1" s="2">
        <f t="shared" si="1"/>
        <v>99</v>
      </c>
      <c r="DO1" s="2">
        <f t="shared" si="1"/>
        <v>100</v>
      </c>
      <c r="DP1" s="2">
        <f t="shared" si="1"/>
        <v>101</v>
      </c>
      <c r="DQ1" s="2">
        <f t="shared" si="1"/>
        <v>102</v>
      </c>
      <c r="DR1" s="2">
        <f t="shared" si="1"/>
        <v>103</v>
      </c>
      <c r="DS1" s="2">
        <f t="shared" si="1"/>
        <v>104</v>
      </c>
      <c r="DT1" s="2">
        <f t="shared" si="1"/>
        <v>105</v>
      </c>
      <c r="DU1" s="2">
        <f t="shared" si="1"/>
        <v>106</v>
      </c>
      <c r="DV1" s="2">
        <f t="shared" si="1"/>
        <v>107</v>
      </c>
      <c r="DW1" s="2">
        <f t="shared" si="1"/>
        <v>108</v>
      </c>
      <c r="DX1" s="2">
        <f t="shared" si="1"/>
        <v>109</v>
      </c>
      <c r="DY1" s="2">
        <f t="shared" si="1"/>
        <v>110</v>
      </c>
      <c r="DZ1" s="2">
        <f t="shared" si="1"/>
        <v>111</v>
      </c>
      <c r="EA1" s="2">
        <f t="shared" si="1"/>
        <v>112</v>
      </c>
      <c r="EB1" s="2">
        <f t="shared" si="1"/>
        <v>113</v>
      </c>
      <c r="EC1" s="2">
        <f t="shared" si="1"/>
        <v>114</v>
      </c>
      <c r="ED1" s="2">
        <f t="shared" si="1"/>
        <v>115</v>
      </c>
      <c r="EE1" s="2">
        <f t="shared" si="1"/>
        <v>116</v>
      </c>
      <c r="EF1" s="2">
        <f t="shared" si="1"/>
        <v>117</v>
      </c>
      <c r="EG1" s="2">
        <f t="shared" si="1"/>
        <v>118</v>
      </c>
      <c r="EH1" s="2">
        <f t="shared" si="1"/>
        <v>119</v>
      </c>
      <c r="EI1" s="2">
        <f t="shared" si="1"/>
        <v>120</v>
      </c>
      <c r="EJ1" s="2">
        <f t="shared" si="1"/>
        <v>121</v>
      </c>
      <c r="EK1" s="2">
        <f t="shared" si="1"/>
        <v>122</v>
      </c>
      <c r="EL1" s="2">
        <f t="shared" si="1"/>
        <v>123</v>
      </c>
      <c r="EM1" s="2">
        <f t="shared" si="1"/>
        <v>124</v>
      </c>
      <c r="EN1" s="2">
        <f t="shared" si="1"/>
        <v>125</v>
      </c>
      <c r="EO1" s="2">
        <f t="shared" si="1"/>
        <v>126</v>
      </c>
      <c r="EP1" s="2">
        <f t="shared" si="1"/>
        <v>127</v>
      </c>
      <c r="EQ1" s="2">
        <f t="shared" si="1"/>
        <v>128</v>
      </c>
      <c r="ER1" s="2">
        <f t="shared" si="1"/>
        <v>129</v>
      </c>
      <c r="ES1" s="2">
        <f t="shared" si="1"/>
        <v>130</v>
      </c>
      <c r="ET1" s="2">
        <f t="shared" si="1"/>
        <v>131</v>
      </c>
      <c r="EU1" s="2">
        <f t="shared" si="1"/>
        <v>132</v>
      </c>
      <c r="EV1" s="2">
        <f t="shared" si="1"/>
        <v>133</v>
      </c>
      <c r="EW1" s="2">
        <f t="shared" si="1"/>
        <v>134</v>
      </c>
      <c r="EX1" s="2">
        <f t="shared" si="1"/>
        <v>135</v>
      </c>
      <c r="EY1" s="2">
        <f t="shared" si="1"/>
        <v>136</v>
      </c>
      <c r="EZ1" s="2">
        <f t="shared" si="1"/>
        <v>137</v>
      </c>
      <c r="FA1" s="2">
        <f t="shared" si="1"/>
        <v>138</v>
      </c>
      <c r="FB1" s="2">
        <f t="shared" si="1"/>
        <v>139</v>
      </c>
      <c r="FC1" s="2">
        <f t="shared" si="1"/>
        <v>140</v>
      </c>
      <c r="FD1" s="2">
        <f t="shared" ref="FD1:GI1" si="2">+FC1+1</f>
        <v>141</v>
      </c>
      <c r="FE1" s="2">
        <f t="shared" si="2"/>
        <v>142</v>
      </c>
      <c r="FF1" s="2">
        <f t="shared" si="2"/>
        <v>143</v>
      </c>
      <c r="FG1" s="2">
        <f t="shared" si="2"/>
        <v>144</v>
      </c>
      <c r="FH1" s="2">
        <f t="shared" si="2"/>
        <v>145</v>
      </c>
      <c r="FI1" s="2">
        <f t="shared" si="2"/>
        <v>146</v>
      </c>
      <c r="FJ1" s="2">
        <f t="shared" si="2"/>
        <v>147</v>
      </c>
      <c r="FK1" s="2">
        <f t="shared" si="2"/>
        <v>148</v>
      </c>
      <c r="FL1" s="2">
        <f t="shared" si="2"/>
        <v>149</v>
      </c>
      <c r="FM1" s="2">
        <f t="shared" si="2"/>
        <v>150</v>
      </c>
      <c r="FN1" s="2">
        <f t="shared" si="2"/>
        <v>151</v>
      </c>
      <c r="FO1" s="2">
        <f t="shared" si="2"/>
        <v>152</v>
      </c>
      <c r="FP1" s="2">
        <f t="shared" si="2"/>
        <v>153</v>
      </c>
      <c r="FQ1" s="2">
        <f t="shared" si="2"/>
        <v>154</v>
      </c>
      <c r="FR1" s="2">
        <f t="shared" si="2"/>
        <v>155</v>
      </c>
      <c r="FS1" s="2">
        <f t="shared" si="2"/>
        <v>156</v>
      </c>
      <c r="FT1" s="2">
        <f t="shared" si="2"/>
        <v>157</v>
      </c>
      <c r="FU1" s="2">
        <f t="shared" si="2"/>
        <v>158</v>
      </c>
      <c r="FV1" s="2">
        <f t="shared" si="2"/>
        <v>159</v>
      </c>
      <c r="FW1" s="2">
        <f t="shared" si="2"/>
        <v>160</v>
      </c>
      <c r="FX1" s="2">
        <f t="shared" si="2"/>
        <v>161</v>
      </c>
      <c r="FY1" s="2">
        <f t="shared" si="2"/>
        <v>162</v>
      </c>
      <c r="FZ1" s="2">
        <f t="shared" si="2"/>
        <v>163</v>
      </c>
      <c r="GA1" s="2">
        <f t="shared" si="2"/>
        <v>164</v>
      </c>
      <c r="GB1" s="2">
        <f t="shared" si="2"/>
        <v>165</v>
      </c>
      <c r="GC1" s="2">
        <f t="shared" si="2"/>
        <v>166</v>
      </c>
      <c r="GD1" s="2">
        <f t="shared" si="2"/>
        <v>167</v>
      </c>
      <c r="GE1" s="2">
        <f t="shared" si="2"/>
        <v>168</v>
      </c>
      <c r="GF1" s="2">
        <f t="shared" si="2"/>
        <v>169</v>
      </c>
      <c r="GG1" s="2">
        <f t="shared" si="2"/>
        <v>170</v>
      </c>
      <c r="GH1" s="2">
        <f t="shared" si="2"/>
        <v>171</v>
      </c>
      <c r="GI1" s="2">
        <f t="shared" si="2"/>
        <v>172</v>
      </c>
      <c r="GJ1" s="2">
        <f t="shared" ref="GJ1:HK1" si="3">+GI1+1</f>
        <v>173</v>
      </c>
      <c r="GK1" s="2">
        <f t="shared" si="3"/>
        <v>174</v>
      </c>
      <c r="GL1" s="2">
        <f t="shared" si="3"/>
        <v>175</v>
      </c>
      <c r="GM1" s="2">
        <f t="shared" si="3"/>
        <v>176</v>
      </c>
      <c r="GN1" s="2">
        <f t="shared" si="3"/>
        <v>177</v>
      </c>
      <c r="GO1" s="2">
        <f t="shared" si="3"/>
        <v>178</v>
      </c>
      <c r="GP1" s="2">
        <f t="shared" si="3"/>
        <v>179</v>
      </c>
      <c r="GQ1" s="2">
        <f t="shared" si="3"/>
        <v>180</v>
      </c>
      <c r="GR1" s="2">
        <f t="shared" si="3"/>
        <v>181</v>
      </c>
      <c r="GS1" s="2">
        <f t="shared" si="3"/>
        <v>182</v>
      </c>
      <c r="GT1" s="2">
        <f t="shared" si="3"/>
        <v>183</v>
      </c>
      <c r="GU1" s="2">
        <f t="shared" si="3"/>
        <v>184</v>
      </c>
      <c r="GV1" s="2">
        <f t="shared" si="3"/>
        <v>185</v>
      </c>
      <c r="GW1" s="2">
        <f t="shared" si="3"/>
        <v>186</v>
      </c>
      <c r="GX1" s="2">
        <f t="shared" si="3"/>
        <v>187</v>
      </c>
      <c r="GY1" s="2">
        <f t="shared" si="3"/>
        <v>188</v>
      </c>
      <c r="GZ1" s="2">
        <f t="shared" si="3"/>
        <v>189</v>
      </c>
      <c r="HA1" s="2">
        <f t="shared" si="3"/>
        <v>190</v>
      </c>
      <c r="HB1" s="2">
        <f t="shared" si="3"/>
        <v>191</v>
      </c>
      <c r="HC1" s="2">
        <f t="shared" si="3"/>
        <v>192</v>
      </c>
      <c r="HD1" s="2">
        <f t="shared" si="3"/>
        <v>193</v>
      </c>
      <c r="HE1" s="2">
        <f t="shared" si="3"/>
        <v>194</v>
      </c>
      <c r="HF1" s="2">
        <f t="shared" si="3"/>
        <v>195</v>
      </c>
      <c r="HG1" s="2">
        <f t="shared" si="3"/>
        <v>196</v>
      </c>
      <c r="HH1" s="2">
        <f t="shared" si="3"/>
        <v>197</v>
      </c>
      <c r="HI1" s="2">
        <f t="shared" si="3"/>
        <v>198</v>
      </c>
      <c r="HJ1" s="2">
        <f t="shared" si="3"/>
        <v>199</v>
      </c>
      <c r="HK1" s="2">
        <f t="shared" si="3"/>
        <v>200</v>
      </c>
    </row>
    <row r="2" spans="2:219" s="2" customFormat="1"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44</v>
      </c>
      <c r="L2" s="2" t="s">
        <v>43</v>
      </c>
      <c r="M2" s="2" t="s">
        <v>45</v>
      </c>
      <c r="N2" s="2" t="s">
        <v>46</v>
      </c>
      <c r="Q2" s="2">
        <v>2021</v>
      </c>
      <c r="R2" s="2">
        <f>+Q2+1</f>
        <v>2022</v>
      </c>
      <c r="S2" s="2">
        <f t="shared" ref="S2:Z2" si="4">+R2+1</f>
        <v>2023</v>
      </c>
      <c r="T2" s="2">
        <f t="shared" si="4"/>
        <v>2024</v>
      </c>
      <c r="U2" s="2">
        <f t="shared" si="4"/>
        <v>2025</v>
      </c>
      <c r="V2" s="2">
        <f t="shared" si="4"/>
        <v>2026</v>
      </c>
      <c r="W2" s="2">
        <f t="shared" si="4"/>
        <v>2027</v>
      </c>
      <c r="X2" s="2">
        <f t="shared" si="4"/>
        <v>2028</v>
      </c>
      <c r="Y2" s="2">
        <f t="shared" si="4"/>
        <v>2029</v>
      </c>
      <c r="Z2" s="2">
        <f t="shared" si="4"/>
        <v>2030</v>
      </c>
      <c r="AA2" s="2">
        <f t="shared" ref="AA2:AC2" si="5">+Z2+1</f>
        <v>2031</v>
      </c>
      <c r="AB2" s="2">
        <f t="shared" si="5"/>
        <v>2032</v>
      </c>
      <c r="AC2" s="2">
        <f t="shared" si="5"/>
        <v>2033</v>
      </c>
    </row>
    <row r="3" spans="2:219">
      <c r="B3" s="1" t="s">
        <v>48</v>
      </c>
      <c r="F3" s="1">
        <v>6949</v>
      </c>
      <c r="G3" s="1">
        <v>7095</v>
      </c>
      <c r="H3" s="1">
        <v>7115</v>
      </c>
      <c r="I3" s="1">
        <v>7166</v>
      </c>
      <c r="J3" s="1">
        <v>7240</v>
      </c>
      <c r="K3" s="1">
        <v>7248</v>
      </c>
      <c r="L3" s="1">
        <v>7261</v>
      </c>
      <c r="R3" s="1">
        <f>+F3</f>
        <v>6949</v>
      </c>
      <c r="S3" s="1">
        <f>+J3</f>
        <v>7240</v>
      </c>
    </row>
    <row r="4" spans="2:219" s="2" customFormat="1">
      <c r="B4" s="2" t="s">
        <v>47</v>
      </c>
      <c r="F4" s="2">
        <f t="shared" ref="F4:K4" si="6">+F6/F3</f>
        <v>32.760828896244064</v>
      </c>
      <c r="G4" s="2">
        <f t="shared" si="6"/>
        <v>32.128118393234672</v>
      </c>
      <c r="H4" s="2">
        <f t="shared" si="6"/>
        <v>33.82825017568517</v>
      </c>
      <c r="I4" s="2">
        <f t="shared" si="6"/>
        <v>32.754814401339658</v>
      </c>
      <c r="J4" s="2">
        <f t="shared" si="6"/>
        <v>31.31560773480663</v>
      </c>
      <c r="K4" s="2">
        <f t="shared" si="6"/>
        <v>31.08761037527594</v>
      </c>
      <c r="L4" s="2">
        <f>+L6/L3</f>
        <v>32.689023550475142</v>
      </c>
    </row>
    <row r="5" spans="2:219" s="5" customFormat="1"/>
    <row r="6" spans="2:219">
      <c r="B6" s="1" t="s">
        <v>6</v>
      </c>
      <c r="C6" s="1">
        <v>209275</v>
      </c>
      <c r="D6" s="1">
        <v>230869</v>
      </c>
      <c r="E6" s="1">
        <v>228786</v>
      </c>
      <c r="F6" s="1">
        <f>+R6-SUM(C6:E6)</f>
        <v>227655</v>
      </c>
      <c r="G6" s="1">
        <v>227949</v>
      </c>
      <c r="H6" s="1">
        <v>240688</v>
      </c>
      <c r="I6" s="1">
        <v>234721</v>
      </c>
      <c r="J6" s="1">
        <f>+S6-SUM(G6:I6)</f>
        <v>226725</v>
      </c>
      <c r="K6" s="1">
        <v>225323</v>
      </c>
      <c r="L6" s="1">
        <v>237355</v>
      </c>
      <c r="Q6" s="1">
        <v>930083</v>
      </c>
      <c r="R6" s="1">
        <v>896585</v>
      </c>
      <c r="S6" s="1">
        <v>930083</v>
      </c>
    </row>
    <row r="7" spans="2:219">
      <c r="B7" s="1" t="s">
        <v>7</v>
      </c>
      <c r="C7" s="1">
        <v>128976</v>
      </c>
      <c r="D7" s="1">
        <v>143436</v>
      </c>
      <c r="E7" s="1">
        <v>141733</v>
      </c>
      <c r="F7" s="1">
        <f t="shared" ref="F7:F8" si="7">+R7-SUM(C7:E7)</f>
        <v>144090</v>
      </c>
      <c r="G7" s="1">
        <v>141677</v>
      </c>
      <c r="H7" s="1">
        <v>153048</v>
      </c>
      <c r="I7" s="1">
        <v>149345</v>
      </c>
      <c r="J7" s="1">
        <f t="shared" ref="J7:J8" si="8">+S7-SUM(G7:I7)</f>
        <v>148261</v>
      </c>
      <c r="K7" s="1">
        <v>146500</v>
      </c>
      <c r="L7" s="1">
        <v>157670</v>
      </c>
      <c r="Q7" s="1">
        <v>592331</v>
      </c>
      <c r="R7" s="1">
        <v>558235</v>
      </c>
      <c r="S7" s="1">
        <v>592331</v>
      </c>
    </row>
    <row r="8" spans="2:219">
      <c r="B8" s="1" t="s">
        <v>8</v>
      </c>
      <c r="C8" s="1">
        <v>57871</v>
      </c>
      <c r="D8" s="1">
        <v>58610</v>
      </c>
      <c r="E8" s="1">
        <v>58463</v>
      </c>
      <c r="F8" s="1">
        <f t="shared" si="7"/>
        <v>59521</v>
      </c>
      <c r="G8" s="1">
        <v>57807</v>
      </c>
      <c r="H8" s="1">
        <v>58033</v>
      </c>
      <c r="I8" s="1">
        <v>57567</v>
      </c>
      <c r="J8" s="1">
        <f t="shared" si="8"/>
        <v>56761</v>
      </c>
      <c r="K8" s="1">
        <v>57986</v>
      </c>
      <c r="L8" s="1">
        <v>60638</v>
      </c>
      <c r="Q8" s="1">
        <v>230168</v>
      </c>
      <c r="R8" s="1">
        <v>234465</v>
      </c>
      <c r="S8" s="1">
        <v>230168</v>
      </c>
    </row>
    <row r="9" spans="2:219">
      <c r="B9" s="1" t="s">
        <v>9</v>
      </c>
      <c r="C9" s="1">
        <v>92521</v>
      </c>
      <c r="D9" s="1">
        <v>104868</v>
      </c>
      <c r="E9" s="1">
        <v>103587</v>
      </c>
      <c r="F9" s="1">
        <f>+R9-SUM(C9:E9)</f>
        <v>105244</v>
      </c>
      <c r="G9" s="1">
        <v>101374</v>
      </c>
      <c r="H9" s="1">
        <v>109796</v>
      </c>
      <c r="I9" s="1">
        <v>108922</v>
      </c>
      <c r="J9" s="1">
        <f>+S9-SUM(G9:I9)</f>
        <v>108904</v>
      </c>
      <c r="K9" s="1">
        <v>104944</v>
      </c>
      <c r="L9" s="1">
        <v>115064</v>
      </c>
      <c r="Q9" s="1">
        <v>428996</v>
      </c>
      <c r="R9" s="1">
        <v>406220</v>
      </c>
      <c r="S9" s="1">
        <v>428996</v>
      </c>
    </row>
    <row r="10" spans="2:219" s="3" customFormat="1">
      <c r="B10" s="3" t="s">
        <v>10</v>
      </c>
      <c r="C10" s="3">
        <f t="shared" ref="C10:K10" si="9">+SUM(C6:C9)</f>
        <v>488643</v>
      </c>
      <c r="D10" s="3">
        <f t="shared" si="9"/>
        <v>537783</v>
      </c>
      <c r="E10" s="3">
        <f t="shared" si="9"/>
        <v>532569</v>
      </c>
      <c r="F10" s="3">
        <f t="shared" si="9"/>
        <v>536510</v>
      </c>
      <c r="G10" s="3">
        <f t="shared" si="9"/>
        <v>528807</v>
      </c>
      <c r="H10" s="3">
        <f t="shared" si="9"/>
        <v>561565</v>
      </c>
      <c r="I10" s="3">
        <f t="shared" si="9"/>
        <v>550555</v>
      </c>
      <c r="J10" s="3">
        <f t="shared" si="9"/>
        <v>540651</v>
      </c>
      <c r="K10" s="3">
        <f t="shared" si="9"/>
        <v>534753</v>
      </c>
      <c r="L10" s="3">
        <f t="shared" ref="L10" si="10">+SUM(L6:L9)</f>
        <v>570727</v>
      </c>
      <c r="Q10" s="3">
        <f>+SUM(Q6:Q9)</f>
        <v>2181578</v>
      </c>
      <c r="R10" s="3">
        <f>+SUM(R6:R9)</f>
        <v>2095505</v>
      </c>
      <c r="S10" s="3">
        <f>+SUM(S6:S9)</f>
        <v>2181578</v>
      </c>
      <c r="T10" s="3">
        <f>+S10*1.055</f>
        <v>2301564.79</v>
      </c>
      <c r="U10" s="3">
        <f>+T10*1.03</f>
        <v>2370611.7337000002</v>
      </c>
      <c r="V10" s="3">
        <f t="shared" ref="V10:Z10" si="11">+U10*1.055</f>
        <v>2500995.3790535</v>
      </c>
      <c r="W10" s="3">
        <f t="shared" si="11"/>
        <v>2638550.1249014423</v>
      </c>
      <c r="X10" s="3">
        <f t="shared" si="11"/>
        <v>2783670.3817710215</v>
      </c>
      <c r="Y10" s="3">
        <f t="shared" si="11"/>
        <v>2936772.2527684276</v>
      </c>
      <c r="Z10" s="3">
        <f t="shared" si="11"/>
        <v>3098294.7266706908</v>
      </c>
      <c r="AA10" s="3">
        <f t="shared" ref="AA10:AC10" si="12">+Z10*1.055</f>
        <v>3268700.9366375785</v>
      </c>
      <c r="AB10" s="3">
        <f t="shared" si="12"/>
        <v>3448479.4881526451</v>
      </c>
      <c r="AC10" s="3">
        <f t="shared" si="12"/>
        <v>3638145.8600010402</v>
      </c>
    </row>
    <row r="11" spans="2:219">
      <c r="B11" s="1" t="s">
        <v>11</v>
      </c>
      <c r="C11" s="1">
        <v>185053</v>
      </c>
      <c r="D11" s="1">
        <v>197285</v>
      </c>
      <c r="E11" s="1">
        <v>196168</v>
      </c>
      <c r="F11" s="1">
        <f>+R11-SUM(C11:E11)</f>
        <v>194663</v>
      </c>
      <c r="G11" s="1">
        <v>196536</v>
      </c>
      <c r="H11" s="1">
        <v>201010</v>
      </c>
      <c r="I11" s="1">
        <v>199522</v>
      </c>
      <c r="J11" s="1">
        <f>+S11-SUM(G11:I11)</f>
        <v>197425</v>
      </c>
      <c r="K11" s="1">
        <v>192113</v>
      </c>
      <c r="L11" s="1">
        <v>199886</v>
      </c>
      <c r="Q11" s="1">
        <v>611680</v>
      </c>
      <c r="R11" s="1">
        <v>773169</v>
      </c>
      <c r="S11" s="1">
        <v>794493</v>
      </c>
      <c r="T11" s="1">
        <f>+T10*0.355</f>
        <v>817055.50044999993</v>
      </c>
      <c r="U11" s="1">
        <f t="shared" ref="U11:AC11" si="13">+U10*0.355</f>
        <v>841567.16546350007</v>
      </c>
      <c r="V11" s="1">
        <f t="shared" si="13"/>
        <v>887853.35956399248</v>
      </c>
      <c r="W11" s="1">
        <f t="shared" si="13"/>
        <v>936685.29434001201</v>
      </c>
      <c r="X11" s="1">
        <f t="shared" si="13"/>
        <v>988202.98552871263</v>
      </c>
      <c r="Y11" s="1">
        <f t="shared" si="13"/>
        <v>1042554.1497327917</v>
      </c>
      <c r="Z11" s="1">
        <f t="shared" si="13"/>
        <v>1099894.6279680952</v>
      </c>
      <c r="AA11" s="1">
        <f t="shared" si="13"/>
        <v>1160388.8325063402</v>
      </c>
      <c r="AB11" s="1">
        <f t="shared" si="13"/>
        <v>1224210.2182941888</v>
      </c>
      <c r="AC11" s="1">
        <f t="shared" si="13"/>
        <v>1291541.7803003693</v>
      </c>
    </row>
    <row r="12" spans="2:219">
      <c r="B12" s="1" t="s">
        <v>12</v>
      </c>
      <c r="C12" s="1">
        <v>11816</v>
      </c>
      <c r="D12" s="1">
        <v>9912</v>
      </c>
      <c r="E12" s="1">
        <v>12728</v>
      </c>
      <c r="F12" s="1">
        <f t="shared" ref="F12:F25" si="14">+R12-SUM(C12:E12)</f>
        <v>12280</v>
      </c>
      <c r="G12" s="1">
        <v>13260</v>
      </c>
      <c r="H12" s="1">
        <v>13787</v>
      </c>
      <c r="I12" s="1">
        <v>14806</v>
      </c>
      <c r="J12" s="1">
        <f t="shared" ref="J12:J25" si="15">+S12-SUM(G12:I12)</f>
        <v>15390</v>
      </c>
      <c r="K12" s="1">
        <v>14742</v>
      </c>
      <c r="L12" s="1">
        <v>16222</v>
      </c>
      <c r="Q12" s="1">
        <v>42900</v>
      </c>
      <c r="R12" s="1">
        <v>46736</v>
      </c>
      <c r="S12" s="1">
        <v>57243</v>
      </c>
      <c r="T12" s="1">
        <f>+T10*0.028</f>
        <v>64443.814120000003</v>
      </c>
      <c r="U12" s="1">
        <f t="shared" ref="U12:AC12" si="16">+U10*0.028</f>
        <v>66377.128543600003</v>
      </c>
      <c r="V12" s="1">
        <f t="shared" si="16"/>
        <v>70027.870613498002</v>
      </c>
      <c r="W12" s="1">
        <f t="shared" si="16"/>
        <v>73879.40349724039</v>
      </c>
      <c r="X12" s="1">
        <f t="shared" si="16"/>
        <v>77942.770689588608</v>
      </c>
      <c r="Y12" s="1">
        <f t="shared" si="16"/>
        <v>82229.623077515978</v>
      </c>
      <c r="Z12" s="1">
        <f t="shared" si="16"/>
        <v>86752.252346779351</v>
      </c>
      <c r="AA12" s="1">
        <f t="shared" si="16"/>
        <v>91523.626225852204</v>
      </c>
      <c r="AB12" s="1">
        <f t="shared" si="16"/>
        <v>96557.425668274067</v>
      </c>
      <c r="AC12" s="1">
        <f t="shared" si="16"/>
        <v>101868.08408002913</v>
      </c>
    </row>
    <row r="13" spans="2:219">
      <c r="B13" s="1" t="s">
        <v>13</v>
      </c>
      <c r="C13" s="1">
        <v>28936</v>
      </c>
      <c r="D13" s="1">
        <v>32076</v>
      </c>
      <c r="E13" s="1">
        <v>31687</v>
      </c>
      <c r="F13" s="1">
        <f t="shared" si="14"/>
        <v>31384</v>
      </c>
      <c r="G13" s="1">
        <v>30629</v>
      </c>
      <c r="H13" s="1">
        <v>32396</v>
      </c>
      <c r="I13" s="1">
        <v>31876</v>
      </c>
      <c r="J13" s="1">
        <f t="shared" si="15"/>
        <v>30470</v>
      </c>
      <c r="K13" s="1">
        <v>31778</v>
      </c>
      <c r="L13" s="1">
        <v>32390</v>
      </c>
      <c r="Q13" s="1">
        <v>132411</v>
      </c>
      <c r="R13" s="1">
        <v>124083</v>
      </c>
      <c r="S13" s="1">
        <v>125371</v>
      </c>
      <c r="T13" s="1">
        <f>+T10*0.058</f>
        <v>133490.75782</v>
      </c>
      <c r="U13" s="1">
        <f t="shared" ref="U13:AC13" si="17">+U10*0.058</f>
        <v>137495.48055460001</v>
      </c>
      <c r="V13" s="1">
        <f t="shared" si="17"/>
        <v>145057.73198510302</v>
      </c>
      <c r="W13" s="1">
        <f t="shared" si="17"/>
        <v>153035.90724428368</v>
      </c>
      <c r="X13" s="1">
        <f t="shared" si="17"/>
        <v>161452.88214271926</v>
      </c>
      <c r="Y13" s="1">
        <f t="shared" si="17"/>
        <v>170332.7906605688</v>
      </c>
      <c r="Z13" s="1">
        <f t="shared" si="17"/>
        <v>179701.09414690008</v>
      </c>
      <c r="AA13" s="1">
        <f t="shared" si="17"/>
        <v>189584.65432497955</v>
      </c>
      <c r="AB13" s="1">
        <f t="shared" si="17"/>
        <v>200011.81031285343</v>
      </c>
      <c r="AC13" s="1">
        <f t="shared" si="17"/>
        <v>211012.45988006034</v>
      </c>
    </row>
    <row r="14" spans="2:219">
      <c r="B14" s="1" t="s">
        <v>14</v>
      </c>
      <c r="C14" s="1">
        <v>97800</v>
      </c>
      <c r="D14" s="1">
        <v>110973</v>
      </c>
      <c r="E14" s="1">
        <v>108269</v>
      </c>
      <c r="F14" s="1">
        <f t="shared" si="14"/>
        <v>113718</v>
      </c>
      <c r="G14" s="1">
        <v>101661</v>
      </c>
      <c r="H14" s="1">
        <v>109618</v>
      </c>
      <c r="I14" s="1">
        <v>107895</v>
      </c>
      <c r="J14" s="1">
        <f t="shared" si="15"/>
        <v>108829</v>
      </c>
      <c r="K14" s="1">
        <v>107374</v>
      </c>
      <c r="L14" s="1">
        <v>120817</v>
      </c>
      <c r="Q14" s="1">
        <v>411751</v>
      </c>
      <c r="R14" s="1">
        <v>430760</v>
      </c>
      <c r="S14" s="1">
        <v>428003</v>
      </c>
      <c r="T14" s="1">
        <f>+T10*0.206</f>
        <v>474122.34674000001</v>
      </c>
      <c r="U14" s="1">
        <f t="shared" ref="T12:AC17" si="18">+U$10*(T14/T$10)</f>
        <v>488346.01714220003</v>
      </c>
      <c r="V14" s="1">
        <f t="shared" si="18"/>
        <v>515205.04808502097</v>
      </c>
      <c r="W14" s="1">
        <f t="shared" si="18"/>
        <v>543541.32572969713</v>
      </c>
      <c r="X14" s="1">
        <f t="shared" si="18"/>
        <v>573436.09864483052</v>
      </c>
      <c r="Y14" s="1">
        <f t="shared" si="18"/>
        <v>604975.08407029626</v>
      </c>
      <c r="Z14" s="1">
        <f t="shared" si="18"/>
        <v>638248.71369416255</v>
      </c>
      <c r="AA14" s="1">
        <f t="shared" si="18"/>
        <v>673352.39294734143</v>
      </c>
      <c r="AB14" s="1">
        <f t="shared" si="18"/>
        <v>710386.7745594451</v>
      </c>
      <c r="AC14" s="1">
        <f t="shared" si="18"/>
        <v>749458.04716021451</v>
      </c>
    </row>
    <row r="15" spans="2:219">
      <c r="B15" s="1" t="s">
        <v>15</v>
      </c>
      <c r="C15" s="1">
        <v>62346</v>
      </c>
      <c r="D15" s="1">
        <v>61637</v>
      </c>
      <c r="E15" s="1">
        <v>62523</v>
      </c>
      <c r="F15" s="1">
        <f t="shared" si="14"/>
        <v>68473</v>
      </c>
      <c r="G15" s="1">
        <v>62276</v>
      </c>
      <c r="H15" s="1">
        <v>62742</v>
      </c>
      <c r="I15" s="1">
        <v>59288</v>
      </c>
      <c r="J15" s="1">
        <f t="shared" si="15"/>
        <v>65658</v>
      </c>
      <c r="K15" s="1">
        <v>63757</v>
      </c>
      <c r="L15" s="1">
        <v>61493</v>
      </c>
      <c r="Q15" s="1">
        <v>242970</v>
      </c>
      <c r="R15" s="1">
        <v>254979</v>
      </c>
      <c r="S15" s="1">
        <v>249964</v>
      </c>
      <c r="T15" s="1">
        <f>+T10*0.113</f>
        <v>260076.82127000001</v>
      </c>
      <c r="U15" s="1">
        <f t="shared" si="18"/>
        <v>267879.12590810005</v>
      </c>
      <c r="V15" s="1">
        <f t="shared" si="18"/>
        <v>282612.47783304553</v>
      </c>
      <c r="W15" s="1">
        <f t="shared" si="18"/>
        <v>298156.16411386302</v>
      </c>
      <c r="X15" s="1">
        <f t="shared" si="18"/>
        <v>314554.75314012548</v>
      </c>
      <c r="Y15" s="1">
        <f t="shared" si="18"/>
        <v>331855.26456283237</v>
      </c>
      <c r="Z15" s="1">
        <f t="shared" si="18"/>
        <v>350107.30411378812</v>
      </c>
      <c r="AA15" s="1">
        <f t="shared" si="18"/>
        <v>369363.2058400464</v>
      </c>
      <c r="AB15" s="1">
        <f t="shared" si="18"/>
        <v>389678.18216124893</v>
      </c>
      <c r="AC15" s="1">
        <f t="shared" si="18"/>
        <v>411110.48218011757</v>
      </c>
    </row>
    <row r="16" spans="2:219">
      <c r="B16" s="1" t="s">
        <v>16</v>
      </c>
      <c r="C16" s="1">
        <v>33231</v>
      </c>
      <c r="D16" s="1">
        <v>33428</v>
      </c>
      <c r="E16" s="1">
        <v>34252</v>
      </c>
      <c r="F16" s="1">
        <f t="shared" si="14"/>
        <v>32503</v>
      </c>
      <c r="G16" s="1">
        <v>33472</v>
      </c>
      <c r="H16" s="1">
        <v>33498</v>
      </c>
      <c r="I16" s="1">
        <v>34288</v>
      </c>
      <c r="J16" s="1">
        <f t="shared" si="15"/>
        <v>34531</v>
      </c>
      <c r="K16" s="1">
        <v>33472</v>
      </c>
      <c r="L16" s="1">
        <v>37492</v>
      </c>
      <c r="Q16" s="1">
        <v>125540</v>
      </c>
      <c r="R16" s="1">
        <v>133414</v>
      </c>
      <c r="S16" s="1">
        <v>135789</v>
      </c>
      <c r="T16" s="1">
        <f>+T10*0.064</f>
        <v>147300.14655999999</v>
      </c>
      <c r="U16" s="1">
        <f t="shared" si="18"/>
        <v>151719.1509568</v>
      </c>
      <c r="V16" s="1">
        <f t="shared" si="18"/>
        <v>160063.704259424</v>
      </c>
      <c r="W16" s="1">
        <f t="shared" si="18"/>
        <v>168867.20799369231</v>
      </c>
      <c r="X16" s="1">
        <f t="shared" si="18"/>
        <v>178154.90443334539</v>
      </c>
      <c r="Y16" s="1">
        <f t="shared" si="18"/>
        <v>187953.42417717937</v>
      </c>
      <c r="Z16" s="1">
        <f t="shared" si="18"/>
        <v>198290.86250692423</v>
      </c>
      <c r="AA16" s="1">
        <f t="shared" si="18"/>
        <v>209196.85994480504</v>
      </c>
      <c r="AB16" s="1">
        <f t="shared" si="18"/>
        <v>220702.68724176928</v>
      </c>
      <c r="AC16" s="1">
        <f t="shared" si="18"/>
        <v>232841.33504006657</v>
      </c>
    </row>
    <row r="17" spans="2:219">
      <c r="B17" s="1" t="s">
        <v>17</v>
      </c>
      <c r="C17" s="1">
        <v>-2966</v>
      </c>
      <c r="D17" s="1">
        <v>-5673</v>
      </c>
      <c r="E17" s="1">
        <v>-11843</v>
      </c>
      <c r="F17" s="1">
        <f t="shared" si="14"/>
        <v>-3201</v>
      </c>
      <c r="G17" s="1">
        <v>-2266</v>
      </c>
      <c r="H17" s="1">
        <v>-3791</v>
      </c>
      <c r="I17" s="1">
        <v>-3117</v>
      </c>
      <c r="J17" s="1">
        <f t="shared" si="15"/>
        <v>-4594</v>
      </c>
      <c r="K17" s="1">
        <v>-3033</v>
      </c>
      <c r="L17" s="1">
        <v>-3463</v>
      </c>
      <c r="Q17" s="1">
        <v>-14468</v>
      </c>
      <c r="R17" s="1">
        <v>-23683</v>
      </c>
      <c r="S17" s="1">
        <v>-13768</v>
      </c>
      <c r="T17" s="1">
        <f t="shared" si="18"/>
        <v>-14525.24</v>
      </c>
      <c r="U17" s="1">
        <f t="shared" si="18"/>
        <v>-14960.997200000002</v>
      </c>
      <c r="V17" s="1">
        <f t="shared" si="18"/>
        <v>-15783.852046</v>
      </c>
      <c r="W17" s="1">
        <f t="shared" si="18"/>
        <v>-16651.96390853</v>
      </c>
      <c r="X17" s="1">
        <f t="shared" si="18"/>
        <v>-17567.821923499152</v>
      </c>
      <c r="Y17" s="1">
        <f t="shared" si="18"/>
        <v>-18534.052129291606</v>
      </c>
      <c r="Z17" s="1">
        <f t="shared" si="18"/>
        <v>-19553.424996402642</v>
      </c>
      <c r="AA17" s="1">
        <f t="shared" si="18"/>
        <v>-20628.863371204785</v>
      </c>
      <c r="AB17" s="1">
        <f t="shared" si="18"/>
        <v>-21763.450856621046</v>
      </c>
      <c r="AC17" s="1">
        <f t="shared" si="18"/>
        <v>-22960.440653735201</v>
      </c>
    </row>
    <row r="18" spans="2:219">
      <c r="B18" s="1" t="s">
        <v>18</v>
      </c>
      <c r="C18" s="1">
        <f t="shared" ref="C18:K18" si="19">+C10-SUM(C11:C17)</f>
        <v>72427</v>
      </c>
      <c r="D18" s="1">
        <f t="shared" si="19"/>
        <v>98145</v>
      </c>
      <c r="E18" s="1">
        <f t="shared" si="19"/>
        <v>98785</v>
      </c>
      <c r="F18" s="1">
        <f t="shared" si="19"/>
        <v>86690</v>
      </c>
      <c r="G18" s="1">
        <f t="shared" si="19"/>
        <v>93239</v>
      </c>
      <c r="H18" s="1">
        <f t="shared" si="19"/>
        <v>112305</v>
      </c>
      <c r="I18" s="1">
        <f t="shared" si="19"/>
        <v>105997</v>
      </c>
      <c r="J18" s="1">
        <f t="shared" si="19"/>
        <v>92942</v>
      </c>
      <c r="K18" s="1">
        <f t="shared" si="19"/>
        <v>94550</v>
      </c>
      <c r="L18" s="1">
        <f t="shared" ref="L18" si="20">+L10-SUM(L11:L17)</f>
        <v>105890</v>
      </c>
      <c r="Q18" s="1">
        <f>+Q10-SUM(Q11:Q17)</f>
        <v>628794</v>
      </c>
      <c r="R18" s="1">
        <f>+R10-SUM(R11:R17)</f>
        <v>356047</v>
      </c>
      <c r="S18" s="1">
        <f>+S10-SUM(S11:S17)</f>
        <v>404483</v>
      </c>
      <c r="T18" s="1">
        <f>+T10-SUM(T11:T17)</f>
        <v>419600.64304000023</v>
      </c>
      <c r="U18" s="1">
        <f t="shared" ref="U18:AC18" si="21">+U10-SUM(U11:U17)</f>
        <v>432188.6623312002</v>
      </c>
      <c r="V18" s="1">
        <f t="shared" si="21"/>
        <v>455959.03875941574</v>
      </c>
      <c r="W18" s="1">
        <f t="shared" si="21"/>
        <v>481036.78589118365</v>
      </c>
      <c r="X18" s="1">
        <f t="shared" si="21"/>
        <v>507493.80911519844</v>
      </c>
      <c r="Y18" s="1">
        <f t="shared" si="21"/>
        <v>535405.96861653449</v>
      </c>
      <c r="Z18" s="1">
        <f t="shared" si="21"/>
        <v>564853.29689044366</v>
      </c>
      <c r="AA18" s="1">
        <f t="shared" si="21"/>
        <v>595920.22821941832</v>
      </c>
      <c r="AB18" s="1">
        <f t="shared" si="21"/>
        <v>628695.84077148652</v>
      </c>
      <c r="AC18" s="1">
        <f t="shared" si="21"/>
        <v>663274.11201391835</v>
      </c>
    </row>
    <row r="19" spans="2:219">
      <c r="B19" s="1" t="s">
        <v>19</v>
      </c>
      <c r="C19" s="1">
        <v>-26365</v>
      </c>
      <c r="D19" s="1">
        <v>-32125</v>
      </c>
      <c r="E19" s="1">
        <v>-31916</v>
      </c>
      <c r="F19" s="1">
        <f t="shared" si="14"/>
        <v>-31913</v>
      </c>
      <c r="G19" s="1">
        <v>-31705</v>
      </c>
      <c r="H19" s="1">
        <v>-31136</v>
      </c>
      <c r="I19" s="1">
        <v>-30957</v>
      </c>
      <c r="J19" s="1">
        <f t="shared" si="15"/>
        <v>-30263</v>
      </c>
      <c r="K19" s="1">
        <v>-30535</v>
      </c>
      <c r="L19" s="1">
        <v>30995</v>
      </c>
      <c r="Q19" s="1">
        <v>-109185</v>
      </c>
      <c r="R19" s="1">
        <v>-122319</v>
      </c>
      <c r="S19" s="1">
        <v>-124061</v>
      </c>
      <c r="T19" s="1">
        <f>+T$18*(S19/S$18)</f>
        <v>-128697.80775999355</v>
      </c>
      <c r="U19" s="1">
        <f t="shared" ref="U19:AC19" si="22">+U$18*(T19/T$18)</f>
        <v>-132558.74199279334</v>
      </c>
      <c r="V19" s="1">
        <f t="shared" si="22"/>
        <v>-139849.47280239683</v>
      </c>
      <c r="W19" s="1">
        <f t="shared" si="22"/>
        <v>-147541.19380652867</v>
      </c>
      <c r="X19" s="1">
        <f t="shared" si="22"/>
        <v>-155655.95946588766</v>
      </c>
      <c r="Y19" s="1">
        <f t="shared" si="22"/>
        <v>-164217.0372365115</v>
      </c>
      <c r="Z19" s="1">
        <f t="shared" si="22"/>
        <v>-173248.97428451956</v>
      </c>
      <c r="AA19" s="1">
        <f t="shared" si="22"/>
        <v>-182777.66787016822</v>
      </c>
      <c r="AB19" s="1">
        <f t="shared" si="22"/>
        <v>-192830.43960302754</v>
      </c>
      <c r="AC19" s="1">
        <f t="shared" si="22"/>
        <v>-203436.11378119409</v>
      </c>
    </row>
    <row r="20" spans="2:219">
      <c r="B20" s="1" t="s">
        <v>20</v>
      </c>
      <c r="C20" s="1">
        <v>2111</v>
      </c>
      <c r="D20" s="1">
        <v>-4</v>
      </c>
      <c r="E20" s="1">
        <v>0</v>
      </c>
      <c r="F20" s="1">
        <f t="shared" si="14"/>
        <v>0</v>
      </c>
      <c r="G20" s="1">
        <v>-3562</v>
      </c>
      <c r="H20" s="1">
        <v>-6827</v>
      </c>
      <c r="I20" s="1">
        <v>0</v>
      </c>
      <c r="J20" s="1">
        <f t="shared" si="15"/>
        <v>31</v>
      </c>
      <c r="K20" s="1">
        <v>0</v>
      </c>
      <c r="L20" s="1">
        <v>11</v>
      </c>
      <c r="Q20" s="1">
        <v>39</v>
      </c>
      <c r="R20" s="1">
        <v>2107</v>
      </c>
      <c r="S20" s="1">
        <v>-10358</v>
      </c>
    </row>
    <row r="21" spans="2:219">
      <c r="B21" s="1" t="s">
        <v>21</v>
      </c>
      <c r="C21" s="1">
        <v>207</v>
      </c>
      <c r="D21" s="1">
        <v>1238</v>
      </c>
      <c r="E21" s="1">
        <v>2910</v>
      </c>
      <c r="F21" s="1">
        <f t="shared" si="14"/>
        <v>6048</v>
      </c>
      <c r="G21" s="1">
        <v>7336</v>
      </c>
      <c r="H21" s="1">
        <v>7573</v>
      </c>
      <c r="I21" s="1">
        <v>7637</v>
      </c>
      <c r="J21" s="1">
        <f t="shared" si="15"/>
        <v>7024</v>
      </c>
      <c r="K21" s="1">
        <v>6836</v>
      </c>
      <c r="L21" s="1">
        <v>6300</v>
      </c>
      <c r="Q21" s="1">
        <v>681</v>
      </c>
      <c r="R21" s="1">
        <v>10403</v>
      </c>
      <c r="S21" s="1">
        <v>29570</v>
      </c>
      <c r="T21" s="1">
        <f>+T$18*(S21/S$18)</f>
        <v>30675.185396401841</v>
      </c>
      <c r="U21" s="1">
        <f t="shared" ref="U21:AC21" si="23">+U$18*(T21/T$18)</f>
        <v>31595.440958293893</v>
      </c>
      <c r="V21" s="1">
        <f t="shared" si="23"/>
        <v>33333.190211000023</v>
      </c>
      <c r="W21" s="1">
        <f t="shared" si="23"/>
        <v>35166.515672605026</v>
      </c>
      <c r="X21" s="1">
        <f t="shared" si="23"/>
        <v>37100.674034598283</v>
      </c>
      <c r="Y21" s="1">
        <f t="shared" si="23"/>
        <v>39141.2111065012</v>
      </c>
      <c r="Z21" s="1">
        <f t="shared" si="23"/>
        <v>41293.977717358743</v>
      </c>
      <c r="AA21" s="1">
        <f t="shared" si="23"/>
        <v>43565.146491813495</v>
      </c>
      <c r="AB21" s="1">
        <f t="shared" si="23"/>
        <v>45961.229548863252</v>
      </c>
      <c r="AC21" s="1">
        <f t="shared" si="23"/>
        <v>48489.097174050738</v>
      </c>
    </row>
    <row r="22" spans="2:219">
      <c r="B22" s="1" t="s">
        <v>22</v>
      </c>
      <c r="C22" s="1">
        <f t="shared" ref="C22:K22" si="24">+C18+SUM(C19:C21)</f>
        <v>48380</v>
      </c>
      <c r="D22" s="1">
        <f t="shared" si="24"/>
        <v>67254</v>
      </c>
      <c r="E22" s="1">
        <f t="shared" si="24"/>
        <v>69779</v>
      </c>
      <c r="F22" s="1">
        <f t="shared" si="24"/>
        <v>60825</v>
      </c>
      <c r="G22" s="1">
        <f t="shared" si="24"/>
        <v>65308</v>
      </c>
      <c r="H22" s="1">
        <f t="shared" si="24"/>
        <v>81915</v>
      </c>
      <c r="I22" s="1">
        <f t="shared" si="24"/>
        <v>82677</v>
      </c>
      <c r="J22" s="1">
        <f t="shared" si="24"/>
        <v>69734</v>
      </c>
      <c r="K22" s="1">
        <f t="shared" si="24"/>
        <v>70851</v>
      </c>
      <c r="L22" s="1">
        <f t="shared" ref="L22" si="25">+L18+SUM(L19:L21)</f>
        <v>143196</v>
      </c>
      <c r="Q22" s="1">
        <f>+Q18+SUM(Q19:Q21)</f>
        <v>520329</v>
      </c>
      <c r="R22" s="1">
        <f>+R18+SUM(R19:R21)</f>
        <v>246238</v>
      </c>
      <c r="S22" s="1">
        <f>+S18+SUM(S19:S21)</f>
        <v>299634</v>
      </c>
      <c r="T22" s="1">
        <f>+T18+SUM(T19:T21)</f>
        <v>321578.02067640855</v>
      </c>
      <c r="U22" s="1">
        <f t="shared" ref="U22:AC22" si="26">+U18+SUM(U19:U21)</f>
        <v>331225.36129670078</v>
      </c>
      <c r="V22" s="1">
        <f t="shared" si="26"/>
        <v>349442.75616801891</v>
      </c>
      <c r="W22" s="1">
        <f t="shared" si="26"/>
        <v>368662.10775725998</v>
      </c>
      <c r="X22" s="1">
        <f t="shared" si="26"/>
        <v>388938.52368390909</v>
      </c>
      <c r="Y22" s="1">
        <f t="shared" si="26"/>
        <v>410330.14248652419</v>
      </c>
      <c r="Z22" s="1">
        <f t="shared" si="26"/>
        <v>432898.30032328283</v>
      </c>
      <c r="AA22" s="1">
        <f t="shared" si="26"/>
        <v>456707.70684106357</v>
      </c>
      <c r="AB22" s="1">
        <f t="shared" si="26"/>
        <v>481826.63071732223</v>
      </c>
      <c r="AC22" s="1">
        <f t="shared" si="26"/>
        <v>508327.09540677501</v>
      </c>
    </row>
    <row r="23" spans="2:219">
      <c r="B23" s="1" t="s">
        <v>23</v>
      </c>
      <c r="C23" s="1">
        <v>-13432</v>
      </c>
      <c r="D23" s="1">
        <v>-17239</v>
      </c>
      <c r="E23" s="1">
        <v>-18587</v>
      </c>
      <c r="F23" s="1">
        <f t="shared" si="14"/>
        <v>-16877</v>
      </c>
      <c r="G23" s="1">
        <v>-15460</v>
      </c>
      <c r="H23" s="1">
        <v>-19252</v>
      </c>
      <c r="I23" s="1">
        <v>-19915</v>
      </c>
      <c r="J23" s="1">
        <f t="shared" si="15"/>
        <v>-20351</v>
      </c>
      <c r="K23" s="1">
        <v>-15464</v>
      </c>
      <c r="L23" s="1">
        <v>-20180</v>
      </c>
      <c r="Q23" s="1">
        <v>-40186</v>
      </c>
      <c r="R23" s="1">
        <v>-66135</v>
      </c>
      <c r="S23" s="1">
        <v>-74978</v>
      </c>
      <c r="T23" s="1">
        <f>+T22*(S23/S22)</f>
        <v>-80469.095076913043</v>
      </c>
      <c r="U23" s="1">
        <f t="shared" ref="U23:AC23" si="27">+U22*(T23/T22)</f>
        <v>-82883.167929220421</v>
      </c>
      <c r="V23" s="1">
        <f t="shared" si="27"/>
        <v>-87441.74216532745</v>
      </c>
      <c r="W23" s="1">
        <f t="shared" si="27"/>
        <v>-92251.037984420458</v>
      </c>
      <c r="X23" s="1">
        <f t="shared" si="27"/>
        <v>-97324.845073563542</v>
      </c>
      <c r="Y23" s="1">
        <f t="shared" si="27"/>
        <v>-102677.71155260956</v>
      </c>
      <c r="Z23" s="1">
        <f t="shared" si="27"/>
        <v>-108324.98568800304</v>
      </c>
      <c r="AA23" s="1">
        <f t="shared" si="27"/>
        <v>-114282.85990084325</v>
      </c>
      <c r="AB23" s="1">
        <f t="shared" si="27"/>
        <v>-120568.41719538967</v>
      </c>
      <c r="AC23" s="1">
        <f t="shared" si="27"/>
        <v>-127199.68014113612</v>
      </c>
    </row>
    <row r="24" spans="2:219" s="3" customFormat="1">
      <c r="B24" s="3" t="s">
        <v>24</v>
      </c>
      <c r="C24" s="3">
        <f t="shared" ref="C24" si="28">+SUM(C22:C23)</f>
        <v>34948</v>
      </c>
      <c r="D24" s="3">
        <f t="shared" ref="D24" si="29">+SUM(D22:D23)</f>
        <v>50015</v>
      </c>
      <c r="E24" s="3">
        <f t="shared" ref="E24:F24" si="30">+SUM(E22:E23)</f>
        <v>51192</v>
      </c>
      <c r="F24" s="3">
        <f t="shared" si="30"/>
        <v>43948</v>
      </c>
      <c r="G24" s="3">
        <f t="shared" ref="G24:J24" si="31">+SUM(G22:G23)</f>
        <v>49848</v>
      </c>
      <c r="H24" s="3">
        <f t="shared" si="31"/>
        <v>62663</v>
      </c>
      <c r="I24" s="3">
        <f t="shared" si="31"/>
        <v>62762</v>
      </c>
      <c r="J24" s="3">
        <f t="shared" si="31"/>
        <v>49383</v>
      </c>
      <c r="K24" s="3">
        <f t="shared" ref="K24" si="32">+SUM(K22:K23)</f>
        <v>55387</v>
      </c>
      <c r="L24" s="3">
        <f t="shared" ref="L24" si="33">+SUM(L22:L23)</f>
        <v>123016</v>
      </c>
      <c r="Q24" s="3">
        <f t="shared" ref="Q24:R24" si="34">+SUM(Q22:Q23)</f>
        <v>480143</v>
      </c>
      <c r="R24" s="3">
        <f t="shared" si="34"/>
        <v>180103</v>
      </c>
      <c r="S24" s="3">
        <f>+SUM(S22:S23)</f>
        <v>224656</v>
      </c>
      <c r="T24" s="3">
        <f>+SUM(T22:T23)</f>
        <v>241108.9255994955</v>
      </c>
      <c r="U24" s="3">
        <f t="shared" ref="U24:AC24" si="35">+SUM(U22:U23)</f>
        <v>248342.19336748036</v>
      </c>
      <c r="V24" s="3">
        <f t="shared" si="35"/>
        <v>262001.01400269146</v>
      </c>
      <c r="W24" s="3">
        <f t="shared" si="35"/>
        <v>276411.06977283955</v>
      </c>
      <c r="X24" s="3">
        <f t="shared" si="35"/>
        <v>291613.67861034558</v>
      </c>
      <c r="Y24" s="3">
        <f t="shared" si="35"/>
        <v>307652.43093391461</v>
      </c>
      <c r="Z24" s="3">
        <f t="shared" si="35"/>
        <v>324573.31463527982</v>
      </c>
      <c r="AA24" s="3">
        <f t="shared" si="35"/>
        <v>342424.84694022033</v>
      </c>
      <c r="AB24" s="3">
        <f t="shared" si="35"/>
        <v>361258.21352193254</v>
      </c>
      <c r="AC24" s="3">
        <f t="shared" si="35"/>
        <v>381127.41526563891</v>
      </c>
      <c r="AD24" s="3">
        <f>+AC24*(1+$AF$29)</f>
        <v>384938.68941829528</v>
      </c>
      <c r="AE24" s="3">
        <f>+AD24*(1+$AF$29)</f>
        <v>388788.07631247822</v>
      </c>
      <c r="AF24" s="3">
        <f t="shared" ref="AF24:CQ24" si="36">+AE24*(1+$AF$29)</f>
        <v>392675.95707560302</v>
      </c>
      <c r="AG24" s="3">
        <f t="shared" si="36"/>
        <v>396602.71664635907</v>
      </c>
      <c r="AH24" s="3">
        <f t="shared" si="36"/>
        <v>400568.74381282268</v>
      </c>
      <c r="AI24" s="3">
        <f t="shared" si="36"/>
        <v>404574.4312509509</v>
      </c>
      <c r="AJ24" s="3">
        <f t="shared" si="36"/>
        <v>408620.17556346039</v>
      </c>
      <c r="AK24" s="3">
        <f t="shared" si="36"/>
        <v>412706.37731909502</v>
      </c>
      <c r="AL24" s="3">
        <f t="shared" si="36"/>
        <v>416833.44109228597</v>
      </c>
      <c r="AM24" s="3">
        <f t="shared" si="36"/>
        <v>421001.7755032088</v>
      </c>
      <c r="AN24" s="3">
        <f t="shared" si="36"/>
        <v>425211.79325824091</v>
      </c>
      <c r="AO24" s="3">
        <f t="shared" si="36"/>
        <v>429463.9111908233</v>
      </c>
      <c r="AP24" s="3">
        <f t="shared" si="36"/>
        <v>433758.55030273151</v>
      </c>
      <c r="AQ24" s="3">
        <f t="shared" si="36"/>
        <v>438096.13580575882</v>
      </c>
      <c r="AR24" s="3">
        <f t="shared" si="36"/>
        <v>442477.09716381639</v>
      </c>
      <c r="AS24" s="3">
        <f t="shared" si="36"/>
        <v>446901.86813545454</v>
      </c>
      <c r="AT24" s="3">
        <f t="shared" si="36"/>
        <v>451370.88681680907</v>
      </c>
      <c r="AU24" s="3">
        <f t="shared" si="36"/>
        <v>455884.59568497719</v>
      </c>
      <c r="AV24" s="3">
        <f t="shared" si="36"/>
        <v>460443.44164182694</v>
      </c>
      <c r="AW24" s="3">
        <f t="shared" si="36"/>
        <v>465047.87605824519</v>
      </c>
      <c r="AX24" s="3">
        <f t="shared" si="36"/>
        <v>469698.35481882765</v>
      </c>
      <c r="AY24" s="3">
        <f t="shared" si="36"/>
        <v>474395.33836701594</v>
      </c>
      <c r="AZ24" s="3">
        <f t="shared" si="36"/>
        <v>479139.29175068613</v>
      </c>
      <c r="BA24" s="3">
        <f t="shared" si="36"/>
        <v>483930.68466819299</v>
      </c>
      <c r="BB24" s="3">
        <f t="shared" si="36"/>
        <v>488769.99151487491</v>
      </c>
      <c r="BC24" s="3">
        <f t="shared" si="36"/>
        <v>493657.69143002364</v>
      </c>
      <c r="BD24" s="3">
        <f t="shared" si="36"/>
        <v>498594.26834432391</v>
      </c>
      <c r="BE24" s="3">
        <f t="shared" si="36"/>
        <v>503580.21102776716</v>
      </c>
      <c r="BF24" s="3">
        <f t="shared" si="36"/>
        <v>508616.01313804486</v>
      </c>
      <c r="BG24" s="3">
        <f t="shared" si="36"/>
        <v>513702.17326942529</v>
      </c>
      <c r="BH24" s="3">
        <f t="shared" si="36"/>
        <v>518839.19500211952</v>
      </c>
      <c r="BI24" s="3">
        <f t="shared" si="36"/>
        <v>524027.58695214073</v>
      </c>
      <c r="BJ24" s="3">
        <f t="shared" si="36"/>
        <v>529267.8628216621</v>
      </c>
      <c r="BK24" s="3">
        <f t="shared" si="36"/>
        <v>534560.54144987871</v>
      </c>
      <c r="BL24" s="3">
        <f t="shared" si="36"/>
        <v>539906.14686437754</v>
      </c>
      <c r="BM24" s="3">
        <f t="shared" si="36"/>
        <v>545305.20833302138</v>
      </c>
      <c r="BN24" s="3">
        <f t="shared" si="36"/>
        <v>550758.26041635161</v>
      </c>
      <c r="BO24" s="3">
        <f t="shared" si="36"/>
        <v>556265.84302051517</v>
      </c>
      <c r="BP24" s="3">
        <f t="shared" si="36"/>
        <v>561828.50145072036</v>
      </c>
      <c r="BQ24" s="3">
        <f t="shared" si="36"/>
        <v>567446.7864652276</v>
      </c>
      <c r="BR24" s="3">
        <f t="shared" si="36"/>
        <v>573121.25432987988</v>
      </c>
      <c r="BS24" s="3">
        <f t="shared" si="36"/>
        <v>578852.46687317872</v>
      </c>
      <c r="BT24" s="3">
        <f t="shared" si="36"/>
        <v>584640.99154191057</v>
      </c>
      <c r="BU24" s="3">
        <f t="shared" si="36"/>
        <v>590487.40145732963</v>
      </c>
      <c r="BV24" s="3">
        <f t="shared" si="36"/>
        <v>596392.27547190292</v>
      </c>
      <c r="BW24" s="3">
        <f t="shared" si="36"/>
        <v>602356.19822662196</v>
      </c>
      <c r="BX24" s="3">
        <f t="shared" si="36"/>
        <v>608379.76020888821</v>
      </c>
      <c r="BY24" s="3">
        <f t="shared" si="36"/>
        <v>614463.5578109771</v>
      </c>
      <c r="BZ24" s="3">
        <f t="shared" si="36"/>
        <v>620608.19338908687</v>
      </c>
      <c r="CA24" s="3">
        <f t="shared" si="36"/>
        <v>626814.27532297769</v>
      </c>
      <c r="CB24" s="3">
        <f t="shared" si="36"/>
        <v>633082.41807620751</v>
      </c>
      <c r="CC24" s="3">
        <f t="shared" si="36"/>
        <v>639413.24225696956</v>
      </c>
      <c r="CD24" s="3">
        <f t="shared" si="36"/>
        <v>645807.37467953924</v>
      </c>
      <c r="CE24" s="3">
        <f t="shared" si="36"/>
        <v>652265.44842633465</v>
      </c>
      <c r="CF24" s="3">
        <f t="shared" si="36"/>
        <v>658788.10291059804</v>
      </c>
      <c r="CG24" s="3">
        <f t="shared" si="36"/>
        <v>665375.98393970402</v>
      </c>
      <c r="CH24" s="3">
        <f t="shared" si="36"/>
        <v>672029.74377910106</v>
      </c>
      <c r="CI24" s="3">
        <f t="shared" si="36"/>
        <v>678750.04121689207</v>
      </c>
      <c r="CJ24" s="3">
        <f t="shared" si="36"/>
        <v>685537.54162906099</v>
      </c>
      <c r="CK24" s="3">
        <f t="shared" si="36"/>
        <v>692392.91704535158</v>
      </c>
      <c r="CL24" s="3">
        <f t="shared" si="36"/>
        <v>699316.84621580516</v>
      </c>
      <c r="CM24" s="3">
        <f t="shared" si="36"/>
        <v>706310.01467796322</v>
      </c>
      <c r="CN24" s="3">
        <f t="shared" si="36"/>
        <v>713373.11482474289</v>
      </c>
      <c r="CO24" s="3">
        <f t="shared" si="36"/>
        <v>720506.84597299038</v>
      </c>
      <c r="CP24" s="3">
        <f t="shared" si="36"/>
        <v>727711.91443272028</v>
      </c>
      <c r="CQ24" s="3">
        <f t="shared" si="36"/>
        <v>734989.03357704752</v>
      </c>
      <c r="CR24" s="3">
        <f t="shared" ref="CR24:FC24" si="37">+CQ24*(1+$AF$29)</f>
        <v>742338.92391281796</v>
      </c>
      <c r="CS24" s="3">
        <f t="shared" si="37"/>
        <v>749762.31315194617</v>
      </c>
      <c r="CT24" s="3">
        <f t="shared" si="37"/>
        <v>757259.93628346559</v>
      </c>
      <c r="CU24" s="3">
        <f t="shared" si="37"/>
        <v>764832.5356463003</v>
      </c>
      <c r="CV24" s="3">
        <f t="shared" si="37"/>
        <v>772480.86100276327</v>
      </c>
      <c r="CW24" s="3">
        <f t="shared" si="37"/>
        <v>780205.66961279092</v>
      </c>
      <c r="CX24" s="3">
        <f t="shared" si="37"/>
        <v>788007.72630891879</v>
      </c>
      <c r="CY24" s="3">
        <f t="shared" si="37"/>
        <v>795887.80357200804</v>
      </c>
      <c r="CZ24" s="3">
        <f t="shared" si="37"/>
        <v>803846.68160772813</v>
      </c>
      <c r="DA24" s="3">
        <f t="shared" si="37"/>
        <v>811885.14842380537</v>
      </c>
      <c r="DB24" s="3">
        <f t="shared" si="37"/>
        <v>820003.99990804342</v>
      </c>
      <c r="DC24" s="3">
        <f t="shared" si="37"/>
        <v>828204.03990712389</v>
      </c>
      <c r="DD24" s="3">
        <f t="shared" si="37"/>
        <v>836486.08030619519</v>
      </c>
      <c r="DE24" s="3">
        <f t="shared" si="37"/>
        <v>844850.94110925717</v>
      </c>
      <c r="DF24" s="3">
        <f t="shared" si="37"/>
        <v>853299.45052034978</v>
      </c>
      <c r="DG24" s="3">
        <f t="shared" si="37"/>
        <v>861832.44502555334</v>
      </c>
      <c r="DH24" s="3">
        <f t="shared" si="37"/>
        <v>870450.76947580883</v>
      </c>
      <c r="DI24" s="3">
        <f t="shared" si="37"/>
        <v>879155.27717056696</v>
      </c>
      <c r="DJ24" s="3">
        <f t="shared" si="37"/>
        <v>887946.82994227263</v>
      </c>
      <c r="DK24" s="3">
        <f t="shared" si="37"/>
        <v>896826.29824169539</v>
      </c>
      <c r="DL24" s="3">
        <f t="shared" si="37"/>
        <v>905794.5612241124</v>
      </c>
      <c r="DM24" s="3">
        <f t="shared" si="37"/>
        <v>914852.50683635357</v>
      </c>
      <c r="DN24" s="3">
        <f t="shared" si="37"/>
        <v>924001.03190471709</v>
      </c>
      <c r="DO24" s="3">
        <f t="shared" si="37"/>
        <v>933241.04222376423</v>
      </c>
      <c r="DP24" s="3">
        <f t="shared" si="37"/>
        <v>942573.45264600194</v>
      </c>
      <c r="DQ24" s="3">
        <f t="shared" si="37"/>
        <v>951999.187172462</v>
      </c>
      <c r="DR24" s="3">
        <f t="shared" si="37"/>
        <v>961519.1790441866</v>
      </c>
      <c r="DS24" s="3">
        <f t="shared" si="37"/>
        <v>971134.37083462847</v>
      </c>
      <c r="DT24" s="3">
        <f t="shared" si="37"/>
        <v>980845.71454297472</v>
      </c>
      <c r="DU24" s="3">
        <f t="shared" si="37"/>
        <v>990654.17168840452</v>
      </c>
      <c r="DV24" s="3">
        <f t="shared" si="37"/>
        <v>1000560.7134052885</v>
      </c>
      <c r="DW24" s="3">
        <f t="shared" si="37"/>
        <v>1010566.3205393414</v>
      </c>
      <c r="DX24" s="3">
        <f t="shared" si="37"/>
        <v>1020671.9837447349</v>
      </c>
      <c r="DY24" s="3">
        <f t="shared" si="37"/>
        <v>1030878.7035821823</v>
      </c>
      <c r="DZ24" s="3">
        <f t="shared" si="37"/>
        <v>1041187.4906180041</v>
      </c>
      <c r="EA24" s="3">
        <f t="shared" si="37"/>
        <v>1051599.3655241842</v>
      </c>
      <c r="EB24" s="3">
        <f t="shared" si="37"/>
        <v>1062115.359179426</v>
      </c>
      <c r="EC24" s="3">
        <f t="shared" si="37"/>
        <v>1072736.5127712202</v>
      </c>
      <c r="ED24" s="3">
        <f t="shared" si="37"/>
        <v>1083463.8778989324</v>
      </c>
      <c r="EE24" s="3">
        <f t="shared" si="37"/>
        <v>1094298.5166779219</v>
      </c>
      <c r="EF24" s="3">
        <f t="shared" si="37"/>
        <v>1105241.5018447011</v>
      </c>
      <c r="EG24" s="3">
        <f t="shared" si="37"/>
        <v>1116293.9168631481</v>
      </c>
      <c r="EH24" s="3">
        <f t="shared" si="37"/>
        <v>1127456.8560317797</v>
      </c>
      <c r="EI24" s="3">
        <f t="shared" si="37"/>
        <v>1138731.4245920975</v>
      </c>
      <c r="EJ24" s="3">
        <f t="shared" si="37"/>
        <v>1150118.7388380186</v>
      </c>
      <c r="EK24" s="3">
        <f t="shared" si="37"/>
        <v>1161619.9262263989</v>
      </c>
      <c r="EL24" s="3">
        <f t="shared" si="37"/>
        <v>1173236.1254886629</v>
      </c>
      <c r="EM24" s="3">
        <f t="shared" si="37"/>
        <v>1184968.4867435496</v>
      </c>
      <c r="EN24" s="3">
        <f t="shared" si="37"/>
        <v>1196818.1716109852</v>
      </c>
      <c r="EO24" s="3">
        <f t="shared" si="37"/>
        <v>1208786.353327095</v>
      </c>
      <c r="EP24" s="3">
        <f t="shared" si="37"/>
        <v>1220874.2168603661</v>
      </c>
      <c r="EQ24" s="3">
        <f t="shared" si="37"/>
        <v>1233082.9590289698</v>
      </c>
      <c r="ER24" s="3">
        <f t="shared" si="37"/>
        <v>1245413.7886192594</v>
      </c>
      <c r="ES24" s="3">
        <f t="shared" si="37"/>
        <v>1257867.926505452</v>
      </c>
      <c r="ET24" s="3">
        <f t="shared" si="37"/>
        <v>1270446.6057705067</v>
      </c>
      <c r="EU24" s="3">
        <f t="shared" si="37"/>
        <v>1283151.0718282117</v>
      </c>
      <c r="EV24" s="3">
        <f t="shared" si="37"/>
        <v>1295982.5825464937</v>
      </c>
      <c r="EW24" s="3">
        <f t="shared" si="37"/>
        <v>1308942.4083719586</v>
      </c>
      <c r="EX24" s="3">
        <f t="shared" si="37"/>
        <v>1322031.8324556781</v>
      </c>
      <c r="EY24" s="3">
        <f t="shared" si="37"/>
        <v>1335252.150780235</v>
      </c>
      <c r="EZ24" s="3">
        <f t="shared" si="37"/>
        <v>1348604.6722880374</v>
      </c>
      <c r="FA24" s="3">
        <f t="shared" si="37"/>
        <v>1362090.7190109177</v>
      </c>
      <c r="FB24" s="3">
        <f t="shared" si="37"/>
        <v>1375711.6262010268</v>
      </c>
      <c r="FC24" s="3">
        <f t="shared" si="37"/>
        <v>1389468.7424630371</v>
      </c>
      <c r="FD24" s="3">
        <f t="shared" ref="FD24:GI24" si="38">+FC24*(1+$AF$29)</f>
        <v>1403363.4298876675</v>
      </c>
      <c r="FE24" s="3">
        <f t="shared" si="38"/>
        <v>1417397.0641865442</v>
      </c>
      <c r="FF24" s="3">
        <f t="shared" si="38"/>
        <v>1431571.0348284096</v>
      </c>
      <c r="FG24" s="3">
        <f t="shared" si="38"/>
        <v>1445886.7451766937</v>
      </c>
      <c r="FH24" s="3">
        <f t="shared" si="38"/>
        <v>1460345.6126284606</v>
      </c>
      <c r="FI24" s="3">
        <f t="shared" si="38"/>
        <v>1474949.0687547452</v>
      </c>
      <c r="FJ24" s="3">
        <f t="shared" si="38"/>
        <v>1489698.5594422927</v>
      </c>
      <c r="FK24" s="3">
        <f t="shared" si="38"/>
        <v>1504595.5450367157</v>
      </c>
      <c r="FL24" s="3">
        <f t="shared" si="38"/>
        <v>1519641.5004870829</v>
      </c>
      <c r="FM24" s="3">
        <f t="shared" si="38"/>
        <v>1534837.9154919537</v>
      </c>
      <c r="FN24" s="3">
        <f t="shared" si="38"/>
        <v>1550186.2946468734</v>
      </c>
      <c r="FO24" s="3">
        <f t="shared" si="38"/>
        <v>1565688.157593342</v>
      </c>
      <c r="FP24" s="3">
        <f t="shared" si="38"/>
        <v>1581345.0391692754</v>
      </c>
      <c r="FQ24" s="3">
        <f t="shared" si="38"/>
        <v>1597158.4895609682</v>
      </c>
      <c r="FR24" s="3">
        <f t="shared" si="38"/>
        <v>1613130.0744565779</v>
      </c>
      <c r="FS24" s="3">
        <f t="shared" si="38"/>
        <v>1629261.3752011438</v>
      </c>
      <c r="FT24" s="3">
        <f t="shared" si="38"/>
        <v>1645553.9889531552</v>
      </c>
      <c r="FU24" s="3">
        <f t="shared" si="38"/>
        <v>1662009.5288426869</v>
      </c>
      <c r="FV24" s="3">
        <f t="shared" si="38"/>
        <v>1678629.6241311138</v>
      </c>
      <c r="FW24" s="3">
        <f t="shared" si="38"/>
        <v>1695415.9203724249</v>
      </c>
      <c r="FX24" s="3">
        <f t="shared" si="38"/>
        <v>1712370.0795761491</v>
      </c>
      <c r="FY24" s="3">
        <f t="shared" si="38"/>
        <v>1729493.7803719107</v>
      </c>
      <c r="FZ24" s="3">
        <f t="shared" si="38"/>
        <v>1746788.7181756299</v>
      </c>
      <c r="GA24" s="3">
        <f t="shared" si="38"/>
        <v>1764256.6053573862</v>
      </c>
      <c r="GB24" s="3">
        <f t="shared" si="38"/>
        <v>1781899.1714109601</v>
      </c>
      <c r="GC24" s="3">
        <f t="shared" si="38"/>
        <v>1799718.1631250698</v>
      </c>
      <c r="GD24" s="3">
        <f t="shared" si="38"/>
        <v>1817715.3447563206</v>
      </c>
      <c r="GE24" s="3">
        <f t="shared" si="38"/>
        <v>1835892.4982038839</v>
      </c>
      <c r="GF24" s="3">
        <f t="shared" si="38"/>
        <v>1854251.4231859227</v>
      </c>
      <c r="GG24" s="3">
        <f t="shared" si="38"/>
        <v>1872793.9374177819</v>
      </c>
      <c r="GH24" s="3">
        <f t="shared" si="38"/>
        <v>1891521.8767919599</v>
      </c>
      <c r="GI24" s="3">
        <f t="shared" si="38"/>
        <v>1910437.0955598794</v>
      </c>
      <c r="GJ24" s="3">
        <f t="shared" ref="GJ24:HK24" si="39">+GI24*(1+$AF$29)</f>
        <v>1929541.4665154782</v>
      </c>
      <c r="GK24" s="3">
        <f t="shared" si="39"/>
        <v>1948836.8811806331</v>
      </c>
      <c r="GL24" s="3">
        <f t="shared" si="39"/>
        <v>1968325.2499924395</v>
      </c>
      <c r="GM24" s="3">
        <f t="shared" si="39"/>
        <v>1988008.502492364</v>
      </c>
      <c r="GN24" s="3">
        <f t="shared" si="39"/>
        <v>2007888.5875172876</v>
      </c>
      <c r="GO24" s="3">
        <f t="shared" si="39"/>
        <v>2027967.4733924605</v>
      </c>
      <c r="GP24" s="3">
        <f t="shared" si="39"/>
        <v>2048247.1481263852</v>
      </c>
      <c r="GQ24" s="3">
        <f t="shared" si="39"/>
        <v>2068729.619607649</v>
      </c>
      <c r="GR24" s="3">
        <f t="shared" si="39"/>
        <v>2089416.9158037256</v>
      </c>
      <c r="GS24" s="3">
        <f t="shared" si="39"/>
        <v>2110311.0849617627</v>
      </c>
      <c r="GT24" s="3">
        <f t="shared" si="39"/>
        <v>2131414.1958113802</v>
      </c>
      <c r="GU24" s="3">
        <f t="shared" si="39"/>
        <v>2152728.3377694939</v>
      </c>
      <c r="GV24" s="3">
        <f t="shared" si="39"/>
        <v>2174255.6211471888</v>
      </c>
      <c r="GW24" s="3">
        <f t="shared" si="39"/>
        <v>2195998.1773586608</v>
      </c>
      <c r="GX24" s="3">
        <f t="shared" si="39"/>
        <v>2217958.1591322473</v>
      </c>
      <c r="GY24" s="3">
        <f t="shared" si="39"/>
        <v>2240137.7407235699</v>
      </c>
      <c r="GZ24" s="3">
        <f t="shared" si="39"/>
        <v>2262539.1181308054</v>
      </c>
      <c r="HA24" s="3">
        <f t="shared" si="39"/>
        <v>2285164.5093121133</v>
      </c>
      <c r="HB24" s="3">
        <f t="shared" si="39"/>
        <v>2308016.1544052344</v>
      </c>
      <c r="HC24" s="3">
        <f t="shared" si="39"/>
        <v>2331096.3159492868</v>
      </c>
      <c r="HD24" s="3">
        <f t="shared" si="39"/>
        <v>2354407.2791087795</v>
      </c>
      <c r="HE24" s="3">
        <f t="shared" si="39"/>
        <v>2377951.3518998674</v>
      </c>
      <c r="HF24" s="3">
        <f t="shared" si="39"/>
        <v>2401730.8654188663</v>
      </c>
      <c r="HG24" s="3">
        <f t="shared" si="39"/>
        <v>2425748.1740730549</v>
      </c>
      <c r="HH24" s="3">
        <f t="shared" si="39"/>
        <v>2450005.6558137853</v>
      </c>
      <c r="HI24" s="3">
        <f t="shared" si="39"/>
        <v>2474505.712371923</v>
      </c>
      <c r="HJ24" s="3">
        <f t="shared" si="39"/>
        <v>2499250.7694956423</v>
      </c>
      <c r="HK24" s="3">
        <f t="shared" si="39"/>
        <v>2524243.2771905987</v>
      </c>
    </row>
    <row r="25" spans="2:219" s="4" customFormat="1">
      <c r="B25" s="4" t="s">
        <v>25</v>
      </c>
      <c r="C25" s="4">
        <v>0.17</v>
      </c>
      <c r="D25" s="4">
        <v>0.22</v>
      </c>
      <c r="E25" s="4">
        <v>0.24</v>
      </c>
      <c r="F25" s="4">
        <f t="shared" si="14"/>
        <v>0.18999999999999995</v>
      </c>
      <c r="G25" s="4">
        <v>0.19</v>
      </c>
      <c r="H25" s="4">
        <v>0.28000000000000003</v>
      </c>
      <c r="I25" s="4">
        <v>0.28000000000000003</v>
      </c>
      <c r="J25" s="4">
        <f t="shared" si="15"/>
        <v>0.21999999999999997</v>
      </c>
      <c r="K25" s="4">
        <v>0.2</v>
      </c>
      <c r="L25" s="4">
        <v>0.27</v>
      </c>
      <c r="Q25" s="4">
        <v>0.89</v>
      </c>
      <c r="R25" s="4">
        <v>0.82</v>
      </c>
      <c r="S25" s="4">
        <v>0.97</v>
      </c>
      <c r="T25" s="4">
        <f>+T24/T26</f>
        <v>1.0410390011017316</v>
      </c>
      <c r="U25" s="4">
        <f t="shared" ref="U25:AC25" si="40">+U24/U26</f>
        <v>1.0722701711347835</v>
      </c>
      <c r="V25" s="4">
        <f t="shared" si="40"/>
        <v>1.1312450305471953</v>
      </c>
      <c r="W25" s="4">
        <f t="shared" si="40"/>
        <v>1.1934635072272912</v>
      </c>
      <c r="X25" s="4">
        <f t="shared" si="40"/>
        <v>1.2591040001247917</v>
      </c>
      <c r="Y25" s="4">
        <f t="shared" si="40"/>
        <v>1.3283547201316552</v>
      </c>
      <c r="Z25" s="4">
        <f t="shared" si="40"/>
        <v>1.4014142297388961</v>
      </c>
      <c r="AA25" s="4">
        <f t="shared" si="40"/>
        <v>1.4784920123745358</v>
      </c>
      <c r="AB25" s="4">
        <f t="shared" si="40"/>
        <v>1.5598090730551357</v>
      </c>
      <c r="AC25" s="4">
        <f t="shared" si="40"/>
        <v>1.6455985720731685</v>
      </c>
    </row>
    <row r="26" spans="2:219">
      <c r="B26" s="1" t="s">
        <v>26</v>
      </c>
      <c r="C26" s="1">
        <f t="shared" ref="C26" si="41">+C24/C25</f>
        <v>205576.47058823527</v>
      </c>
      <c r="D26" s="1">
        <f t="shared" ref="D26" si="42">+D24/D25</f>
        <v>227340.90909090909</v>
      </c>
      <c r="E26" s="1">
        <f t="shared" ref="E26" si="43">+E24/E25</f>
        <v>213300</v>
      </c>
      <c r="F26" s="1">
        <f>+F24/F25</f>
        <v>231305.26315789481</v>
      </c>
      <c r="G26" s="1">
        <f t="shared" ref="G26:I26" si="44">+G24/G25</f>
        <v>262357.89473684208</v>
      </c>
      <c r="H26" s="1">
        <f t="shared" si="44"/>
        <v>223796.42857142855</v>
      </c>
      <c r="I26" s="1">
        <f t="shared" si="44"/>
        <v>224149.99999999997</v>
      </c>
      <c r="J26" s="1">
        <f>+J24/J25</f>
        <v>224468.18181818185</v>
      </c>
      <c r="K26" s="1">
        <f t="shared" ref="K26" si="45">+K24/K25</f>
        <v>276935</v>
      </c>
      <c r="L26" s="1">
        <f t="shared" ref="L26" si="46">+L24/L25</f>
        <v>455614.81481481477</v>
      </c>
      <c r="Q26" s="1">
        <f t="shared" ref="Q26:R26" si="47">+Q24/Q25</f>
        <v>539486.51685393252</v>
      </c>
      <c r="R26" s="1">
        <f t="shared" si="47"/>
        <v>219637.8048780488</v>
      </c>
      <c r="S26" s="1">
        <f>+S24/S25</f>
        <v>231604.12371134022</v>
      </c>
      <c r="T26" s="1">
        <f>+S26</f>
        <v>231604.12371134022</v>
      </c>
      <c r="U26" s="1">
        <f t="shared" ref="U26:AC26" si="48">+T26</f>
        <v>231604.12371134022</v>
      </c>
      <c r="V26" s="1">
        <f t="shared" si="48"/>
        <v>231604.12371134022</v>
      </c>
      <c r="W26" s="1">
        <f t="shared" si="48"/>
        <v>231604.12371134022</v>
      </c>
      <c r="X26" s="1">
        <f t="shared" si="48"/>
        <v>231604.12371134022</v>
      </c>
      <c r="Y26" s="1">
        <f t="shared" si="48"/>
        <v>231604.12371134022</v>
      </c>
      <c r="Z26" s="1">
        <f t="shared" si="48"/>
        <v>231604.12371134022</v>
      </c>
      <c r="AA26" s="1">
        <f t="shared" si="48"/>
        <v>231604.12371134022</v>
      </c>
      <c r="AB26" s="1">
        <f t="shared" si="48"/>
        <v>231604.12371134022</v>
      </c>
      <c r="AC26" s="1">
        <f t="shared" si="48"/>
        <v>231604.12371134022</v>
      </c>
    </row>
    <row r="28" spans="2:219">
      <c r="Q28" s="5"/>
      <c r="R28" s="5">
        <f t="shared" ref="R28:S28" si="49">+R10/Q10-1</f>
        <v>-3.9454468279383037E-2</v>
      </c>
      <c r="S28" s="5">
        <f t="shared" si="49"/>
        <v>4.1075063051627225E-2</v>
      </c>
      <c r="T28" s="5">
        <f>+T10/S10-1</f>
        <v>5.4999999999999938E-2</v>
      </c>
      <c r="U28" s="5">
        <f>+U10/T10-1</f>
        <v>3.0000000000000027E-2</v>
      </c>
      <c r="V28" s="5">
        <f t="shared" ref="V28:AC28" si="50">+V10/U10-1</f>
        <v>5.4999999999999938E-2</v>
      </c>
      <c r="W28" s="5">
        <f t="shared" si="50"/>
        <v>5.4999999999999938E-2</v>
      </c>
      <c r="X28" s="5">
        <f t="shared" si="50"/>
        <v>5.4999999999999938E-2</v>
      </c>
      <c r="Y28" s="5">
        <f t="shared" si="50"/>
        <v>5.4999999999999938E-2</v>
      </c>
      <c r="Z28" s="5">
        <f t="shared" si="50"/>
        <v>5.4999999999999938E-2</v>
      </c>
      <c r="AA28" s="5">
        <f t="shared" si="50"/>
        <v>5.4999999999999938E-2</v>
      </c>
      <c r="AB28" s="5">
        <f t="shared" si="50"/>
        <v>5.4999999999999938E-2</v>
      </c>
      <c r="AC28" s="5">
        <f t="shared" si="50"/>
        <v>5.4999999999999938E-2</v>
      </c>
    </row>
    <row r="29" spans="2:219">
      <c r="B29" s="1" t="s">
        <v>40</v>
      </c>
      <c r="C29" s="5">
        <f t="shared" ref="C29:I29" si="51">+C18/C10</f>
        <v>0.14822068463070176</v>
      </c>
      <c r="D29" s="5">
        <f t="shared" si="51"/>
        <v>0.18249926085428508</v>
      </c>
      <c r="E29" s="5">
        <f t="shared" si="51"/>
        <v>0.18548770206301907</v>
      </c>
      <c r="F29" s="5">
        <f t="shared" si="51"/>
        <v>0.16158133119606344</v>
      </c>
      <c r="G29" s="5">
        <f t="shared" si="51"/>
        <v>0.17631952678387389</v>
      </c>
      <c r="H29" s="5">
        <f t="shared" si="51"/>
        <v>0.19998575409792277</v>
      </c>
      <c r="I29" s="5">
        <f t="shared" si="51"/>
        <v>0.19252754039105993</v>
      </c>
      <c r="J29" s="5">
        <f>+J18/J10</f>
        <v>0.17190757068792992</v>
      </c>
      <c r="K29" s="5">
        <f>+K18/K10</f>
        <v>0.17681060227806109</v>
      </c>
      <c r="L29" s="5">
        <f>+L18/L10</f>
        <v>0.18553529095346813</v>
      </c>
      <c r="M29" s="5"/>
      <c r="N29" s="5"/>
      <c r="Q29" s="5">
        <f>+Q18/Q10</f>
        <v>0.28822897920679436</v>
      </c>
      <c r="R29" s="5">
        <f>+R18/R10</f>
        <v>0.16990987852570144</v>
      </c>
      <c r="S29" s="5">
        <f>+S18/S10</f>
        <v>0.18540845204709619</v>
      </c>
      <c r="AE29" s="1" t="s">
        <v>35</v>
      </c>
      <c r="AF29" s="5">
        <v>0.01</v>
      </c>
    </row>
    <row r="30" spans="2:219" s="9" customFormat="1">
      <c r="B30" s="9" t="s">
        <v>11</v>
      </c>
      <c r="C30" s="9">
        <f t="shared" ref="C30:L35" si="52">+C11/C$10</f>
        <v>0.37870797289636809</v>
      </c>
      <c r="D30" s="9">
        <f t="shared" si="52"/>
        <v>0.36684871035343253</v>
      </c>
      <c r="E30" s="9">
        <f t="shared" si="52"/>
        <v>0.36834288139189475</v>
      </c>
      <c r="F30" s="9">
        <f t="shared" si="52"/>
        <v>0.36283200685914524</v>
      </c>
      <c r="G30" s="9">
        <f t="shared" si="52"/>
        <v>0.37165922538846874</v>
      </c>
      <c r="H30" s="9">
        <f t="shared" si="52"/>
        <v>0.35794609706801528</v>
      </c>
      <c r="I30" s="9">
        <f t="shared" si="52"/>
        <v>0.36240157659089467</v>
      </c>
      <c r="J30" s="9">
        <f t="shared" si="52"/>
        <v>0.36516162922106865</v>
      </c>
      <c r="K30" s="9">
        <f t="shared" si="52"/>
        <v>0.35925558154886461</v>
      </c>
      <c r="L30" s="9">
        <f>+L11/L$10</f>
        <v>0.3502304954908389</v>
      </c>
      <c r="N30" s="9">
        <f>AVERAGE(K30:L30)</f>
        <v>0.35474303851985178</v>
      </c>
      <c r="Q30" s="9">
        <f>+Q11/Q$10</f>
        <v>0.28038419896056893</v>
      </c>
      <c r="R30" s="9">
        <f>+R11/R$10</f>
        <v>0.3689654761024192</v>
      </c>
      <c r="S30" s="9">
        <f>+S11/S$10</f>
        <v>0.36418271544725883</v>
      </c>
      <c r="T30" s="9">
        <f>+T11/T$10</f>
        <v>0.35499999999999998</v>
      </c>
      <c r="U30" s="9">
        <f t="shared" ref="U30:AC30" si="53">+U11/U$10</f>
        <v>0.35499999999999998</v>
      </c>
      <c r="V30" s="9">
        <f t="shared" si="53"/>
        <v>0.35499999999999998</v>
      </c>
      <c r="W30" s="9">
        <f t="shared" si="53"/>
        <v>0.35499999999999998</v>
      </c>
      <c r="X30" s="9">
        <f t="shared" si="53"/>
        <v>0.35499999999999998</v>
      </c>
      <c r="Y30" s="9">
        <f t="shared" si="53"/>
        <v>0.35499999999999998</v>
      </c>
      <c r="Z30" s="9">
        <f t="shared" si="53"/>
        <v>0.35499999999999998</v>
      </c>
      <c r="AA30" s="9">
        <f t="shared" si="53"/>
        <v>0.35499999999999993</v>
      </c>
      <c r="AB30" s="9">
        <f t="shared" si="53"/>
        <v>0.35499999999999998</v>
      </c>
      <c r="AC30" s="9">
        <f t="shared" si="53"/>
        <v>0.35499999999999998</v>
      </c>
      <c r="AE30" s="9" t="s">
        <v>36</v>
      </c>
      <c r="AF30" s="9">
        <v>7.0000000000000007E-2</v>
      </c>
    </row>
    <row r="31" spans="2:219" s="9" customFormat="1">
      <c r="B31" s="9" t="s">
        <v>12</v>
      </c>
      <c r="C31" s="9">
        <f t="shared" si="52"/>
        <v>2.4181252980192084E-2</v>
      </c>
      <c r="D31" s="9">
        <f t="shared" si="52"/>
        <v>1.8431225977764264E-2</v>
      </c>
      <c r="E31" s="9">
        <f t="shared" si="52"/>
        <v>2.3899250613535525E-2</v>
      </c>
      <c r="F31" s="9">
        <f t="shared" si="52"/>
        <v>2.2888669363106001E-2</v>
      </c>
      <c r="G31" s="9">
        <f t="shared" si="52"/>
        <v>2.5075311030300279E-2</v>
      </c>
      <c r="H31" s="9">
        <f t="shared" si="52"/>
        <v>2.4551031492347278E-2</v>
      </c>
      <c r="I31" s="9">
        <f t="shared" si="52"/>
        <v>2.6892862656773618E-2</v>
      </c>
      <c r="J31" s="9">
        <f t="shared" si="52"/>
        <v>2.8465683037671254E-2</v>
      </c>
      <c r="K31" s="9">
        <f t="shared" si="52"/>
        <v>2.7567867781947926E-2</v>
      </c>
      <c r="L31" s="9">
        <f t="shared" ref="L31:L35" si="54">+L12/L$10</f>
        <v>2.842339682545245E-2</v>
      </c>
      <c r="N31" s="9">
        <f t="shared" ref="N31:N35" si="55">AVERAGE(K31:L31)</f>
        <v>2.7995632303700189E-2</v>
      </c>
      <c r="Q31" s="9">
        <f t="shared" ref="Q31:T35" si="56">+Q12/Q$10</f>
        <v>1.9664664751844765E-2</v>
      </c>
      <c r="R31" s="9">
        <f t="shared" si="56"/>
        <v>2.2302977086668847E-2</v>
      </c>
      <c r="S31" s="9">
        <f t="shared" si="56"/>
        <v>2.6239263505590908E-2</v>
      </c>
      <c r="T31" s="9">
        <f t="shared" si="56"/>
        <v>2.8000000000000001E-2</v>
      </c>
      <c r="U31" s="9">
        <f t="shared" ref="U31:AC31" si="57">+U12/U$10</f>
        <v>2.8000000000000001E-2</v>
      </c>
      <c r="V31" s="9">
        <f t="shared" si="57"/>
        <v>2.8000000000000001E-2</v>
      </c>
      <c r="W31" s="9">
        <f t="shared" si="57"/>
        <v>2.8000000000000001E-2</v>
      </c>
      <c r="X31" s="9">
        <f t="shared" si="57"/>
        <v>2.8000000000000001E-2</v>
      </c>
      <c r="Y31" s="9">
        <f t="shared" si="57"/>
        <v>2.8000000000000001E-2</v>
      </c>
      <c r="Z31" s="9">
        <f t="shared" si="57"/>
        <v>2.8000000000000004E-2</v>
      </c>
      <c r="AA31" s="9">
        <f t="shared" si="57"/>
        <v>2.8000000000000001E-2</v>
      </c>
      <c r="AB31" s="9">
        <f t="shared" si="57"/>
        <v>2.8000000000000001E-2</v>
      </c>
      <c r="AC31" s="9">
        <f t="shared" si="57"/>
        <v>2.8000000000000004E-2</v>
      </c>
      <c r="AE31" s="9" t="s">
        <v>37</v>
      </c>
      <c r="AF31" s="1">
        <f>NPV(AF30,T24:HK24)+(MAIN!D5*1000-MAIN!D6*1000)</f>
        <v>3083596.7951694457</v>
      </c>
    </row>
    <row r="32" spans="2:219" s="9" customFormat="1">
      <c r="B32" s="9" t="s">
        <v>13</v>
      </c>
      <c r="C32" s="9">
        <f t="shared" si="52"/>
        <v>5.9217056214864429E-2</v>
      </c>
      <c r="D32" s="9">
        <f t="shared" si="52"/>
        <v>5.9644875349350944E-2</v>
      </c>
      <c r="E32" s="9">
        <f t="shared" si="52"/>
        <v>5.9498393635378705E-2</v>
      </c>
      <c r="F32" s="9">
        <f t="shared" si="52"/>
        <v>5.8496579746882632E-2</v>
      </c>
      <c r="G32" s="9">
        <f t="shared" si="52"/>
        <v>5.7920942801437954E-2</v>
      </c>
      <c r="H32" s="9">
        <f t="shared" si="52"/>
        <v>5.7688780461745304E-2</v>
      </c>
      <c r="I32" s="9">
        <f t="shared" si="52"/>
        <v>5.7897939352108324E-2</v>
      </c>
      <c r="J32" s="9">
        <f t="shared" si="52"/>
        <v>5.6357983246123657E-2</v>
      </c>
      <c r="K32" s="9">
        <f t="shared" si="52"/>
        <v>5.9425566569986515E-2</v>
      </c>
      <c r="L32" s="9">
        <f t="shared" si="54"/>
        <v>5.6752177485908321E-2</v>
      </c>
      <c r="N32" s="9">
        <f t="shared" si="55"/>
        <v>5.8088872027947422E-2</v>
      </c>
      <c r="Q32" s="9">
        <f t="shared" si="56"/>
        <v>6.0695056514137931E-2</v>
      </c>
      <c r="R32" s="9">
        <f t="shared" si="56"/>
        <v>5.9213888776213849E-2</v>
      </c>
      <c r="S32" s="9">
        <f t="shared" si="56"/>
        <v>5.7468034606142894E-2</v>
      </c>
      <c r="T32" s="9">
        <f t="shared" si="56"/>
        <v>5.7999999999999996E-2</v>
      </c>
      <c r="U32" s="9">
        <f t="shared" ref="U32:AC32" si="58">+U13/U$10</f>
        <v>5.8000000000000003E-2</v>
      </c>
      <c r="V32" s="9">
        <f t="shared" si="58"/>
        <v>5.800000000000001E-2</v>
      </c>
      <c r="W32" s="9">
        <f t="shared" si="58"/>
        <v>5.800000000000001E-2</v>
      </c>
      <c r="X32" s="9">
        <f t="shared" si="58"/>
        <v>5.8000000000000003E-2</v>
      </c>
      <c r="Y32" s="9">
        <f t="shared" si="58"/>
        <v>5.8000000000000003E-2</v>
      </c>
      <c r="Z32" s="9">
        <f t="shared" si="58"/>
        <v>5.8000000000000003E-2</v>
      </c>
      <c r="AA32" s="9">
        <f t="shared" si="58"/>
        <v>5.7999999999999996E-2</v>
      </c>
      <c r="AB32" s="9">
        <f t="shared" si="58"/>
        <v>5.8000000000000003E-2</v>
      </c>
      <c r="AC32" s="9">
        <f t="shared" si="58"/>
        <v>5.8000000000000003E-2</v>
      </c>
      <c r="AE32" s="9" t="s">
        <v>38</v>
      </c>
      <c r="AF32" s="1">
        <f>+MAIN!D3*1000</f>
        <v>203242.70799999998</v>
      </c>
    </row>
    <row r="33" spans="2:32" s="5" customFormat="1">
      <c r="B33" s="5" t="s">
        <v>14</v>
      </c>
      <c r="C33" s="5">
        <f t="shared" si="52"/>
        <v>0.20014611894573339</v>
      </c>
      <c r="D33" s="5">
        <f t="shared" si="52"/>
        <v>0.2063527482274449</v>
      </c>
      <c r="E33" s="5">
        <f t="shared" si="52"/>
        <v>0.20329572318328704</v>
      </c>
      <c r="F33" s="5">
        <f t="shared" si="52"/>
        <v>0.2119587705727759</v>
      </c>
      <c r="G33" s="5">
        <f t="shared" si="52"/>
        <v>0.19224594228139946</v>
      </c>
      <c r="H33" s="5">
        <f t="shared" si="52"/>
        <v>0.19520091173773294</v>
      </c>
      <c r="I33" s="5">
        <f t="shared" si="52"/>
        <v>0.19597497071137307</v>
      </c>
      <c r="J33" s="5">
        <f t="shared" si="52"/>
        <v>0.20129251587438107</v>
      </c>
      <c r="K33" s="5">
        <f t="shared" si="52"/>
        <v>0.20079176741411456</v>
      </c>
      <c r="L33" s="5">
        <f t="shared" si="54"/>
        <v>0.21168965197020642</v>
      </c>
      <c r="N33" s="9">
        <f t="shared" si="55"/>
        <v>0.20624070969216049</v>
      </c>
      <c r="Q33" s="5">
        <f t="shared" si="56"/>
        <v>0.18873998546006607</v>
      </c>
      <c r="R33" s="5">
        <f t="shared" si="56"/>
        <v>0.20556381397324272</v>
      </c>
      <c r="S33" s="5">
        <f t="shared" si="56"/>
        <v>0.1961896388760796</v>
      </c>
      <c r="T33" s="5">
        <f t="shared" si="56"/>
        <v>0.20599999999999999</v>
      </c>
      <c r="U33" s="5">
        <f t="shared" ref="U33:AC33" si="59">+U14/U$10</f>
        <v>0.20599999999999999</v>
      </c>
      <c r="V33" s="5">
        <f t="shared" si="59"/>
        <v>0.20599999999999999</v>
      </c>
      <c r="W33" s="5">
        <f t="shared" si="59"/>
        <v>0.20600000000000002</v>
      </c>
      <c r="X33" s="5">
        <f t="shared" si="59"/>
        <v>0.20600000000000004</v>
      </c>
      <c r="Y33" s="5">
        <f t="shared" si="59"/>
        <v>0.20600000000000007</v>
      </c>
      <c r="Z33" s="5">
        <f t="shared" si="59"/>
        <v>0.20600000000000007</v>
      </c>
      <c r="AA33" s="5">
        <f t="shared" si="59"/>
        <v>0.20600000000000007</v>
      </c>
      <c r="AB33" s="5">
        <f t="shared" si="59"/>
        <v>0.20600000000000007</v>
      </c>
      <c r="AC33" s="5">
        <f t="shared" si="59"/>
        <v>0.20600000000000007</v>
      </c>
      <c r="AE33" s="5" t="s">
        <v>39</v>
      </c>
      <c r="AF33" s="10">
        <f>+AF31/AF32</f>
        <v>15.171992272261232</v>
      </c>
    </row>
    <row r="34" spans="2:32" s="5" customFormat="1">
      <c r="B34" s="5" t="s">
        <v>15</v>
      </c>
      <c r="C34" s="5">
        <f t="shared" si="52"/>
        <v>0.12759008110215433</v>
      </c>
      <c r="D34" s="5">
        <f t="shared" si="52"/>
        <v>0.11461314321947701</v>
      </c>
      <c r="E34" s="5">
        <f t="shared" si="52"/>
        <v>0.11739887225880589</v>
      </c>
      <c r="F34" s="5">
        <f t="shared" si="52"/>
        <v>0.12762669847719521</v>
      </c>
      <c r="G34" s="5">
        <f t="shared" si="52"/>
        <v>0.11776697358393516</v>
      </c>
      <c r="H34" s="5">
        <f t="shared" si="52"/>
        <v>0.11172704851620026</v>
      </c>
      <c r="I34" s="5">
        <f t="shared" si="52"/>
        <v>0.10768769696034002</v>
      </c>
      <c r="J34" s="5">
        <f t="shared" si="52"/>
        <v>0.12144248322855225</v>
      </c>
      <c r="K34" s="5">
        <f t="shared" si="52"/>
        <v>0.11922700760912047</v>
      </c>
      <c r="L34" s="5">
        <f t="shared" si="54"/>
        <v>0.10774503396545108</v>
      </c>
      <c r="N34" s="9">
        <f t="shared" si="55"/>
        <v>0.11348602078728579</v>
      </c>
      <c r="Q34" s="5">
        <f t="shared" si="56"/>
        <v>0.11137351036726627</v>
      </c>
      <c r="R34" s="5">
        <f t="shared" si="56"/>
        <v>0.1216790224790683</v>
      </c>
      <c r="S34" s="5">
        <f t="shared" si="56"/>
        <v>0.11457944662074883</v>
      </c>
      <c r="T34" s="5">
        <f t="shared" si="56"/>
        <v>0.113</v>
      </c>
      <c r="U34" s="5">
        <f t="shared" ref="U34:AC34" si="60">+U15/U$10</f>
        <v>0.113</v>
      </c>
      <c r="V34" s="5">
        <f t="shared" si="60"/>
        <v>0.11300000000000002</v>
      </c>
      <c r="W34" s="5">
        <f t="shared" si="60"/>
        <v>0.11300000000000002</v>
      </c>
      <c r="X34" s="5">
        <f t="shared" si="60"/>
        <v>0.11300000000000002</v>
      </c>
      <c r="Y34" s="5">
        <f t="shared" si="60"/>
        <v>0.11300000000000002</v>
      </c>
      <c r="Z34" s="5">
        <f t="shared" si="60"/>
        <v>0.11300000000000002</v>
      </c>
      <c r="AA34" s="5">
        <f t="shared" si="60"/>
        <v>0.113</v>
      </c>
      <c r="AB34" s="5">
        <f t="shared" si="60"/>
        <v>0.11300000000000002</v>
      </c>
      <c r="AC34" s="5">
        <f t="shared" si="60"/>
        <v>0.113</v>
      </c>
      <c r="AE34" s="5" t="s">
        <v>41</v>
      </c>
      <c r="AF34" s="10">
        <f>+MAIN!D2</f>
        <v>16.97</v>
      </c>
    </row>
    <row r="35" spans="2:32" s="5" customFormat="1">
      <c r="B35" s="5" t="s">
        <v>16</v>
      </c>
      <c r="C35" s="5">
        <f t="shared" si="52"/>
        <v>6.8006704281039526E-2</v>
      </c>
      <c r="D35" s="5">
        <f t="shared" si="52"/>
        <v>6.2158900523073435E-2</v>
      </c>
      <c r="E35" s="5">
        <f t="shared" si="52"/>
        <v>6.4314670962823603E-2</v>
      </c>
      <c r="F35" s="5">
        <f t="shared" si="52"/>
        <v>6.0582281784123317E-2</v>
      </c>
      <c r="G35" s="5">
        <f t="shared" si="52"/>
        <v>6.3297195385083785E-2</v>
      </c>
      <c r="H35" s="5">
        <f t="shared" si="52"/>
        <v>5.9651153472883814E-2</v>
      </c>
      <c r="I35" s="5">
        <f t="shared" si="52"/>
        <v>6.2278973036299735E-2</v>
      </c>
      <c r="J35" s="5">
        <f t="shared" si="52"/>
        <v>6.3869298308890585E-2</v>
      </c>
      <c r="K35" s="5">
        <f t="shared" si="52"/>
        <v>6.2593384235338556E-2</v>
      </c>
      <c r="L35" s="5">
        <f t="shared" si="54"/>
        <v>6.5691652926880978E-2</v>
      </c>
      <c r="N35" s="9">
        <f t="shared" si="55"/>
        <v>6.4142518581109767E-2</v>
      </c>
      <c r="Q35" s="5">
        <f t="shared" si="56"/>
        <v>5.7545501467286521E-2</v>
      </c>
      <c r="R35" s="5">
        <f t="shared" si="56"/>
        <v>6.3666753360168554E-2</v>
      </c>
      <c r="S35" s="5">
        <f t="shared" si="56"/>
        <v>6.2243476969423048E-2</v>
      </c>
      <c r="T35" s="5">
        <f t="shared" si="56"/>
        <v>6.4000000000000001E-2</v>
      </c>
      <c r="U35" s="5">
        <f t="shared" ref="U35:AC35" si="61">+U16/U$10</f>
        <v>6.4000000000000001E-2</v>
      </c>
      <c r="V35" s="5">
        <f t="shared" si="61"/>
        <v>6.4000000000000001E-2</v>
      </c>
      <c r="W35" s="5">
        <f t="shared" si="61"/>
        <v>6.4000000000000001E-2</v>
      </c>
      <c r="X35" s="5">
        <f t="shared" si="61"/>
        <v>6.4000000000000001E-2</v>
      </c>
      <c r="Y35" s="5">
        <f t="shared" si="61"/>
        <v>6.4000000000000001E-2</v>
      </c>
      <c r="Z35" s="5">
        <f t="shared" si="61"/>
        <v>6.4000000000000001E-2</v>
      </c>
      <c r="AA35" s="5">
        <f t="shared" si="61"/>
        <v>6.4000000000000001E-2</v>
      </c>
      <c r="AB35" s="5">
        <f t="shared" si="61"/>
        <v>6.4000000000000001E-2</v>
      </c>
      <c r="AC35" s="5">
        <f t="shared" si="61"/>
        <v>6.4000000000000001E-2</v>
      </c>
      <c r="AE35" s="5" t="s">
        <v>42</v>
      </c>
      <c r="AF35" s="5">
        <f>+AF33/AF34-1</f>
        <v>-0.10595213481077004</v>
      </c>
    </row>
    <row r="39" spans="2:32">
      <c r="B39" s="1" t="s">
        <v>50</v>
      </c>
    </row>
  </sheetData>
  <pageMargins left="0.7" right="0.7" top="0.75" bottom="0.75" header="0.3" footer="0.3"/>
  <ignoredErrors>
    <ignoredError sqref="Q10" formulaRange="1"/>
    <ignoredError sqref="D10:J24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2024-04-10T02:22:40Z</dcterms:created>
  <dcterms:modified xsi:type="dcterms:W3CDTF">2024-08-19T02:06:32Z</dcterms:modified>
</cp:coreProperties>
</file>