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36FC3DF-A29D-CD45-91C0-509C99DD9F65}" xr6:coauthVersionLast="47" xr6:coauthVersionMax="47" xr10:uidLastSave="{00000000-0000-0000-0000-000000000000}"/>
  <bookViews>
    <workbookView xWindow="14800" yWindow="500" windowWidth="36340" windowHeight="28300" xr2:uid="{39773B44-95BC-A641-A327-344C16B2EF1F}"/>
  </bookViews>
  <sheets>
    <sheet name="Main" sheetId="2" r:id="rId1"/>
    <sheet name="Model" sheetId="1" r:id="rId2"/>
    <sheet name="Bo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91" i="1" l="1"/>
  <c r="AT88" i="1"/>
  <c r="AU88" i="1" s="1"/>
  <c r="AB103" i="1"/>
  <c r="AB100" i="1"/>
  <c r="AB101" i="1" s="1"/>
  <c r="AB102" i="1" s="1"/>
  <c r="AB90" i="1"/>
  <c r="AB95" i="1" s="1"/>
  <c r="AB97" i="1" s="1"/>
  <c r="AB71" i="1"/>
  <c r="AB80" i="1" s="1"/>
  <c r="AB65" i="1"/>
  <c r="BI59" i="1" s="1"/>
  <c r="I7" i="2"/>
  <c r="I6" i="2"/>
  <c r="I10" i="2" s="1"/>
  <c r="AA36" i="1"/>
  <c r="AA30" i="1"/>
  <c r="AA55" i="1" s="1"/>
  <c r="AT15" i="1"/>
  <c r="AT14" i="1"/>
  <c r="AU14" i="1" s="1"/>
  <c r="Y15" i="1"/>
  <c r="X15" i="1"/>
  <c r="W15" i="1"/>
  <c r="U15" i="1"/>
  <c r="T15" i="1"/>
  <c r="S15" i="1"/>
  <c r="S14" i="1"/>
  <c r="Z23" i="1"/>
  <c r="AT24" i="1"/>
  <c r="AT23" i="1"/>
  <c r="AT22" i="1"/>
  <c r="Z20" i="1"/>
  <c r="Z19" i="1"/>
  <c r="Z18" i="1"/>
  <c r="Z22" i="1" s="1"/>
  <c r="V8" i="1"/>
  <c r="V15" i="1" s="1"/>
  <c r="V7" i="1"/>
  <c r="V5" i="1"/>
  <c r="V4" i="1"/>
  <c r="AR6" i="1"/>
  <c r="AS6" i="1"/>
  <c r="AR9" i="1"/>
  <c r="AR10" i="1" s="1"/>
  <c r="AS9" i="1"/>
  <c r="AS10" i="1" s="1"/>
  <c r="Y14" i="1"/>
  <c r="X14" i="1"/>
  <c r="W14" i="1"/>
  <c r="U14" i="1"/>
  <c r="T14" i="1"/>
  <c r="Z8" i="1"/>
  <c r="Z7" i="1"/>
  <c r="Z10" i="1" s="1"/>
  <c r="Z5" i="1"/>
  <c r="Z4" i="1"/>
  <c r="S6" i="1"/>
  <c r="S10" i="1" s="1"/>
  <c r="T9" i="1"/>
  <c r="T6" i="1"/>
  <c r="T11" i="1" s="1"/>
  <c r="U9" i="1"/>
  <c r="U6" i="1"/>
  <c r="V11" i="1" s="1"/>
  <c r="Y10" i="1"/>
  <c r="Y9" i="1"/>
  <c r="Y6" i="1"/>
  <c r="AT9" i="1"/>
  <c r="AT6" i="1"/>
  <c r="AT10" i="1" s="1"/>
  <c r="AU10" i="1" s="1"/>
  <c r="W9" i="1"/>
  <c r="X9" i="1"/>
  <c r="W6" i="1"/>
  <c r="W10" i="1" s="1"/>
  <c r="AA9" i="1"/>
  <c r="AA6" i="1"/>
  <c r="X6" i="1"/>
  <c r="AB9" i="1"/>
  <c r="AB12" i="1" s="1"/>
  <c r="AB6" i="1"/>
  <c r="AB11" i="1" s="1"/>
  <c r="Z12" i="1"/>
  <c r="Z11" i="1"/>
  <c r="P11" i="1"/>
  <c r="AB24" i="1"/>
  <c r="AB23" i="1"/>
  <c r="AB22" i="1"/>
  <c r="AB36" i="1"/>
  <c r="AB30" i="1"/>
  <c r="Z46" i="1"/>
  <c r="AP46" i="1"/>
  <c r="AQ46" i="1"/>
  <c r="AR46" i="1"/>
  <c r="AS46" i="1"/>
  <c r="AV50" i="1"/>
  <c r="AW50" i="1" s="1"/>
  <c r="AX50" i="1" s="1"/>
  <c r="AY50" i="1" s="1"/>
  <c r="AZ50" i="1" s="1"/>
  <c r="BA50" i="1" s="1"/>
  <c r="BB50" i="1" s="1"/>
  <c r="BC50" i="1" s="1"/>
  <c r="BD50" i="1" s="1"/>
  <c r="AT66" i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D41" i="1" s="1"/>
  <c r="Q109" i="1"/>
  <c r="P109" i="1"/>
  <c r="O109" i="1"/>
  <c r="N109" i="1"/>
  <c r="M109" i="1"/>
  <c r="L108" i="1"/>
  <c r="K108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Z100" i="1"/>
  <c r="Z101" i="1" s="1"/>
  <c r="Y100" i="1"/>
  <c r="Y101" i="1" s="1"/>
  <c r="Y102" i="1" s="1"/>
  <c r="X100" i="1"/>
  <c r="X101" i="1" s="1"/>
  <c r="X102" i="1" s="1"/>
  <c r="W100" i="1"/>
  <c r="W101" i="1" s="1"/>
  <c r="W102" i="1" s="1"/>
  <c r="V100" i="1"/>
  <c r="V101" i="1" s="1"/>
  <c r="V102" i="1" s="1"/>
  <c r="U100" i="1"/>
  <c r="U101" i="1" s="1"/>
  <c r="U102" i="1" s="1"/>
  <c r="T100" i="1"/>
  <c r="T101" i="1" s="1"/>
  <c r="T102" i="1" s="1"/>
  <c r="S100" i="1"/>
  <c r="S101" i="1" s="1"/>
  <c r="S102" i="1" s="1"/>
  <c r="R100" i="1"/>
  <c r="R101" i="1" s="1"/>
  <c r="R102" i="1" s="1"/>
  <c r="Q100" i="1"/>
  <c r="Q101" i="1" s="1"/>
  <c r="Q102" i="1" s="1"/>
  <c r="P100" i="1"/>
  <c r="P101" i="1" s="1"/>
  <c r="P102" i="1" s="1"/>
  <c r="O100" i="1"/>
  <c r="O101" i="1" s="1"/>
  <c r="O102" i="1" s="1"/>
  <c r="N100" i="1"/>
  <c r="N101" i="1" s="1"/>
  <c r="N102" i="1" s="1"/>
  <c r="M100" i="1"/>
  <c r="M101" i="1" s="1"/>
  <c r="M102" i="1" s="1"/>
  <c r="L100" i="1"/>
  <c r="L101" i="1" s="1"/>
  <c r="L102" i="1" s="1"/>
  <c r="K100" i="1"/>
  <c r="K101" i="1" s="1"/>
  <c r="K102" i="1" s="1"/>
  <c r="J100" i="1"/>
  <c r="J101" i="1" s="1"/>
  <c r="J102" i="1" s="1"/>
  <c r="B6" i="2"/>
  <c r="Z90" i="1"/>
  <c r="Z95" i="1" s="1"/>
  <c r="Z97" i="1" s="1"/>
  <c r="Z71" i="1"/>
  <c r="Z80" i="1" s="1"/>
  <c r="Z65" i="1"/>
  <c r="AT65" i="1" s="1"/>
  <c r="Z44" i="1"/>
  <c r="Z42" i="1"/>
  <c r="Z41" i="1"/>
  <c r="Z40" i="1"/>
  <c r="Z38" i="1"/>
  <c r="Z37" i="1"/>
  <c r="Z35" i="1"/>
  <c r="Z34" i="1"/>
  <c r="Z33" i="1"/>
  <c r="Z32" i="1"/>
  <c r="Z31" i="1"/>
  <c r="Z109" i="1" s="1"/>
  <c r="Z29" i="1"/>
  <c r="Z28" i="1"/>
  <c r="Z27" i="1"/>
  <c r="Z59" i="1"/>
  <c r="Z58" i="1"/>
  <c r="Z57" i="1"/>
  <c r="AT30" i="1"/>
  <c r="Y109" i="1"/>
  <c r="Y108" i="1"/>
  <c r="Y90" i="1"/>
  <c r="Y95" i="1" s="1"/>
  <c r="Y97" i="1" s="1"/>
  <c r="Y71" i="1"/>
  <c r="Y80" i="1" s="1"/>
  <c r="Y65" i="1"/>
  <c r="Y24" i="1"/>
  <c r="Y23" i="1"/>
  <c r="Y22" i="1"/>
  <c r="Y59" i="1"/>
  <c r="Y58" i="1"/>
  <c r="Y57" i="1"/>
  <c r="Y36" i="1"/>
  <c r="Y30" i="1"/>
  <c r="AQ13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X211" i="1"/>
  <c r="X71" i="1"/>
  <c r="X80" i="1" s="1"/>
  <c r="X65" i="1"/>
  <c r="T59" i="1"/>
  <c r="X59" i="1"/>
  <c r="T58" i="1"/>
  <c r="X58" i="1"/>
  <c r="T57" i="1"/>
  <c r="X57" i="1"/>
  <c r="W12" i="1"/>
  <c r="V12" i="1"/>
  <c r="T12" i="1"/>
  <c r="S12" i="1"/>
  <c r="R12" i="1"/>
  <c r="Q12" i="1"/>
  <c r="P12" i="1"/>
  <c r="S11" i="1"/>
  <c r="R11" i="1"/>
  <c r="Q11" i="1"/>
  <c r="AO176" i="1"/>
  <c r="AP176" i="1"/>
  <c r="AQ176" i="1"/>
  <c r="AR176" i="1"/>
  <c r="AQ179" i="1"/>
  <c r="AQ187" i="1" s="1"/>
  <c r="AR180" i="1"/>
  <c r="AR179" i="1"/>
  <c r="AS179" i="1"/>
  <c r="AS187" i="1" s="1"/>
  <c r="AS176" i="1"/>
  <c r="AO187" i="1"/>
  <c r="AP187" i="1"/>
  <c r="AS167" i="1"/>
  <c r="V20" i="1"/>
  <c r="AS20" i="1" s="1"/>
  <c r="V19" i="1"/>
  <c r="V18" i="1"/>
  <c r="AS18" i="1" s="1"/>
  <c r="W22" i="1"/>
  <c r="X22" i="1"/>
  <c r="W23" i="1"/>
  <c r="X23" i="1"/>
  <c r="W24" i="1"/>
  <c r="X24" i="1"/>
  <c r="X186" i="1"/>
  <c r="X184" i="1"/>
  <c r="X182" i="1"/>
  <c r="W187" i="1"/>
  <c r="X171" i="1"/>
  <c r="X170" i="1"/>
  <c r="W176" i="1"/>
  <c r="W36" i="1"/>
  <c r="W30" i="1"/>
  <c r="X150" i="1"/>
  <c r="X188" i="1"/>
  <c r="X185" i="1"/>
  <c r="X183" i="1"/>
  <c r="X181" i="1"/>
  <c r="X180" i="1"/>
  <c r="X179" i="1"/>
  <c r="X174" i="1"/>
  <c r="X173" i="1"/>
  <c r="X172" i="1"/>
  <c r="X166" i="1"/>
  <c r="X165" i="1"/>
  <c r="X164" i="1"/>
  <c r="X163" i="1"/>
  <c r="X161" i="1"/>
  <c r="X160" i="1"/>
  <c r="X159" i="1"/>
  <c r="X158" i="1"/>
  <c r="X157" i="1"/>
  <c r="X155" i="1"/>
  <c r="X154" i="1"/>
  <c r="X153" i="1"/>
  <c r="X152" i="1"/>
  <c r="X151" i="1"/>
  <c r="X149" i="1"/>
  <c r="X109" i="1"/>
  <c r="X108" i="1"/>
  <c r="X90" i="1"/>
  <c r="X95" i="1" s="1"/>
  <c r="X97" i="1" s="1"/>
  <c r="X36" i="1"/>
  <c r="X30" i="1"/>
  <c r="V187" i="1"/>
  <c r="U187" i="1"/>
  <c r="T187" i="1"/>
  <c r="V176" i="1"/>
  <c r="U176" i="1"/>
  <c r="T176" i="1"/>
  <c r="V167" i="1"/>
  <c r="U167" i="1"/>
  <c r="T167" i="1"/>
  <c r="W109" i="1"/>
  <c r="W108" i="1"/>
  <c r="W90" i="1"/>
  <c r="W95" i="1" s="1"/>
  <c r="W97" i="1" s="1"/>
  <c r="W71" i="1"/>
  <c r="W80" i="1" s="1"/>
  <c r="W65" i="1"/>
  <c r="V65" i="1"/>
  <c r="V109" i="1"/>
  <c r="V108" i="1"/>
  <c r="V90" i="1"/>
  <c r="V95" i="1" s="1"/>
  <c r="V97" i="1" s="1"/>
  <c r="V71" i="1"/>
  <c r="V80" i="1" s="1"/>
  <c r="AS44" i="1"/>
  <c r="AS42" i="1"/>
  <c r="AS41" i="1"/>
  <c r="AS40" i="1"/>
  <c r="AS37" i="1"/>
  <c r="AS35" i="1"/>
  <c r="AS34" i="1"/>
  <c r="AS33" i="1"/>
  <c r="AS32" i="1"/>
  <c r="AS31" i="1"/>
  <c r="AS29" i="1"/>
  <c r="AS28" i="1"/>
  <c r="AS15" i="1" s="1"/>
  <c r="AS27" i="1"/>
  <c r="AS14" i="1" s="1"/>
  <c r="V30" i="1"/>
  <c r="I30" i="1"/>
  <c r="H30" i="1"/>
  <c r="AV10" i="1" l="1"/>
  <c r="AW10" i="1" s="1"/>
  <c r="AX10" i="1" s="1"/>
  <c r="AY10" i="1" s="1"/>
  <c r="AZ10" i="1" s="1"/>
  <c r="BA10" i="1" s="1"/>
  <c r="BB10" i="1" s="1"/>
  <c r="BC10" i="1" s="1"/>
  <c r="BD10" i="1" s="1"/>
  <c r="AB104" i="1"/>
  <c r="AT16" i="1"/>
  <c r="AU16" i="1" s="1"/>
  <c r="AV16" i="1" s="1"/>
  <c r="AW16" i="1" s="1"/>
  <c r="Z14" i="1"/>
  <c r="Z24" i="1"/>
  <c r="V10" i="1"/>
  <c r="Z15" i="1"/>
  <c r="Y12" i="1"/>
  <c r="V14" i="1"/>
  <c r="AU13" i="1"/>
  <c r="X10" i="1"/>
  <c r="AA39" i="1"/>
  <c r="AA43" i="1" s="1"/>
  <c r="AA45" i="1" s="1"/>
  <c r="AA47" i="1" s="1"/>
  <c r="AA49" i="1" s="1"/>
  <c r="AA10" i="1"/>
  <c r="W11" i="1"/>
  <c r="U10" i="1"/>
  <c r="T10" i="1"/>
  <c r="U11" i="1"/>
  <c r="U12" i="1"/>
  <c r="X12" i="1"/>
  <c r="X11" i="1"/>
  <c r="Y11" i="1"/>
  <c r="AB10" i="1"/>
  <c r="AB55" i="1"/>
  <c r="AB39" i="1"/>
  <c r="AB43" i="1" s="1"/>
  <c r="AB45" i="1" s="1"/>
  <c r="AB47" i="1" s="1"/>
  <c r="AB49" i="1" s="1"/>
  <c r="AU41" i="1"/>
  <c r="BE50" i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HO50" i="1" s="1"/>
  <c r="HP50" i="1" s="1"/>
  <c r="HQ50" i="1" s="1"/>
  <c r="HR50" i="1" s="1"/>
  <c r="HS50" i="1" s="1"/>
  <c r="HT50" i="1" s="1"/>
  <c r="HU50" i="1" s="1"/>
  <c r="HV50" i="1" s="1"/>
  <c r="HW50" i="1" s="1"/>
  <c r="HX50" i="1" s="1"/>
  <c r="HY50" i="1" s="1"/>
  <c r="HZ50" i="1" s="1"/>
  <c r="IA50" i="1" s="1"/>
  <c r="IB50" i="1" s="1"/>
  <c r="IC50" i="1" s="1"/>
  <c r="ID50" i="1" s="1"/>
  <c r="IE50" i="1" s="1"/>
  <c r="IF50" i="1" s="1"/>
  <c r="IG50" i="1" s="1"/>
  <c r="IH50" i="1" s="1"/>
  <c r="II50" i="1" s="1"/>
  <c r="IJ50" i="1" s="1"/>
  <c r="IK50" i="1" s="1"/>
  <c r="IL50" i="1" s="1"/>
  <c r="IM50" i="1" s="1"/>
  <c r="IN50" i="1" s="1"/>
  <c r="IO50" i="1" s="1"/>
  <c r="IP50" i="1" s="1"/>
  <c r="IQ50" i="1" s="1"/>
  <c r="IR50" i="1" s="1"/>
  <c r="IS50" i="1" s="1"/>
  <c r="IT50" i="1" s="1"/>
  <c r="IU50" i="1" s="1"/>
  <c r="IV50" i="1" s="1"/>
  <c r="J107" i="1"/>
  <c r="Z107" i="1"/>
  <c r="M107" i="1"/>
  <c r="P107" i="1"/>
  <c r="R107" i="1"/>
  <c r="X107" i="1"/>
  <c r="L107" i="1"/>
  <c r="T107" i="1"/>
  <c r="U107" i="1"/>
  <c r="N107" i="1"/>
  <c r="V107" i="1"/>
  <c r="O107" i="1"/>
  <c r="W107" i="1"/>
  <c r="Q107" i="1"/>
  <c r="Y107" i="1"/>
  <c r="K107" i="1"/>
  <c r="S107" i="1"/>
  <c r="Z30" i="1"/>
  <c r="Z55" i="1" s="1"/>
  <c r="Y39" i="1"/>
  <c r="Y60" i="1" s="1"/>
  <c r="Z104" i="1"/>
  <c r="Z108" i="1"/>
  <c r="Z36" i="1"/>
  <c r="Y104" i="1"/>
  <c r="AP189" i="1"/>
  <c r="AO189" i="1"/>
  <c r="AR187" i="1"/>
  <c r="AR189" i="1" s="1"/>
  <c r="X39" i="1"/>
  <c r="X60" i="1" s="1"/>
  <c r="T189" i="1"/>
  <c r="V23" i="1"/>
  <c r="AS189" i="1"/>
  <c r="V189" i="1"/>
  <c r="AQ189" i="1"/>
  <c r="V24" i="1"/>
  <c r="U189" i="1"/>
  <c r="AS19" i="1"/>
  <c r="AS23" i="1" s="1"/>
  <c r="V22" i="1"/>
  <c r="X176" i="1" s="1"/>
  <c r="W39" i="1"/>
  <c r="X187" i="1"/>
  <c r="X167" i="1"/>
  <c r="X104" i="1"/>
  <c r="W104" i="1"/>
  <c r="W167" i="1"/>
  <c r="W189" i="1" s="1"/>
  <c r="V104" i="1"/>
  <c r="U109" i="1"/>
  <c r="U108" i="1"/>
  <c r="U90" i="1"/>
  <c r="U95" i="1" s="1"/>
  <c r="U97" i="1" s="1"/>
  <c r="U71" i="1"/>
  <c r="U80" i="1" s="1"/>
  <c r="U65" i="1"/>
  <c r="T24" i="1"/>
  <c r="T23" i="1"/>
  <c r="T22" i="1"/>
  <c r="U24" i="1"/>
  <c r="U23" i="1"/>
  <c r="U22" i="1"/>
  <c r="U36" i="1"/>
  <c r="U30" i="1"/>
  <c r="Y55" i="1" s="1"/>
  <c r="T109" i="1"/>
  <c r="T108" i="1"/>
  <c r="T90" i="1"/>
  <c r="T95" i="1" s="1"/>
  <c r="T97" i="1" s="1"/>
  <c r="T71" i="1"/>
  <c r="T80" i="1" s="1"/>
  <c r="S65" i="1"/>
  <c r="T65" i="1"/>
  <c r="T30" i="1"/>
  <c r="X55" i="1" s="1"/>
  <c r="S108" i="1"/>
  <c r="R108" i="1"/>
  <c r="Q108" i="1"/>
  <c r="P108" i="1"/>
  <c r="O108" i="1"/>
  <c r="N108" i="1"/>
  <c r="M108" i="1"/>
  <c r="J108" i="1"/>
  <c r="R109" i="1"/>
  <c r="L109" i="1"/>
  <c r="K109" i="1"/>
  <c r="J109" i="1"/>
  <c r="S109" i="1"/>
  <c r="AU91" i="1"/>
  <c r="AV91" i="1" s="1"/>
  <c r="AW91" i="1" s="1"/>
  <c r="AX91" i="1" s="1"/>
  <c r="AY91" i="1" s="1"/>
  <c r="AZ91" i="1" s="1"/>
  <c r="BA91" i="1" s="1"/>
  <c r="BB91" i="1" s="1"/>
  <c r="BC91" i="1" s="1"/>
  <c r="BD91" i="1" s="1"/>
  <c r="K90" i="1"/>
  <c r="K95" i="1" s="1"/>
  <c r="K97" i="1" s="1"/>
  <c r="K71" i="1"/>
  <c r="K65" i="1"/>
  <c r="L90" i="1"/>
  <c r="L95" i="1" s="1"/>
  <c r="L97" i="1" s="1"/>
  <c r="L71" i="1"/>
  <c r="L65" i="1"/>
  <c r="J65" i="1"/>
  <c r="J90" i="1"/>
  <c r="J95" i="1" s="1"/>
  <c r="J97" i="1" s="1"/>
  <c r="J71" i="1"/>
  <c r="M90" i="1"/>
  <c r="M95" i="1" s="1"/>
  <c r="M97" i="1" s="1"/>
  <c r="M71" i="1"/>
  <c r="M65" i="1"/>
  <c r="G22" i="1"/>
  <c r="H22" i="1"/>
  <c r="I22" i="1"/>
  <c r="G23" i="1"/>
  <c r="H23" i="1"/>
  <c r="I23" i="1"/>
  <c r="G24" i="1"/>
  <c r="H24" i="1"/>
  <c r="I24" i="1"/>
  <c r="C36" i="1"/>
  <c r="C30" i="1"/>
  <c r="D36" i="1"/>
  <c r="D30" i="1"/>
  <c r="E36" i="1"/>
  <c r="E30" i="1"/>
  <c r="I55" i="1" s="1"/>
  <c r="F36" i="1"/>
  <c r="F30" i="1"/>
  <c r="AJ20" i="1"/>
  <c r="AJ24" i="1" s="1"/>
  <c r="AK20" i="1"/>
  <c r="AK24" i="1" s="1"/>
  <c r="AJ36" i="1"/>
  <c r="AJ30" i="1"/>
  <c r="AK36" i="1"/>
  <c r="AK30" i="1"/>
  <c r="AH3" i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AL20" i="1"/>
  <c r="AL24" i="1" s="1"/>
  <c r="AM20" i="1"/>
  <c r="AM24" i="1" s="1"/>
  <c r="AN20" i="1"/>
  <c r="AN24" i="1" s="1"/>
  <c r="AL36" i="1"/>
  <c r="AL30" i="1"/>
  <c r="AM36" i="1"/>
  <c r="AM30" i="1"/>
  <c r="AM16" i="1" s="1"/>
  <c r="AN36" i="1"/>
  <c r="AN30" i="1"/>
  <c r="AN16" i="1" s="1"/>
  <c r="AO36" i="1"/>
  <c r="AO30" i="1"/>
  <c r="AO16" i="1" s="1"/>
  <c r="R65" i="1"/>
  <c r="Q65" i="1"/>
  <c r="P65" i="1"/>
  <c r="O65" i="1"/>
  <c r="N65" i="1"/>
  <c r="O90" i="1"/>
  <c r="O95" i="1" s="1"/>
  <c r="O97" i="1" s="1"/>
  <c r="O71" i="1"/>
  <c r="O80" i="1" s="1"/>
  <c r="O132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1" i="1"/>
  <c r="P180" i="1"/>
  <c r="Q180" i="1" s="1"/>
  <c r="R180" i="1" s="1"/>
  <c r="P179" i="1"/>
  <c r="Q179" i="1" s="1"/>
  <c r="R179" i="1" s="1"/>
  <c r="P174" i="1"/>
  <c r="Q174" i="1" s="1"/>
  <c r="R174" i="1" s="1"/>
  <c r="P172" i="1"/>
  <c r="Q172" i="1" s="1"/>
  <c r="R172" i="1" s="1"/>
  <c r="P171" i="1"/>
  <c r="Q171" i="1" s="1"/>
  <c r="R171" i="1" s="1"/>
  <c r="P170" i="1"/>
  <c r="Q170" i="1" s="1"/>
  <c r="R170" i="1" s="1"/>
  <c r="P166" i="1"/>
  <c r="Q166" i="1" s="1"/>
  <c r="R166" i="1" s="1"/>
  <c r="P165" i="1"/>
  <c r="Q165" i="1" s="1"/>
  <c r="P164" i="1"/>
  <c r="Q164" i="1" s="1"/>
  <c r="R164" i="1" s="1"/>
  <c r="P163" i="1"/>
  <c r="P162" i="1"/>
  <c r="Q162" i="1" s="1"/>
  <c r="R162" i="1" s="1"/>
  <c r="P161" i="1"/>
  <c r="Q161" i="1" s="1"/>
  <c r="R161" i="1" s="1"/>
  <c r="P160" i="1"/>
  <c r="Q160" i="1" s="1"/>
  <c r="R160" i="1" s="1"/>
  <c r="P159" i="1"/>
  <c r="Q159" i="1" s="1"/>
  <c r="R159" i="1" s="1"/>
  <c r="P158" i="1"/>
  <c r="Q158" i="1" s="1"/>
  <c r="R158" i="1" s="1"/>
  <c r="P157" i="1"/>
  <c r="Q157" i="1" s="1"/>
  <c r="R157" i="1" s="1"/>
  <c r="P155" i="1"/>
  <c r="Q155" i="1" s="1"/>
  <c r="R155" i="1" s="1"/>
  <c r="P153" i="1"/>
  <c r="Q153" i="1" s="1"/>
  <c r="R153" i="1" s="1"/>
  <c r="P152" i="1"/>
  <c r="Q152" i="1" s="1"/>
  <c r="P151" i="1"/>
  <c r="P150" i="1"/>
  <c r="P149" i="1"/>
  <c r="Q149" i="1" s="1"/>
  <c r="R149" i="1" s="1"/>
  <c r="P90" i="1"/>
  <c r="P95" i="1" s="1"/>
  <c r="P97" i="1" s="1"/>
  <c r="P71" i="1"/>
  <c r="P80" i="1" s="1"/>
  <c r="P143" i="1" s="1"/>
  <c r="Q90" i="1"/>
  <c r="Q95" i="1" s="1"/>
  <c r="Q97" i="1" s="1"/>
  <c r="Q71" i="1"/>
  <c r="Q80" i="1" s="1"/>
  <c r="Q146" i="1" s="1"/>
  <c r="O167" i="1"/>
  <c r="R156" i="1"/>
  <c r="R154" i="1"/>
  <c r="N90" i="1"/>
  <c r="N95" i="1" s="1"/>
  <c r="N97" i="1" s="1"/>
  <c r="N71" i="1"/>
  <c r="N80" i="1" s="1"/>
  <c r="N139" i="1" s="1"/>
  <c r="AR24" i="1"/>
  <c r="AQ24" i="1"/>
  <c r="AP24" i="1"/>
  <c r="AR23" i="1"/>
  <c r="AQ23" i="1"/>
  <c r="AP23" i="1"/>
  <c r="AR22" i="1"/>
  <c r="AQ22" i="1"/>
  <c r="AP22" i="1"/>
  <c r="AO24" i="1"/>
  <c r="AO23" i="1"/>
  <c r="AO22" i="1"/>
  <c r="Q24" i="1"/>
  <c r="P24" i="1"/>
  <c r="O24" i="1"/>
  <c r="M24" i="1"/>
  <c r="L24" i="1"/>
  <c r="K24" i="1"/>
  <c r="Q23" i="1"/>
  <c r="P23" i="1"/>
  <c r="O23" i="1"/>
  <c r="M23" i="1"/>
  <c r="L23" i="1"/>
  <c r="K23" i="1"/>
  <c r="Q22" i="1"/>
  <c r="P22" i="1"/>
  <c r="O22" i="1"/>
  <c r="M22" i="1"/>
  <c r="L22" i="1"/>
  <c r="K22" i="1"/>
  <c r="S24" i="1"/>
  <c r="S23" i="1"/>
  <c r="S22" i="1"/>
  <c r="R20" i="1"/>
  <c r="R19" i="1"/>
  <c r="R18" i="1"/>
  <c r="O187" i="1"/>
  <c r="O176" i="1"/>
  <c r="S187" i="1"/>
  <c r="S176" i="1"/>
  <c r="S152" i="1"/>
  <c r="S151" i="1"/>
  <c r="S90" i="1"/>
  <c r="S95" i="1" s="1"/>
  <c r="S97" i="1" s="1"/>
  <c r="S71" i="1"/>
  <c r="S80" i="1" s="1"/>
  <c r="S144" i="1" s="1"/>
  <c r="AP29" i="1"/>
  <c r="AP28" i="1"/>
  <c r="AP27" i="1"/>
  <c r="AQ29" i="1"/>
  <c r="AQ28" i="1"/>
  <c r="AQ27" i="1"/>
  <c r="AR29" i="1"/>
  <c r="AR28" i="1"/>
  <c r="AR15" i="1" s="1"/>
  <c r="AR27" i="1"/>
  <c r="AR14" i="1" s="1"/>
  <c r="S30" i="1"/>
  <c r="W55" i="1" s="1"/>
  <c r="R90" i="1"/>
  <c r="R95" i="1" s="1"/>
  <c r="R97" i="1" s="1"/>
  <c r="R71" i="1"/>
  <c r="R80" i="1" s="1"/>
  <c r="R117" i="1" s="1"/>
  <c r="J20" i="1"/>
  <c r="J19" i="1"/>
  <c r="J18" i="1"/>
  <c r="N18" i="1"/>
  <c r="N20" i="1"/>
  <c r="N19" i="1"/>
  <c r="BI63" i="1"/>
  <c r="BI61" i="1"/>
  <c r="AP13" i="1"/>
  <c r="AO13" i="1"/>
  <c r="AN13" i="1"/>
  <c r="Q10" i="1"/>
  <c r="P10" i="1"/>
  <c r="O10" i="1"/>
  <c r="M10" i="1"/>
  <c r="L10" i="1"/>
  <c r="K10" i="1"/>
  <c r="I10" i="1"/>
  <c r="H10" i="1"/>
  <c r="G10" i="1"/>
  <c r="R10" i="1"/>
  <c r="AS13" i="1" s="1"/>
  <c r="AR44" i="1"/>
  <c r="AQ44" i="1"/>
  <c r="AP44" i="1"/>
  <c r="AR42" i="1"/>
  <c r="AQ42" i="1"/>
  <c r="AP42" i="1"/>
  <c r="AR41" i="1"/>
  <c r="AQ41" i="1"/>
  <c r="AP41" i="1"/>
  <c r="AR37" i="1"/>
  <c r="AQ37" i="1"/>
  <c r="AP37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G36" i="1"/>
  <c r="G30" i="1"/>
  <c r="H36" i="1"/>
  <c r="I36" i="1"/>
  <c r="J36" i="1"/>
  <c r="J30" i="1"/>
  <c r="J15" i="1" s="1"/>
  <c r="K36" i="1"/>
  <c r="K30" i="1"/>
  <c r="O36" i="1"/>
  <c r="O30" i="1"/>
  <c r="L36" i="1"/>
  <c r="L30" i="1"/>
  <c r="P36" i="1"/>
  <c r="P30" i="1"/>
  <c r="M36" i="1"/>
  <c r="M30" i="1"/>
  <c r="Q36" i="1"/>
  <c r="Q30" i="1"/>
  <c r="N36" i="1"/>
  <c r="N30" i="1"/>
  <c r="N15" i="1" s="1"/>
  <c r="R36" i="1"/>
  <c r="R30" i="1"/>
  <c r="I5" i="2"/>
  <c r="J6" i="2"/>
  <c r="J7" i="2" s="1"/>
  <c r="AU30" i="1" l="1"/>
  <c r="AU55" i="1" s="1"/>
  <c r="AV42" i="1"/>
  <c r="AX16" i="1"/>
  <c r="W43" i="1"/>
  <c r="W45" i="1" s="1"/>
  <c r="W47" i="1" s="1"/>
  <c r="W49" i="1" s="1"/>
  <c r="W60" i="1"/>
  <c r="Y43" i="1"/>
  <c r="Y45" i="1" s="1"/>
  <c r="Y47" i="1" s="1"/>
  <c r="Y49" i="1" s="1"/>
  <c r="Y56" i="1"/>
  <c r="Z39" i="1"/>
  <c r="AT11" i="1"/>
  <c r="AT13" i="1"/>
  <c r="X56" i="1"/>
  <c r="X43" i="1"/>
  <c r="X45" i="1" s="1"/>
  <c r="X47" i="1" s="1"/>
  <c r="X192" i="1" s="1"/>
  <c r="W56" i="1"/>
  <c r="AS24" i="1"/>
  <c r="AS22" i="1"/>
  <c r="X189" i="1"/>
  <c r="J22" i="1"/>
  <c r="AS30" i="1"/>
  <c r="AS16" i="1" s="1"/>
  <c r="AO55" i="1"/>
  <c r="L15" i="1"/>
  <c r="T104" i="1"/>
  <c r="U104" i="1"/>
  <c r="U39" i="1"/>
  <c r="U60" i="1" s="1"/>
  <c r="H55" i="1"/>
  <c r="M15" i="1"/>
  <c r="K104" i="1"/>
  <c r="J24" i="1"/>
  <c r="O15" i="1"/>
  <c r="F39" i="1"/>
  <c r="F60" i="1" s="1"/>
  <c r="J23" i="1"/>
  <c r="AL55" i="1"/>
  <c r="P15" i="1"/>
  <c r="I15" i="1"/>
  <c r="K15" i="1"/>
  <c r="AK55" i="1"/>
  <c r="J55" i="1"/>
  <c r="H15" i="1"/>
  <c r="AM23" i="1"/>
  <c r="G55" i="1"/>
  <c r="J104" i="1"/>
  <c r="K80" i="1"/>
  <c r="L104" i="1"/>
  <c r="L80" i="1"/>
  <c r="J80" i="1"/>
  <c r="M104" i="1"/>
  <c r="M80" i="1"/>
  <c r="C39" i="1"/>
  <c r="C60" i="1" s="1"/>
  <c r="D39" i="1"/>
  <c r="D60" i="1" s="1"/>
  <c r="E39" i="1"/>
  <c r="E60" i="1" s="1"/>
  <c r="Q15" i="1"/>
  <c r="AK22" i="1"/>
  <c r="R15" i="1"/>
  <c r="AJ22" i="1"/>
  <c r="AJ23" i="1"/>
  <c r="AL22" i="1"/>
  <c r="AK23" i="1"/>
  <c r="AM55" i="1"/>
  <c r="AM22" i="1"/>
  <c r="AL23" i="1"/>
  <c r="AJ39" i="1"/>
  <c r="AJ60" i="1" s="1"/>
  <c r="AN55" i="1"/>
  <c r="AK39" i="1"/>
  <c r="AK60" i="1" s="1"/>
  <c r="AN22" i="1"/>
  <c r="AN39" i="1"/>
  <c r="AN60" i="1" s="1"/>
  <c r="AN23" i="1"/>
  <c r="AO39" i="1"/>
  <c r="AO60" i="1" s="1"/>
  <c r="AL39" i="1"/>
  <c r="AL60" i="1" s="1"/>
  <c r="AM39" i="1"/>
  <c r="AM60" i="1" s="1"/>
  <c r="N147" i="1"/>
  <c r="N135" i="1"/>
  <c r="O120" i="1"/>
  <c r="P124" i="1"/>
  <c r="P131" i="1"/>
  <c r="P132" i="1"/>
  <c r="N124" i="1"/>
  <c r="O136" i="1"/>
  <c r="N128" i="1"/>
  <c r="O144" i="1"/>
  <c r="P147" i="1"/>
  <c r="N132" i="1"/>
  <c r="P144" i="1"/>
  <c r="R137" i="1"/>
  <c r="S147" i="1"/>
  <c r="S137" i="1"/>
  <c r="R116" i="1"/>
  <c r="R122" i="1"/>
  <c r="R129" i="1"/>
  <c r="S141" i="1"/>
  <c r="N127" i="1"/>
  <c r="S116" i="1"/>
  <c r="P123" i="1"/>
  <c r="S129" i="1"/>
  <c r="P136" i="1"/>
  <c r="R142" i="1"/>
  <c r="R118" i="1"/>
  <c r="N116" i="1"/>
  <c r="N136" i="1"/>
  <c r="P120" i="1"/>
  <c r="R126" i="1"/>
  <c r="S132" i="1"/>
  <c r="P139" i="1"/>
  <c r="S145" i="1"/>
  <c r="S117" i="1"/>
  <c r="R147" i="1"/>
  <c r="S125" i="1"/>
  <c r="R145" i="1"/>
  <c r="Q147" i="1"/>
  <c r="O147" i="1"/>
  <c r="N119" i="1"/>
  <c r="N143" i="1"/>
  <c r="R121" i="1"/>
  <c r="O128" i="1"/>
  <c r="S133" i="1"/>
  <c r="P140" i="1"/>
  <c r="R146" i="1"/>
  <c r="R130" i="1"/>
  <c r="S124" i="1"/>
  <c r="R138" i="1"/>
  <c r="N120" i="1"/>
  <c r="N144" i="1"/>
  <c r="S121" i="1"/>
  <c r="P128" i="1"/>
  <c r="R134" i="1"/>
  <c r="S140" i="1"/>
  <c r="N140" i="1"/>
  <c r="O116" i="1"/>
  <c r="Q119" i="1"/>
  <c r="O121" i="1"/>
  <c r="Q127" i="1"/>
  <c r="O129" i="1"/>
  <c r="Q135" i="1"/>
  <c r="O137" i="1"/>
  <c r="Q143" i="1"/>
  <c r="O145" i="1"/>
  <c r="N117" i="1"/>
  <c r="N125" i="1"/>
  <c r="N133" i="1"/>
  <c r="N141" i="1"/>
  <c r="P116" i="1"/>
  <c r="O118" i="1"/>
  <c r="R119" i="1"/>
  <c r="P121" i="1"/>
  <c r="S122" i="1"/>
  <c r="Q124" i="1"/>
  <c r="O126" i="1"/>
  <c r="R127" i="1"/>
  <c r="P129" i="1"/>
  <c r="S130" i="1"/>
  <c r="Q132" i="1"/>
  <c r="O134" i="1"/>
  <c r="R135" i="1"/>
  <c r="P137" i="1"/>
  <c r="S138" i="1"/>
  <c r="Q140" i="1"/>
  <c r="O142" i="1"/>
  <c r="R143" i="1"/>
  <c r="P145" i="1"/>
  <c r="S146" i="1"/>
  <c r="N118" i="1"/>
  <c r="N126" i="1"/>
  <c r="N134" i="1"/>
  <c r="N142" i="1"/>
  <c r="Q116" i="1"/>
  <c r="P118" i="1"/>
  <c r="S119" i="1"/>
  <c r="Q121" i="1"/>
  <c r="O123" i="1"/>
  <c r="R124" i="1"/>
  <c r="P126" i="1"/>
  <c r="S127" i="1"/>
  <c r="Q129" i="1"/>
  <c r="O131" i="1"/>
  <c r="R132" i="1"/>
  <c r="P134" i="1"/>
  <c r="S135" i="1"/>
  <c r="Q137" i="1"/>
  <c r="O139" i="1"/>
  <c r="R140" i="1"/>
  <c r="P142" i="1"/>
  <c r="S143" i="1"/>
  <c r="Q145" i="1"/>
  <c r="Q142" i="1"/>
  <c r="N121" i="1"/>
  <c r="N129" i="1"/>
  <c r="N137" i="1"/>
  <c r="N145" i="1"/>
  <c r="O117" i="1"/>
  <c r="S118" i="1"/>
  <c r="Q120" i="1"/>
  <c r="O122" i="1"/>
  <c r="R123" i="1"/>
  <c r="P125" i="1"/>
  <c r="S126" i="1"/>
  <c r="Q128" i="1"/>
  <c r="O130" i="1"/>
  <c r="R131" i="1"/>
  <c r="P133" i="1"/>
  <c r="S134" i="1"/>
  <c r="Q136" i="1"/>
  <c r="O138" i="1"/>
  <c r="R139" i="1"/>
  <c r="P141" i="1"/>
  <c r="S142" i="1"/>
  <c r="Q144" i="1"/>
  <c r="O146" i="1"/>
  <c r="Q118" i="1"/>
  <c r="Q126" i="1"/>
  <c r="Q134" i="1"/>
  <c r="Q123" i="1"/>
  <c r="O125" i="1"/>
  <c r="Q131" i="1"/>
  <c r="O133" i="1"/>
  <c r="Q139" i="1"/>
  <c r="O141" i="1"/>
  <c r="N122" i="1"/>
  <c r="N130" i="1"/>
  <c r="N138" i="1"/>
  <c r="N146" i="1"/>
  <c r="P117" i="1"/>
  <c r="O119" i="1"/>
  <c r="R120" i="1"/>
  <c r="P122" i="1"/>
  <c r="S123" i="1"/>
  <c r="Q125" i="1"/>
  <c r="O127" i="1"/>
  <c r="R128" i="1"/>
  <c r="P130" i="1"/>
  <c r="S131" i="1"/>
  <c r="Q133" i="1"/>
  <c r="O135" i="1"/>
  <c r="R136" i="1"/>
  <c r="P138" i="1"/>
  <c r="S139" i="1"/>
  <c r="Q141" i="1"/>
  <c r="O143" i="1"/>
  <c r="R144" i="1"/>
  <c r="P146" i="1"/>
  <c r="N123" i="1"/>
  <c r="N131" i="1"/>
  <c r="Q117" i="1"/>
  <c r="P119" i="1"/>
  <c r="S120" i="1"/>
  <c r="Q122" i="1"/>
  <c r="O124" i="1"/>
  <c r="R125" i="1"/>
  <c r="P127" i="1"/>
  <c r="S128" i="1"/>
  <c r="Q130" i="1"/>
  <c r="R133" i="1"/>
  <c r="P135" i="1"/>
  <c r="S136" i="1"/>
  <c r="Q138" i="1"/>
  <c r="O140" i="1"/>
  <c r="R141" i="1"/>
  <c r="Q104" i="1"/>
  <c r="O104" i="1"/>
  <c r="N104" i="1"/>
  <c r="P104" i="1"/>
  <c r="S104" i="1"/>
  <c r="R104" i="1"/>
  <c r="P176" i="1"/>
  <c r="P167" i="1"/>
  <c r="P187" i="1"/>
  <c r="Q150" i="1"/>
  <c r="R150" i="1" s="1"/>
  <c r="R152" i="1"/>
  <c r="R176" i="1" s="1"/>
  <c r="Q181" i="1"/>
  <c r="R181" i="1" s="1"/>
  <c r="Q163" i="1"/>
  <c r="R163" i="1" s="1"/>
  <c r="Q151" i="1"/>
  <c r="R151" i="1" s="1"/>
  <c r="R165" i="1"/>
  <c r="N24" i="1"/>
  <c r="S167" i="1"/>
  <c r="R22" i="1"/>
  <c r="R23" i="1"/>
  <c r="R24" i="1"/>
  <c r="N23" i="1"/>
  <c r="N22" i="1"/>
  <c r="O189" i="1"/>
  <c r="AR30" i="1"/>
  <c r="AR16" i="1" s="1"/>
  <c r="I8" i="2"/>
  <c r="AR13" i="1"/>
  <c r="L55" i="1"/>
  <c r="K55" i="1"/>
  <c r="P55" i="1"/>
  <c r="AP30" i="1"/>
  <c r="AP16" i="1" s="1"/>
  <c r="M55" i="1"/>
  <c r="Q55" i="1"/>
  <c r="O55" i="1"/>
  <c r="V55" i="1"/>
  <c r="R39" i="1"/>
  <c r="R60" i="1" s="1"/>
  <c r="R55" i="1"/>
  <c r="AQ36" i="1"/>
  <c r="AP36" i="1"/>
  <c r="N55" i="1"/>
  <c r="AQ30" i="1"/>
  <c r="AQ16" i="1" s="1"/>
  <c r="AR36" i="1"/>
  <c r="U55" i="1"/>
  <c r="G39" i="1"/>
  <c r="G60" i="1" s="1"/>
  <c r="H39" i="1"/>
  <c r="H60" i="1" s="1"/>
  <c r="I39" i="1"/>
  <c r="I60" i="1" s="1"/>
  <c r="J39" i="1"/>
  <c r="J60" i="1" s="1"/>
  <c r="K39" i="1"/>
  <c r="K60" i="1" s="1"/>
  <c r="O39" i="1"/>
  <c r="O60" i="1" s="1"/>
  <c r="L39" i="1"/>
  <c r="L60" i="1" s="1"/>
  <c r="P39" i="1"/>
  <c r="P60" i="1" s="1"/>
  <c r="M39" i="1"/>
  <c r="M60" i="1" s="1"/>
  <c r="Q39" i="1"/>
  <c r="Q60" i="1" s="1"/>
  <c r="N39" i="1"/>
  <c r="N60" i="1" s="1"/>
  <c r="W192" i="1" l="1"/>
  <c r="AY16" i="1"/>
  <c r="Z43" i="1"/>
  <c r="Z60" i="1"/>
  <c r="Z56" i="1"/>
  <c r="Z45" i="1"/>
  <c r="Z47" i="1" s="1"/>
  <c r="AV30" i="1"/>
  <c r="X49" i="1"/>
  <c r="G56" i="1"/>
  <c r="AJ43" i="1"/>
  <c r="AJ45" i="1" s="1"/>
  <c r="AJ47" i="1" s="1"/>
  <c r="AJ49" i="1" s="1"/>
  <c r="U43" i="1"/>
  <c r="U45" i="1" s="1"/>
  <c r="U47" i="1" s="1"/>
  <c r="O56" i="1"/>
  <c r="F43" i="1"/>
  <c r="F45" i="1" s="1"/>
  <c r="F47" i="1" s="1"/>
  <c r="F49" i="1" s="1"/>
  <c r="K56" i="1"/>
  <c r="E43" i="1"/>
  <c r="E45" i="1" s="1"/>
  <c r="E47" i="1" s="1"/>
  <c r="E49" i="1" s="1"/>
  <c r="AK43" i="1"/>
  <c r="AK45" i="1" s="1"/>
  <c r="AK47" i="1" s="1"/>
  <c r="AK49" i="1" s="1"/>
  <c r="D43" i="1"/>
  <c r="D45" i="1" s="1"/>
  <c r="D47" i="1" s="1"/>
  <c r="D49" i="1" s="1"/>
  <c r="AV41" i="1"/>
  <c r="C43" i="1"/>
  <c r="C45" i="1" s="1"/>
  <c r="C47" i="1" s="1"/>
  <c r="C49" i="1" s="1"/>
  <c r="AU42" i="1"/>
  <c r="AM43" i="1"/>
  <c r="AM45" i="1" s="1"/>
  <c r="AM47" i="1" s="1"/>
  <c r="AM49" i="1" s="1"/>
  <c r="AM56" i="1"/>
  <c r="AL43" i="1"/>
  <c r="AL45" i="1" s="1"/>
  <c r="AL47" i="1" s="1"/>
  <c r="AL49" i="1" s="1"/>
  <c r="AL56" i="1"/>
  <c r="AN43" i="1"/>
  <c r="AN45" i="1" s="1"/>
  <c r="AN47" i="1" s="1"/>
  <c r="AN49" i="1" s="1"/>
  <c r="AN56" i="1"/>
  <c r="AP55" i="1"/>
  <c r="AO43" i="1"/>
  <c r="AO45" i="1" s="1"/>
  <c r="AO47" i="1" s="1"/>
  <c r="AO195" i="1" s="1"/>
  <c r="AO56" i="1"/>
  <c r="P189" i="1"/>
  <c r="S189" i="1"/>
  <c r="Q167" i="1"/>
  <c r="R167" i="1"/>
  <c r="R187" i="1"/>
  <c r="Q176" i="1"/>
  <c r="Q187" i="1"/>
  <c r="L43" i="1"/>
  <c r="L45" i="1" s="1"/>
  <c r="L47" i="1" s="1"/>
  <c r="L56" i="1"/>
  <c r="J43" i="1"/>
  <c r="J45" i="1" s="1"/>
  <c r="J47" i="1" s="1"/>
  <c r="J56" i="1"/>
  <c r="N43" i="1"/>
  <c r="N45" i="1" s="1"/>
  <c r="N47" i="1" s="1"/>
  <c r="N56" i="1"/>
  <c r="I43" i="1"/>
  <c r="I45" i="1" s="1"/>
  <c r="I47" i="1" s="1"/>
  <c r="I56" i="1"/>
  <c r="H43" i="1"/>
  <c r="H45" i="1" s="1"/>
  <c r="H47" i="1" s="1"/>
  <c r="H56" i="1"/>
  <c r="M43" i="1"/>
  <c r="M45" i="1" s="1"/>
  <c r="M47" i="1" s="1"/>
  <c r="M56" i="1"/>
  <c r="P43" i="1"/>
  <c r="P45" i="1" s="1"/>
  <c r="P47" i="1" s="1"/>
  <c r="P56" i="1"/>
  <c r="R43" i="1"/>
  <c r="R45" i="1" s="1"/>
  <c r="R47" i="1" s="1"/>
  <c r="R56" i="1"/>
  <c r="Q43" i="1"/>
  <c r="Q45" i="1" s="1"/>
  <c r="Q47" i="1" s="1"/>
  <c r="Q56" i="1"/>
  <c r="AQ55" i="1"/>
  <c r="AR55" i="1"/>
  <c r="S55" i="1"/>
  <c r="O43" i="1"/>
  <c r="AR39" i="1"/>
  <c r="AR60" i="1" s="1"/>
  <c r="V36" i="1"/>
  <c r="V39" i="1" s="1"/>
  <c r="V60" i="1" s="1"/>
  <c r="K43" i="1"/>
  <c r="AQ39" i="1"/>
  <c r="AQ60" i="1" s="1"/>
  <c r="U56" i="1"/>
  <c r="T55" i="1"/>
  <c r="G43" i="1"/>
  <c r="AP39" i="1"/>
  <c r="AP60" i="1" s="1"/>
  <c r="AZ16" i="1" l="1"/>
  <c r="Z110" i="1"/>
  <c r="AV13" i="1"/>
  <c r="AW30" i="1"/>
  <c r="U49" i="1"/>
  <c r="U192" i="1"/>
  <c r="AW41" i="1"/>
  <c r="AR56" i="1"/>
  <c r="AP56" i="1"/>
  <c r="AQ56" i="1"/>
  <c r="AO49" i="1"/>
  <c r="AO192" i="1"/>
  <c r="V56" i="1"/>
  <c r="L49" i="1"/>
  <c r="M49" i="1"/>
  <c r="N49" i="1"/>
  <c r="J49" i="1"/>
  <c r="H49" i="1"/>
  <c r="I49" i="1"/>
  <c r="Q189" i="1"/>
  <c r="R189" i="1"/>
  <c r="R49" i="1"/>
  <c r="R192" i="1"/>
  <c r="P49" i="1"/>
  <c r="P192" i="1"/>
  <c r="Q49" i="1"/>
  <c r="Q192" i="1"/>
  <c r="S36" i="1"/>
  <c r="T36" i="1"/>
  <c r="T39" i="1" s="1"/>
  <c r="T60" i="1" s="1"/>
  <c r="K45" i="1"/>
  <c r="AQ43" i="1"/>
  <c r="G45" i="1"/>
  <c r="AP43" i="1"/>
  <c r="AS55" i="1"/>
  <c r="O45" i="1"/>
  <c r="AR43" i="1"/>
  <c r="BA16" i="1" l="1"/>
  <c r="AX30" i="1"/>
  <c r="AW13" i="1"/>
  <c r="S39" i="1"/>
  <c r="AS36" i="1"/>
  <c r="AX41" i="1"/>
  <c r="T56" i="1"/>
  <c r="AV88" i="1"/>
  <c r="AW42" i="1" s="1"/>
  <c r="O47" i="1"/>
  <c r="AR45" i="1"/>
  <c r="K47" i="1"/>
  <c r="AQ45" i="1"/>
  <c r="V43" i="1"/>
  <c r="V45" i="1" s="1"/>
  <c r="V47" i="1" s="1"/>
  <c r="Y110" i="1" s="1"/>
  <c r="G47" i="1"/>
  <c r="J110" i="1" s="1"/>
  <c r="AP45" i="1"/>
  <c r="BB16" i="1" l="1"/>
  <c r="AS39" i="1"/>
  <c r="AS60" i="1" s="1"/>
  <c r="S60" i="1"/>
  <c r="AX13" i="1"/>
  <c r="AY30" i="1"/>
  <c r="V49" i="1"/>
  <c r="V192" i="1"/>
  <c r="X195" i="1" s="1"/>
  <c r="X110" i="1"/>
  <c r="AY41" i="1"/>
  <c r="S56" i="1"/>
  <c r="N110" i="1"/>
  <c r="M110" i="1"/>
  <c r="K110" i="1"/>
  <c r="L110" i="1"/>
  <c r="O192" i="1"/>
  <c r="R195" i="1" s="1"/>
  <c r="R110" i="1"/>
  <c r="P110" i="1"/>
  <c r="Q110" i="1"/>
  <c r="O110" i="1"/>
  <c r="AW88" i="1"/>
  <c r="AX42" i="1" s="1"/>
  <c r="T43" i="1"/>
  <c r="T45" i="1" s="1"/>
  <c r="T47" i="1" s="1"/>
  <c r="T192" i="1" s="1"/>
  <c r="K49" i="1"/>
  <c r="AQ49" i="1" s="1"/>
  <c r="AQ47" i="1"/>
  <c r="S43" i="1"/>
  <c r="G49" i="1"/>
  <c r="AP49" i="1" s="1"/>
  <c r="AP47" i="1"/>
  <c r="AT36" i="1"/>
  <c r="O49" i="1"/>
  <c r="AR49" i="1" s="1"/>
  <c r="AR47" i="1"/>
  <c r="BC16" i="1" l="1"/>
  <c r="AY13" i="1"/>
  <c r="AZ30" i="1"/>
  <c r="W195" i="1"/>
  <c r="AS56" i="1"/>
  <c r="AQ192" i="1"/>
  <c r="AQ195" i="1"/>
  <c r="AR192" i="1"/>
  <c r="AR195" i="1"/>
  <c r="AP192" i="1"/>
  <c r="AP195" i="1"/>
  <c r="AS43" i="1"/>
  <c r="T49" i="1"/>
  <c r="W110" i="1"/>
  <c r="AZ41" i="1"/>
  <c r="AX88" i="1"/>
  <c r="AY42" i="1" s="1"/>
  <c r="AQ48" i="1"/>
  <c r="AR48" i="1"/>
  <c r="AP48" i="1"/>
  <c r="BD16" i="1" l="1"/>
  <c r="AZ13" i="1"/>
  <c r="BA30" i="1"/>
  <c r="BA41" i="1"/>
  <c r="AY88" i="1"/>
  <c r="AZ42" i="1" s="1"/>
  <c r="S45" i="1"/>
  <c r="AS45" i="1" s="1"/>
  <c r="BB30" i="1" l="1"/>
  <c r="BA13" i="1"/>
  <c r="BC41" i="1"/>
  <c r="BB41" i="1"/>
  <c r="AZ88" i="1"/>
  <c r="BA42" i="1" s="1"/>
  <c r="S47" i="1"/>
  <c r="BB13" i="1" l="1"/>
  <c r="AS47" i="1"/>
  <c r="AS195" i="1" s="1"/>
  <c r="V110" i="1"/>
  <c r="U110" i="1"/>
  <c r="S192" i="1"/>
  <c r="S110" i="1"/>
  <c r="T110" i="1"/>
  <c r="BA88" i="1"/>
  <c r="BB42" i="1" s="1"/>
  <c r="S49" i="1"/>
  <c r="AS49" i="1" s="1"/>
  <c r="BD30" i="1" l="1"/>
  <c r="BC30" i="1"/>
  <c r="BD13" i="1"/>
  <c r="BC13" i="1"/>
  <c r="S195" i="1"/>
  <c r="V195" i="1"/>
  <c r="T195" i="1"/>
  <c r="U195" i="1"/>
  <c r="AS192" i="1"/>
  <c r="AS48" i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B88" i="1"/>
  <c r="BC42" i="1" l="1"/>
  <c r="BC88" i="1"/>
  <c r="AT55" i="1"/>
  <c r="AT39" i="1"/>
  <c r="AT60" i="1" s="1"/>
  <c r="AU15" i="1"/>
  <c r="AV15" i="1" s="1"/>
  <c r="AW15" i="1" s="1"/>
  <c r="AX15" i="1" s="1"/>
  <c r="AY15" i="1" s="1"/>
  <c r="AZ15" i="1" s="1"/>
  <c r="BA15" i="1" s="1"/>
  <c r="BB15" i="1" s="1"/>
  <c r="BC15" i="1" s="1"/>
  <c r="BD15" i="1" s="1"/>
  <c r="BD88" i="1" l="1"/>
  <c r="BD42" i="1"/>
  <c r="AT43" i="1"/>
  <c r="AT45" i="1" s="1"/>
  <c r="AT47" i="1" s="1"/>
  <c r="AT56" i="1"/>
  <c r="AT49" i="1" l="1"/>
  <c r="Z49" i="1" s="1"/>
  <c r="Z48" i="1" s="1"/>
  <c r="BI67" i="1"/>
  <c r="Z102" i="1"/>
  <c r="Z103" i="1"/>
  <c r="AV55" i="1"/>
  <c r="AU35" i="1"/>
  <c r="AU32" i="1"/>
  <c r="AU37" i="1"/>
  <c r="AU31" i="1"/>
  <c r="AU33" i="1"/>
  <c r="AW55" i="1" l="1"/>
  <c r="AU36" i="1"/>
  <c r="AU39" i="1" s="1"/>
  <c r="AU60" i="1" s="1"/>
  <c r="AV32" i="1"/>
  <c r="AV37" i="1"/>
  <c r="AV33" i="1"/>
  <c r="AV35" i="1"/>
  <c r="AV31" i="1"/>
  <c r="AV36" i="1" l="1"/>
  <c r="AV39" i="1" s="1"/>
  <c r="AV60" i="1" s="1"/>
  <c r="AU56" i="1"/>
  <c r="AU43" i="1"/>
  <c r="AX55" i="1"/>
  <c r="AW31" i="1"/>
  <c r="AW35" i="1"/>
  <c r="AW37" i="1"/>
  <c r="AW33" i="1"/>
  <c r="AW32" i="1"/>
  <c r="AV43" i="1" l="1"/>
  <c r="AV56" i="1"/>
  <c r="AX31" i="1"/>
  <c r="AX37" i="1"/>
  <c r="AX32" i="1"/>
  <c r="AX35" i="1"/>
  <c r="AX33" i="1"/>
  <c r="AU44" i="1"/>
  <c r="AU45" i="1" s="1"/>
  <c r="AU47" i="1" s="1"/>
  <c r="AY55" i="1"/>
  <c r="AW36" i="1"/>
  <c r="AW39" i="1" s="1"/>
  <c r="AW60" i="1" s="1"/>
  <c r="AU51" i="1" l="1"/>
  <c r="BI69" i="1"/>
  <c r="BI68" i="1"/>
  <c r="AU49" i="1"/>
  <c r="AU65" i="1"/>
  <c r="AW56" i="1"/>
  <c r="AW43" i="1"/>
  <c r="AY37" i="1"/>
  <c r="AY31" i="1"/>
  <c r="AY32" i="1"/>
  <c r="AY33" i="1"/>
  <c r="AY35" i="1"/>
  <c r="AV44" i="1"/>
  <c r="AV45" i="1" s="1"/>
  <c r="AV47" i="1" s="1"/>
  <c r="AX36" i="1"/>
  <c r="AX39" i="1" s="1"/>
  <c r="AX60" i="1" s="1"/>
  <c r="AV51" i="1" l="1"/>
  <c r="AV49" i="1"/>
  <c r="AV65" i="1"/>
  <c r="AW44" i="1"/>
  <c r="AW45" i="1" s="1"/>
  <c r="AW47" i="1" s="1"/>
  <c r="AW51" i="1" s="1"/>
  <c r="AZ32" i="1"/>
  <c r="AZ33" i="1"/>
  <c r="AZ31" i="1"/>
  <c r="AZ55" i="1"/>
  <c r="AZ35" i="1"/>
  <c r="AZ37" i="1"/>
  <c r="AX56" i="1"/>
  <c r="AX43" i="1"/>
  <c r="AY36" i="1"/>
  <c r="AY39" i="1" s="1"/>
  <c r="AY60" i="1" s="1"/>
  <c r="AW49" i="1" l="1"/>
  <c r="AY56" i="1"/>
  <c r="AY43" i="1"/>
  <c r="AX44" i="1"/>
  <c r="AX45" i="1" s="1"/>
  <c r="AX47" i="1" s="1"/>
  <c r="AX51" i="1" s="1"/>
  <c r="AW65" i="1"/>
  <c r="BD55" i="1"/>
  <c r="BA33" i="1"/>
  <c r="BA55" i="1"/>
  <c r="BA32" i="1"/>
  <c r="BA31" i="1"/>
  <c r="BA35" i="1"/>
  <c r="BA37" i="1"/>
  <c r="AZ36" i="1"/>
  <c r="AZ39" i="1" s="1"/>
  <c r="AZ60" i="1" s="1"/>
  <c r="AX49" i="1" l="1"/>
  <c r="AX65" i="1"/>
  <c r="AZ43" i="1"/>
  <c r="AZ56" i="1"/>
  <c r="BC55" i="1"/>
  <c r="BA36" i="1"/>
  <c r="BA39" i="1" s="1"/>
  <c r="BA60" i="1" s="1"/>
  <c r="AY44" i="1"/>
  <c r="AY45" i="1" s="1"/>
  <c r="AY47" i="1" s="1"/>
  <c r="BB55" i="1"/>
  <c r="BB32" i="1"/>
  <c r="BC32" i="1" s="1"/>
  <c r="BD32" i="1" s="1"/>
  <c r="BB31" i="1"/>
  <c r="BB37" i="1"/>
  <c r="BC37" i="1" s="1"/>
  <c r="BD37" i="1" s="1"/>
  <c r="BB33" i="1"/>
  <c r="BC33" i="1" s="1"/>
  <c r="BD33" i="1" s="1"/>
  <c r="BB35" i="1"/>
  <c r="BC35" i="1" s="1"/>
  <c r="BD35" i="1" s="1"/>
  <c r="AY49" i="1" l="1"/>
  <c r="AY51" i="1"/>
  <c r="AZ44" i="1"/>
  <c r="AZ45" i="1" s="1"/>
  <c r="AZ47" i="1" s="1"/>
  <c r="BA43" i="1"/>
  <c r="BA56" i="1"/>
  <c r="BB36" i="1"/>
  <c r="BB39" i="1" s="1"/>
  <c r="BB60" i="1" s="1"/>
  <c r="BC31" i="1"/>
  <c r="AY65" i="1"/>
  <c r="BC36" i="1" l="1"/>
  <c r="BC39" i="1" s="1"/>
  <c r="BC60" i="1" s="1"/>
  <c r="BD31" i="1"/>
  <c r="BD36" i="1" s="1"/>
  <c r="BD39" i="1" s="1"/>
  <c r="AZ49" i="1"/>
  <c r="AZ51" i="1"/>
  <c r="AZ65" i="1"/>
  <c r="BB56" i="1"/>
  <c r="BB43" i="1"/>
  <c r="BA44" i="1"/>
  <c r="BA45" i="1" s="1"/>
  <c r="BA47" i="1" s="1"/>
  <c r="BC56" i="1" l="1"/>
  <c r="BC43" i="1"/>
  <c r="BD43" i="1"/>
  <c r="BD60" i="1"/>
  <c r="BD56" i="1"/>
  <c r="BA49" i="1"/>
  <c r="BA51" i="1"/>
  <c r="BA65" i="1"/>
  <c r="BB44" i="1"/>
  <c r="BB45" i="1" s="1"/>
  <c r="BB47" i="1" s="1"/>
  <c r="BB49" i="1" l="1"/>
  <c r="BB51" i="1"/>
  <c r="BC44" i="1"/>
  <c r="BB65" i="1"/>
  <c r="BC45" i="1" l="1"/>
  <c r="BC47" i="1" s="1"/>
  <c r="BC49" i="1" s="1"/>
  <c r="BD44" i="1"/>
  <c r="BD45" i="1" s="1"/>
  <c r="BD47" i="1" s="1"/>
  <c r="BC65" i="1"/>
  <c r="BC51" i="1" l="1"/>
  <c r="BD65" i="1"/>
  <c r="BD51" i="1"/>
  <c r="BE47" i="1"/>
  <c r="BE51" i="1" s="1"/>
  <c r="BD49" i="1"/>
  <c r="BF47" i="1" l="1"/>
  <c r="BG47" i="1" l="1"/>
  <c r="BF51" i="1"/>
  <c r="BH47" i="1" l="1"/>
  <c r="BG51" i="1"/>
  <c r="BI47" i="1" l="1"/>
  <c r="BH51" i="1"/>
  <c r="BJ47" i="1" l="1"/>
  <c r="BI51" i="1"/>
  <c r="BK47" i="1" l="1"/>
  <c r="BJ51" i="1"/>
  <c r="BL47" i="1" l="1"/>
  <c r="BK51" i="1"/>
  <c r="BM47" i="1" l="1"/>
  <c r="BL51" i="1"/>
  <c r="BN47" i="1" l="1"/>
  <c r="BM51" i="1"/>
  <c r="BO47" i="1" l="1"/>
  <c r="BN51" i="1"/>
  <c r="BP47" i="1" l="1"/>
  <c r="BO51" i="1"/>
  <c r="BQ47" i="1" l="1"/>
  <c r="BP51" i="1"/>
  <c r="BR47" i="1" l="1"/>
  <c r="BQ51" i="1"/>
  <c r="BS47" i="1" l="1"/>
  <c r="BR51" i="1"/>
  <c r="BT47" i="1" l="1"/>
  <c r="BS51" i="1"/>
  <c r="BU47" i="1" l="1"/>
  <c r="BT51" i="1"/>
  <c r="BV47" i="1" l="1"/>
  <c r="BU51" i="1"/>
  <c r="BW47" i="1" l="1"/>
  <c r="BV51" i="1"/>
  <c r="BX47" i="1" l="1"/>
  <c r="BW51" i="1"/>
  <c r="BY47" i="1" l="1"/>
  <c r="BX51" i="1"/>
  <c r="BZ47" i="1" l="1"/>
  <c r="BY51" i="1"/>
  <c r="CA47" i="1" l="1"/>
  <c r="BZ51" i="1"/>
  <c r="CB47" i="1" l="1"/>
  <c r="CA51" i="1"/>
  <c r="CC47" i="1" l="1"/>
  <c r="CB51" i="1"/>
  <c r="CD47" i="1" l="1"/>
  <c r="CC51" i="1"/>
  <c r="CE47" i="1" l="1"/>
  <c r="CD51" i="1"/>
  <c r="CF47" i="1" l="1"/>
  <c r="CE51" i="1"/>
  <c r="CG47" i="1" l="1"/>
  <c r="CF51" i="1"/>
  <c r="CH47" i="1" l="1"/>
  <c r="CG51" i="1"/>
  <c r="CI47" i="1" l="1"/>
  <c r="CH51" i="1"/>
  <c r="CJ47" i="1" l="1"/>
  <c r="CI51" i="1"/>
  <c r="CK47" i="1" l="1"/>
  <c r="CJ51" i="1"/>
  <c r="CL47" i="1" l="1"/>
  <c r="CK51" i="1"/>
  <c r="CM47" i="1" l="1"/>
  <c r="CL51" i="1"/>
  <c r="CN47" i="1" l="1"/>
  <c r="CM51" i="1"/>
  <c r="CO47" i="1" l="1"/>
  <c r="CN51" i="1"/>
  <c r="CP47" i="1" l="1"/>
  <c r="CO51" i="1"/>
  <c r="CQ47" i="1" l="1"/>
  <c r="CP51" i="1"/>
  <c r="CR47" i="1" l="1"/>
  <c r="CQ51" i="1"/>
  <c r="CS47" i="1" l="1"/>
  <c r="CR51" i="1"/>
  <c r="CT47" i="1" l="1"/>
  <c r="CS51" i="1"/>
  <c r="CU47" i="1" l="1"/>
  <c r="CT51" i="1"/>
  <c r="CV47" i="1" l="1"/>
  <c r="CU51" i="1"/>
  <c r="CW47" i="1" l="1"/>
  <c r="CV51" i="1"/>
  <c r="CX47" i="1" l="1"/>
  <c r="CW51" i="1"/>
  <c r="CY47" i="1" l="1"/>
  <c r="CX51" i="1"/>
  <c r="CZ47" i="1" l="1"/>
  <c r="CY51" i="1"/>
  <c r="DA47" i="1" l="1"/>
  <c r="CZ51" i="1"/>
  <c r="DB47" i="1" l="1"/>
  <c r="DA51" i="1"/>
  <c r="DC47" i="1" l="1"/>
  <c r="DB51" i="1"/>
  <c r="DD47" i="1" l="1"/>
  <c r="DC51" i="1"/>
  <c r="DE47" i="1" l="1"/>
  <c r="DD51" i="1"/>
  <c r="DF47" i="1" l="1"/>
  <c r="DE51" i="1"/>
  <c r="DG47" i="1" l="1"/>
  <c r="DF51" i="1"/>
  <c r="DH47" i="1" l="1"/>
  <c r="DG51" i="1"/>
  <c r="DI47" i="1" l="1"/>
  <c r="DH51" i="1"/>
  <c r="DJ47" i="1" l="1"/>
  <c r="DI51" i="1"/>
  <c r="DK47" i="1" l="1"/>
  <c r="DJ51" i="1"/>
  <c r="DL47" i="1" l="1"/>
  <c r="DK51" i="1"/>
  <c r="DM47" i="1" l="1"/>
  <c r="DL51" i="1"/>
  <c r="DN47" i="1" l="1"/>
  <c r="DM51" i="1"/>
  <c r="DO47" i="1" l="1"/>
  <c r="DN51" i="1"/>
  <c r="DP47" i="1" l="1"/>
  <c r="DO51" i="1"/>
  <c r="DQ47" i="1" l="1"/>
  <c r="DP51" i="1"/>
  <c r="DR47" i="1" l="1"/>
  <c r="DQ51" i="1"/>
  <c r="DS47" i="1" l="1"/>
  <c r="DR51" i="1"/>
  <c r="DT47" i="1" l="1"/>
  <c r="DS51" i="1"/>
  <c r="DU47" i="1" l="1"/>
  <c r="DT51" i="1"/>
  <c r="DV47" i="1" l="1"/>
  <c r="DU51" i="1"/>
  <c r="DW47" i="1" l="1"/>
  <c r="DV51" i="1"/>
  <c r="DX47" i="1" l="1"/>
  <c r="DW51" i="1"/>
  <c r="DY47" i="1" l="1"/>
  <c r="DX51" i="1"/>
  <c r="DZ47" i="1" l="1"/>
  <c r="DY51" i="1"/>
  <c r="EA47" i="1" l="1"/>
  <c r="DZ51" i="1"/>
  <c r="EB47" i="1" l="1"/>
  <c r="EA51" i="1"/>
  <c r="EC47" i="1" l="1"/>
  <c r="EB51" i="1"/>
  <c r="ED47" i="1" l="1"/>
  <c r="EC51" i="1"/>
  <c r="EE47" i="1" l="1"/>
  <c r="ED51" i="1"/>
  <c r="EF47" i="1" l="1"/>
  <c r="EE51" i="1"/>
  <c r="EG47" i="1" l="1"/>
  <c r="EF51" i="1"/>
  <c r="EH47" i="1" l="1"/>
  <c r="EG51" i="1"/>
  <c r="EI47" i="1" l="1"/>
  <c r="EH51" i="1"/>
  <c r="EJ47" i="1" l="1"/>
  <c r="EI51" i="1"/>
  <c r="EK47" i="1" l="1"/>
  <c r="EJ51" i="1"/>
  <c r="EL47" i="1" l="1"/>
  <c r="EK51" i="1"/>
  <c r="EM47" i="1" l="1"/>
  <c r="EL51" i="1"/>
  <c r="EN47" i="1" l="1"/>
  <c r="EM51" i="1"/>
  <c r="EO47" i="1" l="1"/>
  <c r="EN51" i="1"/>
  <c r="EP47" i="1" l="1"/>
  <c r="EO51" i="1"/>
  <c r="EQ47" i="1" l="1"/>
  <c r="EP51" i="1"/>
  <c r="ER47" i="1" l="1"/>
  <c r="EQ51" i="1"/>
  <c r="ES47" i="1" l="1"/>
  <c r="ER51" i="1"/>
  <c r="ET47" i="1" l="1"/>
  <c r="ES51" i="1"/>
  <c r="EU47" i="1" l="1"/>
  <c r="ET51" i="1"/>
  <c r="EV47" i="1" l="1"/>
  <c r="EU51" i="1"/>
  <c r="EW47" i="1" l="1"/>
  <c r="EV51" i="1"/>
  <c r="EX47" i="1" l="1"/>
  <c r="EW51" i="1"/>
  <c r="EY47" i="1" l="1"/>
  <c r="EX51" i="1"/>
  <c r="EZ47" i="1" l="1"/>
  <c r="EY51" i="1"/>
  <c r="FA47" i="1" l="1"/>
  <c r="EZ51" i="1"/>
  <c r="FB47" i="1" l="1"/>
  <c r="FA51" i="1"/>
  <c r="FC47" i="1" l="1"/>
  <c r="FB51" i="1"/>
  <c r="FD47" i="1" l="1"/>
  <c r="FC51" i="1"/>
  <c r="FE47" i="1" l="1"/>
  <c r="FD51" i="1"/>
  <c r="FF47" i="1" l="1"/>
  <c r="FE51" i="1"/>
  <c r="FG47" i="1" l="1"/>
  <c r="FF51" i="1"/>
  <c r="FH47" i="1" l="1"/>
  <c r="FG51" i="1"/>
  <c r="FI47" i="1" l="1"/>
  <c r="FH51" i="1"/>
  <c r="FJ47" i="1" l="1"/>
  <c r="FI51" i="1"/>
  <c r="FK47" i="1" l="1"/>
  <c r="FJ51" i="1"/>
  <c r="FL47" i="1" l="1"/>
  <c r="FK51" i="1"/>
  <c r="FM47" i="1" l="1"/>
  <c r="FL51" i="1"/>
  <c r="FN47" i="1" l="1"/>
  <c r="FM51" i="1"/>
  <c r="FO47" i="1" l="1"/>
  <c r="FN51" i="1"/>
  <c r="FP47" i="1" l="1"/>
  <c r="FO51" i="1"/>
  <c r="FQ47" i="1" l="1"/>
  <c r="FP51" i="1"/>
  <c r="FR47" i="1" l="1"/>
  <c r="FQ51" i="1"/>
  <c r="FS47" i="1" l="1"/>
  <c r="FR51" i="1"/>
  <c r="FT47" i="1" l="1"/>
  <c r="FS51" i="1"/>
  <c r="FU47" i="1" l="1"/>
  <c r="FT51" i="1"/>
  <c r="FV47" i="1" l="1"/>
  <c r="FU51" i="1"/>
  <c r="FW47" i="1" l="1"/>
  <c r="FV51" i="1"/>
  <c r="FX47" i="1" l="1"/>
  <c r="FW51" i="1"/>
  <c r="FY47" i="1" l="1"/>
  <c r="FX51" i="1"/>
  <c r="FZ47" i="1" l="1"/>
  <c r="FY51" i="1"/>
  <c r="GA47" i="1" l="1"/>
  <c r="FZ51" i="1"/>
  <c r="GB47" i="1" l="1"/>
  <c r="GA51" i="1"/>
  <c r="GC47" i="1" l="1"/>
  <c r="GB51" i="1"/>
  <c r="GD47" i="1" l="1"/>
  <c r="GC51" i="1"/>
  <c r="GE47" i="1" l="1"/>
  <c r="GD51" i="1"/>
  <c r="GF47" i="1" l="1"/>
  <c r="GE51" i="1"/>
  <c r="GG47" i="1" l="1"/>
  <c r="GF51" i="1"/>
  <c r="GH47" i="1" l="1"/>
  <c r="GG51" i="1"/>
  <c r="GI47" i="1" l="1"/>
  <c r="GH51" i="1"/>
  <c r="GJ47" i="1" l="1"/>
  <c r="GI51" i="1"/>
  <c r="GK47" i="1" l="1"/>
  <c r="GJ51" i="1"/>
  <c r="GL47" i="1" l="1"/>
  <c r="GK51" i="1"/>
  <c r="GM47" i="1" l="1"/>
  <c r="GL51" i="1"/>
  <c r="GN47" i="1" l="1"/>
  <c r="GM51" i="1"/>
  <c r="GO47" i="1" l="1"/>
  <c r="GN51" i="1"/>
  <c r="GP47" i="1" l="1"/>
  <c r="GO51" i="1"/>
  <c r="GQ47" i="1" l="1"/>
  <c r="GP51" i="1"/>
  <c r="GR47" i="1" l="1"/>
  <c r="GQ51" i="1"/>
  <c r="GS47" i="1" l="1"/>
  <c r="GR51" i="1"/>
  <c r="GT47" i="1" l="1"/>
  <c r="GS51" i="1"/>
  <c r="GU47" i="1" l="1"/>
  <c r="GT51" i="1"/>
  <c r="GV47" i="1" l="1"/>
  <c r="GU51" i="1"/>
  <c r="GW47" i="1" l="1"/>
  <c r="GV51" i="1"/>
  <c r="GX47" i="1" l="1"/>
  <c r="GW51" i="1"/>
  <c r="GY47" i="1" l="1"/>
  <c r="GX51" i="1"/>
  <c r="GZ47" i="1" l="1"/>
  <c r="GY51" i="1"/>
  <c r="HA47" i="1" l="1"/>
  <c r="GZ51" i="1"/>
  <c r="HB47" i="1" l="1"/>
  <c r="HA51" i="1"/>
  <c r="HC47" i="1" l="1"/>
  <c r="HB51" i="1"/>
  <c r="HD47" i="1" l="1"/>
  <c r="HC51" i="1"/>
  <c r="HE47" i="1" l="1"/>
  <c r="HD51" i="1"/>
  <c r="HF47" i="1" l="1"/>
  <c r="HE51" i="1"/>
  <c r="HG47" i="1" l="1"/>
  <c r="HF51" i="1"/>
  <c r="HH47" i="1" l="1"/>
  <c r="HG51" i="1"/>
  <c r="HI47" i="1" l="1"/>
  <c r="HH51" i="1"/>
  <c r="HJ47" i="1" l="1"/>
  <c r="HI51" i="1"/>
  <c r="HK47" i="1" l="1"/>
  <c r="HJ51" i="1"/>
  <c r="HL47" i="1" l="1"/>
  <c r="HK51" i="1"/>
  <c r="HM47" i="1" l="1"/>
  <c r="HL51" i="1"/>
  <c r="HN47" i="1" l="1"/>
  <c r="HM51" i="1"/>
  <c r="HO47" i="1" l="1"/>
  <c r="HN51" i="1"/>
  <c r="HP47" i="1" l="1"/>
  <c r="HO51" i="1"/>
  <c r="HQ47" i="1" l="1"/>
  <c r="HP51" i="1"/>
  <c r="HR47" i="1" l="1"/>
  <c r="HQ51" i="1"/>
  <c r="HS47" i="1" l="1"/>
  <c r="HR51" i="1"/>
  <c r="HT47" i="1" l="1"/>
  <c r="HS51" i="1"/>
  <c r="HU47" i="1" l="1"/>
  <c r="HV47" i="1" s="1"/>
  <c r="HT51" i="1"/>
  <c r="HW47" i="1" l="1"/>
  <c r="HV51" i="1"/>
  <c r="HU51" i="1"/>
  <c r="AV52" i="1" s="1"/>
  <c r="HX47" i="1" l="1"/>
  <c r="HW51" i="1"/>
  <c r="HY47" i="1" l="1"/>
  <c r="HX51" i="1"/>
  <c r="HY51" i="1" l="1"/>
  <c r="HZ47" i="1"/>
  <c r="HZ51" i="1" l="1"/>
  <c r="IA47" i="1"/>
  <c r="IA51" i="1" l="1"/>
  <c r="IB47" i="1"/>
  <c r="IC47" i="1" l="1"/>
  <c r="IB51" i="1"/>
  <c r="ID47" i="1" l="1"/>
  <c r="IC51" i="1"/>
  <c r="IE47" i="1" l="1"/>
  <c r="ID51" i="1"/>
  <c r="IF47" i="1" l="1"/>
  <c r="IE51" i="1"/>
  <c r="IG47" i="1" l="1"/>
  <c r="IF51" i="1"/>
  <c r="IG51" i="1" l="1"/>
  <c r="IH47" i="1"/>
  <c r="IH51" i="1" l="1"/>
  <c r="II47" i="1"/>
  <c r="II51" i="1" l="1"/>
  <c r="IJ47" i="1"/>
  <c r="IK47" i="1" l="1"/>
  <c r="IJ51" i="1"/>
  <c r="IL47" i="1" l="1"/>
  <c r="IK51" i="1"/>
  <c r="IL51" i="1" l="1"/>
  <c r="IM47" i="1"/>
  <c r="IN47" i="1" l="1"/>
  <c r="IM51" i="1"/>
  <c r="IO47" i="1" l="1"/>
  <c r="IN51" i="1"/>
  <c r="IO51" i="1" l="1"/>
  <c r="IP47" i="1"/>
  <c r="IP51" i="1" l="1"/>
  <c r="IQ47" i="1"/>
  <c r="IR47" i="1" l="1"/>
  <c r="IQ51" i="1"/>
  <c r="IS47" i="1" l="1"/>
  <c r="IR51" i="1"/>
  <c r="IT47" i="1" l="1"/>
  <c r="IS51" i="1"/>
  <c r="IU47" i="1" l="1"/>
  <c r="IT51" i="1"/>
  <c r="IV47" i="1" l="1"/>
  <c r="IU51" i="1"/>
  <c r="BI58" i="1" l="1"/>
  <c r="BI60" i="1" s="1"/>
  <c r="BI62" i="1" s="1"/>
  <c r="BI64" i="1" s="1"/>
  <c r="IV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3" authorId="0" shapeId="0" xr:uid="{7DBA80AF-0399-BA48-8C95-94FAA005752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Founded: 
</t>
        </r>
        <r>
          <rPr>
            <sz val="10"/>
            <color rgb="FF000000"/>
            <rFont val="Tahoma"/>
            <family val="2"/>
          </rPr>
          <t xml:space="preserve">Founded in 1971 Jerry Baldwin, Zev Siegl, and Gordon Bowker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Company was sold in th 80's to Howard Schultz
</t>
        </r>
      </text>
    </comment>
    <comment ref="B14" authorId="0" shapeId="0" xr:uid="{98802CC2-BAD5-1A46-B8B6-257A554374E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Beginning 2022 summer, ChargePoint (volskwagon charges) will be available up to 15 Starbucks in Colorado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1K Starbucks community stores by 2030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Products 
</t>
        </r>
        <r>
          <rPr>
            <sz val="10"/>
            <color rgb="FF000000"/>
            <rFont val="Tahoma"/>
            <family val="2"/>
          </rPr>
          <t>Clover Vertica Brewer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Brannon, Jameel A.</author>
  </authors>
  <commentList>
    <comment ref="X27" authorId="0" shapeId="0" xr:uid="{A60952F3-2790-244D-8355-F4AC088B1A70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4% increase in avg ticket y/y</t>
        </r>
      </text>
    </comment>
    <comment ref="X38" authorId="0" shapeId="0" xr:uid="{1599F1E6-A362-9B48-B0DA-457599D117E4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Pre-tax gain of Seattle's coffee brand being sold to Nestle </t>
        </r>
      </text>
    </comment>
    <comment ref="X69" authorId="0" shapeId="0" xr:uid="{83769197-5D55-864C-BD76-EF9AE0F3434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Unroasted: 944.2
</t>
        </r>
        <r>
          <rPr>
            <sz val="10"/>
            <color rgb="FF000000"/>
            <rFont val="Tahoma"/>
            <family val="2"/>
          </rPr>
          <t xml:space="preserve">Roasted: 279.4
</t>
        </r>
      </text>
    </comment>
    <comment ref="B108" authorId="1" shapeId="0" xr:uid="{C055F71B-719E-274E-AF23-B2A6CD0038C4}">
      <text>
        <r>
          <rPr>
            <b/>
            <sz val="10"/>
            <color rgb="FF000000"/>
            <rFont val="Tahoma"/>
            <family val="2"/>
          </rPr>
          <t xml:space="preserve">Brannon, Jameel 
</t>
        </r>
        <r>
          <rPr>
            <b/>
            <sz val="10"/>
            <color rgb="FF000000"/>
            <rFont val="Tahoma"/>
            <family val="2"/>
          </rPr>
          <t xml:space="preserve">% </t>
        </r>
        <r>
          <rPr>
            <sz val="10"/>
            <color rgb="FF000000"/>
            <rFont val="Tahoma"/>
            <family val="2"/>
          </rPr>
          <t xml:space="preserve"> of inv sold during year </t>
        </r>
      </text>
    </comment>
    <comment ref="B109" authorId="1" shapeId="0" xr:uid="{61C70486-6450-3E4D-B5B2-610415BB0D02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days before inv is turned to cash OR company has inv to last the next xxx days </t>
        </r>
      </text>
    </comment>
    <comment ref="B110" authorId="1" shapeId="0" xr:uid="{A300279F-EC71-8642-98AF-B55F6770F40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Every dollar of assets produced $ in net income</t>
        </r>
      </text>
    </comment>
    <comment ref="X173" authorId="0" shapeId="0" xr:uid="{30739D5C-FC3B-014E-9E0E-691316C727FB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Seattle's Best Coffee brand) sold to Nestle</t>
        </r>
      </text>
    </comment>
  </commentList>
</comments>
</file>

<file path=xl/sharedStrings.xml><?xml version="1.0" encoding="utf-8"?>
<sst xmlns="http://schemas.openxmlformats.org/spreadsheetml/2006/main" count="246" uniqueCount="197">
  <si>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</si>
  <si>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</si>
  <si>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</si>
  <si>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</si>
  <si>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</si>
  <si>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</si>
  <si>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</si>
  <si>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</si>
  <si>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</si>
  <si>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</si>
  <si>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</si>
  <si>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</si>
  <si>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</si>
  <si>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S/O</t>
  </si>
  <si>
    <t>MC</t>
  </si>
  <si>
    <t xml:space="preserve">Cash </t>
  </si>
  <si>
    <t>Debt</t>
  </si>
  <si>
    <t>EV</t>
  </si>
  <si>
    <t>Company operated stores</t>
  </si>
  <si>
    <t>Licensed stores</t>
  </si>
  <si>
    <t>Other</t>
  </si>
  <si>
    <t xml:space="preserve">Total Revenue </t>
  </si>
  <si>
    <t>Income from equity investees</t>
  </si>
  <si>
    <t>Operating Income</t>
  </si>
  <si>
    <t>Net Income</t>
  </si>
  <si>
    <t>Gain on divestiture</t>
  </si>
  <si>
    <t>Interest income</t>
  </si>
  <si>
    <t>Interest expense</t>
  </si>
  <si>
    <t>Income Before Taxes</t>
  </si>
  <si>
    <t>Taxes</t>
  </si>
  <si>
    <t>noncontrolling</t>
  </si>
  <si>
    <t>Diluted</t>
  </si>
  <si>
    <t>eps</t>
  </si>
  <si>
    <t>Product &amp; disti costs</t>
  </si>
  <si>
    <t>Store op expense</t>
  </si>
  <si>
    <t>Other op expense</t>
  </si>
  <si>
    <t>D&amp;A</t>
  </si>
  <si>
    <t>G&amp;A</t>
  </si>
  <si>
    <t>Total Op expenses</t>
  </si>
  <si>
    <t xml:space="preserve">Revenue YoY </t>
  </si>
  <si>
    <t>Q122</t>
  </si>
  <si>
    <t>Q222</t>
  </si>
  <si>
    <t>Q322</t>
  </si>
  <si>
    <t>Q422</t>
  </si>
  <si>
    <t>Discount</t>
  </si>
  <si>
    <t>Total Stores</t>
  </si>
  <si>
    <t>Estimate</t>
  </si>
  <si>
    <t>Shares</t>
  </si>
  <si>
    <t>Current</t>
  </si>
  <si>
    <t>Delta</t>
  </si>
  <si>
    <t>OM%</t>
  </si>
  <si>
    <t xml:space="preserve">Beverage </t>
  </si>
  <si>
    <t>Food</t>
  </si>
  <si>
    <t>TL + E</t>
  </si>
  <si>
    <t>Equity</t>
  </si>
  <si>
    <t>TL</t>
  </si>
  <si>
    <t>Current Liabilities</t>
  </si>
  <si>
    <t xml:space="preserve">Current Assets </t>
  </si>
  <si>
    <t xml:space="preserve">Total Assets </t>
  </si>
  <si>
    <t xml:space="preserve">Net Cash </t>
  </si>
  <si>
    <t>Investments</t>
  </si>
  <si>
    <t>A/R</t>
  </si>
  <si>
    <t>Inventories</t>
  </si>
  <si>
    <t>Prepaid expenses</t>
  </si>
  <si>
    <t>Long term investments</t>
  </si>
  <si>
    <t>Equity investments</t>
  </si>
  <si>
    <t>PPE</t>
  </si>
  <si>
    <t>Op lease</t>
  </si>
  <si>
    <t>Deferred income tax</t>
  </si>
  <si>
    <t>Other long term assets</t>
  </si>
  <si>
    <t xml:space="preserve">Intangibles </t>
  </si>
  <si>
    <t>Goodwill</t>
  </si>
  <si>
    <t>A/P</t>
  </si>
  <si>
    <t>Accrued liabilities</t>
  </si>
  <si>
    <t>Accrued payroll &amp; benefits</t>
  </si>
  <si>
    <t>Current op lease</t>
  </si>
  <si>
    <t>Stored value card liability</t>
  </si>
  <si>
    <t xml:space="preserve">Short term debt </t>
  </si>
  <si>
    <t xml:space="preserve">Current Long Term Debt </t>
  </si>
  <si>
    <t xml:space="preserve">Long Term Debt </t>
  </si>
  <si>
    <t xml:space="preserve">Op lease </t>
  </si>
  <si>
    <t xml:space="preserve">Deferred revenue </t>
  </si>
  <si>
    <t xml:space="preserve">Other long term </t>
  </si>
  <si>
    <t>CFFO</t>
  </si>
  <si>
    <t xml:space="preserve">Net Income </t>
  </si>
  <si>
    <t xml:space="preserve">Income from equity method </t>
  </si>
  <si>
    <t>Distributions received from e</t>
  </si>
  <si>
    <t>SBC</t>
  </si>
  <si>
    <t>Non cash lease costs</t>
  </si>
  <si>
    <t>Loss onn retirement</t>
  </si>
  <si>
    <t xml:space="preserve">Other </t>
  </si>
  <si>
    <t>prepaid expenses</t>
  </si>
  <si>
    <t xml:space="preserve">deferred revenue </t>
  </si>
  <si>
    <t xml:space="preserve">Other op lease </t>
  </si>
  <si>
    <t>Sale of investments</t>
  </si>
  <si>
    <t>Maturities and calls of invest.</t>
  </si>
  <si>
    <t>Capex</t>
  </si>
  <si>
    <t>CFFI</t>
  </si>
  <si>
    <t xml:space="preserve">Proceeds form debt issuance </t>
  </si>
  <si>
    <t xml:space="preserve">Repayments of short term debt </t>
  </si>
  <si>
    <t>Repayments of LTD</t>
  </si>
  <si>
    <t xml:space="preserve">Proceeds from common </t>
  </si>
  <si>
    <t xml:space="preserve">Dividends </t>
  </si>
  <si>
    <t xml:space="preserve">Buybacks </t>
  </si>
  <si>
    <t>Tax withholdings on SB</t>
  </si>
  <si>
    <t>CFFF</t>
  </si>
  <si>
    <t>Fx</t>
  </si>
  <si>
    <t xml:space="preserve">Net Increase </t>
  </si>
  <si>
    <t xml:space="preserve">Mix % </t>
  </si>
  <si>
    <t xml:space="preserve">Incoem tax payable </t>
  </si>
  <si>
    <t>Goodwill impairments</t>
  </si>
  <si>
    <t>NWC</t>
  </si>
  <si>
    <t>Maturity</t>
  </si>
  <si>
    <t>Joint Venture</t>
  </si>
  <si>
    <t>Q118</t>
  </si>
  <si>
    <t>Q218</t>
  </si>
  <si>
    <t>Q318</t>
  </si>
  <si>
    <t>Q418</t>
  </si>
  <si>
    <t>Income tax payable</t>
  </si>
  <si>
    <t>Press Release</t>
  </si>
  <si>
    <t>Contains</t>
  </si>
  <si>
    <t xml:space="preserve">Howard Schultz interim CEO </t>
  </si>
  <si>
    <t>History</t>
  </si>
  <si>
    <t xml:space="preserve">Approved dividend of 49 cents </t>
  </si>
  <si>
    <t>Higher wages for emplyees</t>
  </si>
  <si>
    <t>Increased dividend 45 cents to 49 cents  -- 9% increase</t>
  </si>
  <si>
    <t xml:space="preserve">Outlining Long term Growth </t>
  </si>
  <si>
    <t>Transcripts</t>
  </si>
  <si>
    <t>Q3'21</t>
  </si>
  <si>
    <t xml:space="preserve">Q4 &amp; FY'21 </t>
  </si>
  <si>
    <t>Q2'21</t>
  </si>
  <si>
    <t>Q1'21</t>
  </si>
  <si>
    <t>Q4'22</t>
  </si>
  <si>
    <t>Q3'22</t>
  </si>
  <si>
    <t>Q2'22</t>
  </si>
  <si>
    <t>4Q NI</t>
  </si>
  <si>
    <t>ROIC</t>
  </si>
  <si>
    <t xml:space="preserve">I Rate </t>
  </si>
  <si>
    <t>Inventory Turnover</t>
  </si>
  <si>
    <t xml:space="preserve">Days Inventory </t>
  </si>
  <si>
    <t xml:space="preserve">Return on Assets </t>
  </si>
  <si>
    <t>Model</t>
  </si>
  <si>
    <t>Dividend</t>
  </si>
  <si>
    <t>EBITDA</t>
  </si>
  <si>
    <t>Q123</t>
  </si>
  <si>
    <t>Q2'23</t>
  </si>
  <si>
    <t>NC</t>
  </si>
  <si>
    <t>Asset sale</t>
  </si>
  <si>
    <t>Asset sales</t>
  </si>
  <si>
    <t>Q223</t>
  </si>
  <si>
    <t>Divestiture</t>
  </si>
  <si>
    <t>NA</t>
  </si>
  <si>
    <t xml:space="preserve">Int'l </t>
  </si>
  <si>
    <t>NA OM%</t>
  </si>
  <si>
    <t>Int'l OM%</t>
  </si>
  <si>
    <t>Channel OM%</t>
  </si>
  <si>
    <t>Globalcoffee</t>
  </si>
  <si>
    <t>Roasted</t>
  </si>
  <si>
    <t>Other merch</t>
  </si>
  <si>
    <t>Packaging/supplies</t>
  </si>
  <si>
    <t>Net Inventory</t>
  </si>
  <si>
    <t>Q1'23</t>
  </si>
  <si>
    <t>Q323</t>
  </si>
  <si>
    <t>Q423</t>
  </si>
  <si>
    <t>Q124</t>
  </si>
  <si>
    <t>Q224</t>
  </si>
  <si>
    <t>Q324</t>
  </si>
  <si>
    <t>Q424</t>
  </si>
  <si>
    <t>Article 1 12/13/23</t>
  </si>
  <si>
    <t>Plants</t>
  </si>
  <si>
    <t>Coffee arabics</t>
  </si>
  <si>
    <t>Coffeea canephora</t>
  </si>
  <si>
    <t>Company news</t>
  </si>
  <si>
    <t>Statistics</t>
  </si>
  <si>
    <t>Files</t>
  </si>
  <si>
    <t xml:space="preserve">IR: </t>
  </si>
  <si>
    <t>https://investor.starbucks.com/ir-home/default.aspx</t>
  </si>
  <si>
    <t>Ratio Analysis</t>
  </si>
  <si>
    <t xml:space="preserve">Total Debt </t>
  </si>
  <si>
    <t xml:space="preserve">Net Debt </t>
  </si>
  <si>
    <t>Net Debt P/S</t>
  </si>
  <si>
    <t>BVPS</t>
  </si>
  <si>
    <t>Inputs</t>
  </si>
  <si>
    <t xml:space="preserve">Interest </t>
  </si>
  <si>
    <t>PV</t>
  </si>
  <si>
    <t xml:space="preserve">Total Value </t>
  </si>
  <si>
    <t xml:space="preserve">Symbol </t>
  </si>
  <si>
    <t>Company Owned</t>
  </si>
  <si>
    <t>Licensed</t>
  </si>
  <si>
    <t>Net NA</t>
  </si>
  <si>
    <t>Net Int'l</t>
  </si>
  <si>
    <t>Revenue Per Co Owned</t>
  </si>
  <si>
    <t>Revenue Int'l Store</t>
  </si>
  <si>
    <t>EV/2023E</t>
  </si>
  <si>
    <t>EV/2024E</t>
  </si>
  <si>
    <t>EV/2025E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</si>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</sst>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m/d;@"/>
    <numFmt numFmtId="166" formatCode="_(* #,##0_);_(* \(#,##0\);_(* &quot;-&quot;??_);_(@_)"/>
    <numFmt numFmtId="167" formatCode="&quot;$&quot;#,##0"/>
    <numFmt numFmtId="168" formatCode="#,##0.0000000000"/>
    <numFmt numFmtId="171" formatCode="0.0"/>
    <numFmt numFmtId="172" formatCode="0.0%"/>
    <numFmt numFmtId="173" formatCode="0\x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66" fontId="6" fillId="0" borderId="0" xfId="1" applyNumberFormat="1" applyFont="1"/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166" fontId="7" fillId="0" borderId="0" xfId="1" applyNumberFormat="1" applyFont="1"/>
    <xf numFmtId="9" fontId="7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168" fontId="6" fillId="0" borderId="0" xfId="0" applyNumberFormat="1" applyFont="1"/>
    <xf numFmtId="4" fontId="5" fillId="0" borderId="0" xfId="0" applyNumberFormat="1" applyFont="1"/>
    <xf numFmtId="3" fontId="5" fillId="2" borderId="1" xfId="0" applyNumberFormat="1" applyFont="1" applyFill="1" applyBorder="1"/>
    <xf numFmtId="9" fontId="5" fillId="2" borderId="2" xfId="0" applyNumberFormat="1" applyFont="1" applyFill="1" applyBorder="1"/>
    <xf numFmtId="9" fontId="6" fillId="0" borderId="0" xfId="0" applyNumberFormat="1" applyFont="1"/>
    <xf numFmtId="9" fontId="6" fillId="0" borderId="0" xfId="0" applyNumberFormat="1" applyFont="1" applyAlignment="1">
      <alignment horizontal="right"/>
    </xf>
    <xf numFmtId="3" fontId="5" fillId="2" borderId="3" xfId="0" applyNumberFormat="1" applyFont="1" applyFill="1" applyBorder="1"/>
    <xf numFmtId="9" fontId="5" fillId="2" borderId="4" xfId="0" applyNumberFormat="1" applyFont="1" applyFill="1" applyBorder="1"/>
    <xf numFmtId="9" fontId="5" fillId="2" borderId="3" xfId="0" applyNumberFormat="1" applyFont="1" applyFill="1" applyBorder="1"/>
    <xf numFmtId="3" fontId="5" fillId="2" borderId="4" xfId="0" applyNumberFormat="1" applyFont="1" applyFill="1" applyBorder="1"/>
    <xf numFmtId="3" fontId="6" fillId="2" borderId="3" xfId="0" applyNumberFormat="1" applyFont="1" applyFill="1" applyBorder="1"/>
    <xf numFmtId="3" fontId="6" fillId="2" borderId="4" xfId="0" applyNumberFormat="1" applyFont="1" applyFill="1" applyBorder="1"/>
    <xf numFmtId="3" fontId="6" fillId="2" borderId="5" xfId="0" applyNumberFormat="1" applyFont="1" applyFill="1" applyBorder="1"/>
    <xf numFmtId="9" fontId="6" fillId="2" borderId="6" xfId="0" applyNumberFormat="1" applyFont="1" applyFill="1" applyBorder="1"/>
    <xf numFmtId="3" fontId="9" fillId="0" borderId="0" xfId="0" applyNumberFormat="1" applyFont="1"/>
    <xf numFmtId="167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2" applyFont="1" applyAlignment="1">
      <alignment horizontal="right"/>
    </xf>
    <xf numFmtId="3" fontId="5" fillId="0" borderId="0" xfId="0" applyNumberFormat="1" applyFont="1" applyAlignment="1">
      <alignment horizontal="left" indent="1"/>
    </xf>
    <xf numFmtId="171" fontId="5" fillId="0" borderId="0" xfId="0" applyNumberFormat="1" applyFont="1"/>
    <xf numFmtId="172" fontId="5" fillId="2" borderId="4" xfId="0" applyNumberFormat="1" applyFont="1" applyFill="1" applyBorder="1"/>
    <xf numFmtId="173" fontId="5" fillId="0" borderId="0" xfId="0" applyNumberFormat="1" applyFont="1"/>
    <xf numFmtId="3" fontId="10" fillId="0" borderId="0" xfId="3" applyNumberFormat="1" applyFont="1"/>
    <xf numFmtId="3" fontId="6" fillId="0" borderId="0" xfId="0" applyNumberFormat="1" applyFont="1" applyAlignment="1">
      <alignment horizontal="left"/>
    </xf>
    <xf numFmtId="3" fontId="10" fillId="0" borderId="0" xfId="3" applyNumberFormat="1" applyFont="1" applyAlignment="1">
      <alignment horizontal="right"/>
    </xf>
    <xf numFmtId="14" fontId="10" fillId="0" borderId="0" xfId="3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2822</xdr:colOff>
      <xdr:row>0</xdr:row>
      <xdr:rowOff>0</xdr:rowOff>
    </xdr:from>
    <xdr:to>
      <xdr:col>28</xdr:col>
      <xdr:colOff>8795</xdr:colOff>
      <xdr:row>243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D78B48A-6550-4943-BED6-B1B1F948F055}"/>
            </a:ext>
          </a:extLst>
        </xdr:cNvPr>
        <xdr:cNvCxnSpPr/>
      </xdr:nvCxnSpPr>
      <xdr:spPr>
        <a:xfrm flipH="1">
          <a:off x="15530689" y="0"/>
          <a:ext cx="5973" cy="3563620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527440</xdr:colOff>
      <xdr:row>0</xdr:row>
      <xdr:rowOff>9203</xdr:rowOff>
    </xdr:from>
    <xdr:to>
      <xdr:col>45</xdr:col>
      <xdr:colOff>553143</xdr:colOff>
      <xdr:row>202</xdr:row>
      <xdr:rowOff>104876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CD2B759-4C93-684E-88FF-C8E2CEBC9FD2}"/>
            </a:ext>
          </a:extLst>
        </xdr:cNvPr>
        <xdr:cNvCxnSpPr/>
      </xdr:nvCxnSpPr>
      <xdr:spPr>
        <a:xfrm flipH="1">
          <a:off x="24859904" y="9203"/>
          <a:ext cx="25703" cy="3062168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2.q4cdn.com/869488222/files/doc_financials/2021/q2/SBUX-Q2-2021-Earnings-Call-Transcript.pdf" TargetMode="External"/><Relationship Id="rId13" Type="http://schemas.openxmlformats.org/officeDocument/2006/relationships/hyperlink" Target="https://www.vox.com/money/2023/12/13/23999981/starbucks-boycott-israel-palestine-market-value-loss-holidays-labor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investor.starbucks.com/press-releases/financial-releases/press-release-details/2021/Starbucks-Makes-Historic-Investments-in-its-Partners-Employees-Building-on-Long-Time-Belief-that-Success-is-Best-When-Shared/default.aspx" TargetMode="External"/><Relationship Id="rId7" Type="http://schemas.openxmlformats.org/officeDocument/2006/relationships/hyperlink" Target="https://s22.q4cdn.com/869488222/files/doc_financials/2021/q3/SBUX-Q3-2021-Earnings-Call-Corrected-Transcript.pdf" TargetMode="External"/><Relationship Id="rId12" Type="http://schemas.openxmlformats.org/officeDocument/2006/relationships/hyperlink" Target="https://s22.q4cdn.com/869488222/files/doc_financials/2023/q1/SBUX_Corrected_Transcript.pdf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investor.starbucks.com/press-releases/financial-releases/press-release-details/2021/Starbucks-Declares-Quarterly-Cash-Dividend-f7cc1927f/default.aspx" TargetMode="External"/><Relationship Id="rId16" Type="http://schemas.openxmlformats.org/officeDocument/2006/relationships/hyperlink" Target="https://investor.starbucks.com/files/doc_financials/2024/q2/2Q24-Earnings-Release-Final-4-30-24.pdf" TargetMode="External"/><Relationship Id="rId1" Type="http://schemas.openxmlformats.org/officeDocument/2006/relationships/hyperlink" Target="https://investor.starbucks.com/press-releases/financial-releases/press-release-details/2022/Starbucks-Announces-Leadership-Transition/default.aspx" TargetMode="External"/><Relationship Id="rId6" Type="http://schemas.openxmlformats.org/officeDocument/2006/relationships/hyperlink" Target="https://s22.q4cdn.com/869488222/files/doc_financials/2021/q4/Q4-FY21-SBUX-Earnings-Call-Transcript.pdf" TargetMode="External"/><Relationship Id="rId11" Type="http://schemas.openxmlformats.org/officeDocument/2006/relationships/hyperlink" Target="https://s22.q4cdn.com/869488222/files/doc_financials/2023/q2/SBUXQ22023EarningsCall.pdf" TargetMode="External"/><Relationship Id="rId5" Type="http://schemas.openxmlformats.org/officeDocument/2006/relationships/hyperlink" Target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TargetMode="External"/><Relationship Id="rId15" Type="http://schemas.openxmlformats.org/officeDocument/2006/relationships/hyperlink" Target="https://investor.starbucks.com/ir-home/default.aspx" TargetMode="External"/><Relationship Id="rId10" Type="http://schemas.openxmlformats.org/officeDocument/2006/relationships/hyperlink" Target="https://investor.starbucks.com/press-releases/financial-releases/press-release-details/2022/Starbucks-Declares-Quarterly-Cash-Dividend-dc214e177/default.aspx" TargetMode="External"/><Relationship Id="rId4" Type="http://schemas.openxmlformats.org/officeDocument/2006/relationships/hyperlink" Target="https://investor.starbucks.com/press-releases/financial-releases/press-release-details/2021/Starbucks-Announces-Increase-in-Quarterly-Cash-Dividend/default.aspx" TargetMode="External"/><Relationship Id="rId9" Type="http://schemas.openxmlformats.org/officeDocument/2006/relationships/hyperlink" Target="https://s22.q4cdn.com/869488222/files/doc_financials/2021/q1/Q1-2021-Earnings-Call,-26-January-2021.pdf" TargetMode="External"/><Relationship Id="rId14" Type="http://schemas.openxmlformats.org/officeDocument/2006/relationships/hyperlink" Target="https://www.census.gov/newsroom/stories/coffee-day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7E33-8AED-6C40-9B1C-791B36C2C26B}">
  <dimension ref="A1:L32"/>
  <sheetViews>
    <sheetView tabSelected="1" zoomScale="218" zoomScaleNormal="170" workbookViewId="0">
      <selection activeCell="C7" sqref="C7"/>
    </sheetView>
  </sheetViews>
  <sheetFormatPr baseColWidth="10" defaultRowHeight="13"/>
  <cols>
    <col min="1" max="1" width="14.83203125" style="8" bestFit="1" customWidth="1"/>
    <col min="2" max="2" width="12" style="3" bestFit="1" customWidth="1"/>
    <col min="3" max="6" width="10.83203125" style="8"/>
    <col min="7" max="7" width="15.33203125" style="8" bestFit="1" customWidth="1"/>
    <col min="8" max="8" width="5.6640625" style="3" bestFit="1" customWidth="1"/>
    <col min="9" max="9" width="7.6640625" style="8" bestFit="1" customWidth="1"/>
    <col min="10" max="10" width="5.5" style="8" bestFit="1" customWidth="1"/>
    <col min="11" max="14" width="10.83203125" style="8"/>
    <col min="15" max="15" width="5.6640625" style="8" bestFit="1" customWidth="1"/>
    <col min="16" max="16" width="7.6640625" style="8" bestFit="1" customWidth="1"/>
    <col min="17" max="17" width="5.5" style="8" bestFit="1" customWidth="1"/>
    <col min="18" max="16384" width="10.83203125" style="8"/>
  </cols>
  <sheetData>
    <row r="1" spans="1:12" s="8" customFormat="1">
      <c r="A1" s="44" t="s">
        <v>141</v>
      </c>
      <c r="B1" s="3"/>
      <c r="H1" s="3"/>
    </row>
    <row r="2" spans="1:12" s="8" customFormat="1">
      <c r="B2" s="3" t="s">
        <v>175</v>
      </c>
      <c r="C2" s="44" t="s">
        <v>176</v>
      </c>
      <c r="H2" s="3"/>
    </row>
    <row r="3" spans="1:12" s="8" customFormat="1">
      <c r="B3" s="45" t="s">
        <v>122</v>
      </c>
      <c r="H3" s="3" t="s">
        <v>12</v>
      </c>
      <c r="I3" s="23">
        <v>78.87</v>
      </c>
    </row>
    <row r="4" spans="1:12" s="8" customFormat="1">
      <c r="B4" s="3"/>
      <c r="H4" s="3" t="s">
        <v>13</v>
      </c>
      <c r="I4" s="8">
        <v>1132.7</v>
      </c>
      <c r="J4" s="8" t="s">
        <v>164</v>
      </c>
    </row>
    <row r="5" spans="1:12" s="8" customFormat="1">
      <c r="B5" s="3"/>
      <c r="H5" s="3" t="s">
        <v>14</v>
      </c>
      <c r="I5" s="8">
        <f>+I3*I4</f>
        <v>89336.049000000014</v>
      </c>
    </row>
    <row r="6" spans="1:12" s="8" customFormat="1">
      <c r="B6" s="3">
        <f>178.5*60</f>
        <v>10710</v>
      </c>
      <c r="H6" s="3" t="s">
        <v>15</v>
      </c>
      <c r="I6" s="8">
        <f>2764.1+362.5</f>
        <v>3126.6</v>
      </c>
      <c r="J6" s="8" t="str">
        <f>+J4</f>
        <v>Q124</v>
      </c>
    </row>
    <row r="7" spans="1:12" s="8" customFormat="1">
      <c r="B7" s="3"/>
      <c r="H7" s="3" t="s">
        <v>16</v>
      </c>
      <c r="I7" s="8">
        <f>42.1+15547.5</f>
        <v>15589.6</v>
      </c>
      <c r="J7" s="8" t="str">
        <f>+J6</f>
        <v>Q124</v>
      </c>
      <c r="L7" s="10"/>
    </row>
    <row r="8" spans="1:12" s="8" customFormat="1">
      <c r="B8" s="3"/>
      <c r="H8" s="3" t="s">
        <v>17</v>
      </c>
      <c r="I8" s="4">
        <f>+I5-I6+I7</f>
        <v>101799.04900000001</v>
      </c>
      <c r="J8" s="4"/>
    </row>
    <row r="9" spans="1:12" s="8" customFormat="1">
      <c r="B9" s="3"/>
      <c r="H9" s="3"/>
      <c r="I9" s="4"/>
      <c r="J9" s="4"/>
    </row>
    <row r="10" spans="1:12" s="8" customFormat="1">
      <c r="B10" s="3"/>
      <c r="H10" s="3" t="s">
        <v>146</v>
      </c>
      <c r="I10" s="8">
        <f>+I6-I7</f>
        <v>-12463</v>
      </c>
    </row>
    <row r="12" spans="1:12" s="4" customFormat="1">
      <c r="A12" s="45" t="s">
        <v>172</v>
      </c>
      <c r="B12" s="45" t="s">
        <v>119</v>
      </c>
      <c r="C12" s="4" t="s">
        <v>120</v>
      </c>
      <c r="F12" s="12" t="s">
        <v>173</v>
      </c>
      <c r="G12" s="12" t="s">
        <v>169</v>
      </c>
    </row>
    <row r="13" spans="1:12" s="4" customFormat="1">
      <c r="A13" s="46" t="s">
        <v>168</v>
      </c>
      <c r="B13" s="47">
        <v>44895</v>
      </c>
      <c r="C13" s="4" t="s">
        <v>142</v>
      </c>
      <c r="F13" s="46" t="s">
        <v>174</v>
      </c>
      <c r="G13" s="4" t="s">
        <v>170</v>
      </c>
    </row>
    <row r="14" spans="1:12" s="8" customFormat="1">
      <c r="B14" s="47">
        <v>44636</v>
      </c>
      <c r="C14" s="8" t="s">
        <v>121</v>
      </c>
      <c r="G14" s="3" t="s">
        <v>171</v>
      </c>
      <c r="H14" s="3"/>
    </row>
    <row r="15" spans="1:12" s="8" customFormat="1">
      <c r="B15" s="47">
        <v>44516</v>
      </c>
      <c r="C15" s="8" t="s">
        <v>123</v>
      </c>
      <c r="H15" s="3"/>
    </row>
    <row r="16" spans="1:12" s="8" customFormat="1">
      <c r="B16" s="47">
        <v>44496</v>
      </c>
      <c r="C16" s="8" t="s">
        <v>124</v>
      </c>
      <c r="H16" s="3"/>
    </row>
    <row r="17" spans="2:9" s="8" customFormat="1">
      <c r="B17" s="47">
        <v>44468</v>
      </c>
      <c r="C17" s="8" t="s">
        <v>125</v>
      </c>
      <c r="H17" s="3"/>
    </row>
    <row r="18" spans="2:9" s="8" customFormat="1">
      <c r="B18" s="47">
        <v>44174</v>
      </c>
      <c r="C18" s="8" t="s">
        <v>126</v>
      </c>
      <c r="H18" s="3"/>
    </row>
    <row r="19" spans="2:9" s="8" customFormat="1">
      <c r="B19" s="48"/>
      <c r="C19" s="10"/>
      <c r="H19" s="3"/>
      <c r="I19" s="10"/>
    </row>
    <row r="20" spans="2:9" s="8" customFormat="1">
      <c r="B20" s="48"/>
      <c r="H20" s="3"/>
    </row>
    <row r="21" spans="2:9" s="8" customFormat="1">
      <c r="B21" s="49" t="s">
        <v>127</v>
      </c>
      <c r="H21" s="3"/>
    </row>
    <row r="22" spans="2:9" s="8" customFormat="1">
      <c r="B22" s="47" t="s">
        <v>164</v>
      </c>
      <c r="H22" s="3"/>
    </row>
    <row r="23" spans="2:9" s="8" customFormat="1">
      <c r="B23" s="47" t="s">
        <v>145</v>
      </c>
      <c r="H23" s="3"/>
    </row>
    <row r="24" spans="2:9" s="8" customFormat="1">
      <c r="B24" s="47" t="s">
        <v>161</v>
      </c>
      <c r="H24" s="3"/>
    </row>
    <row r="25" spans="2:9" s="8" customFormat="1">
      <c r="B25" s="48" t="s">
        <v>132</v>
      </c>
      <c r="H25" s="3"/>
    </row>
    <row r="26" spans="2:9" s="8" customFormat="1">
      <c r="B26" s="48" t="s">
        <v>133</v>
      </c>
      <c r="H26" s="3"/>
    </row>
    <row r="27" spans="2:9" s="8" customFormat="1">
      <c r="B27" s="48" t="s">
        <v>134</v>
      </c>
      <c r="H27" s="3"/>
    </row>
    <row r="28" spans="2:9" s="8" customFormat="1">
      <c r="B28" s="47" t="s">
        <v>129</v>
      </c>
      <c r="H28" s="3"/>
    </row>
    <row r="29" spans="2:9" s="8" customFormat="1">
      <c r="B29" s="47" t="s">
        <v>128</v>
      </c>
      <c r="H29" s="3"/>
    </row>
    <row r="30" spans="2:9" s="8" customFormat="1">
      <c r="B30" s="47" t="s">
        <v>130</v>
      </c>
      <c r="H30" s="3"/>
    </row>
    <row r="31" spans="2:9" s="8" customFormat="1">
      <c r="B31" s="47" t="s">
        <v>131</v>
      </c>
      <c r="H31" s="3"/>
    </row>
    <row r="32" spans="2:9" s="8" customFormat="1">
      <c r="B32" s="48"/>
      <c r="H32" s="3"/>
    </row>
  </sheetData>
  <hyperlinks>
    <hyperlink ref="B14" r:id="rId1" display="https://investor.starbucks.com/press-releases/financial-releases/press-release-details/2022/Starbucks-Announces-Leadership-Transition/default.aspx" xr:uid="{4DD81B6D-6BCE-864E-8D68-46D9810623B9}"/>
    <hyperlink ref="B15" r:id="rId2" display="https://investor.starbucks.com/press-releases/financial-releases/press-release-details/2021/Starbucks-Declares-Quarterly-Cash-Dividend-f7cc1927f/default.aspx" xr:uid="{2F077FC8-E05B-0849-BE90-17CE6813C85E}"/>
    <hyperlink ref="B16" r:id="rId3" display="https://investor.starbucks.com/press-releases/financial-releases/press-release-details/2021/Starbucks-Makes-Historic-Investments-in-its-Partners-Employees-Building-on-Long-Time-Belief-that-Success-is-Best-When-Shared/default.aspx" xr:uid="{3605C9AA-77B9-C343-8761-A7B8426A7252}"/>
    <hyperlink ref="B17" r:id="rId4" display="https://investor.starbucks.com/press-releases/financial-releases/press-release-details/2021/Starbucks-Announces-Increase-in-Quarterly-Cash-Dividend/default.aspx" xr:uid="{BEDA90DE-DFC3-2F41-9622-07F0A5876879}"/>
    <hyperlink ref="B18" r:id="rId5" display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xr:uid="{6366AA43-DAA2-8240-9F48-88FFD5D9BEDE}"/>
    <hyperlink ref="B28" r:id="rId6" display="Q4 &amp; FY'21 Transcript" xr:uid="{5FA13AA5-AAE4-074A-B5CF-40A8405B0165}"/>
    <hyperlink ref="B29" r:id="rId7" xr:uid="{27E56321-7E7B-2840-A88B-FD9E4496769F}"/>
    <hyperlink ref="B30" r:id="rId8" xr:uid="{AF27E318-F027-9F4C-AD1E-78D1E7893395}"/>
    <hyperlink ref="B31" r:id="rId9" xr:uid="{01B3B750-103F-E840-8AA2-8AB691BAE6C3}"/>
    <hyperlink ref="A1" location="Model!A1" display="Model" xr:uid="{C15AC881-A626-0F4D-BD4D-0D33F745AC3B}"/>
    <hyperlink ref="B13" r:id="rId10" display="https://investor.starbucks.com/press-releases/financial-releases/press-release-details/2022/Starbucks-Declares-Quarterly-Cash-Dividend-dc214e177/default.aspx" xr:uid="{F2CEAF34-6F25-CB4C-9FA6-331904CA029D}"/>
    <hyperlink ref="B23" r:id="rId11" xr:uid="{E85EF21B-AD2E-2E44-8DA3-C3094FB7CF87}"/>
    <hyperlink ref="B24" r:id="rId12" xr:uid="{8648BD01-E6BA-9540-8D24-861216430AC6}"/>
    <hyperlink ref="A13" r:id="rId13" display="Article 1" xr:uid="{41EDE786-40B0-AA43-819B-22320680D14D}"/>
    <hyperlink ref="F13" r:id="rId14" location=":~:text=2023%2F24%20Coffee%20Overview&amp;text=With%20additional%20supplies%2C%20global%20exports,tight%20at%2031.8%20million%20bags.”" xr:uid="{9AD1C813-DC69-3540-ACFD-C78489D9B776}"/>
    <hyperlink ref="C2" r:id="rId15" xr:uid="{219C2F26-3A73-1046-9BBB-AA28638CC804}"/>
    <hyperlink ref="B22" r:id="rId16" xr:uid="{E54CA0E6-A026-1346-BE21-374C5654F685}"/>
  </hyperlinks>
  <pageMargins left="0.7" right="0.7" top="0.75" bottom="0.75" header="0.3" footer="0.3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1DFE-5BC4-DD4B-85CB-24DD03A3AA47}">
  <dimension ref="A2:IV211"/>
  <sheetViews>
    <sheetView zoomScale="130" zoomScaleNormal="130" workbookViewId="0">
      <pane xSplit="2" ySplit="3" topLeftCell="C9" activePane="bottomRight" state="frozen"/>
      <selection pane="topRight" activeCell="B1" sqref="B1"/>
      <selection pane="bottomLeft" activeCell="A3" sqref="A3"/>
      <selection pane="bottomRight" activeCell="AA27" sqref="AA27"/>
    </sheetView>
  </sheetViews>
  <sheetFormatPr baseColWidth="10" defaultRowHeight="13" outlineLevelRow="1"/>
  <cols>
    <col min="1" max="1" width="2.83203125" style="8" customWidth="1"/>
    <col min="2" max="2" width="25.83203125" style="8" bestFit="1" customWidth="1"/>
    <col min="3" max="7" width="5.6640625" style="4" bestFit="1" customWidth="1"/>
    <col min="8" max="11" width="6.6640625" style="4" bestFit="1" customWidth="1"/>
    <col min="12" max="16" width="7.1640625" style="4" bestFit="1" customWidth="1"/>
    <col min="17" max="18" width="6.6640625" style="4" bestFit="1" customWidth="1"/>
    <col min="19" max="20" width="7.1640625" style="4" bestFit="1" customWidth="1"/>
    <col min="21" max="21" width="6.6640625" style="4" bestFit="1" customWidth="1"/>
    <col min="22" max="24" width="7.1640625" style="4" bestFit="1" customWidth="1"/>
    <col min="25" max="26" width="7.1640625" style="8" bestFit="1" customWidth="1"/>
    <col min="27" max="28" width="6.6640625" style="8" bestFit="1" customWidth="1"/>
    <col min="29" max="30" width="5.5" style="8" bestFit="1" customWidth="1"/>
    <col min="31" max="31" width="9.1640625" style="8" customWidth="1"/>
    <col min="32" max="32" width="3.1640625" style="8" customWidth="1"/>
    <col min="33" max="35" width="5.1640625" style="8" bestFit="1" customWidth="1"/>
    <col min="36" max="38" width="6.6640625" style="8" bestFit="1" customWidth="1"/>
    <col min="39" max="43" width="7.6640625" style="8" bestFit="1" customWidth="1"/>
    <col min="44" max="45" width="6.6640625" style="8" bestFit="1" customWidth="1"/>
    <col min="46" max="46" width="7.1640625" style="8" bestFit="1" customWidth="1"/>
    <col min="47" max="56" width="6.6640625" style="8" bestFit="1" customWidth="1"/>
    <col min="57" max="59" width="5.6640625" style="8" bestFit="1" customWidth="1"/>
    <col min="60" max="60" width="10.83203125" style="8" bestFit="1" customWidth="1"/>
    <col min="61" max="61" width="7.1640625" style="8" bestFit="1" customWidth="1"/>
    <col min="62" max="77" width="5.6640625" style="8" bestFit="1" customWidth="1"/>
    <col min="78" max="256" width="6.6640625" style="8" bestFit="1" customWidth="1"/>
    <col min="257" max="16384" width="10.83203125" style="8"/>
  </cols>
  <sheetData>
    <row r="2" spans="2:256" s="1" customFormat="1">
      <c r="C2" s="2">
        <v>43100</v>
      </c>
      <c r="D2" s="2">
        <v>43191</v>
      </c>
      <c r="E2" s="2">
        <v>43646</v>
      </c>
      <c r="F2" s="2">
        <v>43373</v>
      </c>
      <c r="G2" s="2">
        <v>43465</v>
      </c>
      <c r="H2" s="2">
        <v>43555</v>
      </c>
      <c r="I2" s="2">
        <v>43646</v>
      </c>
      <c r="J2" s="2">
        <v>43737</v>
      </c>
      <c r="K2" s="2">
        <v>43828</v>
      </c>
      <c r="L2" s="2">
        <v>43919</v>
      </c>
      <c r="M2" s="2">
        <v>44010</v>
      </c>
      <c r="N2" s="2">
        <v>44095</v>
      </c>
      <c r="O2" s="2">
        <v>44192</v>
      </c>
      <c r="P2" s="2">
        <v>44283</v>
      </c>
      <c r="Q2" s="2">
        <v>44374</v>
      </c>
      <c r="R2" s="2">
        <v>44472</v>
      </c>
      <c r="S2" s="2"/>
      <c r="T2" s="2"/>
      <c r="U2" s="2"/>
      <c r="V2" s="2">
        <v>44836</v>
      </c>
      <c r="W2" s="2"/>
      <c r="X2" s="2"/>
      <c r="AA2" s="1">
        <v>45321</v>
      </c>
    </row>
    <row r="3" spans="2:256" s="3" customFormat="1">
      <c r="C3" s="4" t="s">
        <v>114</v>
      </c>
      <c r="D3" s="4" t="s">
        <v>115</v>
      </c>
      <c r="E3" s="4" t="s">
        <v>116</v>
      </c>
      <c r="F3" s="4" t="s">
        <v>117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40</v>
      </c>
      <c r="T3" s="4" t="s">
        <v>41</v>
      </c>
      <c r="U3" s="4" t="s">
        <v>42</v>
      </c>
      <c r="V3" s="4" t="s">
        <v>43</v>
      </c>
      <c r="W3" s="4" t="s">
        <v>144</v>
      </c>
      <c r="X3" s="4" t="s">
        <v>149</v>
      </c>
      <c r="Y3" s="3" t="s">
        <v>162</v>
      </c>
      <c r="Z3" s="3" t="s">
        <v>163</v>
      </c>
      <c r="AA3" s="3" t="s">
        <v>164</v>
      </c>
      <c r="AB3" s="3" t="s">
        <v>165</v>
      </c>
      <c r="AC3" s="3" t="s">
        <v>166</v>
      </c>
      <c r="AD3" s="3" t="s">
        <v>167</v>
      </c>
      <c r="AG3" s="5">
        <v>2010</v>
      </c>
      <c r="AH3" s="5">
        <f>+AG3+1</f>
        <v>2011</v>
      </c>
      <c r="AI3" s="5">
        <f t="shared" ref="AI3:AP3" si="0">+AH3+1</f>
        <v>2012</v>
      </c>
      <c r="AJ3" s="5">
        <f t="shared" si="0"/>
        <v>2013</v>
      </c>
      <c r="AK3" s="5">
        <f t="shared" si="0"/>
        <v>2014</v>
      </c>
      <c r="AL3" s="5">
        <f t="shared" si="0"/>
        <v>2015</v>
      </c>
      <c r="AM3" s="5">
        <f t="shared" si="0"/>
        <v>2016</v>
      </c>
      <c r="AN3" s="5">
        <f t="shared" si="0"/>
        <v>2017</v>
      </c>
      <c r="AO3" s="5">
        <f t="shared" si="0"/>
        <v>2018</v>
      </c>
      <c r="AP3" s="5">
        <f t="shared" si="0"/>
        <v>2019</v>
      </c>
      <c r="AQ3" s="5">
        <f t="shared" ref="AQ3:BD3" si="1">+AP3+1</f>
        <v>2020</v>
      </c>
      <c r="AR3" s="5">
        <f t="shared" si="1"/>
        <v>2021</v>
      </c>
      <c r="AS3" s="5">
        <f t="shared" si="1"/>
        <v>2022</v>
      </c>
      <c r="AT3" s="5">
        <f t="shared" si="1"/>
        <v>2023</v>
      </c>
      <c r="AU3" s="5">
        <f t="shared" si="1"/>
        <v>2024</v>
      </c>
      <c r="AV3" s="5">
        <f t="shared" si="1"/>
        <v>2025</v>
      </c>
      <c r="AW3" s="5">
        <f t="shared" si="1"/>
        <v>2026</v>
      </c>
      <c r="AX3" s="5">
        <f t="shared" si="1"/>
        <v>2027</v>
      </c>
      <c r="AY3" s="5">
        <f t="shared" si="1"/>
        <v>2028</v>
      </c>
      <c r="AZ3" s="5">
        <f t="shared" si="1"/>
        <v>2029</v>
      </c>
      <c r="BA3" s="5">
        <f t="shared" si="1"/>
        <v>2030</v>
      </c>
      <c r="BB3" s="5">
        <f t="shared" si="1"/>
        <v>2031</v>
      </c>
      <c r="BC3" s="5">
        <f t="shared" si="1"/>
        <v>2032</v>
      </c>
      <c r="BD3" s="5">
        <f t="shared" si="1"/>
        <v>2033</v>
      </c>
      <c r="BE3" s="3">
        <f>+BD3+1</f>
        <v>2034</v>
      </c>
      <c r="BF3" s="3">
        <f t="shared" ref="BF3:DQ3" si="2">+BE3+1</f>
        <v>2035</v>
      </c>
      <c r="BG3" s="3">
        <f t="shared" si="2"/>
        <v>2036</v>
      </c>
      <c r="BH3" s="3">
        <f t="shared" si="2"/>
        <v>2037</v>
      </c>
      <c r="BI3" s="3">
        <f t="shared" si="2"/>
        <v>2038</v>
      </c>
      <c r="BJ3" s="3">
        <f t="shared" si="2"/>
        <v>2039</v>
      </c>
      <c r="BK3" s="3">
        <f t="shared" si="2"/>
        <v>2040</v>
      </c>
      <c r="BL3" s="3">
        <f t="shared" si="2"/>
        <v>2041</v>
      </c>
      <c r="BM3" s="3">
        <f t="shared" si="2"/>
        <v>2042</v>
      </c>
      <c r="BN3" s="3">
        <f t="shared" si="2"/>
        <v>2043</v>
      </c>
      <c r="BO3" s="3">
        <f t="shared" si="2"/>
        <v>2044</v>
      </c>
      <c r="BP3" s="3">
        <f t="shared" si="2"/>
        <v>2045</v>
      </c>
      <c r="BQ3" s="3">
        <f t="shared" si="2"/>
        <v>2046</v>
      </c>
      <c r="BR3" s="3">
        <f t="shared" si="2"/>
        <v>2047</v>
      </c>
      <c r="BS3" s="3">
        <f t="shared" si="2"/>
        <v>2048</v>
      </c>
      <c r="BT3" s="3">
        <f t="shared" si="2"/>
        <v>2049</v>
      </c>
      <c r="BU3" s="3">
        <f t="shared" si="2"/>
        <v>2050</v>
      </c>
      <c r="BV3" s="3">
        <f t="shared" si="2"/>
        <v>2051</v>
      </c>
      <c r="BW3" s="3">
        <f t="shared" si="2"/>
        <v>2052</v>
      </c>
      <c r="BX3" s="3">
        <f t="shared" si="2"/>
        <v>2053</v>
      </c>
      <c r="BY3" s="3">
        <f t="shared" si="2"/>
        <v>2054</v>
      </c>
      <c r="BZ3" s="3">
        <f t="shared" si="2"/>
        <v>2055</v>
      </c>
      <c r="CA3" s="3">
        <f t="shared" si="2"/>
        <v>2056</v>
      </c>
      <c r="CB3" s="3">
        <f t="shared" si="2"/>
        <v>2057</v>
      </c>
      <c r="CC3" s="3">
        <f t="shared" si="2"/>
        <v>2058</v>
      </c>
      <c r="CD3" s="3">
        <f t="shared" si="2"/>
        <v>2059</v>
      </c>
      <c r="CE3" s="3">
        <f t="shared" si="2"/>
        <v>2060</v>
      </c>
      <c r="CF3" s="3">
        <f t="shared" si="2"/>
        <v>2061</v>
      </c>
      <c r="CG3" s="3">
        <f t="shared" si="2"/>
        <v>2062</v>
      </c>
      <c r="CH3" s="3">
        <f t="shared" si="2"/>
        <v>2063</v>
      </c>
      <c r="CI3" s="3">
        <f t="shared" si="2"/>
        <v>2064</v>
      </c>
      <c r="CJ3" s="3">
        <f t="shared" si="2"/>
        <v>2065</v>
      </c>
      <c r="CK3" s="3">
        <f t="shared" si="2"/>
        <v>2066</v>
      </c>
      <c r="CL3" s="3">
        <f t="shared" si="2"/>
        <v>2067</v>
      </c>
      <c r="CM3" s="3">
        <f t="shared" si="2"/>
        <v>2068</v>
      </c>
      <c r="CN3" s="3">
        <f t="shared" si="2"/>
        <v>2069</v>
      </c>
      <c r="CO3" s="3">
        <f t="shared" si="2"/>
        <v>2070</v>
      </c>
      <c r="CP3" s="3">
        <f t="shared" si="2"/>
        <v>2071</v>
      </c>
      <c r="CQ3" s="3">
        <f t="shared" si="2"/>
        <v>2072</v>
      </c>
      <c r="CR3" s="3">
        <f t="shared" si="2"/>
        <v>2073</v>
      </c>
      <c r="CS3" s="3">
        <f t="shared" si="2"/>
        <v>2074</v>
      </c>
      <c r="CT3" s="3">
        <f t="shared" si="2"/>
        <v>2075</v>
      </c>
      <c r="CU3" s="3">
        <f t="shared" si="2"/>
        <v>2076</v>
      </c>
      <c r="CV3" s="3">
        <f t="shared" si="2"/>
        <v>2077</v>
      </c>
      <c r="CW3" s="3">
        <f t="shared" si="2"/>
        <v>2078</v>
      </c>
      <c r="CX3" s="3">
        <f t="shared" si="2"/>
        <v>2079</v>
      </c>
      <c r="CY3" s="3">
        <f t="shared" si="2"/>
        <v>2080</v>
      </c>
      <c r="CZ3" s="3">
        <f t="shared" si="2"/>
        <v>2081</v>
      </c>
      <c r="DA3" s="3">
        <f t="shared" si="2"/>
        <v>2082</v>
      </c>
      <c r="DB3" s="3">
        <f t="shared" si="2"/>
        <v>2083</v>
      </c>
      <c r="DC3" s="3">
        <f t="shared" si="2"/>
        <v>2084</v>
      </c>
      <c r="DD3" s="3">
        <f t="shared" si="2"/>
        <v>2085</v>
      </c>
      <c r="DE3" s="3">
        <f t="shared" si="2"/>
        <v>2086</v>
      </c>
      <c r="DF3" s="3">
        <f t="shared" si="2"/>
        <v>2087</v>
      </c>
      <c r="DG3" s="3">
        <f t="shared" si="2"/>
        <v>2088</v>
      </c>
      <c r="DH3" s="3">
        <f t="shared" si="2"/>
        <v>2089</v>
      </c>
      <c r="DI3" s="3">
        <f t="shared" si="2"/>
        <v>2090</v>
      </c>
      <c r="DJ3" s="3">
        <f t="shared" si="2"/>
        <v>2091</v>
      </c>
      <c r="DK3" s="3">
        <f t="shared" si="2"/>
        <v>2092</v>
      </c>
      <c r="DL3" s="3">
        <f t="shared" si="2"/>
        <v>2093</v>
      </c>
      <c r="DM3" s="3">
        <f t="shared" si="2"/>
        <v>2094</v>
      </c>
      <c r="DN3" s="3">
        <f t="shared" si="2"/>
        <v>2095</v>
      </c>
      <c r="DO3" s="3">
        <f t="shared" si="2"/>
        <v>2096</v>
      </c>
      <c r="DP3" s="3">
        <f t="shared" si="2"/>
        <v>2097</v>
      </c>
      <c r="DQ3" s="3">
        <f t="shared" si="2"/>
        <v>2098</v>
      </c>
      <c r="DR3" s="3">
        <f t="shared" ref="DR3:GC3" si="3">+DQ3+1</f>
        <v>2099</v>
      </c>
      <c r="DS3" s="3">
        <f t="shared" si="3"/>
        <v>2100</v>
      </c>
      <c r="DT3" s="3">
        <f t="shared" si="3"/>
        <v>2101</v>
      </c>
      <c r="DU3" s="3">
        <f t="shared" si="3"/>
        <v>2102</v>
      </c>
      <c r="DV3" s="3">
        <f t="shared" si="3"/>
        <v>2103</v>
      </c>
      <c r="DW3" s="3">
        <f t="shared" si="3"/>
        <v>2104</v>
      </c>
      <c r="DX3" s="3">
        <f t="shared" si="3"/>
        <v>2105</v>
      </c>
      <c r="DY3" s="3">
        <f t="shared" si="3"/>
        <v>2106</v>
      </c>
      <c r="DZ3" s="3">
        <f t="shared" si="3"/>
        <v>2107</v>
      </c>
      <c r="EA3" s="3">
        <f t="shared" si="3"/>
        <v>2108</v>
      </c>
      <c r="EB3" s="3">
        <f t="shared" si="3"/>
        <v>2109</v>
      </c>
      <c r="EC3" s="3">
        <f t="shared" si="3"/>
        <v>2110</v>
      </c>
      <c r="ED3" s="3">
        <f t="shared" si="3"/>
        <v>2111</v>
      </c>
      <c r="EE3" s="3">
        <f t="shared" si="3"/>
        <v>2112</v>
      </c>
      <c r="EF3" s="3">
        <f t="shared" si="3"/>
        <v>2113</v>
      </c>
      <c r="EG3" s="3">
        <f t="shared" si="3"/>
        <v>2114</v>
      </c>
      <c r="EH3" s="3">
        <f t="shared" si="3"/>
        <v>2115</v>
      </c>
      <c r="EI3" s="3">
        <f t="shared" si="3"/>
        <v>2116</v>
      </c>
      <c r="EJ3" s="3">
        <f t="shared" si="3"/>
        <v>2117</v>
      </c>
      <c r="EK3" s="3">
        <f t="shared" si="3"/>
        <v>2118</v>
      </c>
      <c r="EL3" s="3">
        <f t="shared" si="3"/>
        <v>2119</v>
      </c>
      <c r="EM3" s="3">
        <f t="shared" si="3"/>
        <v>2120</v>
      </c>
      <c r="EN3" s="3">
        <f t="shared" si="3"/>
        <v>2121</v>
      </c>
      <c r="EO3" s="3">
        <f t="shared" si="3"/>
        <v>2122</v>
      </c>
      <c r="EP3" s="3">
        <f t="shared" si="3"/>
        <v>2123</v>
      </c>
      <c r="EQ3" s="3">
        <f t="shared" si="3"/>
        <v>2124</v>
      </c>
      <c r="ER3" s="3">
        <f t="shared" si="3"/>
        <v>2125</v>
      </c>
      <c r="ES3" s="3">
        <f t="shared" si="3"/>
        <v>2126</v>
      </c>
      <c r="ET3" s="3">
        <f t="shared" si="3"/>
        <v>2127</v>
      </c>
      <c r="EU3" s="3">
        <f t="shared" si="3"/>
        <v>2128</v>
      </c>
      <c r="EV3" s="3">
        <f t="shared" si="3"/>
        <v>2129</v>
      </c>
      <c r="EW3" s="3">
        <f t="shared" si="3"/>
        <v>2130</v>
      </c>
      <c r="EX3" s="3">
        <f t="shared" si="3"/>
        <v>2131</v>
      </c>
      <c r="EY3" s="3">
        <f t="shared" si="3"/>
        <v>2132</v>
      </c>
      <c r="EZ3" s="3">
        <f t="shared" si="3"/>
        <v>2133</v>
      </c>
      <c r="FA3" s="3">
        <f t="shared" si="3"/>
        <v>2134</v>
      </c>
      <c r="FB3" s="3">
        <f t="shared" si="3"/>
        <v>2135</v>
      </c>
      <c r="FC3" s="3">
        <f t="shared" si="3"/>
        <v>2136</v>
      </c>
      <c r="FD3" s="3">
        <f t="shared" si="3"/>
        <v>2137</v>
      </c>
      <c r="FE3" s="3">
        <f t="shared" si="3"/>
        <v>2138</v>
      </c>
      <c r="FF3" s="3">
        <f t="shared" si="3"/>
        <v>2139</v>
      </c>
      <c r="FG3" s="3">
        <f t="shared" si="3"/>
        <v>2140</v>
      </c>
      <c r="FH3" s="3">
        <f t="shared" si="3"/>
        <v>2141</v>
      </c>
      <c r="FI3" s="3">
        <f t="shared" si="3"/>
        <v>2142</v>
      </c>
      <c r="FJ3" s="3">
        <f t="shared" si="3"/>
        <v>2143</v>
      </c>
      <c r="FK3" s="3">
        <f t="shared" si="3"/>
        <v>2144</v>
      </c>
      <c r="FL3" s="3">
        <f t="shared" si="3"/>
        <v>2145</v>
      </c>
      <c r="FM3" s="3">
        <f t="shared" si="3"/>
        <v>2146</v>
      </c>
      <c r="FN3" s="3">
        <f t="shared" si="3"/>
        <v>2147</v>
      </c>
      <c r="FO3" s="3">
        <f t="shared" si="3"/>
        <v>2148</v>
      </c>
      <c r="FP3" s="3">
        <f t="shared" si="3"/>
        <v>2149</v>
      </c>
      <c r="FQ3" s="3">
        <f t="shared" si="3"/>
        <v>2150</v>
      </c>
      <c r="FR3" s="3">
        <f t="shared" si="3"/>
        <v>2151</v>
      </c>
      <c r="FS3" s="3">
        <f t="shared" si="3"/>
        <v>2152</v>
      </c>
      <c r="FT3" s="3">
        <f t="shared" si="3"/>
        <v>2153</v>
      </c>
      <c r="FU3" s="3">
        <f t="shared" si="3"/>
        <v>2154</v>
      </c>
      <c r="FV3" s="3">
        <f t="shared" si="3"/>
        <v>2155</v>
      </c>
      <c r="FW3" s="3">
        <f t="shared" si="3"/>
        <v>2156</v>
      </c>
      <c r="FX3" s="3">
        <f t="shared" si="3"/>
        <v>2157</v>
      </c>
      <c r="FY3" s="3">
        <f t="shared" si="3"/>
        <v>2158</v>
      </c>
      <c r="FZ3" s="3">
        <f t="shared" si="3"/>
        <v>2159</v>
      </c>
      <c r="GA3" s="3">
        <f t="shared" si="3"/>
        <v>2160</v>
      </c>
      <c r="GB3" s="3">
        <f t="shared" si="3"/>
        <v>2161</v>
      </c>
      <c r="GC3" s="3">
        <f t="shared" si="3"/>
        <v>2162</v>
      </c>
      <c r="GD3" s="3">
        <f t="shared" ref="GD3:HU3" si="4">+GC3+1</f>
        <v>2163</v>
      </c>
      <c r="GE3" s="3">
        <f t="shared" si="4"/>
        <v>2164</v>
      </c>
      <c r="GF3" s="3">
        <f t="shared" si="4"/>
        <v>2165</v>
      </c>
      <c r="GG3" s="3">
        <f t="shared" si="4"/>
        <v>2166</v>
      </c>
      <c r="GH3" s="3">
        <f t="shared" si="4"/>
        <v>2167</v>
      </c>
      <c r="GI3" s="3">
        <f t="shared" si="4"/>
        <v>2168</v>
      </c>
      <c r="GJ3" s="3">
        <f t="shared" si="4"/>
        <v>2169</v>
      </c>
      <c r="GK3" s="3">
        <f t="shared" si="4"/>
        <v>2170</v>
      </c>
      <c r="GL3" s="3">
        <f t="shared" si="4"/>
        <v>2171</v>
      </c>
      <c r="GM3" s="3">
        <f t="shared" si="4"/>
        <v>2172</v>
      </c>
      <c r="GN3" s="3">
        <f t="shared" si="4"/>
        <v>2173</v>
      </c>
      <c r="GO3" s="3">
        <f t="shared" si="4"/>
        <v>2174</v>
      </c>
      <c r="GP3" s="3">
        <f t="shared" si="4"/>
        <v>2175</v>
      </c>
      <c r="GQ3" s="3">
        <f t="shared" si="4"/>
        <v>2176</v>
      </c>
      <c r="GR3" s="3">
        <f t="shared" si="4"/>
        <v>2177</v>
      </c>
      <c r="GS3" s="3">
        <f t="shared" si="4"/>
        <v>2178</v>
      </c>
      <c r="GT3" s="3">
        <f t="shared" si="4"/>
        <v>2179</v>
      </c>
      <c r="GU3" s="3">
        <f t="shared" si="4"/>
        <v>2180</v>
      </c>
      <c r="GV3" s="3">
        <f t="shared" si="4"/>
        <v>2181</v>
      </c>
      <c r="GW3" s="3">
        <f t="shared" si="4"/>
        <v>2182</v>
      </c>
      <c r="GX3" s="3">
        <f t="shared" si="4"/>
        <v>2183</v>
      </c>
      <c r="GY3" s="3">
        <f t="shared" si="4"/>
        <v>2184</v>
      </c>
      <c r="GZ3" s="3">
        <f t="shared" si="4"/>
        <v>2185</v>
      </c>
      <c r="HA3" s="3">
        <f t="shared" si="4"/>
        <v>2186</v>
      </c>
      <c r="HB3" s="3">
        <f t="shared" si="4"/>
        <v>2187</v>
      </c>
      <c r="HC3" s="3">
        <f t="shared" si="4"/>
        <v>2188</v>
      </c>
      <c r="HD3" s="3">
        <f t="shared" si="4"/>
        <v>2189</v>
      </c>
      <c r="HE3" s="3">
        <f t="shared" si="4"/>
        <v>2190</v>
      </c>
      <c r="HF3" s="3">
        <f t="shared" si="4"/>
        <v>2191</v>
      </c>
      <c r="HG3" s="3">
        <f t="shared" si="4"/>
        <v>2192</v>
      </c>
      <c r="HH3" s="3">
        <f t="shared" si="4"/>
        <v>2193</v>
      </c>
      <c r="HI3" s="3">
        <f t="shared" si="4"/>
        <v>2194</v>
      </c>
      <c r="HJ3" s="3">
        <f t="shared" si="4"/>
        <v>2195</v>
      </c>
      <c r="HK3" s="3">
        <f t="shared" si="4"/>
        <v>2196</v>
      </c>
      <c r="HL3" s="3">
        <f t="shared" si="4"/>
        <v>2197</v>
      </c>
      <c r="HM3" s="3">
        <f t="shared" si="4"/>
        <v>2198</v>
      </c>
      <c r="HN3" s="3">
        <f t="shared" si="4"/>
        <v>2199</v>
      </c>
      <c r="HO3" s="3">
        <f t="shared" si="4"/>
        <v>2200</v>
      </c>
      <c r="HP3" s="3">
        <f t="shared" si="4"/>
        <v>2201</v>
      </c>
      <c r="HQ3" s="3">
        <f t="shared" si="4"/>
        <v>2202</v>
      </c>
      <c r="HR3" s="3">
        <f t="shared" si="4"/>
        <v>2203</v>
      </c>
      <c r="HS3" s="3">
        <f t="shared" si="4"/>
        <v>2204</v>
      </c>
      <c r="HT3" s="3">
        <f t="shared" si="4"/>
        <v>2205</v>
      </c>
      <c r="HU3" s="3">
        <f t="shared" si="4"/>
        <v>2206</v>
      </c>
      <c r="HV3" s="3">
        <f t="shared" ref="HV3:IV3" si="5">+HU3+1</f>
        <v>2207</v>
      </c>
      <c r="HW3" s="3">
        <f t="shared" si="5"/>
        <v>2208</v>
      </c>
      <c r="HX3" s="3">
        <f t="shared" si="5"/>
        <v>2209</v>
      </c>
      <c r="HY3" s="3">
        <f t="shared" si="5"/>
        <v>2210</v>
      </c>
      <c r="HZ3" s="3">
        <f t="shared" si="5"/>
        <v>2211</v>
      </c>
      <c r="IA3" s="3">
        <f t="shared" si="5"/>
        <v>2212</v>
      </c>
      <c r="IB3" s="3">
        <f t="shared" si="5"/>
        <v>2213</v>
      </c>
      <c r="IC3" s="3">
        <f t="shared" si="5"/>
        <v>2214</v>
      </c>
      <c r="ID3" s="3">
        <f t="shared" si="5"/>
        <v>2215</v>
      </c>
      <c r="IE3" s="3">
        <f t="shared" si="5"/>
        <v>2216</v>
      </c>
      <c r="IF3" s="3">
        <f t="shared" si="5"/>
        <v>2217</v>
      </c>
      <c r="IG3" s="3">
        <f t="shared" si="5"/>
        <v>2218</v>
      </c>
      <c r="IH3" s="3">
        <f t="shared" si="5"/>
        <v>2219</v>
      </c>
      <c r="II3" s="3">
        <f t="shared" si="5"/>
        <v>2220</v>
      </c>
      <c r="IJ3" s="3">
        <f t="shared" si="5"/>
        <v>2221</v>
      </c>
      <c r="IK3" s="3">
        <f t="shared" si="5"/>
        <v>2222</v>
      </c>
      <c r="IL3" s="3">
        <f t="shared" si="5"/>
        <v>2223</v>
      </c>
      <c r="IM3" s="3">
        <f t="shared" si="5"/>
        <v>2224</v>
      </c>
      <c r="IN3" s="3">
        <f t="shared" si="5"/>
        <v>2225</v>
      </c>
      <c r="IO3" s="3">
        <f t="shared" si="5"/>
        <v>2226</v>
      </c>
      <c r="IP3" s="3">
        <f t="shared" si="5"/>
        <v>2227</v>
      </c>
      <c r="IQ3" s="3">
        <f t="shared" si="5"/>
        <v>2228</v>
      </c>
      <c r="IR3" s="3">
        <f t="shared" si="5"/>
        <v>2229</v>
      </c>
      <c r="IS3" s="3">
        <f t="shared" si="5"/>
        <v>2230</v>
      </c>
      <c r="IT3" s="3">
        <f t="shared" si="5"/>
        <v>2231</v>
      </c>
      <c r="IU3" s="3">
        <f t="shared" si="5"/>
        <v>2232</v>
      </c>
      <c r="IV3" s="3">
        <f t="shared" si="5"/>
        <v>2233</v>
      </c>
    </row>
    <row r="4" spans="2:256">
      <c r="B4" s="40" t="s">
        <v>187</v>
      </c>
      <c r="S4" s="4">
        <v>9900</v>
      </c>
      <c r="T4" s="4">
        <v>9900</v>
      </c>
      <c r="U4" s="4">
        <v>10050</v>
      </c>
      <c r="V4" s="4">
        <f>+AS4</f>
        <v>10216</v>
      </c>
      <c r="W4" s="4">
        <v>10256</v>
      </c>
      <c r="X4" s="8">
        <v>10347</v>
      </c>
      <c r="Y4" s="8">
        <v>10452</v>
      </c>
      <c r="Z4" s="8">
        <f>+AT4</f>
        <v>10628</v>
      </c>
      <c r="AA4" s="8">
        <v>10715</v>
      </c>
      <c r="AB4" s="8">
        <v>10827</v>
      </c>
      <c r="AR4" s="8">
        <v>9861</v>
      </c>
      <c r="AS4" s="8">
        <v>10216</v>
      </c>
      <c r="AT4" s="8">
        <v>10628</v>
      </c>
    </row>
    <row r="5" spans="2:256">
      <c r="B5" s="40" t="s">
        <v>188</v>
      </c>
      <c r="S5" s="4">
        <v>6988</v>
      </c>
      <c r="T5" s="4">
        <v>6988</v>
      </c>
      <c r="U5" s="4">
        <v>7000</v>
      </c>
      <c r="V5" s="4">
        <f>+AS5</f>
        <v>7079</v>
      </c>
      <c r="W5" s="4">
        <v>7125</v>
      </c>
      <c r="X5" s="8">
        <v>7135</v>
      </c>
      <c r="Y5" s="8">
        <v>7140</v>
      </c>
      <c r="Z5" s="8">
        <f>+AT5</f>
        <v>7182</v>
      </c>
      <c r="AA5" s="8">
        <v>7216</v>
      </c>
      <c r="AB5" s="8">
        <v>7238</v>
      </c>
      <c r="AR5" s="8">
        <v>6965</v>
      </c>
      <c r="AS5" s="8">
        <v>7079</v>
      </c>
      <c r="AT5" s="8">
        <v>7182</v>
      </c>
    </row>
    <row r="6" spans="2:256">
      <c r="B6" s="8" t="s">
        <v>189</v>
      </c>
      <c r="H6" s="4">
        <v>17719</v>
      </c>
      <c r="I6" s="4">
        <v>17853</v>
      </c>
      <c r="K6" s="4">
        <v>18203</v>
      </c>
      <c r="L6" s="4">
        <v>18271</v>
      </c>
      <c r="M6" s="4">
        <v>18235</v>
      </c>
      <c r="O6" s="4">
        <v>18308</v>
      </c>
      <c r="P6" s="4">
        <v>18120</v>
      </c>
      <c r="Q6" s="4">
        <v>18175</v>
      </c>
      <c r="R6" s="4">
        <v>16888</v>
      </c>
      <c r="S6" s="8">
        <f>+SUM(S4:S5)</f>
        <v>16888</v>
      </c>
      <c r="T6" s="8">
        <f>+SUM(T4:T5)</f>
        <v>16888</v>
      </c>
      <c r="U6" s="8">
        <f>+SUM(U4:U5)</f>
        <v>17050</v>
      </c>
      <c r="V6" s="4">
        <v>17295</v>
      </c>
      <c r="W6" s="8">
        <f>+SUM(W4:W5)</f>
        <v>17381</v>
      </c>
      <c r="X6" s="8">
        <f>+SUM(X4:X5)</f>
        <v>17482</v>
      </c>
      <c r="Y6" s="8">
        <f>+SUM(Y4:Y5)</f>
        <v>17592</v>
      </c>
      <c r="Z6" s="8">
        <v>17810</v>
      </c>
      <c r="AA6" s="8">
        <f>+SUM(AA4:AA5)</f>
        <v>17931</v>
      </c>
      <c r="AB6" s="8">
        <f>+SUM(AB4:AB5)</f>
        <v>18065</v>
      </c>
      <c r="AR6" s="8">
        <f>SUM(AR4:AR5)</f>
        <v>16826</v>
      </c>
      <c r="AS6" s="8">
        <f>SUM(AS4:AS5)</f>
        <v>17295</v>
      </c>
      <c r="AT6" s="8">
        <f>+SUM(AT4:AT5)</f>
        <v>17810</v>
      </c>
    </row>
    <row r="7" spans="2:256">
      <c r="B7" s="40" t="s">
        <v>187</v>
      </c>
      <c r="S7" s="4">
        <v>7485</v>
      </c>
      <c r="T7" s="4">
        <v>7485</v>
      </c>
      <c r="U7" s="4">
        <v>7717</v>
      </c>
      <c r="V7" s="4">
        <f>+AS7</f>
        <v>8037</v>
      </c>
      <c r="W7" s="4">
        <v>8134</v>
      </c>
      <c r="X7" s="4">
        <v>8308</v>
      </c>
      <c r="Y7" s="8">
        <v>8580</v>
      </c>
      <c r="Z7" s="8">
        <f>+AT7</f>
        <v>8964</v>
      </c>
      <c r="AA7" s="8">
        <v>9150</v>
      </c>
      <c r="AB7" s="8">
        <v>9282</v>
      </c>
      <c r="AR7" s="8">
        <v>7272</v>
      </c>
      <c r="AS7" s="9">
        <v>8037</v>
      </c>
      <c r="AT7" s="8">
        <v>8964</v>
      </c>
    </row>
    <row r="8" spans="2:256">
      <c r="B8" s="40" t="s">
        <v>188</v>
      </c>
      <c r="S8" s="4">
        <v>9944</v>
      </c>
      <c r="T8" s="4">
        <v>9944</v>
      </c>
      <c r="U8" s="4">
        <v>10181</v>
      </c>
      <c r="V8" s="4">
        <f>+AS8</f>
        <v>10379</v>
      </c>
      <c r="W8" s="4">
        <v>10655</v>
      </c>
      <c r="X8" s="4">
        <v>10844</v>
      </c>
      <c r="Y8" s="8">
        <v>11050</v>
      </c>
      <c r="Z8" s="8">
        <f>+AT8</f>
        <v>11264</v>
      </c>
      <c r="AA8" s="8">
        <v>11506</v>
      </c>
      <c r="AB8" s="8">
        <v>11604</v>
      </c>
      <c r="AR8" s="8">
        <v>9735</v>
      </c>
      <c r="AS8" s="8">
        <v>10379</v>
      </c>
      <c r="AT8" s="8">
        <v>11264</v>
      </c>
    </row>
    <row r="9" spans="2:256">
      <c r="B9" s="8" t="s">
        <v>190</v>
      </c>
      <c r="H9" s="4">
        <v>12465</v>
      </c>
      <c r="I9" s="4">
        <v>12773</v>
      </c>
      <c r="K9" s="4">
        <v>13592</v>
      </c>
      <c r="L9" s="4">
        <v>13779</v>
      </c>
      <c r="M9" s="4">
        <v>13945</v>
      </c>
      <c r="O9" s="4">
        <v>14630</v>
      </c>
      <c r="P9" s="4">
        <v>14823</v>
      </c>
      <c r="Q9" s="4">
        <v>15120</v>
      </c>
      <c r="R9" s="4">
        <v>17429</v>
      </c>
      <c r="S9" s="4">
        <v>16048</v>
      </c>
      <c r="T9" s="8">
        <f>+SUM(T7:T8)</f>
        <v>17429</v>
      </c>
      <c r="U9" s="8">
        <f>+SUM(U7:U8)</f>
        <v>17898</v>
      </c>
      <c r="V9" s="4">
        <v>18416</v>
      </c>
      <c r="W9" s="8">
        <f>+SUM(W7:W8)</f>
        <v>18789</v>
      </c>
      <c r="X9" s="8">
        <f>+SUM(X7:X8)</f>
        <v>19152</v>
      </c>
      <c r="Y9" s="8">
        <f>+SUM(Y7:Y8)</f>
        <v>19630</v>
      </c>
      <c r="Z9" s="8">
        <v>20228</v>
      </c>
      <c r="AA9" s="8">
        <f>+SUM(AA7:AA8)</f>
        <v>20656</v>
      </c>
      <c r="AB9" s="8">
        <f>+SUM(AB7:AB8)</f>
        <v>20886</v>
      </c>
      <c r="AR9" s="8">
        <f>SUM(AR7:AR8)</f>
        <v>17007</v>
      </c>
      <c r="AS9" s="8">
        <f>SUM(AS7:AS8)</f>
        <v>18416</v>
      </c>
      <c r="AT9" s="8">
        <f>SUM(AT7:AT8)</f>
        <v>20228</v>
      </c>
    </row>
    <row r="10" spans="2:256" s="9" customFormat="1">
      <c r="B10" s="9" t="s">
        <v>45</v>
      </c>
      <c r="C10" s="12"/>
      <c r="D10" s="12"/>
      <c r="E10" s="12"/>
      <c r="F10" s="12"/>
      <c r="G10" s="12">
        <f>+SUM(G6:G9)</f>
        <v>0</v>
      </c>
      <c r="H10" s="12">
        <f>+SUM(H6:H9)</f>
        <v>30184</v>
      </c>
      <c r="I10" s="12">
        <f>+SUM(I6:I9)</f>
        <v>30626</v>
      </c>
      <c r="J10" s="12">
        <v>31256</v>
      </c>
      <c r="K10" s="12">
        <f>+SUM(K6:K9)</f>
        <v>31795</v>
      </c>
      <c r="L10" s="12">
        <f>+SUM(L6:L9)</f>
        <v>32050</v>
      </c>
      <c r="M10" s="12">
        <f>+SUM(M6:M9)</f>
        <v>32180</v>
      </c>
      <c r="N10" s="12">
        <v>32660</v>
      </c>
      <c r="O10" s="12">
        <f>+SUM(O6:O9)</f>
        <v>32938</v>
      </c>
      <c r="P10" s="12">
        <f>+SUM(P6:P9)</f>
        <v>32943</v>
      </c>
      <c r="Q10" s="12">
        <f>+SUM(Q6:Q9)</f>
        <v>33295</v>
      </c>
      <c r="R10" s="12">
        <f>+SUM(R6:R9)</f>
        <v>34317</v>
      </c>
      <c r="S10" s="12">
        <f>SUM(S6,S9)</f>
        <v>32936</v>
      </c>
      <c r="T10" s="12">
        <f>SUM(T6,T9)</f>
        <v>34317</v>
      </c>
      <c r="U10" s="12">
        <f>SUM(U6,U9)</f>
        <v>34948</v>
      </c>
      <c r="V10" s="12">
        <f>+SUM(V6:V9)</f>
        <v>54127</v>
      </c>
      <c r="W10" s="12">
        <f>SUM(W6,W9)</f>
        <v>36170</v>
      </c>
      <c r="X10" s="12">
        <f>SUM(X6,X9)</f>
        <v>36634</v>
      </c>
      <c r="Y10" s="12">
        <f>SUM(Y6,Y9)</f>
        <v>37222</v>
      </c>
      <c r="Z10" s="12">
        <f>+SUM(Z6:Z9)</f>
        <v>58266</v>
      </c>
      <c r="AA10" s="12">
        <f>SUM(AA6,AA9)</f>
        <v>38587</v>
      </c>
      <c r="AB10" s="12">
        <f>SUM(AB6,AB9)</f>
        <v>38951</v>
      </c>
      <c r="AC10" s="12"/>
      <c r="AD10" s="12"/>
      <c r="AM10" s="13">
        <v>25085</v>
      </c>
      <c r="AN10" s="13">
        <v>27339</v>
      </c>
      <c r="AO10" s="13">
        <v>29324</v>
      </c>
      <c r="AP10" s="13">
        <v>31256</v>
      </c>
      <c r="AQ10" s="13">
        <v>32660</v>
      </c>
      <c r="AR10" s="9">
        <f>SUM(AR6,AR9)</f>
        <v>33833</v>
      </c>
      <c r="AS10" s="9">
        <f>SUM(AS6,AS9)</f>
        <v>35711</v>
      </c>
      <c r="AT10" s="9">
        <f>SUM(AT6,AT9)</f>
        <v>38038</v>
      </c>
      <c r="AU10" s="9">
        <f>+AT10*1.04</f>
        <v>39559.520000000004</v>
      </c>
      <c r="AV10" s="9">
        <f t="shared" ref="AV10:BD10" si="6">+AU10*1.04</f>
        <v>41141.900800000003</v>
      </c>
      <c r="AW10" s="9">
        <f t="shared" si="6"/>
        <v>42787.576832000006</v>
      </c>
      <c r="AX10" s="9">
        <f t="shared" si="6"/>
        <v>44499.079905280007</v>
      </c>
      <c r="AY10" s="9">
        <f t="shared" si="6"/>
        <v>46279.04310149121</v>
      </c>
      <c r="AZ10" s="9">
        <f t="shared" si="6"/>
        <v>48130.204825550863</v>
      </c>
      <c r="BA10" s="9">
        <f t="shared" si="6"/>
        <v>50055.413018572901</v>
      </c>
      <c r="BB10" s="9">
        <f t="shared" si="6"/>
        <v>52057.629539315822</v>
      </c>
      <c r="BC10" s="9">
        <f t="shared" si="6"/>
        <v>54139.934720888457</v>
      </c>
      <c r="BD10" s="9">
        <f t="shared" si="6"/>
        <v>56305.532109724001</v>
      </c>
    </row>
    <row r="11" spans="2:256" s="14" customFormat="1" ht="11" outlineLevel="1">
      <c r="B11" s="14" t="s">
        <v>151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>
        <f>+P6-O6</f>
        <v>-188</v>
      </c>
      <c r="Q11" s="15">
        <f>+Q6-P6</f>
        <v>55</v>
      </c>
      <c r="R11" s="15">
        <f>+R6-Q6</f>
        <v>-1287</v>
      </c>
      <c r="S11" s="15">
        <f>+S6-R6</f>
        <v>0</v>
      </c>
      <c r="T11" s="15">
        <f>+T6-S6</f>
        <v>0</v>
      </c>
      <c r="U11" s="15">
        <f>+U6-T6</f>
        <v>162</v>
      </c>
      <c r="V11" s="15">
        <f>+V6-U6</f>
        <v>245</v>
      </c>
      <c r="W11" s="15">
        <f>+W6-V6</f>
        <v>86</v>
      </c>
      <c r="X11" s="15">
        <f>+X6-W6</f>
        <v>101</v>
      </c>
      <c r="Y11" s="15">
        <f>+Y6-X6</f>
        <v>110</v>
      </c>
      <c r="Z11" s="15">
        <f>+Z6-Y6</f>
        <v>218</v>
      </c>
      <c r="AB11" s="15">
        <f>+AB6-Z6</f>
        <v>255</v>
      </c>
      <c r="AC11" s="15"/>
      <c r="AD11" s="15"/>
      <c r="AM11" s="16"/>
      <c r="AN11" s="16"/>
      <c r="AO11" s="16"/>
      <c r="AP11" s="16"/>
      <c r="AQ11" s="16"/>
      <c r="AR11" s="16"/>
      <c r="AT11" s="17">
        <f>+AT10/AS10-1</f>
        <v>6.516199490353114E-2</v>
      </c>
    </row>
    <row r="12" spans="2:256" s="14" customFormat="1" ht="11" outlineLevel="1">
      <c r="B12" s="14" t="s">
        <v>152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f>+P9-O9</f>
        <v>193</v>
      </c>
      <c r="Q12" s="15">
        <f>+Q9-P9</f>
        <v>297</v>
      </c>
      <c r="R12" s="15">
        <f>+R9-Q9</f>
        <v>2309</v>
      </c>
      <c r="S12" s="15">
        <f>+S9-R9</f>
        <v>-1381</v>
      </c>
      <c r="T12" s="15">
        <f>+T9-S9</f>
        <v>1381</v>
      </c>
      <c r="U12" s="15">
        <f>+U9-T9</f>
        <v>469</v>
      </c>
      <c r="V12" s="15">
        <f>+V9-U9</f>
        <v>518</v>
      </c>
      <c r="W12" s="15">
        <f>+W9-V9</f>
        <v>373</v>
      </c>
      <c r="X12" s="15">
        <f>+X9-W9</f>
        <v>363</v>
      </c>
      <c r="Y12" s="15">
        <f>+Y9-X9</f>
        <v>478</v>
      </c>
      <c r="Z12" s="15">
        <f>+Z9-Y9</f>
        <v>598</v>
      </c>
      <c r="AB12" s="15">
        <f>+AB9-Z9</f>
        <v>658</v>
      </c>
      <c r="AC12" s="15"/>
      <c r="AD12" s="15"/>
      <c r="AM12" s="16"/>
      <c r="AN12" s="16"/>
      <c r="AO12" s="16"/>
      <c r="AP12" s="16"/>
      <c r="AQ12" s="16"/>
      <c r="AR12" s="16"/>
    </row>
    <row r="13" spans="2:256" s="10" customFormat="1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N13" s="10">
        <f>+AN10/AM10-1</f>
        <v>8.9854494717958922E-2</v>
      </c>
      <c r="AO13" s="10">
        <f>+AO10/AN10-1</f>
        <v>7.2606898569808731E-2</v>
      </c>
      <c r="AP13" s="10">
        <f>+AP10/AO10-1</f>
        <v>6.5884599645341657E-2</v>
      </c>
      <c r="AQ13" s="10">
        <f>+AQ10/AP10-1</f>
        <v>4.4919375479907764E-2</v>
      </c>
      <c r="AR13" s="10">
        <f>+AR10/AQ10-1</f>
        <v>3.5915492957746542E-2</v>
      </c>
      <c r="AS13" s="10">
        <f t="shared" ref="AS13:BD13" si="7">+AS10/AR10-1</f>
        <v>5.5507936038778682E-2</v>
      </c>
      <c r="AT13" s="10">
        <f t="shared" si="7"/>
        <v>6.516199490353114E-2</v>
      </c>
      <c r="AU13" s="10">
        <f t="shared" si="7"/>
        <v>4.0000000000000036E-2</v>
      </c>
      <c r="AV13" s="10">
        <f t="shared" si="7"/>
        <v>4.0000000000000036E-2</v>
      </c>
      <c r="AW13" s="10">
        <f t="shared" si="7"/>
        <v>4.0000000000000036E-2</v>
      </c>
      <c r="AX13" s="10">
        <f t="shared" si="7"/>
        <v>4.0000000000000036E-2</v>
      </c>
      <c r="AY13" s="10">
        <f t="shared" si="7"/>
        <v>4.0000000000000036E-2</v>
      </c>
      <c r="AZ13" s="10">
        <f t="shared" si="7"/>
        <v>4.0000000000000036E-2</v>
      </c>
      <c r="BA13" s="10">
        <f t="shared" si="7"/>
        <v>4.0000000000000036E-2</v>
      </c>
      <c r="BB13" s="10">
        <f t="shared" si="7"/>
        <v>4.0000000000000036E-2</v>
      </c>
      <c r="BC13" s="10">
        <f t="shared" si="7"/>
        <v>4.0000000000000036E-2</v>
      </c>
      <c r="BD13" s="10">
        <f t="shared" si="7"/>
        <v>4.0000000000000036E-2</v>
      </c>
    </row>
    <row r="14" spans="2:256" s="41" customFormat="1">
      <c r="B14" s="41" t="s">
        <v>191</v>
      </c>
      <c r="S14" s="41">
        <f>+S27/SUM(S4,S7)</f>
        <v>0.38667817083692835</v>
      </c>
      <c r="T14" s="41">
        <f>+T27/SUM(T4,T7)</f>
        <v>0.36104112740868566</v>
      </c>
      <c r="U14" s="41">
        <f>+U27/SUM(U4,U7)</f>
        <v>0.37572465807395733</v>
      </c>
      <c r="V14" s="41">
        <f>+V27/SUM(V4,V7)</f>
        <v>0.37809675121897768</v>
      </c>
      <c r="W14" s="41">
        <f>+W27/SUM(W4,W7)</f>
        <v>0.36554649265905381</v>
      </c>
      <c r="X14" s="41">
        <f>+X27/SUM(X4,X7)</f>
        <v>0.38286250335030825</v>
      </c>
      <c r="Y14" s="41">
        <f>+Y27/SUM(Y4,Y7)</f>
        <v>0.39705233291298864</v>
      </c>
      <c r="Z14" s="41">
        <f>+Z27/SUM(Z4,Z7)</f>
        <v>0.41041751735402193</v>
      </c>
      <c r="AR14" s="41">
        <f t="shared" ref="AR14" si="8">+AR27/SUM(AR4,AR7)</f>
        <v>1.4362341679799218</v>
      </c>
      <c r="AS14" s="41">
        <f t="shared" ref="AS14" si="9">+AS27/SUM(AS4,AS7)</f>
        <v>1.4559798389305867</v>
      </c>
      <c r="AT14" s="41">
        <f t="shared" ref="AT14" si="10">+AT27/SUM(AT4,AT7)</f>
        <v>1.5037923642302979</v>
      </c>
      <c r="AU14" s="41">
        <f>+AT14*1.01</f>
        <v>1.518830287872601</v>
      </c>
    </row>
    <row r="15" spans="2:256" s="6" customFormat="1">
      <c r="B15" s="6" t="s">
        <v>192</v>
      </c>
      <c r="C15" s="7"/>
      <c r="D15" s="7"/>
      <c r="E15" s="7"/>
      <c r="F15" s="7"/>
      <c r="G15" s="7"/>
      <c r="H15" s="7">
        <f>+H30/H10</f>
        <v>0.20891531937450303</v>
      </c>
      <c r="I15" s="7">
        <f>+I30/I10</f>
        <v>0.22278456213674655</v>
      </c>
      <c r="J15" s="7">
        <f>+J30/J10</f>
        <v>0.2158625543895572</v>
      </c>
      <c r="K15" s="7">
        <f>+K30/K10</f>
        <v>0.22321434187765371</v>
      </c>
      <c r="L15" s="7">
        <f>+L30/L10</f>
        <v>0.18707332293291731</v>
      </c>
      <c r="M15" s="7">
        <f>+M30/M10</f>
        <v>0.13120261031696706</v>
      </c>
      <c r="N15" s="7">
        <f>+N30/N10</f>
        <v>0.18992957746478875</v>
      </c>
      <c r="O15" s="7">
        <f>+O30/O10</f>
        <v>0.20491225939644181</v>
      </c>
      <c r="P15" s="7">
        <f>+P30/P10</f>
        <v>0.20241022371975836</v>
      </c>
      <c r="Q15" s="7">
        <f>+Q30/Q10</f>
        <v>0.22515392701606848</v>
      </c>
      <c r="R15" s="7">
        <f>+R30/R10</f>
        <v>0.23739545997610514</v>
      </c>
      <c r="S15" s="7">
        <f>+S28/SUM(S8,S5)</f>
        <v>5.0248051027639969E-2</v>
      </c>
      <c r="T15" s="7">
        <f t="shared" ref="T15:Z15" si="11">+T28/SUM(T8,T5)</f>
        <v>5.0171273328608552E-2</v>
      </c>
      <c r="U15" s="7">
        <f t="shared" si="11"/>
        <v>5.5689424364123156E-2</v>
      </c>
      <c r="V15" s="7">
        <f t="shared" si="11"/>
        <v>5.71886814068049E-2</v>
      </c>
      <c r="W15" s="7">
        <f t="shared" si="11"/>
        <v>4.7851518560179974E-2</v>
      </c>
      <c r="X15" s="7">
        <f t="shared" si="11"/>
        <v>5.9486067078257966E-2</v>
      </c>
      <c r="Y15" s="7">
        <f t="shared" si="11"/>
        <v>6.2462891698735569E-2</v>
      </c>
      <c r="Z15" s="7">
        <f t="shared" si="11"/>
        <v>7.8943944486609546E-2</v>
      </c>
      <c r="AB15" s="23"/>
      <c r="AC15" s="23"/>
      <c r="AD15" s="23"/>
      <c r="AP15" s="7"/>
      <c r="AQ15" s="7"/>
      <c r="AR15" s="7">
        <f t="shared" ref="AR15" si="12">+AR28/SUM(AR8,AR5)</f>
        <v>0.16068862275449103</v>
      </c>
      <c r="AS15" s="7">
        <f t="shared" ref="AS15" si="13">+AS28/SUM(AS8,AS5)</f>
        <v>0.20938824607629741</v>
      </c>
      <c r="AT15" s="7">
        <f t="shared" ref="AT15" si="14">+AT28/SUM(AT8,AT5)</f>
        <v>0.2446438252195598</v>
      </c>
      <c r="AU15" s="6">
        <f>+AT15*1.05</f>
        <v>0.25687601648053782</v>
      </c>
      <c r="AV15" s="6">
        <f t="shared" ref="AV15:BD15" si="15">+AU15*1.05</f>
        <v>0.26971981730456474</v>
      </c>
      <c r="AW15" s="6">
        <f t="shared" si="15"/>
        <v>0.28320580816979296</v>
      </c>
      <c r="AX15" s="6">
        <f t="shared" si="15"/>
        <v>0.29736609857828261</v>
      </c>
      <c r="AY15" s="6">
        <f t="shared" si="15"/>
        <v>0.31223440350719678</v>
      </c>
      <c r="AZ15" s="6">
        <f t="shared" si="15"/>
        <v>0.32784612368255661</v>
      </c>
      <c r="BA15" s="6">
        <f t="shared" si="15"/>
        <v>0.34423842986668446</v>
      </c>
      <c r="BB15" s="6">
        <f t="shared" si="15"/>
        <v>0.36145035136001868</v>
      </c>
      <c r="BC15" s="6">
        <f t="shared" si="15"/>
        <v>0.37952286892801962</v>
      </c>
      <c r="BD15" s="6">
        <f t="shared" si="15"/>
        <v>0.39849901237442059</v>
      </c>
    </row>
    <row r="16" spans="2:256" s="6" customFormat="1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B16" s="23"/>
      <c r="AC16" s="23"/>
      <c r="AD16" s="23"/>
      <c r="AM16" s="7">
        <f>+AM30/AM10</f>
        <v>0.8497468606737093</v>
      </c>
      <c r="AN16" s="7">
        <f>+AN30/AN10</f>
        <v>0.81885950473682279</v>
      </c>
      <c r="AO16" s="7">
        <f>+AO30/AO10</f>
        <v>0.84297844768790064</v>
      </c>
      <c r="AP16" s="7">
        <f>+AP30/AP10</f>
        <v>0.84811236242641408</v>
      </c>
      <c r="AQ16" s="7">
        <f>+AQ30/AQ10</f>
        <v>0.72008573178199631</v>
      </c>
      <c r="AR16" s="7">
        <f>+AR30/AR10</f>
        <v>0.85894245263500135</v>
      </c>
      <c r="AS16" s="7">
        <f>+AS30/AS10</f>
        <v>0.90309148441656617</v>
      </c>
      <c r="AT16" s="7">
        <f>+AT30/AT10</f>
        <v>0.94578053525421946</v>
      </c>
      <c r="AU16" s="6">
        <f>+AT16*0.97</f>
        <v>0.9174071191965929</v>
      </c>
      <c r="AV16" s="6">
        <f t="shared" ref="AV16:BD16" si="16">+AU16</f>
        <v>0.9174071191965929</v>
      </c>
      <c r="AW16" s="6">
        <f t="shared" si="16"/>
        <v>0.9174071191965929</v>
      </c>
      <c r="AX16" s="6">
        <f t="shared" si="16"/>
        <v>0.9174071191965929</v>
      </c>
      <c r="AY16" s="6">
        <f t="shared" si="16"/>
        <v>0.9174071191965929</v>
      </c>
      <c r="AZ16" s="6">
        <f t="shared" si="16"/>
        <v>0.9174071191965929</v>
      </c>
      <c r="BA16" s="6">
        <f t="shared" si="16"/>
        <v>0.9174071191965929</v>
      </c>
      <c r="BB16" s="6">
        <f t="shared" si="16"/>
        <v>0.9174071191965929</v>
      </c>
      <c r="BC16" s="6">
        <f t="shared" si="16"/>
        <v>0.9174071191965929</v>
      </c>
      <c r="BD16" s="6">
        <f t="shared" si="16"/>
        <v>0.9174071191965929</v>
      </c>
    </row>
    <row r="17" spans="2:56" s="10" customFormat="1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2:56">
      <c r="B18" s="8" t="s">
        <v>51</v>
      </c>
      <c r="G18" s="4">
        <v>3926</v>
      </c>
      <c r="H18" s="4">
        <v>3760.4</v>
      </c>
      <c r="I18" s="4">
        <v>4122.1000000000004</v>
      </c>
      <c r="J18" s="4">
        <f>+AP18-SUM(G18:I18)</f>
        <v>4112.7000000000007</v>
      </c>
      <c r="K18" s="4">
        <v>4260.8999999999996</v>
      </c>
      <c r="L18" s="4">
        <v>3530.9</v>
      </c>
      <c r="M18" s="4">
        <v>2628.8</v>
      </c>
      <c r="N18" s="4">
        <f>+AQ18-SUM(K18:M18)</f>
        <v>3916.9000000000015</v>
      </c>
      <c r="O18" s="4">
        <v>4251.8999999999996</v>
      </c>
      <c r="P18" s="4">
        <v>4212.8</v>
      </c>
      <c r="Q18" s="4">
        <v>4753.1000000000004</v>
      </c>
      <c r="R18" s="4">
        <f>+AR18-SUM(O18:Q18)</f>
        <v>5099.1999999999989</v>
      </c>
      <c r="S18" s="4">
        <v>4898.3999999999996</v>
      </c>
      <c r="T18" s="4">
        <v>4599</v>
      </c>
      <c r="U18" s="4">
        <v>4944.6000000000004</v>
      </c>
      <c r="V18" s="4">
        <f>19555.3-SUM(S18:U18)</f>
        <v>5113.2999999999993</v>
      </c>
      <c r="W18" s="4">
        <v>5173</v>
      </c>
      <c r="X18" s="4">
        <v>5226.8999999999996</v>
      </c>
      <c r="Y18" s="4">
        <v>5587.9</v>
      </c>
      <c r="Z18" s="8">
        <f>+AT18-SUM(W18:Y18)</f>
        <v>5697</v>
      </c>
      <c r="AB18" s="8">
        <v>5160.6000000000004</v>
      </c>
      <c r="AJ18" s="8">
        <v>8674.7000000000007</v>
      </c>
      <c r="AK18" s="8">
        <v>9458.4</v>
      </c>
      <c r="AL18" s="8">
        <v>11115.4</v>
      </c>
      <c r="AM18" s="8">
        <v>12383.4</v>
      </c>
      <c r="AN18" s="8">
        <v>12915</v>
      </c>
      <c r="AO18" s="8">
        <v>14463.1</v>
      </c>
      <c r="AP18" s="8">
        <v>15921.2</v>
      </c>
      <c r="AQ18" s="8">
        <v>14337.5</v>
      </c>
      <c r="AR18" s="8">
        <v>18317</v>
      </c>
      <c r="AS18" s="8">
        <f>SUM(S18:V18)</f>
        <v>19555.3</v>
      </c>
      <c r="AT18" s="8">
        <v>21684.799999999999</v>
      </c>
    </row>
    <row r="19" spans="2:56">
      <c r="B19" s="8" t="s">
        <v>52</v>
      </c>
      <c r="G19" s="4">
        <v>1188.9000000000001</v>
      </c>
      <c r="H19" s="4">
        <v>1157.9000000000001</v>
      </c>
      <c r="I19" s="4">
        <v>1106.9000000000001</v>
      </c>
      <c r="J19" s="4">
        <f>+AP19-SUM(G19:I19)</f>
        <v>882.59999999999991</v>
      </c>
      <c r="K19" s="4">
        <v>1162.0999999999999</v>
      </c>
      <c r="L19" s="4">
        <v>968.7</v>
      </c>
      <c r="M19" s="4">
        <v>629.20000000000005</v>
      </c>
      <c r="N19" s="4">
        <f>+AQ19-SUM(K19:M19)</f>
        <v>739.19999999999982</v>
      </c>
      <c r="O19" s="4">
        <v>1140.8</v>
      </c>
      <c r="P19" s="4">
        <v>1131.4000000000001</v>
      </c>
      <c r="Q19" s="4">
        <v>1311.2</v>
      </c>
      <c r="R19" s="4">
        <f>+AR19-SUM(O19:Q19)</f>
        <v>1470</v>
      </c>
      <c r="S19" s="4">
        <v>1434.6</v>
      </c>
      <c r="T19" s="4">
        <v>1364.3</v>
      </c>
      <c r="U19" s="4">
        <v>1472</v>
      </c>
      <c r="V19" s="4">
        <f>5804.2-SUM(T19:U19)</f>
        <v>2967.8999999999996</v>
      </c>
      <c r="W19" s="4">
        <v>1565.9</v>
      </c>
      <c r="X19" s="4">
        <v>1590.9</v>
      </c>
      <c r="Y19" s="4">
        <v>1704.5</v>
      </c>
      <c r="Z19" s="8">
        <f>+AT19-SUM(W19:Y19)</f>
        <v>1723.8000000000002</v>
      </c>
      <c r="AB19" s="8">
        <v>1583</v>
      </c>
      <c r="AJ19" s="8">
        <v>2189.8000000000002</v>
      </c>
      <c r="AK19" s="8">
        <v>2505.1999999999998</v>
      </c>
      <c r="AL19" s="8">
        <v>3085.3</v>
      </c>
      <c r="AM19" s="8">
        <v>3495</v>
      </c>
      <c r="AN19" s="8">
        <v>3832.4</v>
      </c>
      <c r="AO19" s="8">
        <v>3986.5</v>
      </c>
      <c r="AP19" s="8">
        <v>4336.3</v>
      </c>
      <c r="AQ19" s="8">
        <v>3499.2</v>
      </c>
      <c r="AR19" s="8">
        <v>5053.3999999999996</v>
      </c>
      <c r="AS19" s="8">
        <f>SUM(S19:V19)</f>
        <v>7238.7999999999993</v>
      </c>
      <c r="AT19" s="8">
        <v>6585.1</v>
      </c>
    </row>
    <row r="20" spans="2:56">
      <c r="B20" s="8" t="s">
        <v>20</v>
      </c>
      <c r="G20" s="4">
        <v>1517.8</v>
      </c>
      <c r="H20" s="4">
        <v>1387.6</v>
      </c>
      <c r="I20" s="4">
        <v>1594</v>
      </c>
      <c r="J20" s="4">
        <f>+AP20-SUM(G20:I20)</f>
        <v>1751.7000000000007</v>
      </c>
      <c r="K20" s="4">
        <v>1674.1</v>
      </c>
      <c r="L20" s="4">
        <v>1496.1</v>
      </c>
      <c r="M20" s="4">
        <v>961.4</v>
      </c>
      <c r="N20" s="4">
        <f>+AQ20-SUM(K20:M20)</f>
        <v>-1750.2999999999993</v>
      </c>
      <c r="O20" s="4">
        <v>1356.7</v>
      </c>
      <c r="P20" s="4">
        <v>1323.8</v>
      </c>
      <c r="Q20" s="4">
        <v>1432.2</v>
      </c>
      <c r="R20" s="4">
        <f>+AR20-SUM(O20:Q20)</f>
        <v>1577.5</v>
      </c>
      <c r="S20" s="4">
        <v>1717.4</v>
      </c>
      <c r="T20" s="4">
        <v>1672.3</v>
      </c>
      <c r="U20" s="4">
        <v>1733.5</v>
      </c>
      <c r="V20" s="4">
        <f>6890.8-SUM(T20:U20)</f>
        <v>3485</v>
      </c>
      <c r="W20" s="4">
        <v>1975</v>
      </c>
      <c r="X20" s="4">
        <v>1902</v>
      </c>
      <c r="Y20" s="4">
        <v>1875.9</v>
      </c>
      <c r="Z20" s="8">
        <f>+AT20-SUM(W20:Y20)</f>
        <v>1952.8000000000002</v>
      </c>
      <c r="AB20" s="8">
        <v>1819.4</v>
      </c>
      <c r="AJ20" s="8">
        <f>2206.5+1795.8</f>
        <v>4002.3</v>
      </c>
      <c r="AK20" s="8">
        <f>2370+2114.2</f>
        <v>4484.2</v>
      </c>
      <c r="AL20" s="8">
        <f>2619.9+2342.1</f>
        <v>4962</v>
      </c>
      <c r="AM20" s="8">
        <f>2866+2571.5</f>
        <v>5437.5</v>
      </c>
      <c r="AN20" s="8">
        <f>2883.6+2756.1</f>
        <v>5639.7</v>
      </c>
      <c r="AO20" s="8">
        <v>6269.9</v>
      </c>
      <c r="AP20" s="8">
        <v>6251.1</v>
      </c>
      <c r="AQ20" s="8">
        <v>2381.3000000000002</v>
      </c>
      <c r="AR20" s="8">
        <v>5690.2</v>
      </c>
      <c r="AS20" s="8">
        <f>SUM(S20:V20)</f>
        <v>8608.2000000000007</v>
      </c>
      <c r="AT20" s="8">
        <v>7705.7</v>
      </c>
    </row>
    <row r="21" spans="2:56">
      <c r="B21" s="9" t="s">
        <v>108</v>
      </c>
      <c r="C21" s="12"/>
      <c r="D21" s="12"/>
      <c r="E21" s="12"/>
      <c r="F21" s="12"/>
    </row>
    <row r="22" spans="2:56" s="10" customFormat="1">
      <c r="B22" s="8" t="s">
        <v>51</v>
      </c>
      <c r="C22" s="4"/>
      <c r="D22" s="4"/>
      <c r="E22" s="4"/>
      <c r="F22" s="4"/>
      <c r="G22" s="11">
        <f>+G18/SUM(G18:G20)</f>
        <v>0.59191581105733715</v>
      </c>
      <c r="H22" s="11">
        <f>+H18/SUM(H18:H20)</f>
        <v>0.59633042071710629</v>
      </c>
      <c r="I22" s="11">
        <f>+I18/SUM(I18:I20)</f>
        <v>0.60414773560017598</v>
      </c>
      <c r="J22" s="11">
        <f>+J18/SUM(J18:J20)</f>
        <v>0.60955980435749213</v>
      </c>
      <c r="K22" s="11">
        <f>+K18/SUM(K18:K20)</f>
        <v>0.60037198292260208</v>
      </c>
      <c r="L22" s="11">
        <f>+L18/SUM(L18:L20)</f>
        <v>0.58890538219056987</v>
      </c>
      <c r="M22" s="11">
        <f>+M18/SUM(M18:M20)</f>
        <v>0.62302697065933554</v>
      </c>
      <c r="N22" s="11">
        <f>+N18/SUM(N18:N20)</f>
        <v>1.3479592539059808</v>
      </c>
      <c r="O22" s="11">
        <f>+O18/SUM(O18:O20)</f>
        <v>0.62996710818739443</v>
      </c>
      <c r="P22" s="11">
        <f>+P18/SUM(P18:P20)</f>
        <v>0.63179364127174564</v>
      </c>
      <c r="Q22" s="11">
        <f>+Q18/SUM(Q18:Q20)</f>
        <v>0.63404255319148939</v>
      </c>
      <c r="R22" s="11">
        <f>+R18/SUM(R18:R20)</f>
        <v>0.62592215252801742</v>
      </c>
      <c r="S22" s="11">
        <f>+S18/SUM(S18:S20)</f>
        <v>0.608466660041737</v>
      </c>
      <c r="T22" s="11">
        <f>+T18/SUM(T18:T20)</f>
        <v>0.60231023102310233</v>
      </c>
      <c r="U22" s="11">
        <f>+U18/SUM(U18:U20)</f>
        <v>0.60669194243015423</v>
      </c>
      <c r="V22" s="11">
        <f>+V18/SUM(V18:V20)</f>
        <v>0.4420898825889229</v>
      </c>
      <c r="W22" s="11">
        <f>+W18/SUM(W18:W20)</f>
        <v>0.59364922709693713</v>
      </c>
      <c r="X22" s="11">
        <f>+X18/SUM(X18:X20)</f>
        <v>0.59942888598362354</v>
      </c>
      <c r="Y22" s="11">
        <f>+Y18/SUM(Y18:Y20)</f>
        <v>0.60948049256677905</v>
      </c>
      <c r="Z22" s="11">
        <f>+Z18/SUM(Z18:Z20)</f>
        <v>0.60777076043355804</v>
      </c>
      <c r="AB22" s="11">
        <f>+AB18/SUM(AB18:AB20)</f>
        <v>0.60266261824127065</v>
      </c>
      <c r="AJ22" s="10">
        <f>+AJ18/SUM(AJ18:AJ20)</f>
        <v>0.58349476686307755</v>
      </c>
      <c r="AK22" s="10">
        <f>+AK18/SUM(AK18:AK20)</f>
        <v>0.57505563054025466</v>
      </c>
      <c r="AL22" s="10">
        <f>+AL18/SUM(AL18:AL20)</f>
        <v>0.58005395899325252</v>
      </c>
      <c r="AM22" s="10">
        <f>+AM18/SUM(AM18:AM20)</f>
        <v>0.58094661731383612</v>
      </c>
      <c r="AN22" s="10">
        <f>+AN18/SUM(AN18:AN20)</f>
        <v>0.5768947295540735</v>
      </c>
      <c r="AO22" s="10">
        <f>+AO18/SUM(AO18:AO20)</f>
        <v>0.58508869515969175</v>
      </c>
      <c r="AP22" s="10">
        <f>+AP18/SUM(AP18:AP20)</f>
        <v>0.60060508665112455</v>
      </c>
      <c r="AQ22" s="10">
        <f>+AQ18/SUM(AQ18:AQ20)</f>
        <v>0.70914531605500053</v>
      </c>
      <c r="AR22" s="10">
        <f>+AR18/SUM(AR18:AR20)</f>
        <v>0.63030357253463443</v>
      </c>
      <c r="AS22" s="10">
        <f>+AS18/SUM(AS18:AS20)</f>
        <v>0.55237371583202211</v>
      </c>
      <c r="AT22" s="10">
        <f>+AT18/SUM(AT18:AT20)</f>
        <v>0.60276409566483946</v>
      </c>
    </row>
    <row r="23" spans="2:56" s="10" customFormat="1">
      <c r="B23" s="8" t="s">
        <v>52</v>
      </c>
      <c r="C23" s="4"/>
      <c r="D23" s="4"/>
      <c r="E23" s="4"/>
      <c r="F23" s="4"/>
      <c r="G23" s="11">
        <f>+G19/SUM(G18:G20)</f>
        <v>0.17924826993532048</v>
      </c>
      <c r="H23" s="11">
        <f>+H19/SUM(H18:H20)</f>
        <v>0.18362168762587422</v>
      </c>
      <c r="I23" s="11">
        <f>+I19/SUM(I18:I20)</f>
        <v>0.1622306903121794</v>
      </c>
      <c r="J23" s="11">
        <f>+J19/SUM(J18:J20)</f>
        <v>0.13081369497554463</v>
      </c>
      <c r="K23" s="11">
        <f>+K19/SUM(K18:K20)</f>
        <v>0.16374293725606232</v>
      </c>
      <c r="L23" s="11">
        <f>+L19/SUM(L18:L20)</f>
        <v>0.16156578881531763</v>
      </c>
      <c r="M23" s="11">
        <f>+M19/SUM(M18:M20)</f>
        <v>0.14912072806560175</v>
      </c>
      <c r="N23" s="11">
        <f>+N19/SUM(N18:N20)</f>
        <v>0.25438777617179409</v>
      </c>
      <c r="O23" s="11">
        <f>+O19/SUM(O18:O20)</f>
        <v>0.16902243162355174</v>
      </c>
      <c r="P23" s="11">
        <f>+P19/SUM(P18:P20)</f>
        <v>0.16967606478704259</v>
      </c>
      <c r="Q23" s="11">
        <f>+Q19/SUM(Q18:Q20)</f>
        <v>0.17490829053558327</v>
      </c>
      <c r="R23" s="11">
        <f>+R19/SUM(R18:R20)</f>
        <v>0.18044116022438536</v>
      </c>
      <c r="S23" s="11">
        <f>+S19/SUM(S18:S20)</f>
        <v>0.17820232535029315</v>
      </c>
      <c r="T23" s="11">
        <f>+T19/SUM(T18:T20)</f>
        <v>0.17867620095342865</v>
      </c>
      <c r="U23" s="11">
        <f>+U19/SUM(U18:U20)</f>
        <v>0.18061128084317982</v>
      </c>
      <c r="V23" s="11">
        <f>+V19/SUM(V18:V20)</f>
        <v>0.25660113088136122</v>
      </c>
      <c r="W23" s="11">
        <f>+W19/SUM(W18:W20)</f>
        <v>0.17970139661919463</v>
      </c>
      <c r="X23" s="11">
        <f>+X19/SUM(X18:X20)</f>
        <v>0.18244684511112644</v>
      </c>
      <c r="Y23" s="11">
        <f>+Y19/SUM(Y18:Y20)</f>
        <v>0.18591232834876698</v>
      </c>
      <c r="Z23" s="11">
        <f>+Z19/SUM(Z18:Z20)</f>
        <v>0.18389946231970641</v>
      </c>
      <c r="AB23" s="11">
        <f>+AB19/SUM(AB18:AB20)</f>
        <v>0.18486511736540931</v>
      </c>
      <c r="AJ23" s="10">
        <f>+AJ19/SUM(AJ18:AJ20)</f>
        <v>0.14729464309737134</v>
      </c>
      <c r="AK23" s="10">
        <f>+AK19/SUM(AK18:AK20)</f>
        <v>0.15231216332883424</v>
      </c>
      <c r="AL23" s="10">
        <f>+AL19/SUM(AL18:AL20)</f>
        <v>0.16100549505027997</v>
      </c>
      <c r="AM23" s="10">
        <f>+AM19/SUM(AM18:AM20)</f>
        <v>0.16396211278904479</v>
      </c>
      <c r="AN23" s="10">
        <f>+AN19/SUM(AN18:AN20)</f>
        <v>0.17118787158676202</v>
      </c>
      <c r="AO23" s="10">
        <f>+AO19/SUM(AO18:AO20)</f>
        <v>0.16126944315216732</v>
      </c>
      <c r="AP23" s="10">
        <f>+AP19/SUM(AP18:AP20)</f>
        <v>0.16358087564035823</v>
      </c>
      <c r="AQ23" s="10">
        <f>+AQ19/SUM(AQ18:AQ20)</f>
        <v>0.17307349886239984</v>
      </c>
      <c r="AR23" s="10">
        <f>+AR19/SUM(AR18:AR20)</f>
        <v>0.17389179851758046</v>
      </c>
      <c r="AS23" s="10">
        <f>+AS19/SUM(AS18:AS20)</f>
        <v>0.20447259076387689</v>
      </c>
      <c r="AT23" s="10">
        <f>+AT19/SUM(AT18:AT20)</f>
        <v>0.18304350726603588</v>
      </c>
    </row>
    <row r="24" spans="2:56" s="10" customFormat="1">
      <c r="B24" s="8" t="s">
        <v>20</v>
      </c>
      <c r="C24" s="4"/>
      <c r="D24" s="4"/>
      <c r="E24" s="4"/>
      <c r="F24" s="4"/>
      <c r="G24" s="11">
        <f>+G20/SUM(G18:G20)</f>
        <v>0.2288359190073424</v>
      </c>
      <c r="H24" s="11">
        <f>+H20/SUM(H18:H20)</f>
        <v>0.22004789165701963</v>
      </c>
      <c r="I24" s="11">
        <f>+I20/SUM(I18:I20)</f>
        <v>0.23362157408764472</v>
      </c>
      <c r="J24" s="11">
        <f>+J20/SUM(J18:J20)</f>
        <v>0.25962650066696313</v>
      </c>
      <c r="K24" s="11">
        <f>+K20/SUM(K18:K20)</f>
        <v>0.23588507982133544</v>
      </c>
      <c r="L24" s="11">
        <f>+L20/SUM(L18:L20)</f>
        <v>0.24952882899411241</v>
      </c>
      <c r="M24" s="11">
        <f>+M20/SUM(M18:M20)</f>
        <v>0.22785230127506281</v>
      </c>
      <c r="N24" s="11">
        <f>+N20/SUM(N18:N20)</f>
        <v>-0.60234703007777479</v>
      </c>
      <c r="O24" s="11">
        <f>+O20/SUM(O18:O20)</f>
        <v>0.20101046018905386</v>
      </c>
      <c r="P24" s="11">
        <f>+P20/SUM(P18:P20)</f>
        <v>0.19853029394121172</v>
      </c>
      <c r="Q24" s="11">
        <f>+Q20/SUM(Q18:Q20)</f>
        <v>0.19104915627292737</v>
      </c>
      <c r="R24" s="11">
        <f>+R20/SUM(R18:R20)</f>
        <v>0.19363668724759722</v>
      </c>
      <c r="S24" s="11">
        <f>+S20/SUM(S18:S20)</f>
        <v>0.2133310146079698</v>
      </c>
      <c r="T24" s="11">
        <f>+T20/SUM(T18:T20)</f>
        <v>0.219013568023469</v>
      </c>
      <c r="U24" s="11">
        <f>+U20/SUM(U18:U20)</f>
        <v>0.21269677672666593</v>
      </c>
      <c r="V24" s="11">
        <f>+V20/SUM(V18:V20)</f>
        <v>0.30130898652971594</v>
      </c>
      <c r="W24" s="11">
        <f>+W20/SUM(W18:W20)</f>
        <v>0.2266493762838683</v>
      </c>
      <c r="X24" s="11">
        <f>+X20/SUM(X18:X20)</f>
        <v>0.21812426890525013</v>
      </c>
      <c r="Y24" s="11">
        <f>+Y20/SUM(Y18:Y20)</f>
        <v>0.20460717908445408</v>
      </c>
      <c r="Z24" s="11">
        <f>+Z20/SUM(Z18:Z20)</f>
        <v>0.20832977724673551</v>
      </c>
      <c r="AB24" s="11">
        <f>+AB20/SUM(AB18:AB20)</f>
        <v>0.21247226439332012</v>
      </c>
      <c r="AJ24" s="10">
        <f>+AJ20/SUM(AJ18:AJ20)</f>
        <v>0.26921059003955122</v>
      </c>
      <c r="AK24" s="10">
        <f>+AK20/SUM(AK18:AK20)</f>
        <v>0.2726322061309111</v>
      </c>
      <c r="AL24" s="10">
        <f>+AL20/SUM(AL18:AL20)</f>
        <v>0.25894054595646748</v>
      </c>
      <c r="AM24" s="10">
        <f>+AM20/SUM(AM18:AM20)</f>
        <v>0.25509126989711906</v>
      </c>
      <c r="AN24" s="10">
        <f>+AN20/SUM(AN18:AN20)</f>
        <v>0.25191739885916442</v>
      </c>
      <c r="AO24" s="10">
        <f>+AO20/SUM(AO18:AO20)</f>
        <v>0.2536418616881409</v>
      </c>
      <c r="AP24" s="10">
        <f>+AP20/SUM(AP18:AP20)</f>
        <v>0.23581403770851725</v>
      </c>
      <c r="AQ24" s="10">
        <f>+AQ20/SUM(AQ18:AQ20)</f>
        <v>0.11778118508259967</v>
      </c>
      <c r="AR24" s="10">
        <f>+AR20/SUM(AR18:AR20)</f>
        <v>0.19580462894778494</v>
      </c>
      <c r="AS24" s="10">
        <f>+AS20/SUM(AS18:AS20)</f>
        <v>0.24315369340410087</v>
      </c>
      <c r="AT24" s="10">
        <f>+AT20/SUM(AT18:AT20)</f>
        <v>0.21419239706912463</v>
      </c>
    </row>
    <row r="25" spans="2:56" s="10" customFormat="1">
      <c r="B25" s="8"/>
      <c r="C25" s="4"/>
      <c r="D25" s="4"/>
      <c r="E25" s="4"/>
      <c r="F25" s="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B25" s="11"/>
    </row>
    <row r="26" spans="2:56" s="10" customFormat="1">
      <c r="B26" s="26" t="s">
        <v>196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A26" s="10">
        <v>0.05</v>
      </c>
      <c r="AB26" s="10">
        <v>-0.04</v>
      </c>
    </row>
    <row r="27" spans="2:56">
      <c r="B27" s="8" t="s">
        <v>18</v>
      </c>
      <c r="C27" s="4">
        <v>4741.8</v>
      </c>
      <c r="D27" s="4">
        <v>4828</v>
      </c>
      <c r="E27" s="4">
        <v>5060.3999999999996</v>
      </c>
      <c r="F27" s="4">
        <v>5060.1000000000004</v>
      </c>
      <c r="G27" s="4">
        <v>5370.3</v>
      </c>
      <c r="H27" s="4">
        <v>5159</v>
      </c>
      <c r="I27" s="4">
        <v>5535</v>
      </c>
      <c r="J27" s="4">
        <v>5480.1</v>
      </c>
      <c r="K27" s="4">
        <v>5780.7</v>
      </c>
      <c r="L27" s="4">
        <v>4766</v>
      </c>
      <c r="M27" s="4">
        <v>3444.4</v>
      </c>
      <c r="N27" s="4">
        <v>5173.6000000000004</v>
      </c>
      <c r="O27" s="4">
        <v>5726.5</v>
      </c>
      <c r="P27" s="4">
        <v>5653.1</v>
      </c>
      <c r="Q27" s="4">
        <v>6363.1</v>
      </c>
      <c r="R27" s="4">
        <v>6864.3</v>
      </c>
      <c r="S27" s="4">
        <v>6722.4</v>
      </c>
      <c r="T27" s="4">
        <v>6276.7</v>
      </c>
      <c r="U27" s="4">
        <v>6675.5</v>
      </c>
      <c r="V27" s="4">
        <v>6901.4</v>
      </c>
      <c r="W27" s="4">
        <v>6722.4</v>
      </c>
      <c r="X27" s="4">
        <v>7142.3</v>
      </c>
      <c r="Y27" s="8">
        <v>7556.7</v>
      </c>
      <c r="Z27" s="8">
        <f>+AT27-SUM(W27:Y27)</f>
        <v>8040.8999999999978</v>
      </c>
      <c r="AA27" s="8">
        <v>7755.2</v>
      </c>
      <c r="AB27" s="8">
        <v>7052.6</v>
      </c>
      <c r="AJ27" s="8">
        <v>11793.2</v>
      </c>
      <c r="AK27" s="8">
        <v>12977.9</v>
      </c>
      <c r="AL27" s="8">
        <v>15197.3</v>
      </c>
      <c r="AM27" s="8">
        <v>16844.099999999999</v>
      </c>
      <c r="AN27" s="8">
        <v>17650.7</v>
      </c>
      <c r="AO27" s="8">
        <v>19690.3</v>
      </c>
      <c r="AP27" s="8">
        <f t="shared" ref="AP27:AP35" si="17">+SUM(G27:J27)</f>
        <v>21544.400000000001</v>
      </c>
      <c r="AQ27" s="8">
        <f>+SUM(O27:R27)</f>
        <v>24607</v>
      </c>
      <c r="AR27" s="8">
        <f t="shared" ref="AR27:AR35" si="18">+SUM(O27:R27)</f>
        <v>24607</v>
      </c>
      <c r="AS27" s="8">
        <f t="shared" ref="AS27:AS37" si="19">+SUM(S27:V27)</f>
        <v>26576</v>
      </c>
      <c r="AT27" s="8">
        <v>29462.3</v>
      </c>
    </row>
    <row r="28" spans="2:56">
      <c r="B28" s="8" t="s">
        <v>19</v>
      </c>
      <c r="C28" s="4">
        <v>682.4</v>
      </c>
      <c r="D28" s="4">
        <v>625.6</v>
      </c>
      <c r="E28" s="4">
        <v>660.6</v>
      </c>
      <c r="F28" s="4">
        <v>683.6</v>
      </c>
      <c r="G28" s="4">
        <v>737.1</v>
      </c>
      <c r="H28" s="4">
        <v>678.2</v>
      </c>
      <c r="I28" s="4">
        <v>725</v>
      </c>
      <c r="J28" s="4">
        <v>734.7</v>
      </c>
      <c r="K28" s="4">
        <v>792</v>
      </c>
      <c r="L28" s="4">
        <v>689.8</v>
      </c>
      <c r="M28" s="4">
        <v>300.5</v>
      </c>
      <c r="N28" s="4">
        <v>544.6</v>
      </c>
      <c r="O28" s="4">
        <v>613.79999999999995</v>
      </c>
      <c r="P28" s="4">
        <v>595</v>
      </c>
      <c r="Q28" s="4">
        <v>680.2</v>
      </c>
      <c r="R28" s="4">
        <v>794.5</v>
      </c>
      <c r="S28" s="4">
        <v>850.8</v>
      </c>
      <c r="T28" s="4">
        <v>849.5</v>
      </c>
      <c r="U28" s="4">
        <v>956.8</v>
      </c>
      <c r="V28" s="4">
        <v>998.4</v>
      </c>
      <c r="W28" s="4">
        <v>850.8</v>
      </c>
      <c r="X28" s="4">
        <v>1069.5</v>
      </c>
      <c r="Y28" s="8">
        <v>1136.2</v>
      </c>
      <c r="Z28" s="8">
        <f t="shared" ref="Z28:Z46" si="20">+AT28-SUM(W28:Y28)</f>
        <v>1456.1999999999998</v>
      </c>
      <c r="AA28" s="8">
        <v>1192.0999999999999</v>
      </c>
      <c r="AB28" s="8">
        <v>1054.5</v>
      </c>
      <c r="AJ28" s="8">
        <v>1360.5</v>
      </c>
      <c r="AK28" s="8">
        <v>1588.6</v>
      </c>
      <c r="AL28" s="8">
        <v>1861.9</v>
      </c>
      <c r="AM28" s="8">
        <v>2154.1999999999998</v>
      </c>
      <c r="AN28" s="8">
        <v>2355</v>
      </c>
      <c r="AO28" s="8">
        <v>2652.2</v>
      </c>
      <c r="AP28" s="8">
        <f t="shared" si="17"/>
        <v>2875</v>
      </c>
      <c r="AQ28" s="8">
        <f>+SUM(O28:R28)</f>
        <v>2683.5</v>
      </c>
      <c r="AR28" s="8">
        <f t="shared" si="18"/>
        <v>2683.5</v>
      </c>
      <c r="AS28" s="8">
        <f t="shared" si="19"/>
        <v>3655.5</v>
      </c>
      <c r="AT28" s="8">
        <v>4512.7</v>
      </c>
    </row>
    <row r="29" spans="2:56">
      <c r="B29" s="8" t="s">
        <v>20</v>
      </c>
      <c r="C29" s="4">
        <v>649.5</v>
      </c>
      <c r="D29" s="4">
        <v>578.20000000000005</v>
      </c>
      <c r="E29" s="4">
        <v>589.29999999999995</v>
      </c>
      <c r="F29" s="4">
        <v>559.9</v>
      </c>
      <c r="G29" s="4">
        <v>525.29999999999995</v>
      </c>
      <c r="H29" s="4">
        <v>468.7</v>
      </c>
      <c r="I29" s="4">
        <v>563</v>
      </c>
      <c r="J29" s="4">
        <v>532.20000000000005</v>
      </c>
      <c r="K29" s="4">
        <v>524.4</v>
      </c>
      <c r="L29" s="4">
        <v>539.9</v>
      </c>
      <c r="M29" s="4">
        <v>477.2</v>
      </c>
      <c r="N29" s="4">
        <v>484.9</v>
      </c>
      <c r="O29" s="4">
        <v>409.1</v>
      </c>
      <c r="P29" s="4">
        <v>419.9</v>
      </c>
      <c r="Q29" s="4">
        <v>453.2</v>
      </c>
      <c r="R29" s="4">
        <v>487.9</v>
      </c>
      <c r="S29" s="4">
        <v>477.2</v>
      </c>
      <c r="T29" s="4">
        <v>509.4</v>
      </c>
      <c r="U29" s="4">
        <v>517.79999999999995</v>
      </c>
      <c r="V29" s="4">
        <v>514.4</v>
      </c>
      <c r="W29" s="4">
        <v>477.2</v>
      </c>
      <c r="X29" s="4">
        <v>508</v>
      </c>
      <c r="Y29" s="8">
        <v>475.4</v>
      </c>
      <c r="Z29" s="8">
        <f t="shared" si="20"/>
        <v>540</v>
      </c>
      <c r="AA29" s="8">
        <v>478</v>
      </c>
      <c r="AB29" s="8">
        <v>455.9</v>
      </c>
      <c r="AJ29" s="8">
        <v>1713.1</v>
      </c>
      <c r="AK29" s="8">
        <v>1881.3</v>
      </c>
      <c r="AL29" s="8">
        <v>2103.5</v>
      </c>
      <c r="AM29" s="8">
        <v>2317.6</v>
      </c>
      <c r="AN29" s="8">
        <v>2381.1</v>
      </c>
      <c r="AO29" s="8">
        <v>2377</v>
      </c>
      <c r="AP29" s="8">
        <f t="shared" si="17"/>
        <v>2089.1999999999998</v>
      </c>
      <c r="AQ29" s="8">
        <f>+SUM(O29:R29)</f>
        <v>1770.1</v>
      </c>
      <c r="AR29" s="8">
        <f t="shared" si="18"/>
        <v>1770.1</v>
      </c>
      <c r="AS29" s="8">
        <f t="shared" si="19"/>
        <v>2018.7999999999997</v>
      </c>
      <c r="AT29" s="8">
        <v>2000.6</v>
      </c>
    </row>
    <row r="30" spans="2:56" s="9" customFormat="1">
      <c r="B30" s="9" t="s">
        <v>21</v>
      </c>
      <c r="C30" s="12">
        <f t="shared" ref="C30" si="21">+SUM(C27:C29)</f>
        <v>6073.7</v>
      </c>
      <c r="D30" s="12">
        <f t="shared" ref="D30:F30" si="22">+SUM(D27:D29)</f>
        <v>6031.8</v>
      </c>
      <c r="E30" s="12">
        <f t="shared" ref="E30" si="23">+SUM(E27:E29)</f>
        <v>6310.3</v>
      </c>
      <c r="F30" s="12">
        <f t="shared" si="22"/>
        <v>6303.6</v>
      </c>
      <c r="G30" s="12">
        <f t="shared" ref="G30:R30" si="24">+SUM(G27:G29)</f>
        <v>6632.7000000000007</v>
      </c>
      <c r="H30" s="12">
        <f>+SUM(H27:H29)</f>
        <v>6305.9</v>
      </c>
      <c r="I30" s="12">
        <f>+SUM(I27:I29)</f>
        <v>6823</v>
      </c>
      <c r="J30" s="12">
        <f t="shared" si="24"/>
        <v>6747</v>
      </c>
      <c r="K30" s="12">
        <f t="shared" si="24"/>
        <v>7097.0999999999995</v>
      </c>
      <c r="L30" s="12">
        <f t="shared" si="24"/>
        <v>5995.7</v>
      </c>
      <c r="M30" s="12">
        <f t="shared" si="24"/>
        <v>4222.1000000000004</v>
      </c>
      <c r="N30" s="12">
        <f t="shared" si="24"/>
        <v>6203.1</v>
      </c>
      <c r="O30" s="12">
        <f t="shared" si="24"/>
        <v>6749.4000000000005</v>
      </c>
      <c r="P30" s="12">
        <f t="shared" si="24"/>
        <v>6668</v>
      </c>
      <c r="Q30" s="12">
        <f t="shared" si="24"/>
        <v>7496.5</v>
      </c>
      <c r="R30" s="12">
        <f t="shared" si="24"/>
        <v>8146.7</v>
      </c>
      <c r="S30" s="12">
        <f t="shared" ref="S30:AA30" si="25">+SUM(S27:S29)</f>
        <v>8050.4</v>
      </c>
      <c r="T30" s="12">
        <f t="shared" si="25"/>
        <v>7635.5999999999995</v>
      </c>
      <c r="U30" s="12">
        <f t="shared" si="25"/>
        <v>8150.1</v>
      </c>
      <c r="V30" s="12">
        <f t="shared" si="25"/>
        <v>8414.1999999999989</v>
      </c>
      <c r="W30" s="12">
        <f t="shared" si="25"/>
        <v>8050.4</v>
      </c>
      <c r="X30" s="12">
        <f t="shared" si="25"/>
        <v>8719.7999999999993</v>
      </c>
      <c r="Y30" s="12">
        <f t="shared" si="25"/>
        <v>9168.2999999999993</v>
      </c>
      <c r="Z30" s="12">
        <f t="shared" si="25"/>
        <v>10037.099999999999</v>
      </c>
      <c r="AA30" s="12">
        <f>+SUM(AA27:AA29)</f>
        <v>9425.2999999999993</v>
      </c>
      <c r="AB30" s="12">
        <f>+SUM(AB27:AB29)</f>
        <v>8563</v>
      </c>
      <c r="AC30" s="12"/>
      <c r="AD30" s="12"/>
      <c r="AJ30" s="9">
        <f t="shared" ref="AJ30:AO30" si="26">+SUM(AJ27:AJ29)</f>
        <v>14866.800000000001</v>
      </c>
      <c r="AK30" s="9">
        <f t="shared" si="26"/>
        <v>16447.8</v>
      </c>
      <c r="AL30" s="9">
        <f t="shared" si="26"/>
        <v>19162.7</v>
      </c>
      <c r="AM30" s="9">
        <f t="shared" si="26"/>
        <v>21315.899999999998</v>
      </c>
      <c r="AN30" s="9">
        <f t="shared" si="26"/>
        <v>22386.799999999999</v>
      </c>
      <c r="AO30" s="9">
        <f t="shared" si="26"/>
        <v>24719.5</v>
      </c>
      <c r="AP30" s="9">
        <f t="shared" si="17"/>
        <v>26508.6</v>
      </c>
      <c r="AQ30" s="9">
        <f t="shared" ref="AQ30:AQ35" si="27">+SUM(K30:N30)</f>
        <v>23518</v>
      </c>
      <c r="AR30" s="9">
        <f t="shared" si="18"/>
        <v>29060.600000000002</v>
      </c>
      <c r="AS30" s="9">
        <f t="shared" si="19"/>
        <v>32250.299999999996</v>
      </c>
      <c r="AT30" s="9">
        <f>SUM(AT27:AT29)</f>
        <v>35975.599999999999</v>
      </c>
      <c r="AU30" s="9">
        <f>+AU10*AU16</f>
        <v>36292.185280000005</v>
      </c>
      <c r="AV30" s="9">
        <f t="shared" ref="AV30:BD30" si="28">+AV10*AV16</f>
        <v>37743.872691200006</v>
      </c>
      <c r="AW30" s="9">
        <f t="shared" si="28"/>
        <v>39253.627598848005</v>
      </c>
      <c r="AX30" s="9">
        <f t="shared" si="28"/>
        <v>40823.772702801929</v>
      </c>
      <c r="AY30" s="9">
        <f t="shared" si="28"/>
        <v>42456.723610914007</v>
      </c>
      <c r="AZ30" s="9">
        <f t="shared" si="28"/>
        <v>44154.992555350575</v>
      </c>
      <c r="BA30" s="9">
        <f t="shared" si="28"/>
        <v>45921.192257564595</v>
      </c>
      <c r="BB30" s="9">
        <f t="shared" si="28"/>
        <v>47758.039947867182</v>
      </c>
      <c r="BC30" s="9">
        <f t="shared" si="28"/>
        <v>49668.361545781874</v>
      </c>
      <c r="BD30" s="9">
        <f t="shared" si="28"/>
        <v>51655.096007613152</v>
      </c>
    </row>
    <row r="31" spans="2:56">
      <c r="B31" s="8" t="s">
        <v>33</v>
      </c>
      <c r="C31" s="4">
        <v>2501.6999999999998</v>
      </c>
      <c r="D31" s="4">
        <v>2514.6999999999998</v>
      </c>
      <c r="E31" s="4">
        <v>2553.4</v>
      </c>
      <c r="F31" s="4">
        <v>2018.7</v>
      </c>
      <c r="G31" s="4">
        <v>2175.8000000000002</v>
      </c>
      <c r="H31" s="4">
        <v>2012</v>
      </c>
      <c r="I31" s="4">
        <v>2199.6</v>
      </c>
      <c r="J31" s="4">
        <v>2139.6</v>
      </c>
      <c r="K31" s="4">
        <v>2236.4</v>
      </c>
      <c r="L31" s="4">
        <v>1997.7</v>
      </c>
      <c r="M31" s="4">
        <v>1484</v>
      </c>
      <c r="N31" s="4">
        <v>1976.8</v>
      </c>
      <c r="O31" s="4">
        <v>2049.1</v>
      </c>
      <c r="P31" s="4">
        <v>1992.4</v>
      </c>
      <c r="Q31" s="4">
        <v>2206</v>
      </c>
      <c r="R31" s="4">
        <v>2491.1</v>
      </c>
      <c r="S31" s="4">
        <v>2526.9</v>
      </c>
      <c r="T31" s="4">
        <v>2465.8000000000002</v>
      </c>
      <c r="U31" s="4">
        <v>2613.6</v>
      </c>
      <c r="V31" s="4">
        <v>2711</v>
      </c>
      <c r="W31" s="4">
        <v>2526.9</v>
      </c>
      <c r="X31" s="4">
        <v>2801.7</v>
      </c>
      <c r="Y31" s="8">
        <v>2864.2</v>
      </c>
      <c r="Z31" s="8">
        <f t="shared" si="20"/>
        <v>3216.3000000000011</v>
      </c>
      <c r="AA31" s="8">
        <v>2980.6</v>
      </c>
      <c r="AB31" s="8">
        <v>2648.7</v>
      </c>
      <c r="AJ31" s="8">
        <v>6382.3</v>
      </c>
      <c r="AK31" s="8">
        <v>6858.8</v>
      </c>
      <c r="AL31" s="8">
        <v>7787.5</v>
      </c>
      <c r="AM31" s="8">
        <v>8511.1</v>
      </c>
      <c r="AN31" s="8">
        <v>7065.8</v>
      </c>
      <c r="AO31" s="8">
        <v>7930.7</v>
      </c>
      <c r="AP31" s="8">
        <f t="shared" si="17"/>
        <v>8527</v>
      </c>
      <c r="AQ31" s="8">
        <f t="shared" si="27"/>
        <v>7694.9000000000005</v>
      </c>
      <c r="AR31" s="8">
        <f t="shared" si="18"/>
        <v>8738.6</v>
      </c>
      <c r="AS31" s="8">
        <f t="shared" si="19"/>
        <v>10317.300000000001</v>
      </c>
      <c r="AT31" s="8">
        <v>11409.1</v>
      </c>
      <c r="AU31" s="8">
        <f t="shared" ref="AU31:BD31" si="29">+AU30*(AT31/AT30)</f>
        <v>11509.500080000002</v>
      </c>
      <c r="AV31" s="8">
        <f t="shared" si="29"/>
        <v>11969.880083200003</v>
      </c>
      <c r="AW31" s="8">
        <f t="shared" si="29"/>
        <v>12448.675286528003</v>
      </c>
      <c r="AX31" s="8">
        <f t="shared" si="29"/>
        <v>12946.622297989124</v>
      </c>
      <c r="AY31" s="8">
        <f t="shared" si="29"/>
        <v>13464.487189908688</v>
      </c>
      <c r="AZ31" s="8">
        <f t="shared" si="29"/>
        <v>14003.066677505039</v>
      </c>
      <c r="BA31" s="8">
        <f t="shared" si="29"/>
        <v>14563.18934460524</v>
      </c>
      <c r="BB31" s="8">
        <f t="shared" si="29"/>
        <v>15145.716918389451</v>
      </c>
      <c r="BC31" s="8">
        <f t="shared" si="29"/>
        <v>15751.54559512503</v>
      </c>
      <c r="BD31" s="8">
        <f t="shared" si="29"/>
        <v>16381.607418930033</v>
      </c>
    </row>
    <row r="32" spans="2:56">
      <c r="B32" s="8" t="s">
        <v>34</v>
      </c>
      <c r="C32" s="4">
        <v>1737</v>
      </c>
      <c r="D32" s="4">
        <v>1789.6</v>
      </c>
      <c r="E32" s="4">
        <v>1825</v>
      </c>
      <c r="F32" s="4">
        <v>2438.1</v>
      </c>
      <c r="G32" s="4">
        <v>2586.8000000000002</v>
      </c>
      <c r="H32" s="4">
        <v>2554.1</v>
      </c>
      <c r="I32" s="4">
        <v>2643.2</v>
      </c>
      <c r="J32" s="4">
        <v>2709.5</v>
      </c>
      <c r="K32" s="4">
        <v>2821.5</v>
      </c>
      <c r="L32" s="4">
        <v>2721.4</v>
      </c>
      <c r="M32" s="4">
        <v>2537.8000000000002</v>
      </c>
      <c r="N32" s="4">
        <v>2683.4</v>
      </c>
      <c r="O32" s="4">
        <v>2867.3</v>
      </c>
      <c r="P32" s="4">
        <v>2823.3</v>
      </c>
      <c r="Q32" s="4">
        <v>2966.9</v>
      </c>
      <c r="R32" s="4">
        <v>3273.4</v>
      </c>
      <c r="S32" s="4">
        <v>3400</v>
      </c>
      <c r="T32" s="4">
        <v>3314.7</v>
      </c>
      <c r="U32" s="4">
        <v>3302.5</v>
      </c>
      <c r="V32" s="4">
        <v>3544.7</v>
      </c>
      <c r="W32" s="4">
        <v>3400</v>
      </c>
      <c r="X32" s="4">
        <v>3636</v>
      </c>
      <c r="Y32" s="8">
        <v>3697.6</v>
      </c>
      <c r="Z32" s="8">
        <f t="shared" si="20"/>
        <v>3986.6999999999989</v>
      </c>
      <c r="AA32" s="8">
        <v>3851.5</v>
      </c>
      <c r="AB32" s="8">
        <v>3724.1</v>
      </c>
      <c r="AJ32" s="8">
        <v>4286.1000000000004</v>
      </c>
      <c r="AK32" s="8">
        <v>4638.2</v>
      </c>
      <c r="AL32" s="8">
        <v>5411.1</v>
      </c>
      <c r="AM32" s="8">
        <v>6064.3</v>
      </c>
      <c r="AN32" s="8">
        <v>8486.4</v>
      </c>
      <c r="AO32" s="8">
        <v>9472.2000000000007</v>
      </c>
      <c r="AP32" s="8">
        <f t="shared" si="17"/>
        <v>10493.599999999999</v>
      </c>
      <c r="AQ32" s="8">
        <f t="shared" si="27"/>
        <v>10764.1</v>
      </c>
      <c r="AR32" s="8">
        <f t="shared" si="18"/>
        <v>11930.9</v>
      </c>
      <c r="AS32" s="8">
        <f t="shared" si="19"/>
        <v>13561.900000000001</v>
      </c>
      <c r="AT32" s="8">
        <v>14720.3</v>
      </c>
      <c r="AU32" s="8">
        <f t="shared" ref="AU32:BD32" si="30">+AU30*(AT32/AT30)</f>
        <v>14849.838640000002</v>
      </c>
      <c r="AV32" s="8">
        <f t="shared" si="30"/>
        <v>15443.832185600002</v>
      </c>
      <c r="AW32" s="8">
        <f t="shared" si="30"/>
        <v>16061.585473024003</v>
      </c>
      <c r="AX32" s="8">
        <f t="shared" si="30"/>
        <v>16704.048891944964</v>
      </c>
      <c r="AY32" s="8">
        <f t="shared" si="30"/>
        <v>17372.210847622762</v>
      </c>
      <c r="AZ32" s="8">
        <f t="shared" si="30"/>
        <v>18067.099281527677</v>
      </c>
      <c r="BA32" s="8">
        <f t="shared" si="30"/>
        <v>18789.783252788784</v>
      </c>
      <c r="BB32" s="8">
        <f t="shared" si="30"/>
        <v>19541.374582900338</v>
      </c>
      <c r="BC32" s="8">
        <f t="shared" si="30"/>
        <v>20323.029566216352</v>
      </c>
      <c r="BD32" s="8">
        <f t="shared" si="30"/>
        <v>21135.950748865005</v>
      </c>
    </row>
    <row r="33" spans="2:256">
      <c r="B33" s="8" t="s">
        <v>35</v>
      </c>
      <c r="C33" s="4">
        <v>129.5</v>
      </c>
      <c r="D33" s="4">
        <v>120.8</v>
      </c>
      <c r="E33" s="4">
        <v>132.30000000000001</v>
      </c>
      <c r="F33" s="4">
        <v>161.19999999999999</v>
      </c>
      <c r="G33" s="4">
        <v>97.6</v>
      </c>
      <c r="H33" s="4">
        <v>87.1</v>
      </c>
      <c r="I33" s="4">
        <v>94.4</v>
      </c>
      <c r="J33" s="4">
        <v>91.6</v>
      </c>
      <c r="K33" s="4">
        <v>101.8</v>
      </c>
      <c r="L33" s="4">
        <v>95</v>
      </c>
      <c r="M33" s="4">
        <v>133.6</v>
      </c>
      <c r="N33" s="4">
        <v>99.9</v>
      </c>
      <c r="O33" s="4">
        <v>91.8</v>
      </c>
      <c r="P33" s="4">
        <v>87.7</v>
      </c>
      <c r="Q33" s="4">
        <v>71.400000000000006</v>
      </c>
      <c r="R33" s="4">
        <v>108.6</v>
      </c>
      <c r="S33" s="4">
        <v>101.7</v>
      </c>
      <c r="T33" s="4">
        <v>101.7</v>
      </c>
      <c r="U33" s="4">
        <v>135.1</v>
      </c>
      <c r="V33" s="4">
        <v>123.1</v>
      </c>
      <c r="W33" s="4">
        <v>101.7</v>
      </c>
      <c r="X33" s="4">
        <v>126.2</v>
      </c>
      <c r="Y33" s="8">
        <v>138.69999999999999</v>
      </c>
      <c r="Z33" s="8">
        <f t="shared" si="20"/>
        <v>172.79999999999995</v>
      </c>
      <c r="AA33" s="8">
        <v>150.4</v>
      </c>
      <c r="AB33" s="8">
        <v>132.80000000000001</v>
      </c>
      <c r="AJ33" s="8">
        <v>431.8</v>
      </c>
      <c r="AK33" s="8">
        <v>457.3</v>
      </c>
      <c r="AL33" s="8">
        <v>522.4</v>
      </c>
      <c r="AM33" s="8">
        <v>545.4</v>
      </c>
      <c r="AN33" s="8">
        <v>518</v>
      </c>
      <c r="AO33" s="8">
        <v>554.9</v>
      </c>
      <c r="AP33" s="8">
        <f t="shared" si="17"/>
        <v>370.70000000000005</v>
      </c>
      <c r="AQ33" s="8">
        <f t="shared" si="27"/>
        <v>430.29999999999995</v>
      </c>
      <c r="AR33" s="8">
        <f t="shared" si="18"/>
        <v>359.5</v>
      </c>
      <c r="AS33" s="8">
        <f t="shared" si="19"/>
        <v>461.6</v>
      </c>
      <c r="AT33" s="8">
        <v>539.4</v>
      </c>
      <c r="AU33" s="8">
        <f t="shared" ref="AU33:BD33" si="31">+AU30*(AT33/AT30)</f>
        <v>544.14672000000007</v>
      </c>
      <c r="AV33" s="8">
        <f t="shared" si="31"/>
        <v>565.91258880000009</v>
      </c>
      <c r="AW33" s="8">
        <f t="shared" si="31"/>
        <v>588.54909235200012</v>
      </c>
      <c r="AX33" s="8">
        <f t="shared" si="31"/>
        <v>612.09105604608021</v>
      </c>
      <c r="AY33" s="8">
        <f t="shared" si="31"/>
        <v>636.57469828792341</v>
      </c>
      <c r="AZ33" s="8">
        <f t="shared" si="31"/>
        <v>662.0376862194405</v>
      </c>
      <c r="BA33" s="8">
        <f t="shared" si="31"/>
        <v>688.51919366821801</v>
      </c>
      <c r="BB33" s="8">
        <f t="shared" si="31"/>
        <v>716.05996141494677</v>
      </c>
      <c r="BC33" s="8">
        <f t="shared" si="31"/>
        <v>744.70235987154467</v>
      </c>
      <c r="BD33" s="8">
        <f t="shared" si="31"/>
        <v>774.49045426640646</v>
      </c>
    </row>
    <row r="34" spans="2:256">
      <c r="B34" s="8" t="s">
        <v>36</v>
      </c>
      <c r="C34" s="4">
        <v>258.8</v>
      </c>
      <c r="D34" s="4">
        <v>331.6</v>
      </c>
      <c r="E34" s="4">
        <v>330</v>
      </c>
      <c r="F34" s="4">
        <v>326.60000000000002</v>
      </c>
      <c r="G34" s="4">
        <v>333.4</v>
      </c>
      <c r="H34" s="4">
        <v>356.2</v>
      </c>
      <c r="I34" s="4">
        <v>343.1</v>
      </c>
      <c r="J34" s="4">
        <v>344.7</v>
      </c>
      <c r="K34" s="4">
        <v>351</v>
      </c>
      <c r="L34" s="4">
        <v>356.3</v>
      </c>
      <c r="M34" s="4">
        <v>361</v>
      </c>
      <c r="N34" s="4">
        <v>362.9</v>
      </c>
      <c r="O34" s="4">
        <v>366.1</v>
      </c>
      <c r="P34" s="4">
        <v>366.7</v>
      </c>
      <c r="Q34" s="4">
        <v>354.3</v>
      </c>
      <c r="R34" s="4">
        <v>354.7</v>
      </c>
      <c r="S34" s="4">
        <v>366</v>
      </c>
      <c r="T34" s="4">
        <v>367.7</v>
      </c>
      <c r="U34" s="4">
        <v>356.8</v>
      </c>
      <c r="V34" s="4">
        <v>357.4</v>
      </c>
      <c r="W34" s="4">
        <v>366</v>
      </c>
      <c r="X34" s="4">
        <v>341.9</v>
      </c>
      <c r="Y34" s="8">
        <v>342.2</v>
      </c>
      <c r="Z34" s="8">
        <f t="shared" si="20"/>
        <v>312.5</v>
      </c>
      <c r="AA34" s="8">
        <v>365.3</v>
      </c>
      <c r="AB34" s="8">
        <v>371.9</v>
      </c>
      <c r="AJ34" s="8">
        <v>621.4</v>
      </c>
      <c r="AK34" s="8">
        <v>709.6</v>
      </c>
      <c r="AL34" s="8">
        <v>893.9</v>
      </c>
      <c r="AM34" s="8">
        <v>980.8</v>
      </c>
      <c r="AN34" s="8">
        <v>1011.4</v>
      </c>
      <c r="AO34" s="8">
        <v>1247</v>
      </c>
      <c r="AP34" s="8">
        <f t="shared" si="17"/>
        <v>1377.3999999999999</v>
      </c>
      <c r="AQ34" s="8">
        <f t="shared" si="27"/>
        <v>1431.1999999999998</v>
      </c>
      <c r="AR34" s="8">
        <f t="shared" si="18"/>
        <v>1441.8</v>
      </c>
      <c r="AS34" s="8">
        <f t="shared" si="19"/>
        <v>1447.9</v>
      </c>
      <c r="AT34" s="8">
        <v>1362.6</v>
      </c>
    </row>
    <row r="35" spans="2:256">
      <c r="B35" s="8" t="s">
        <v>37</v>
      </c>
      <c r="C35" s="4">
        <v>392.4</v>
      </c>
      <c r="D35" s="4">
        <v>420.6</v>
      </c>
      <c r="E35" s="4">
        <v>485.9</v>
      </c>
      <c r="F35" s="4">
        <v>444.9</v>
      </c>
      <c r="G35" s="4">
        <v>448</v>
      </c>
      <c r="H35" s="4">
        <v>458.1</v>
      </c>
      <c r="I35" s="4">
        <v>459.7</v>
      </c>
      <c r="J35" s="4">
        <v>458.4</v>
      </c>
      <c r="K35" s="4">
        <v>434.2</v>
      </c>
      <c r="L35" s="4">
        <v>406.5</v>
      </c>
      <c r="M35" s="4">
        <v>399.9</v>
      </c>
      <c r="N35" s="4">
        <v>439</v>
      </c>
      <c r="O35" s="4">
        <v>472.1</v>
      </c>
      <c r="P35" s="4">
        <v>464.4</v>
      </c>
      <c r="Q35" s="4">
        <v>494.9</v>
      </c>
      <c r="R35" s="4">
        <v>501.2</v>
      </c>
      <c r="S35" s="4">
        <v>525.79999999999995</v>
      </c>
      <c r="T35" s="4">
        <v>481.5</v>
      </c>
      <c r="U35" s="4">
        <v>486.7</v>
      </c>
      <c r="V35" s="4">
        <v>538</v>
      </c>
      <c r="W35" s="4">
        <v>525.79999999999995</v>
      </c>
      <c r="X35" s="4">
        <v>620.4</v>
      </c>
      <c r="Y35" s="8">
        <v>604.29999999999995</v>
      </c>
      <c r="Z35" s="8">
        <f t="shared" si="20"/>
        <v>690.80000000000041</v>
      </c>
      <c r="AA35" s="8">
        <v>648</v>
      </c>
      <c r="AB35" s="8">
        <v>654.6</v>
      </c>
      <c r="AJ35" s="8">
        <v>937.9</v>
      </c>
      <c r="AK35" s="8">
        <v>991.3</v>
      </c>
      <c r="AL35" s="8">
        <v>1196.7</v>
      </c>
      <c r="AM35" s="8">
        <v>1360.6</v>
      </c>
      <c r="AN35" s="8">
        <v>1408.4</v>
      </c>
      <c r="AO35" s="8">
        <v>1708.2</v>
      </c>
      <c r="AP35" s="8">
        <f t="shared" si="17"/>
        <v>1824.1999999999998</v>
      </c>
      <c r="AQ35" s="8">
        <f t="shared" si="27"/>
        <v>1679.6</v>
      </c>
      <c r="AR35" s="8">
        <f t="shared" si="18"/>
        <v>1932.6000000000001</v>
      </c>
      <c r="AS35" s="8">
        <f t="shared" si="19"/>
        <v>2032</v>
      </c>
      <c r="AT35" s="8">
        <v>2441.3000000000002</v>
      </c>
      <c r="AU35" s="8">
        <f t="shared" ref="AU35:BD35" si="32">+AU30*(AT35/AT30)</f>
        <v>2462.7834400000011</v>
      </c>
      <c r="AV35" s="8">
        <f t="shared" si="32"/>
        <v>2561.294777600001</v>
      </c>
      <c r="AW35" s="8">
        <f t="shared" si="32"/>
        <v>2663.7465687040008</v>
      </c>
      <c r="AX35" s="8">
        <f t="shared" si="32"/>
        <v>2770.2964314521614</v>
      </c>
      <c r="AY35" s="8">
        <f t="shared" si="32"/>
        <v>2881.1082887102475</v>
      </c>
      <c r="AZ35" s="8">
        <f t="shared" si="32"/>
        <v>2996.3526202586581</v>
      </c>
      <c r="BA35" s="8">
        <f t="shared" si="32"/>
        <v>3116.2067250690043</v>
      </c>
      <c r="BB35" s="8">
        <f t="shared" si="32"/>
        <v>3240.8549940717648</v>
      </c>
      <c r="BC35" s="8">
        <f t="shared" si="32"/>
        <v>3370.4891938346354</v>
      </c>
      <c r="BD35" s="8">
        <f t="shared" si="32"/>
        <v>3505.3087615880213</v>
      </c>
    </row>
    <row r="36" spans="2:256">
      <c r="B36" s="8" t="s">
        <v>38</v>
      </c>
      <c r="C36" s="4">
        <f t="shared" ref="C36:Z36" si="33">+SUM(C31:C35)</f>
        <v>5019.3999999999996</v>
      </c>
      <c r="D36" s="4">
        <f t="shared" si="33"/>
        <v>5177.3</v>
      </c>
      <c r="E36" s="4">
        <f t="shared" si="33"/>
        <v>5326.5999999999995</v>
      </c>
      <c r="F36" s="4">
        <f t="shared" si="33"/>
        <v>5389.5</v>
      </c>
      <c r="G36" s="4">
        <f t="shared" si="33"/>
        <v>5641.6</v>
      </c>
      <c r="H36" s="4">
        <f t="shared" si="33"/>
        <v>5467.5000000000009</v>
      </c>
      <c r="I36" s="4">
        <f t="shared" si="33"/>
        <v>5739.9999999999991</v>
      </c>
      <c r="J36" s="4">
        <f t="shared" si="33"/>
        <v>5743.8</v>
      </c>
      <c r="K36" s="4">
        <f t="shared" si="33"/>
        <v>5944.9</v>
      </c>
      <c r="L36" s="4">
        <f t="shared" si="33"/>
        <v>5576.9000000000005</v>
      </c>
      <c r="M36" s="4">
        <f t="shared" si="33"/>
        <v>4916.3</v>
      </c>
      <c r="N36" s="4">
        <f t="shared" si="33"/>
        <v>5561.9999999999991</v>
      </c>
      <c r="O36" s="4">
        <f t="shared" si="33"/>
        <v>5846.4000000000005</v>
      </c>
      <c r="P36" s="4">
        <f t="shared" si="33"/>
        <v>5734.5</v>
      </c>
      <c r="Q36" s="4">
        <f t="shared" si="33"/>
        <v>6093.4999999999991</v>
      </c>
      <c r="R36" s="4">
        <f t="shared" si="33"/>
        <v>6729</v>
      </c>
      <c r="S36" s="4">
        <f t="shared" si="33"/>
        <v>6920.4</v>
      </c>
      <c r="T36" s="4">
        <f t="shared" si="33"/>
        <v>6731.4</v>
      </c>
      <c r="U36" s="4">
        <f t="shared" si="33"/>
        <v>6894.7000000000007</v>
      </c>
      <c r="V36" s="4">
        <f t="shared" si="33"/>
        <v>7274.2</v>
      </c>
      <c r="W36" s="4">
        <f t="shared" si="33"/>
        <v>6920.4</v>
      </c>
      <c r="X36" s="4">
        <f t="shared" si="33"/>
        <v>7526.1999999999989</v>
      </c>
      <c r="Y36" s="4">
        <f t="shared" si="33"/>
        <v>7646.9999999999991</v>
      </c>
      <c r="Z36" s="4">
        <f t="shared" si="33"/>
        <v>8379.1</v>
      </c>
      <c r="AA36" s="4">
        <f t="shared" ref="AA36:AB36" si="34">+SUM(AA31:AA35)</f>
        <v>7995.8</v>
      </c>
      <c r="AB36" s="4">
        <f t="shared" si="34"/>
        <v>7532.0999999999995</v>
      </c>
      <c r="AC36" s="4"/>
      <c r="AD36" s="4"/>
      <c r="AJ36" s="8">
        <f t="shared" ref="AJ36:AO36" si="35">+SUM(AJ31:AJ35)</f>
        <v>12659.5</v>
      </c>
      <c r="AK36" s="8">
        <f t="shared" si="35"/>
        <v>13655.199999999999</v>
      </c>
      <c r="AL36" s="8">
        <f t="shared" si="35"/>
        <v>15811.6</v>
      </c>
      <c r="AM36" s="8">
        <f t="shared" si="35"/>
        <v>17462.2</v>
      </c>
      <c r="AN36" s="8">
        <f t="shared" si="35"/>
        <v>18490.000000000004</v>
      </c>
      <c r="AO36" s="8">
        <f t="shared" si="35"/>
        <v>20913.000000000004</v>
      </c>
      <c r="AP36" s="8">
        <f>+SUM(G36:J36)</f>
        <v>22592.9</v>
      </c>
      <c r="AQ36" s="8">
        <f>+SUM(K36:N36)</f>
        <v>22000.1</v>
      </c>
      <c r="AR36" s="8">
        <f>+SUM(O36:R36)</f>
        <v>24403.4</v>
      </c>
      <c r="AS36" s="8">
        <f t="shared" si="19"/>
        <v>27820.7</v>
      </c>
      <c r="AT36" s="8">
        <f t="shared" ref="AT36:BD36" si="36">+SUM(AT31:AT35)</f>
        <v>30472.7</v>
      </c>
      <c r="AU36" s="8">
        <f t="shared" si="36"/>
        <v>29366.268880000003</v>
      </c>
      <c r="AV36" s="8">
        <f t="shared" si="36"/>
        <v>30540.919635200007</v>
      </c>
      <c r="AW36" s="8">
        <f t="shared" si="36"/>
        <v>31762.556420608009</v>
      </c>
      <c r="AX36" s="8">
        <f t="shared" si="36"/>
        <v>33033.058677432331</v>
      </c>
      <c r="AY36" s="8">
        <f t="shared" si="36"/>
        <v>34354.381024529626</v>
      </c>
      <c r="AZ36" s="8">
        <f t="shared" si="36"/>
        <v>35728.556265510815</v>
      </c>
      <c r="BA36" s="8">
        <f t="shared" si="36"/>
        <v>37157.69851613124</v>
      </c>
      <c r="BB36" s="8">
        <f t="shared" si="36"/>
        <v>38644.0064567765</v>
      </c>
      <c r="BC36" s="8">
        <f t="shared" si="36"/>
        <v>40189.766715047561</v>
      </c>
      <c r="BD36" s="8">
        <f t="shared" si="36"/>
        <v>41797.357383649469</v>
      </c>
    </row>
    <row r="37" spans="2:256">
      <c r="B37" s="8" t="s">
        <v>22</v>
      </c>
      <c r="C37" s="4">
        <v>89.4</v>
      </c>
      <c r="D37" s="4">
        <v>52.7</v>
      </c>
      <c r="E37" s="4">
        <v>71.400000000000006</v>
      </c>
      <c r="F37" s="4">
        <v>87.7</v>
      </c>
      <c r="G37" s="4">
        <v>67.8</v>
      </c>
      <c r="H37" s="4">
        <v>62.3</v>
      </c>
      <c r="I37" s="4">
        <v>76</v>
      </c>
      <c r="J37" s="4">
        <v>91.9</v>
      </c>
      <c r="K37" s="4">
        <v>73.900000000000006</v>
      </c>
      <c r="L37" s="4">
        <v>67.900000000000006</v>
      </c>
      <c r="M37" s="4">
        <v>68.400000000000006</v>
      </c>
      <c r="N37" s="4">
        <v>112.2</v>
      </c>
      <c r="O37" s="4">
        <v>82.7</v>
      </c>
      <c r="P37" s="4">
        <v>77.099999999999994</v>
      </c>
      <c r="Q37" s="4">
        <v>105.5</v>
      </c>
      <c r="R37" s="4">
        <v>120</v>
      </c>
      <c r="S37" s="4">
        <v>40.299999999999997</v>
      </c>
      <c r="T37" s="4">
        <v>49.1</v>
      </c>
      <c r="U37" s="4">
        <v>54.1</v>
      </c>
      <c r="V37" s="4">
        <v>90.6</v>
      </c>
      <c r="W37" s="4">
        <v>40.299999999999997</v>
      </c>
      <c r="X37" s="4">
        <v>51.4</v>
      </c>
      <c r="Y37" s="8">
        <v>69.7</v>
      </c>
      <c r="Z37" s="8">
        <f t="shared" si="20"/>
        <v>137</v>
      </c>
      <c r="AA37" s="8">
        <v>55.9</v>
      </c>
      <c r="AB37" s="8">
        <v>68</v>
      </c>
      <c r="AJ37" s="8">
        <v>251.4</v>
      </c>
      <c r="AK37" s="8">
        <v>268.3</v>
      </c>
      <c r="AL37" s="8">
        <v>249.9</v>
      </c>
      <c r="AM37" s="8">
        <v>318.2</v>
      </c>
      <c r="AN37" s="8">
        <v>391.4</v>
      </c>
      <c r="AO37" s="8">
        <v>301.2</v>
      </c>
      <c r="AP37" s="8">
        <f>+SUM(G37:J37)</f>
        <v>298</v>
      </c>
      <c r="AQ37" s="8">
        <f>+SUM(K37:N37)</f>
        <v>322.40000000000003</v>
      </c>
      <c r="AR37" s="8">
        <f>+SUM(O37:R37)</f>
        <v>385.3</v>
      </c>
      <c r="AS37" s="8">
        <f t="shared" si="19"/>
        <v>234.1</v>
      </c>
      <c r="AT37" s="8">
        <v>298.39999999999998</v>
      </c>
      <c r="AU37" s="8">
        <f t="shared" ref="AU37:BD37" si="37">+AU30*(AT37/AT30)</f>
        <v>301.02592000000004</v>
      </c>
      <c r="AV37" s="8">
        <f t="shared" si="37"/>
        <v>313.06695680000001</v>
      </c>
      <c r="AW37" s="8">
        <f t="shared" si="37"/>
        <v>325.58963507200002</v>
      </c>
      <c r="AX37" s="8">
        <f t="shared" si="37"/>
        <v>338.61322047488005</v>
      </c>
      <c r="AY37" s="8">
        <f t="shared" si="37"/>
        <v>352.15774929387527</v>
      </c>
      <c r="AZ37" s="8">
        <f t="shared" si="37"/>
        <v>366.24405926563037</v>
      </c>
      <c r="BA37" s="8">
        <f t="shared" si="37"/>
        <v>380.89382163625555</v>
      </c>
      <c r="BB37" s="8">
        <f t="shared" si="37"/>
        <v>396.1295745017058</v>
      </c>
      <c r="BC37" s="8">
        <f t="shared" si="37"/>
        <v>411.97475748177408</v>
      </c>
      <c r="BD37" s="8">
        <f t="shared" si="37"/>
        <v>428.45374778104502</v>
      </c>
    </row>
    <row r="38" spans="2:256">
      <c r="B38" s="8" t="s">
        <v>147</v>
      </c>
      <c r="W38" s="4">
        <v>0</v>
      </c>
      <c r="X38" s="4">
        <v>91.3</v>
      </c>
      <c r="Y38" s="8">
        <v>0</v>
      </c>
      <c r="Z38" s="8">
        <f t="shared" si="20"/>
        <v>0</v>
      </c>
      <c r="AT38" s="8">
        <v>91.3</v>
      </c>
    </row>
    <row r="39" spans="2:256" s="9" customFormat="1">
      <c r="B39" s="9" t="s">
        <v>23</v>
      </c>
      <c r="C39" s="12">
        <f t="shared" ref="C39:V39" si="38">+C30-C36+C37</f>
        <v>1143.7000000000003</v>
      </c>
      <c r="D39" s="12">
        <f t="shared" si="38"/>
        <v>907.2</v>
      </c>
      <c r="E39" s="12">
        <f t="shared" si="38"/>
        <v>1055.1000000000008</v>
      </c>
      <c r="F39" s="12">
        <f t="shared" si="38"/>
        <v>1001.8000000000004</v>
      </c>
      <c r="G39" s="12">
        <f t="shared" si="38"/>
        <v>1058.9000000000003</v>
      </c>
      <c r="H39" s="12">
        <f t="shared" si="38"/>
        <v>900.69999999999868</v>
      </c>
      <c r="I39" s="12">
        <f t="shared" si="38"/>
        <v>1159.0000000000009</v>
      </c>
      <c r="J39" s="12">
        <f t="shared" si="38"/>
        <v>1095.0999999999999</v>
      </c>
      <c r="K39" s="12">
        <f t="shared" si="38"/>
        <v>1226.0999999999999</v>
      </c>
      <c r="L39" s="12">
        <f t="shared" si="38"/>
        <v>486.69999999999925</v>
      </c>
      <c r="M39" s="12">
        <f t="shared" si="38"/>
        <v>-625.79999999999984</v>
      </c>
      <c r="N39" s="12">
        <f t="shared" si="38"/>
        <v>753.30000000000132</v>
      </c>
      <c r="O39" s="12">
        <f t="shared" si="38"/>
        <v>985.7</v>
      </c>
      <c r="P39" s="12">
        <f t="shared" si="38"/>
        <v>1010.6</v>
      </c>
      <c r="Q39" s="12">
        <f t="shared" si="38"/>
        <v>1508.5000000000009</v>
      </c>
      <c r="R39" s="12">
        <f t="shared" si="38"/>
        <v>1537.6999999999998</v>
      </c>
      <c r="S39" s="12">
        <f t="shared" si="38"/>
        <v>1170.3</v>
      </c>
      <c r="T39" s="12">
        <f t="shared" si="38"/>
        <v>953.29999999999984</v>
      </c>
      <c r="U39" s="12">
        <f t="shared" si="38"/>
        <v>1309.4999999999995</v>
      </c>
      <c r="V39" s="12">
        <f t="shared" si="38"/>
        <v>1230.599999999999</v>
      </c>
      <c r="W39" s="12">
        <f>+W30-W36+W37+W38</f>
        <v>1170.3</v>
      </c>
      <c r="X39" s="12">
        <f>+X30-X36+X37+X38</f>
        <v>1336.3000000000004</v>
      </c>
      <c r="Y39" s="12">
        <f>+Y30-Y36+Y37+Y38</f>
        <v>1591.0000000000002</v>
      </c>
      <c r="Z39" s="12">
        <f>+Z30-Z36+Z37+Z38</f>
        <v>1794.9999999999982</v>
      </c>
      <c r="AA39" s="12">
        <f>+AA30-AA36+SUM(AA37:AA38)</f>
        <v>1485.3999999999992</v>
      </c>
      <c r="AB39" s="12">
        <f>+AB30-AB36+SUM(AB37:AB38)</f>
        <v>1098.9000000000005</v>
      </c>
      <c r="AC39" s="12"/>
      <c r="AD39" s="12"/>
      <c r="AJ39" s="9">
        <f t="shared" ref="AJ39:AO39" si="39">+AJ30-AJ36+AJ37</f>
        <v>2458.7000000000012</v>
      </c>
      <c r="AK39" s="9">
        <f t="shared" si="39"/>
        <v>3060.9000000000005</v>
      </c>
      <c r="AL39" s="9">
        <f t="shared" si="39"/>
        <v>3601.0000000000005</v>
      </c>
      <c r="AM39" s="9">
        <f t="shared" si="39"/>
        <v>4171.8999999999969</v>
      </c>
      <c r="AN39" s="9">
        <f t="shared" si="39"/>
        <v>4288.1999999999953</v>
      </c>
      <c r="AO39" s="9">
        <f t="shared" si="39"/>
        <v>4107.6999999999962</v>
      </c>
      <c r="AP39" s="9">
        <f>+SUM(G39:J39)</f>
        <v>4213.7</v>
      </c>
      <c r="AQ39" s="9">
        <f>+SUM(K39:N39)</f>
        <v>1840.3000000000009</v>
      </c>
      <c r="AR39" s="9">
        <f>+SUM(O39:R39)</f>
        <v>5042.5000000000009</v>
      </c>
      <c r="AS39" s="9">
        <f t="shared" ref="AS39:AS47" si="40">+SUM(S39:V39)</f>
        <v>4663.6999999999989</v>
      </c>
      <c r="AT39" s="9">
        <f>+AT30-AT36+AT37+AT38</f>
        <v>5892.5999999999976</v>
      </c>
      <c r="AU39" s="9">
        <f t="shared" ref="AU39:BD39" si="41">+AU30-AU36+AU37</f>
        <v>7226.9423200000019</v>
      </c>
      <c r="AV39" s="9">
        <f t="shared" si="41"/>
        <v>7516.0200127999988</v>
      </c>
      <c r="AW39" s="9">
        <f t="shared" si="41"/>
        <v>7816.6608133119962</v>
      </c>
      <c r="AX39" s="9">
        <f t="shared" si="41"/>
        <v>8129.3272458444781</v>
      </c>
      <c r="AY39" s="9">
        <f t="shared" si="41"/>
        <v>8454.5003356782563</v>
      </c>
      <c r="AZ39" s="9">
        <f t="shared" si="41"/>
        <v>8792.6803491053906</v>
      </c>
      <c r="BA39" s="9">
        <f t="shared" si="41"/>
        <v>9144.3875630696093</v>
      </c>
      <c r="BB39" s="9">
        <f t="shared" si="41"/>
        <v>9510.1630655923873</v>
      </c>
      <c r="BC39" s="9">
        <f t="shared" si="41"/>
        <v>9890.5695882160871</v>
      </c>
      <c r="BD39" s="9">
        <f t="shared" si="41"/>
        <v>10286.192371744728</v>
      </c>
    </row>
    <row r="40" spans="2:256">
      <c r="B40" s="8" t="s">
        <v>113</v>
      </c>
      <c r="C40" s="4">
        <v>1326.3</v>
      </c>
      <c r="D40" s="4">
        <v>47.6</v>
      </c>
      <c r="E40" s="4">
        <v>0</v>
      </c>
      <c r="F40" s="4">
        <v>0</v>
      </c>
      <c r="Z40" s="8">
        <f t="shared" si="20"/>
        <v>0</v>
      </c>
      <c r="AJ40" s="8">
        <v>0</v>
      </c>
      <c r="AK40" s="8">
        <v>0</v>
      </c>
      <c r="AL40" s="8">
        <v>390.6</v>
      </c>
      <c r="AM40" s="8">
        <v>0</v>
      </c>
      <c r="AN40" s="8">
        <v>0</v>
      </c>
      <c r="AO40" s="8">
        <v>1376.4</v>
      </c>
      <c r="AS40" s="8">
        <f t="shared" si="40"/>
        <v>0</v>
      </c>
    </row>
    <row r="41" spans="2:256">
      <c r="B41" s="8" t="s">
        <v>26</v>
      </c>
      <c r="C41" s="4">
        <v>88.2</v>
      </c>
      <c r="D41" s="4">
        <v>35.5</v>
      </c>
      <c r="E41" s="4">
        <v>31.5</v>
      </c>
      <c r="F41" s="4">
        <v>36.200000000000003</v>
      </c>
      <c r="G41" s="4">
        <v>24.8</v>
      </c>
      <c r="H41" s="4">
        <v>15.2</v>
      </c>
      <c r="I41" s="4">
        <v>40.200000000000003</v>
      </c>
      <c r="J41" s="4">
        <v>16.399999999999999</v>
      </c>
      <c r="K41" s="4">
        <v>15.9</v>
      </c>
      <c r="L41" s="4">
        <v>2</v>
      </c>
      <c r="M41" s="4">
        <v>12.7</v>
      </c>
      <c r="N41" s="4">
        <v>9.1</v>
      </c>
      <c r="O41" s="4">
        <v>15.5</v>
      </c>
      <c r="P41" s="4">
        <v>17.3</v>
      </c>
      <c r="Q41" s="4">
        <v>36</v>
      </c>
      <c r="R41" s="4">
        <v>21.5</v>
      </c>
      <c r="S41" s="4">
        <v>-0.1</v>
      </c>
      <c r="T41" s="4">
        <v>46.3</v>
      </c>
      <c r="U41" s="4">
        <v>19.8</v>
      </c>
      <c r="V41" s="4">
        <v>31</v>
      </c>
      <c r="W41" s="4">
        <v>-0.1</v>
      </c>
      <c r="X41" s="4">
        <v>18.399999999999999</v>
      </c>
      <c r="Y41" s="8">
        <v>21.3</v>
      </c>
      <c r="Z41" s="8">
        <f t="shared" si="20"/>
        <v>41.600000000000009</v>
      </c>
      <c r="AA41" s="8">
        <v>33.799999999999997</v>
      </c>
      <c r="AB41" s="8">
        <v>34.1</v>
      </c>
      <c r="AJ41" s="8">
        <v>123.6</v>
      </c>
      <c r="AK41" s="8">
        <v>142.69999999999999</v>
      </c>
      <c r="AL41" s="8">
        <v>43</v>
      </c>
      <c r="AM41" s="8">
        <v>108</v>
      </c>
      <c r="AN41" s="8">
        <v>181.8</v>
      </c>
      <c r="AO41" s="8">
        <v>191.4</v>
      </c>
      <c r="AP41" s="8">
        <f t="shared" ref="AP41:AP47" si="42">+SUM(G41:J41)</f>
        <v>96.6</v>
      </c>
      <c r="AQ41" s="8">
        <f t="shared" ref="AQ41:AQ47" si="43">+SUM(K41:N41)</f>
        <v>39.699999999999996</v>
      </c>
      <c r="AR41" s="8">
        <f t="shared" ref="AR41:AR47" si="44">+SUM(O41:R41)</f>
        <v>90.3</v>
      </c>
      <c r="AS41" s="8">
        <f t="shared" si="40"/>
        <v>97</v>
      </c>
      <c r="AT41" s="8">
        <v>81.2</v>
      </c>
      <c r="AU41" s="8">
        <f>+AU66*$BI$54</f>
        <v>147.7424</v>
      </c>
      <c r="AV41" s="8">
        <f t="shared" ref="AV41:BC41" si="45">+AV66*$BI$54</f>
        <v>153.652096</v>
      </c>
      <c r="AW41" s="8">
        <f t="shared" si="45"/>
        <v>159.79817984000002</v>
      </c>
      <c r="AX41" s="8">
        <f t="shared" si="45"/>
        <v>166.19010703360004</v>
      </c>
      <c r="AY41" s="8">
        <f t="shared" si="45"/>
        <v>172.83771131494402</v>
      </c>
      <c r="AZ41" s="8">
        <f t="shared" si="45"/>
        <v>179.75121976754181</v>
      </c>
      <c r="BA41" s="8">
        <f t="shared" si="45"/>
        <v>186.94126855824351</v>
      </c>
      <c r="BB41" s="8">
        <f t="shared" si="45"/>
        <v>194.41891930057326</v>
      </c>
      <c r="BC41" s="8">
        <f t="shared" si="45"/>
        <v>202.19567607259617</v>
      </c>
      <c r="BD41" s="8">
        <f t="shared" ref="BD41" si="46">+BD66*$BI$54</f>
        <v>210.28350311550003</v>
      </c>
    </row>
    <row r="42" spans="2:256">
      <c r="B42" s="8" t="s">
        <v>27</v>
      </c>
      <c r="C42" s="4">
        <v>-25.9</v>
      </c>
      <c r="D42" s="4">
        <v>-35.1</v>
      </c>
      <c r="E42" s="4">
        <v>-45.4</v>
      </c>
      <c r="F42" s="4">
        <v>-63.8</v>
      </c>
      <c r="G42" s="4">
        <v>-75</v>
      </c>
      <c r="H42" s="4">
        <v>-73.900000000000006</v>
      </c>
      <c r="I42" s="4">
        <v>-86.4</v>
      </c>
      <c r="J42" s="4">
        <v>-95.7</v>
      </c>
      <c r="K42" s="4">
        <v>-91.9</v>
      </c>
      <c r="L42" s="4">
        <v>-99.2</v>
      </c>
      <c r="M42" s="4">
        <v>-120.8</v>
      </c>
      <c r="N42" s="4">
        <v>-125</v>
      </c>
      <c r="O42" s="4">
        <v>-120.7</v>
      </c>
      <c r="P42" s="4">
        <v>-115</v>
      </c>
      <c r="Q42" s="4">
        <v>-113.4</v>
      </c>
      <c r="R42" s="4">
        <v>-120.6</v>
      </c>
      <c r="S42" s="4">
        <v>-115.3</v>
      </c>
      <c r="T42" s="4">
        <v>-119.1</v>
      </c>
      <c r="U42" s="4">
        <v>-123.1</v>
      </c>
      <c r="V42" s="4">
        <v>-125.3</v>
      </c>
      <c r="W42" s="4">
        <v>-115.3</v>
      </c>
      <c r="X42" s="4">
        <v>-136.30000000000001</v>
      </c>
      <c r="Y42" s="8">
        <v>-140.9</v>
      </c>
      <c r="Z42" s="8">
        <f t="shared" si="20"/>
        <v>-157.60000000000002</v>
      </c>
      <c r="AA42" s="8">
        <v>-140.1</v>
      </c>
      <c r="AB42" s="8">
        <v>-140.6</v>
      </c>
      <c r="AJ42" s="8">
        <v>-28.1</v>
      </c>
      <c r="AK42" s="8">
        <v>-64.099999999999994</v>
      </c>
      <c r="AL42" s="8">
        <v>-70.5</v>
      </c>
      <c r="AM42" s="8">
        <v>-81.3</v>
      </c>
      <c r="AN42" s="8">
        <v>-92.5</v>
      </c>
      <c r="AO42" s="8">
        <v>-170.3</v>
      </c>
      <c r="AP42" s="8">
        <f t="shared" si="42"/>
        <v>-331</v>
      </c>
      <c r="AQ42" s="8">
        <f t="shared" si="43"/>
        <v>-436.90000000000003</v>
      </c>
      <c r="AR42" s="8">
        <f t="shared" si="44"/>
        <v>-469.70000000000005</v>
      </c>
      <c r="AS42" s="8">
        <f t="shared" si="40"/>
        <v>-482.8</v>
      </c>
      <c r="AT42" s="8">
        <v>-550.1</v>
      </c>
      <c r="AU42" s="8">
        <f>-SUM(AT88,AT91)*$BI$55</f>
        <v>-779.48</v>
      </c>
      <c r="AV42" s="8">
        <f>-SUM(AU88,AU91)*$BI$55</f>
        <v>-740.50600000000009</v>
      </c>
      <c r="AW42" s="8">
        <f>-SUM(AV88,AV91)*$BI$55</f>
        <v>-703.48070000000007</v>
      </c>
      <c r="AX42" s="8">
        <f>-SUM(AW88,AW91)*$BI$55</f>
        <v>-668.30666500000007</v>
      </c>
      <c r="AY42" s="8">
        <f>-SUM(AX88,AX91)*$BI$55</f>
        <v>-634.89133174999995</v>
      </c>
      <c r="AZ42" s="8">
        <f>-SUM(AY88,AY91)*$BI$55</f>
        <v>-603.14676516249995</v>
      </c>
      <c r="BA42" s="8">
        <f>-SUM(AZ88,AZ91)*$BI$55</f>
        <v>-572.98942690437491</v>
      </c>
      <c r="BB42" s="8">
        <f>-SUM(BA88,BA91)*$BI$55</f>
        <v>-544.33995555915624</v>
      </c>
      <c r="BC42" s="8">
        <f>-SUM(BB88,BB91)*$BI$55</f>
        <v>-517.12295778119835</v>
      </c>
      <c r="BD42" s="8">
        <f>-SUM(BC88,BC91)*$BI$55</f>
        <v>-491.26680989213838</v>
      </c>
    </row>
    <row r="43" spans="2:256" s="9" customFormat="1">
      <c r="B43" s="9" t="s">
        <v>28</v>
      </c>
      <c r="C43" s="12">
        <f t="shared" ref="C43:AA43" si="47">+SUM(C39:C42)</f>
        <v>2532.2999999999997</v>
      </c>
      <c r="D43" s="12">
        <f t="shared" si="47"/>
        <v>955.2</v>
      </c>
      <c r="E43" s="12">
        <f t="shared" si="47"/>
        <v>1041.2000000000007</v>
      </c>
      <c r="F43" s="12">
        <f t="shared" si="47"/>
        <v>974.2000000000005</v>
      </c>
      <c r="G43" s="12">
        <f t="shared" si="47"/>
        <v>1008.7000000000003</v>
      </c>
      <c r="H43" s="12">
        <f t="shared" si="47"/>
        <v>841.99999999999875</v>
      </c>
      <c r="I43" s="12">
        <f t="shared" si="47"/>
        <v>1112.8000000000009</v>
      </c>
      <c r="J43" s="12">
        <f t="shared" si="47"/>
        <v>1015.8</v>
      </c>
      <c r="K43" s="12">
        <f t="shared" si="47"/>
        <v>1150.0999999999999</v>
      </c>
      <c r="L43" s="12">
        <f t="shared" si="47"/>
        <v>389.49999999999926</v>
      </c>
      <c r="M43" s="12">
        <f t="shared" si="47"/>
        <v>-733.89999999999975</v>
      </c>
      <c r="N43" s="12">
        <f t="shared" si="47"/>
        <v>637.40000000000134</v>
      </c>
      <c r="O43" s="12">
        <f t="shared" si="47"/>
        <v>880.5</v>
      </c>
      <c r="P43" s="12">
        <f t="shared" si="47"/>
        <v>912.90000000000009</v>
      </c>
      <c r="Q43" s="12">
        <f t="shared" si="47"/>
        <v>1431.1000000000008</v>
      </c>
      <c r="R43" s="12">
        <f t="shared" si="47"/>
        <v>1438.6</v>
      </c>
      <c r="S43" s="12">
        <f t="shared" si="47"/>
        <v>1054.9000000000001</v>
      </c>
      <c r="T43" s="12">
        <f t="shared" si="47"/>
        <v>880.49999999999977</v>
      </c>
      <c r="U43" s="12">
        <f t="shared" si="47"/>
        <v>1206.1999999999996</v>
      </c>
      <c r="V43" s="12">
        <f t="shared" si="47"/>
        <v>1136.299999999999</v>
      </c>
      <c r="W43" s="12">
        <f t="shared" si="47"/>
        <v>1054.9000000000001</v>
      </c>
      <c r="X43" s="12">
        <f t="shared" si="47"/>
        <v>1218.4000000000005</v>
      </c>
      <c r="Y43" s="12">
        <f t="shared" si="47"/>
        <v>1471.4</v>
      </c>
      <c r="Z43" s="12">
        <f t="shared" si="47"/>
        <v>1678.9999999999982</v>
      </c>
      <c r="AA43" s="12">
        <f>+SUM(AA39:AA42)</f>
        <v>1379.0999999999992</v>
      </c>
      <c r="AB43" s="12">
        <f>+SUM(AB39:AB42)</f>
        <v>992.40000000000043</v>
      </c>
      <c r="AC43" s="12"/>
      <c r="AD43" s="12"/>
      <c r="AJ43" s="9">
        <f t="shared" ref="AJ43:AO43" si="48">+SUM(AJ39:AJ42)</f>
        <v>2554.2000000000012</v>
      </c>
      <c r="AK43" s="9">
        <f t="shared" si="48"/>
        <v>3139.5000000000005</v>
      </c>
      <c r="AL43" s="9">
        <f t="shared" si="48"/>
        <v>3964.1000000000004</v>
      </c>
      <c r="AM43" s="9">
        <f t="shared" si="48"/>
        <v>4198.5999999999967</v>
      </c>
      <c r="AN43" s="9">
        <f t="shared" si="48"/>
        <v>4377.4999999999955</v>
      </c>
      <c r="AO43" s="9">
        <f t="shared" si="48"/>
        <v>5505.1999999999962</v>
      </c>
      <c r="AP43" s="9">
        <f t="shared" si="42"/>
        <v>3979.3</v>
      </c>
      <c r="AQ43" s="9">
        <f t="shared" si="43"/>
        <v>1443.1000000000008</v>
      </c>
      <c r="AR43" s="9">
        <f t="shared" si="44"/>
        <v>4663.1000000000004</v>
      </c>
      <c r="AS43" s="9">
        <f t="shared" si="40"/>
        <v>4277.8999999999987</v>
      </c>
      <c r="AT43" s="9">
        <f t="shared" ref="AT43:BD43" si="49">+SUM(AT39:AT42)</f>
        <v>5423.6999999999971</v>
      </c>
      <c r="AU43" s="9">
        <f t="shared" si="49"/>
        <v>6595.2047200000015</v>
      </c>
      <c r="AV43" s="9">
        <f t="shared" si="49"/>
        <v>6929.1661087999983</v>
      </c>
      <c r="AW43" s="9">
        <f t="shared" si="49"/>
        <v>7272.9782931519958</v>
      </c>
      <c r="AX43" s="9">
        <f t="shared" si="49"/>
        <v>7627.2106878780778</v>
      </c>
      <c r="AY43" s="9">
        <f t="shared" si="49"/>
        <v>7992.4467152431998</v>
      </c>
      <c r="AZ43" s="9">
        <f t="shared" si="49"/>
        <v>8369.2848037104322</v>
      </c>
      <c r="BA43" s="9">
        <f t="shared" si="49"/>
        <v>8758.3394047234779</v>
      </c>
      <c r="BB43" s="9">
        <f t="shared" si="49"/>
        <v>9160.2420293338037</v>
      </c>
      <c r="BC43" s="9">
        <f t="shared" si="49"/>
        <v>9575.642306507485</v>
      </c>
      <c r="BD43" s="9">
        <f t="shared" si="49"/>
        <v>10005.20906496809</v>
      </c>
    </row>
    <row r="44" spans="2:256">
      <c r="B44" s="8" t="s">
        <v>29</v>
      </c>
      <c r="C44" s="4">
        <v>755.8</v>
      </c>
      <c r="D44" s="4">
        <v>155.80000000000001</v>
      </c>
      <c r="E44" s="4">
        <v>174.8</v>
      </c>
      <c r="F44" s="4">
        <v>175.5</v>
      </c>
      <c r="G44" s="4">
        <v>205.1</v>
      </c>
      <c r="H44" s="4">
        <v>161.19999999999999</v>
      </c>
      <c r="I44" s="4">
        <v>303.7</v>
      </c>
      <c r="J44" s="4">
        <v>201.5</v>
      </c>
      <c r="K44" s="4">
        <v>258.5</v>
      </c>
      <c r="L44" s="4">
        <v>65.400000000000006</v>
      </c>
      <c r="M44" s="4">
        <v>-133.9</v>
      </c>
      <c r="N44" s="4">
        <v>49.7</v>
      </c>
      <c r="O44" s="4">
        <v>186.1</v>
      </c>
      <c r="P44" s="4">
        <v>230.5</v>
      </c>
      <c r="Q44" s="4">
        <v>257.10000000000002</v>
      </c>
      <c r="R44" s="4">
        <v>483</v>
      </c>
      <c r="S44" s="4">
        <v>246.3</v>
      </c>
      <c r="T44" s="4">
        <v>201.1</v>
      </c>
      <c r="U44" s="4">
        <v>278.5</v>
      </c>
      <c r="V44" s="4">
        <v>222.7</v>
      </c>
      <c r="W44" s="4">
        <v>246.3</v>
      </c>
      <c r="X44" s="4">
        <v>301.3</v>
      </c>
      <c r="Y44" s="8">
        <v>322.39999999999998</v>
      </c>
      <c r="Z44" s="8">
        <f t="shared" si="20"/>
        <v>407.20000000000005</v>
      </c>
      <c r="AA44" s="8">
        <v>354.7</v>
      </c>
      <c r="AB44" s="8">
        <v>219.9</v>
      </c>
      <c r="AJ44" s="8">
        <v>-238.7</v>
      </c>
      <c r="AK44" s="8">
        <v>1092</v>
      </c>
      <c r="AL44" s="8">
        <v>1143.7</v>
      </c>
      <c r="AM44" s="8">
        <v>1379.7</v>
      </c>
      <c r="AN44" s="8">
        <v>1432.6</v>
      </c>
      <c r="AO44" s="8">
        <v>1262</v>
      </c>
      <c r="AP44" s="8">
        <f t="shared" si="42"/>
        <v>871.5</v>
      </c>
      <c r="AQ44" s="8">
        <f t="shared" si="43"/>
        <v>239.7</v>
      </c>
      <c r="AR44" s="8">
        <f t="shared" si="44"/>
        <v>1156.7</v>
      </c>
      <c r="AS44" s="8">
        <f t="shared" si="40"/>
        <v>948.59999999999991</v>
      </c>
      <c r="AT44" s="8">
        <v>1277.2</v>
      </c>
      <c r="AU44" s="8">
        <f t="shared" ref="AU44:BD44" si="50">+AU43*(AT44/AT43)</f>
        <v>1553.0717901771866</v>
      </c>
      <c r="AV44" s="8">
        <f t="shared" si="50"/>
        <v>1631.7146881574133</v>
      </c>
      <c r="AW44" s="8">
        <f t="shared" si="50"/>
        <v>1712.6773007381923</v>
      </c>
      <c r="AX44" s="8">
        <f t="shared" si="50"/>
        <v>1796.0937165694795</v>
      </c>
      <c r="AY44" s="8">
        <f t="shared" si="50"/>
        <v>1882.1013228439294</v>
      </c>
      <c r="AZ44" s="8">
        <f t="shared" si="50"/>
        <v>1970.841040488775</v>
      </c>
      <c r="BA44" s="8">
        <f t="shared" si="50"/>
        <v>2062.4575636028599</v>
      </c>
      <c r="BB44" s="8">
        <f t="shared" si="50"/>
        <v>2157.099603566779</v>
      </c>
      <c r="BC44" s="8">
        <f t="shared" si="50"/>
        <v>2254.9201382582673</v>
      </c>
      <c r="BD44" s="8">
        <f t="shared" si="50"/>
        <v>2356.0766668099727</v>
      </c>
    </row>
    <row r="45" spans="2:256">
      <c r="B45" s="8" t="s">
        <v>24</v>
      </c>
      <c r="C45" s="4">
        <f t="shared" ref="C45" si="51">+C43-C44</f>
        <v>1776.4999999999998</v>
      </c>
      <c r="D45" s="4">
        <f t="shared" ref="D45" si="52">+D43-D44</f>
        <v>799.40000000000009</v>
      </c>
      <c r="E45" s="4">
        <f t="shared" ref="E45" si="53">+E43-E44</f>
        <v>866.40000000000077</v>
      </c>
      <c r="F45" s="4">
        <f t="shared" ref="F45:S45" si="54">+F43-F44</f>
        <v>798.7000000000005</v>
      </c>
      <c r="G45" s="4">
        <f t="shared" si="54"/>
        <v>803.60000000000025</v>
      </c>
      <c r="H45" s="4">
        <f t="shared" si="54"/>
        <v>680.79999999999882</v>
      </c>
      <c r="I45" s="4">
        <f t="shared" si="54"/>
        <v>809.10000000000082</v>
      </c>
      <c r="J45" s="4">
        <f t="shared" si="54"/>
        <v>814.3</v>
      </c>
      <c r="K45" s="4">
        <f t="shared" si="54"/>
        <v>891.59999999999991</v>
      </c>
      <c r="L45" s="4">
        <f t="shared" si="54"/>
        <v>324.09999999999923</v>
      </c>
      <c r="M45" s="4">
        <f t="shared" si="54"/>
        <v>-599.99999999999977</v>
      </c>
      <c r="N45" s="4">
        <f t="shared" si="54"/>
        <v>587.7000000000013</v>
      </c>
      <c r="O45" s="4">
        <f t="shared" si="54"/>
        <v>694.4</v>
      </c>
      <c r="P45" s="4">
        <f t="shared" si="54"/>
        <v>682.40000000000009</v>
      </c>
      <c r="Q45" s="4">
        <f t="shared" si="54"/>
        <v>1174.0000000000009</v>
      </c>
      <c r="R45" s="4">
        <f t="shared" si="54"/>
        <v>955.59999999999991</v>
      </c>
      <c r="S45" s="4">
        <f t="shared" si="54"/>
        <v>808.60000000000014</v>
      </c>
      <c r="T45" s="4">
        <f t="shared" ref="T45:V45" si="55">+T43-T44</f>
        <v>679.39999999999975</v>
      </c>
      <c r="U45" s="4">
        <f t="shared" ref="U45" si="56">+U43-U44</f>
        <v>927.69999999999959</v>
      </c>
      <c r="V45" s="4">
        <f t="shared" si="55"/>
        <v>913.599999999999</v>
      </c>
      <c r="W45" s="4">
        <f t="shared" ref="W45:AA45" si="57">+W43-W44</f>
        <v>808.60000000000014</v>
      </c>
      <c r="X45" s="4">
        <f t="shared" si="57"/>
        <v>917.10000000000059</v>
      </c>
      <c r="Y45" s="4">
        <f t="shared" si="57"/>
        <v>1149</v>
      </c>
      <c r="Z45" s="4">
        <f t="shared" si="57"/>
        <v>1271.7999999999981</v>
      </c>
      <c r="AA45" s="4">
        <f>+AA43-AA44</f>
        <v>1024.3999999999992</v>
      </c>
      <c r="AB45" s="4">
        <f>+AB43-AB44</f>
        <v>772.50000000000045</v>
      </c>
      <c r="AC45" s="4"/>
      <c r="AD45" s="4"/>
      <c r="AJ45" s="8">
        <f t="shared" ref="AJ45:AO45" si="58">+AJ43-AJ44</f>
        <v>2792.900000000001</v>
      </c>
      <c r="AK45" s="8">
        <f t="shared" si="58"/>
        <v>2047.5000000000005</v>
      </c>
      <c r="AL45" s="8">
        <f t="shared" si="58"/>
        <v>2820.4000000000005</v>
      </c>
      <c r="AM45" s="8">
        <f t="shared" si="58"/>
        <v>2818.8999999999969</v>
      </c>
      <c r="AN45" s="8">
        <f t="shared" si="58"/>
        <v>2944.8999999999955</v>
      </c>
      <c r="AO45" s="8">
        <f t="shared" si="58"/>
        <v>4243.1999999999962</v>
      </c>
      <c r="AP45" s="8">
        <f t="shared" si="42"/>
        <v>3107.8</v>
      </c>
      <c r="AQ45" s="8">
        <f t="shared" si="43"/>
        <v>1203.4000000000005</v>
      </c>
      <c r="AR45" s="8">
        <f t="shared" si="44"/>
        <v>3506.400000000001</v>
      </c>
      <c r="AS45" s="8">
        <f t="shared" si="40"/>
        <v>3329.2999999999988</v>
      </c>
      <c r="AT45" s="8">
        <f>+AT43-AT44</f>
        <v>4146.4999999999973</v>
      </c>
      <c r="AU45" s="8">
        <f t="shared" ref="AU45:BB45" si="59">+AU43-AU44</f>
        <v>5042.1329298228147</v>
      </c>
      <c r="AV45" s="8">
        <f t="shared" si="59"/>
        <v>5297.4514206425847</v>
      </c>
      <c r="AW45" s="8">
        <f t="shared" si="59"/>
        <v>5560.3009924138032</v>
      </c>
      <c r="AX45" s="8">
        <f t="shared" si="59"/>
        <v>5831.1169713085983</v>
      </c>
      <c r="AY45" s="8">
        <f t="shared" si="59"/>
        <v>6110.3453923992702</v>
      </c>
      <c r="AZ45" s="8">
        <f t="shared" si="59"/>
        <v>6398.4437632216577</v>
      </c>
      <c r="BA45" s="8">
        <f t="shared" si="59"/>
        <v>6695.8818411206175</v>
      </c>
      <c r="BB45" s="8">
        <f t="shared" si="59"/>
        <v>7003.1424257670242</v>
      </c>
      <c r="BC45" s="8">
        <f t="shared" ref="BC45:BD45" si="60">+BC43-BC44</f>
        <v>7320.7221682492182</v>
      </c>
      <c r="BD45" s="8">
        <f t="shared" si="60"/>
        <v>7649.1323981581172</v>
      </c>
    </row>
    <row r="46" spans="2:256">
      <c r="B46" s="18" t="s">
        <v>30</v>
      </c>
      <c r="C46" s="4">
        <v>-0.1</v>
      </c>
      <c r="D46" s="4">
        <v>-0.3</v>
      </c>
      <c r="E46" s="19">
        <v>-0.5</v>
      </c>
      <c r="F46" s="19">
        <v>0.6</v>
      </c>
      <c r="G46" s="4">
        <v>-0.2</v>
      </c>
      <c r="H46" s="4">
        <v>-4.4000000000000004</v>
      </c>
      <c r="I46" s="4">
        <v>0.4</v>
      </c>
      <c r="J46" s="4">
        <v>-0.4</v>
      </c>
      <c r="K46" s="4">
        <v>-0.4</v>
      </c>
      <c r="L46" s="4">
        <v>-3.6</v>
      </c>
      <c r="M46" s="4">
        <v>0.3</v>
      </c>
      <c r="N46" s="4">
        <v>0.1</v>
      </c>
      <c r="O46" s="4">
        <v>0</v>
      </c>
      <c r="P46" s="4">
        <v>0</v>
      </c>
      <c r="Q46" s="4">
        <v>0.8</v>
      </c>
      <c r="R46" s="4">
        <v>0.2</v>
      </c>
      <c r="S46" s="4">
        <v>0</v>
      </c>
      <c r="T46" s="4">
        <v>0.5</v>
      </c>
      <c r="U46" s="4">
        <v>0.8</v>
      </c>
      <c r="V46" s="4">
        <v>0.2</v>
      </c>
      <c r="W46" s="4">
        <v>0.2</v>
      </c>
      <c r="X46" s="4">
        <v>0</v>
      </c>
      <c r="Y46" s="8">
        <v>0.2</v>
      </c>
      <c r="Z46" s="8">
        <f t="shared" si="20"/>
        <v>-0.2</v>
      </c>
      <c r="AJ46" s="8">
        <v>0.5</v>
      </c>
      <c r="AK46" s="8">
        <v>0.4</v>
      </c>
      <c r="AL46" s="8">
        <v>1.9</v>
      </c>
      <c r="AM46" s="8">
        <v>1.2</v>
      </c>
      <c r="AN46" s="8">
        <v>0.2</v>
      </c>
      <c r="AO46" s="8">
        <v>-0.3</v>
      </c>
      <c r="AP46" s="8">
        <f t="shared" si="42"/>
        <v>-4.6000000000000005</v>
      </c>
      <c r="AQ46" s="8">
        <f t="shared" si="43"/>
        <v>-3.6</v>
      </c>
      <c r="AR46" s="8">
        <f t="shared" si="44"/>
        <v>1</v>
      </c>
      <c r="AS46" s="8">
        <f t="shared" si="40"/>
        <v>1.5</v>
      </c>
      <c r="AT46" s="8">
        <v>0.2</v>
      </c>
    </row>
    <row r="47" spans="2:256" s="9" customFormat="1">
      <c r="B47" s="9" t="s">
        <v>24</v>
      </c>
      <c r="C47" s="12">
        <f t="shared" ref="C47:AA47" si="61">+C45-C46</f>
        <v>1776.5999999999997</v>
      </c>
      <c r="D47" s="12">
        <f t="shared" si="61"/>
        <v>799.7</v>
      </c>
      <c r="E47" s="12">
        <f t="shared" si="61"/>
        <v>866.90000000000077</v>
      </c>
      <c r="F47" s="12">
        <f t="shared" si="61"/>
        <v>798.10000000000048</v>
      </c>
      <c r="G47" s="12">
        <f t="shared" si="61"/>
        <v>803.8000000000003</v>
      </c>
      <c r="H47" s="12">
        <f t="shared" si="61"/>
        <v>685.19999999999879</v>
      </c>
      <c r="I47" s="12">
        <f t="shared" si="61"/>
        <v>808.70000000000084</v>
      </c>
      <c r="J47" s="12">
        <f t="shared" si="61"/>
        <v>814.69999999999993</v>
      </c>
      <c r="K47" s="12">
        <f t="shared" si="61"/>
        <v>891.99999999999989</v>
      </c>
      <c r="L47" s="12">
        <f t="shared" si="61"/>
        <v>327.69999999999925</v>
      </c>
      <c r="M47" s="12">
        <f t="shared" si="61"/>
        <v>-600.29999999999973</v>
      </c>
      <c r="N47" s="12">
        <f t="shared" si="61"/>
        <v>587.60000000000127</v>
      </c>
      <c r="O47" s="12">
        <f t="shared" si="61"/>
        <v>694.4</v>
      </c>
      <c r="P47" s="12">
        <f t="shared" si="61"/>
        <v>682.40000000000009</v>
      </c>
      <c r="Q47" s="12">
        <f t="shared" si="61"/>
        <v>1173.200000000001</v>
      </c>
      <c r="R47" s="12">
        <f t="shared" si="61"/>
        <v>955.39999999999986</v>
      </c>
      <c r="S47" s="12">
        <f t="shared" si="61"/>
        <v>808.60000000000014</v>
      </c>
      <c r="T47" s="12">
        <f t="shared" si="61"/>
        <v>678.89999999999975</v>
      </c>
      <c r="U47" s="12">
        <f t="shared" si="61"/>
        <v>926.89999999999964</v>
      </c>
      <c r="V47" s="12">
        <f t="shared" si="61"/>
        <v>913.39999999999895</v>
      </c>
      <c r="W47" s="12">
        <f t="shared" si="61"/>
        <v>808.40000000000009</v>
      </c>
      <c r="X47" s="12">
        <f t="shared" si="61"/>
        <v>917.10000000000059</v>
      </c>
      <c r="Y47" s="12">
        <f t="shared" si="61"/>
        <v>1148.8</v>
      </c>
      <c r="Z47" s="12">
        <f t="shared" si="61"/>
        <v>1271.9999999999982</v>
      </c>
      <c r="AA47" s="12">
        <f>+AA45-AA46</f>
        <v>1024.3999999999992</v>
      </c>
      <c r="AB47" s="12">
        <f>+AB45-AB46</f>
        <v>772.50000000000045</v>
      </c>
      <c r="AC47" s="12"/>
      <c r="AD47" s="12"/>
      <c r="AJ47" s="9">
        <f t="shared" ref="AJ47:AO47" si="62">+AJ45+AJ46</f>
        <v>2793.400000000001</v>
      </c>
      <c r="AK47" s="9">
        <f t="shared" si="62"/>
        <v>2047.9000000000005</v>
      </c>
      <c r="AL47" s="9">
        <f t="shared" si="62"/>
        <v>2822.3000000000006</v>
      </c>
      <c r="AM47" s="9">
        <f t="shared" si="62"/>
        <v>2820.0999999999967</v>
      </c>
      <c r="AN47" s="9">
        <f t="shared" si="62"/>
        <v>2945.0999999999954</v>
      </c>
      <c r="AO47" s="9">
        <f t="shared" si="62"/>
        <v>4242.899999999996</v>
      </c>
      <c r="AP47" s="9">
        <f t="shared" si="42"/>
        <v>3112.3999999999996</v>
      </c>
      <c r="AQ47" s="9">
        <f t="shared" si="43"/>
        <v>1207.0000000000007</v>
      </c>
      <c r="AR47" s="9">
        <f t="shared" si="44"/>
        <v>3505.4000000000005</v>
      </c>
      <c r="AS47" s="9">
        <f t="shared" si="40"/>
        <v>3327.7999999999984</v>
      </c>
      <c r="AT47" s="9">
        <f t="shared" ref="AT47:BD47" si="63">+AT45-AT46</f>
        <v>4146.2999999999975</v>
      </c>
      <c r="AU47" s="9">
        <f t="shared" si="63"/>
        <v>5042.1329298228147</v>
      </c>
      <c r="AV47" s="9">
        <f t="shared" si="63"/>
        <v>5297.4514206425847</v>
      </c>
      <c r="AW47" s="9">
        <f t="shared" si="63"/>
        <v>5560.3009924138032</v>
      </c>
      <c r="AX47" s="9">
        <f t="shared" si="63"/>
        <v>5831.1169713085983</v>
      </c>
      <c r="AY47" s="9">
        <f t="shared" si="63"/>
        <v>6110.3453923992702</v>
      </c>
      <c r="AZ47" s="9">
        <f t="shared" si="63"/>
        <v>6398.4437632216577</v>
      </c>
      <c r="BA47" s="9">
        <f t="shared" si="63"/>
        <v>6695.8818411206175</v>
      </c>
      <c r="BB47" s="9">
        <f t="shared" si="63"/>
        <v>7003.1424257670242</v>
      </c>
      <c r="BC47" s="9">
        <f t="shared" si="63"/>
        <v>7320.7221682492182</v>
      </c>
      <c r="BD47" s="9">
        <f t="shared" si="63"/>
        <v>7649.1323981581172</v>
      </c>
      <c r="BE47" s="9">
        <f t="shared" ref="BE47:CJ47" si="64">+BD47*(1+$BI$56)</f>
        <v>7725.6237221396987</v>
      </c>
      <c r="BF47" s="9">
        <f t="shared" si="64"/>
        <v>7802.8799593610956</v>
      </c>
      <c r="BG47" s="9">
        <f t="shared" si="64"/>
        <v>7880.9087589547071</v>
      </c>
      <c r="BH47" s="9">
        <f t="shared" si="64"/>
        <v>7959.7178465442539</v>
      </c>
      <c r="BI47" s="9">
        <f t="shared" si="64"/>
        <v>8039.3150250096969</v>
      </c>
      <c r="BJ47" s="9">
        <f t="shared" si="64"/>
        <v>8119.7081752597942</v>
      </c>
      <c r="BK47" s="9">
        <f t="shared" si="64"/>
        <v>8200.9052570123913</v>
      </c>
      <c r="BL47" s="9">
        <f t="shared" si="64"/>
        <v>8282.9143095825148</v>
      </c>
      <c r="BM47" s="9">
        <f t="shared" si="64"/>
        <v>8365.74345267834</v>
      </c>
      <c r="BN47" s="9">
        <f t="shared" si="64"/>
        <v>8449.4008872051236</v>
      </c>
      <c r="BO47" s="9">
        <f t="shared" si="64"/>
        <v>8533.8948960771741</v>
      </c>
      <c r="BP47" s="9">
        <f t="shared" si="64"/>
        <v>8619.2338450379466</v>
      </c>
      <c r="BQ47" s="9">
        <f t="shared" si="64"/>
        <v>8705.4261834883255</v>
      </c>
      <c r="BR47" s="9">
        <f t="shared" si="64"/>
        <v>8792.4804453232082</v>
      </c>
      <c r="BS47" s="9">
        <f t="shared" si="64"/>
        <v>8880.4052497764405</v>
      </c>
      <c r="BT47" s="9">
        <f t="shared" si="64"/>
        <v>8969.2093022742047</v>
      </c>
      <c r="BU47" s="9">
        <f t="shared" si="64"/>
        <v>9058.9013952969472</v>
      </c>
      <c r="BV47" s="9">
        <f t="shared" si="64"/>
        <v>9149.4904092499164</v>
      </c>
      <c r="BW47" s="9">
        <f t="shared" si="64"/>
        <v>9240.9853133424149</v>
      </c>
      <c r="BX47" s="9">
        <f t="shared" si="64"/>
        <v>9333.3951664758388</v>
      </c>
      <c r="BY47" s="9">
        <f t="shared" si="64"/>
        <v>9426.7291181405981</v>
      </c>
      <c r="BZ47" s="9">
        <f t="shared" si="64"/>
        <v>9520.9964093220042</v>
      </c>
      <c r="CA47" s="9">
        <f t="shared" si="64"/>
        <v>9616.2063734152234</v>
      </c>
      <c r="CB47" s="9">
        <f t="shared" si="64"/>
        <v>9712.3684371493764</v>
      </c>
      <c r="CC47" s="9">
        <f t="shared" si="64"/>
        <v>9809.4921215208706</v>
      </c>
      <c r="CD47" s="9">
        <f t="shared" si="64"/>
        <v>9907.5870427360787</v>
      </c>
      <c r="CE47" s="9">
        <f t="shared" si="64"/>
        <v>10006.66291316344</v>
      </c>
      <c r="CF47" s="9">
        <f t="shared" si="64"/>
        <v>10106.729542295074</v>
      </c>
      <c r="CG47" s="9">
        <f t="shared" si="64"/>
        <v>10207.796837718024</v>
      </c>
      <c r="CH47" s="9">
        <f t="shared" si="64"/>
        <v>10309.874806095204</v>
      </c>
      <c r="CI47" s="9">
        <f t="shared" si="64"/>
        <v>10412.973554156157</v>
      </c>
      <c r="CJ47" s="9">
        <f t="shared" si="64"/>
        <v>10517.103289697718</v>
      </c>
      <c r="CK47" s="9">
        <f t="shared" ref="CK47:DP47" si="65">+CJ47*(1+$BI$56)</f>
        <v>10622.274322594694</v>
      </c>
      <c r="CL47" s="9">
        <f t="shared" si="65"/>
        <v>10728.497065820642</v>
      </c>
      <c r="CM47" s="9">
        <f t="shared" si="65"/>
        <v>10835.782036478849</v>
      </c>
      <c r="CN47" s="9">
        <f t="shared" si="65"/>
        <v>10944.139856843638</v>
      </c>
      <c r="CO47" s="9">
        <f t="shared" si="65"/>
        <v>11053.581255412075</v>
      </c>
      <c r="CP47" s="9">
        <f t="shared" si="65"/>
        <v>11164.117067966195</v>
      </c>
      <c r="CQ47" s="9">
        <f t="shared" si="65"/>
        <v>11275.758238645858</v>
      </c>
      <c r="CR47" s="9">
        <f t="shared" si="65"/>
        <v>11388.515821032317</v>
      </c>
      <c r="CS47" s="9">
        <f t="shared" si="65"/>
        <v>11502.40097924264</v>
      </c>
      <c r="CT47" s="9">
        <f t="shared" si="65"/>
        <v>11617.424989035067</v>
      </c>
      <c r="CU47" s="9">
        <f t="shared" si="65"/>
        <v>11733.599238925419</v>
      </c>
      <c r="CV47" s="9">
        <f t="shared" si="65"/>
        <v>11850.935231314674</v>
      </c>
      <c r="CW47" s="9">
        <f t="shared" si="65"/>
        <v>11969.444583627821</v>
      </c>
      <c r="CX47" s="9">
        <f t="shared" si="65"/>
        <v>12089.139029464099</v>
      </c>
      <c r="CY47" s="9">
        <f t="shared" si="65"/>
        <v>12210.030419758739</v>
      </c>
      <c r="CZ47" s="9">
        <f t="shared" si="65"/>
        <v>12332.130723956327</v>
      </c>
      <c r="DA47" s="9">
        <f t="shared" si="65"/>
        <v>12455.45203119589</v>
      </c>
      <c r="DB47" s="9">
        <f t="shared" si="65"/>
        <v>12580.006551507848</v>
      </c>
      <c r="DC47" s="9">
        <f t="shared" si="65"/>
        <v>12705.806617022927</v>
      </c>
      <c r="DD47" s="9">
        <f t="shared" si="65"/>
        <v>12832.864683193156</v>
      </c>
      <c r="DE47" s="9">
        <f t="shared" si="65"/>
        <v>12961.193330025088</v>
      </c>
      <c r="DF47" s="9">
        <f t="shared" si="65"/>
        <v>13090.805263325339</v>
      </c>
      <c r="DG47" s="9">
        <f t="shared" si="65"/>
        <v>13221.713315958592</v>
      </c>
      <c r="DH47" s="9">
        <f t="shared" si="65"/>
        <v>13353.930449118177</v>
      </c>
      <c r="DI47" s="9">
        <f t="shared" si="65"/>
        <v>13487.469753609359</v>
      </c>
      <c r="DJ47" s="9">
        <f t="shared" si="65"/>
        <v>13622.344451145453</v>
      </c>
      <c r="DK47" s="9">
        <f t="shared" si="65"/>
        <v>13758.567895656908</v>
      </c>
      <c r="DL47" s="9">
        <f t="shared" si="65"/>
        <v>13896.153574613478</v>
      </c>
      <c r="DM47" s="9">
        <f t="shared" si="65"/>
        <v>14035.115110359613</v>
      </c>
      <c r="DN47" s="9">
        <f t="shared" si="65"/>
        <v>14175.466261463209</v>
      </c>
      <c r="DO47" s="9">
        <f t="shared" si="65"/>
        <v>14317.220924077841</v>
      </c>
      <c r="DP47" s="9">
        <f t="shared" si="65"/>
        <v>14460.393133318619</v>
      </c>
      <c r="DQ47" s="9">
        <f t="shared" ref="DQ47:EV47" si="66">+DP47*(1+$BI$56)</f>
        <v>14604.997064651805</v>
      </c>
      <c r="DR47" s="9">
        <f t="shared" si="66"/>
        <v>14751.047035298323</v>
      </c>
      <c r="DS47" s="9">
        <f t="shared" si="66"/>
        <v>14898.557505651306</v>
      </c>
      <c r="DT47" s="9">
        <f t="shared" si="66"/>
        <v>15047.543080707819</v>
      </c>
      <c r="DU47" s="9">
        <f t="shared" si="66"/>
        <v>15198.018511514898</v>
      </c>
      <c r="DV47" s="9">
        <f t="shared" si="66"/>
        <v>15349.998696630048</v>
      </c>
      <c r="DW47" s="9">
        <f t="shared" si="66"/>
        <v>15503.498683596348</v>
      </c>
      <c r="DX47" s="9">
        <f t="shared" si="66"/>
        <v>15658.533670432313</v>
      </c>
      <c r="DY47" s="9">
        <f t="shared" si="66"/>
        <v>15815.119007136636</v>
      </c>
      <c r="DZ47" s="9">
        <f t="shared" si="66"/>
        <v>15973.270197208003</v>
      </c>
      <c r="EA47" s="9">
        <f t="shared" si="66"/>
        <v>16133.002899180083</v>
      </c>
      <c r="EB47" s="9">
        <f t="shared" si="66"/>
        <v>16294.332928171883</v>
      </c>
      <c r="EC47" s="9">
        <f t="shared" si="66"/>
        <v>16457.276257453603</v>
      </c>
      <c r="ED47" s="9">
        <f t="shared" si="66"/>
        <v>16621.849020028138</v>
      </c>
      <c r="EE47" s="9">
        <f t="shared" si="66"/>
        <v>16788.067510228419</v>
      </c>
      <c r="EF47" s="9">
        <f t="shared" si="66"/>
        <v>16955.948185330704</v>
      </c>
      <c r="EG47" s="9">
        <f t="shared" si="66"/>
        <v>17125.507667184011</v>
      </c>
      <c r="EH47" s="9">
        <f t="shared" si="66"/>
        <v>17296.762743855852</v>
      </c>
      <c r="EI47" s="9">
        <f t="shared" si="66"/>
        <v>17469.730371294412</v>
      </c>
      <c r="EJ47" s="9">
        <f t="shared" si="66"/>
        <v>17644.427675007355</v>
      </c>
      <c r="EK47" s="9">
        <f t="shared" si="66"/>
        <v>17820.871951757428</v>
      </c>
      <c r="EL47" s="9">
        <f t="shared" si="66"/>
        <v>17999.080671275002</v>
      </c>
      <c r="EM47" s="9">
        <f t="shared" si="66"/>
        <v>18179.071477987753</v>
      </c>
      <c r="EN47" s="9">
        <f t="shared" si="66"/>
        <v>18360.862192767629</v>
      </c>
      <c r="EO47" s="9">
        <f t="shared" si="66"/>
        <v>18544.470814695305</v>
      </c>
      <c r="EP47" s="9">
        <f t="shared" si="66"/>
        <v>18729.915522842257</v>
      </c>
      <c r="EQ47" s="9">
        <f t="shared" si="66"/>
        <v>18917.214678070679</v>
      </c>
      <c r="ER47" s="9">
        <f t="shared" si="66"/>
        <v>19106.386824851386</v>
      </c>
      <c r="ES47" s="9">
        <f t="shared" si="66"/>
        <v>19297.450693099901</v>
      </c>
      <c r="ET47" s="9">
        <f t="shared" si="66"/>
        <v>19490.425200030899</v>
      </c>
      <c r="EU47" s="9">
        <f t="shared" si="66"/>
        <v>19685.329452031208</v>
      </c>
      <c r="EV47" s="9">
        <f t="shared" si="66"/>
        <v>19882.18274655152</v>
      </c>
      <c r="EW47" s="9">
        <f t="shared" ref="EW47:GB47" si="67">+EV47*(1+$BI$56)</f>
        <v>20081.004574017035</v>
      </c>
      <c r="EX47" s="9">
        <f t="shared" si="67"/>
        <v>20281.814619757206</v>
      </c>
      <c r="EY47" s="9">
        <f t="shared" si="67"/>
        <v>20484.632765954779</v>
      </c>
      <c r="EZ47" s="9">
        <f t="shared" si="67"/>
        <v>20689.479093614325</v>
      </c>
      <c r="FA47" s="9">
        <f t="shared" si="67"/>
        <v>20896.37388455047</v>
      </c>
      <c r="FB47" s="9">
        <f t="shared" si="67"/>
        <v>21105.337623395975</v>
      </c>
      <c r="FC47" s="9">
        <f t="shared" si="67"/>
        <v>21316.390999629934</v>
      </c>
      <c r="FD47" s="9">
        <f t="shared" si="67"/>
        <v>21529.554909626233</v>
      </c>
      <c r="FE47" s="9">
        <f t="shared" si="67"/>
        <v>21744.850458722496</v>
      </c>
      <c r="FF47" s="9">
        <f t="shared" si="67"/>
        <v>21962.29896330972</v>
      </c>
      <c r="FG47" s="9">
        <f t="shared" si="67"/>
        <v>22181.921952942819</v>
      </c>
      <c r="FH47" s="9">
        <f t="shared" si="67"/>
        <v>22403.741172472248</v>
      </c>
      <c r="FI47" s="9">
        <f t="shared" si="67"/>
        <v>22627.778584196971</v>
      </c>
      <c r="FJ47" s="9">
        <f t="shared" si="67"/>
        <v>22854.056370038939</v>
      </c>
      <c r="FK47" s="9">
        <f t="shared" si="67"/>
        <v>23082.596933739329</v>
      </c>
      <c r="FL47" s="9">
        <f t="shared" si="67"/>
        <v>23313.422903076724</v>
      </c>
      <c r="FM47" s="9">
        <f t="shared" si="67"/>
        <v>23546.557132107489</v>
      </c>
      <c r="FN47" s="9">
        <f t="shared" si="67"/>
        <v>23782.022703428564</v>
      </c>
      <c r="FO47" s="9">
        <f t="shared" si="67"/>
        <v>24019.842930462848</v>
      </c>
      <c r="FP47" s="9">
        <f t="shared" si="67"/>
        <v>24260.041359767478</v>
      </c>
      <c r="FQ47" s="9">
        <f t="shared" si="67"/>
        <v>24502.641773365154</v>
      </c>
      <c r="FR47" s="9">
        <f t="shared" si="67"/>
        <v>24747.668191098805</v>
      </c>
      <c r="FS47" s="9">
        <f t="shared" si="67"/>
        <v>24995.144873009795</v>
      </c>
      <c r="FT47" s="9">
        <f t="shared" si="67"/>
        <v>25245.096321739893</v>
      </c>
      <c r="FU47" s="9">
        <f t="shared" si="67"/>
        <v>25497.547284957291</v>
      </c>
      <c r="FV47" s="9">
        <f t="shared" si="67"/>
        <v>25752.522757806863</v>
      </c>
      <c r="FW47" s="9">
        <f t="shared" si="67"/>
        <v>26010.047985384932</v>
      </c>
      <c r="FX47" s="9">
        <f t="shared" si="67"/>
        <v>26270.148465238781</v>
      </c>
      <c r="FY47" s="9">
        <f t="shared" si="67"/>
        <v>26532.84994989117</v>
      </c>
      <c r="FZ47" s="9">
        <f t="shared" si="67"/>
        <v>26798.178449390081</v>
      </c>
      <c r="GA47" s="9">
        <f t="shared" si="67"/>
        <v>27066.160233883984</v>
      </c>
      <c r="GB47" s="9">
        <f t="shared" si="67"/>
        <v>27336.821836222825</v>
      </c>
      <c r="GC47" s="9">
        <f t="shared" ref="GC47:HH47" si="68">+GB47*(1+$BI$56)</f>
        <v>27610.190054585055</v>
      </c>
      <c r="GD47" s="9">
        <f t="shared" si="68"/>
        <v>27886.291955130906</v>
      </c>
      <c r="GE47" s="9">
        <f t="shared" si="68"/>
        <v>28165.154874682215</v>
      </c>
      <c r="GF47" s="9">
        <f t="shared" si="68"/>
        <v>28446.80642342904</v>
      </c>
      <c r="GG47" s="9">
        <f t="shared" si="68"/>
        <v>28731.27448766333</v>
      </c>
      <c r="GH47" s="9">
        <f t="shared" si="68"/>
        <v>29018.587232539961</v>
      </c>
      <c r="GI47" s="9">
        <f t="shared" si="68"/>
        <v>29308.773104865362</v>
      </c>
      <c r="GJ47" s="9">
        <f t="shared" si="68"/>
        <v>29601.860835914016</v>
      </c>
      <c r="GK47" s="9">
        <f t="shared" si="68"/>
        <v>29897.879444273156</v>
      </c>
      <c r="GL47" s="9">
        <f t="shared" si="68"/>
        <v>30196.858238715889</v>
      </c>
      <c r="GM47" s="9">
        <f t="shared" si="68"/>
        <v>30498.826821103048</v>
      </c>
      <c r="GN47" s="9">
        <f t="shared" si="68"/>
        <v>30803.815089314077</v>
      </c>
      <c r="GO47" s="9">
        <f t="shared" si="68"/>
        <v>31111.85324020722</v>
      </c>
      <c r="GP47" s="9">
        <f t="shared" si="68"/>
        <v>31422.971772609293</v>
      </c>
      <c r="GQ47" s="9">
        <f t="shared" si="68"/>
        <v>31737.201490335385</v>
      </c>
      <c r="GR47" s="9">
        <f t="shared" si="68"/>
        <v>32054.573505238739</v>
      </c>
      <c r="GS47" s="9">
        <f t="shared" si="68"/>
        <v>32375.119240291126</v>
      </c>
      <c r="GT47" s="9">
        <f t="shared" si="68"/>
        <v>32698.870432694039</v>
      </c>
      <c r="GU47" s="9">
        <f t="shared" si="68"/>
        <v>33025.859137020976</v>
      </c>
      <c r="GV47" s="9">
        <f t="shared" si="68"/>
        <v>33356.117728391189</v>
      </c>
      <c r="GW47" s="9">
        <f t="shared" si="68"/>
        <v>33689.6789056751</v>
      </c>
      <c r="GX47" s="9">
        <f t="shared" si="68"/>
        <v>34026.575694731851</v>
      </c>
      <c r="GY47" s="9">
        <f t="shared" si="68"/>
        <v>34366.841451679167</v>
      </c>
      <c r="GZ47" s="9">
        <f t="shared" si="68"/>
        <v>34710.509866195956</v>
      </c>
      <c r="HA47" s="9">
        <f t="shared" si="68"/>
        <v>35057.614964857916</v>
      </c>
      <c r="HB47" s="9">
        <f t="shared" si="68"/>
        <v>35408.191114506495</v>
      </c>
      <c r="HC47" s="9">
        <f t="shared" si="68"/>
        <v>35762.273025651557</v>
      </c>
      <c r="HD47" s="9">
        <f t="shared" si="68"/>
        <v>36119.895755908074</v>
      </c>
      <c r="HE47" s="9">
        <f t="shared" si="68"/>
        <v>36481.094713467151</v>
      </c>
      <c r="HF47" s="9">
        <f t="shared" si="68"/>
        <v>36845.90566060182</v>
      </c>
      <c r="HG47" s="9">
        <f t="shared" si="68"/>
        <v>37214.364717207842</v>
      </c>
      <c r="HH47" s="9">
        <f t="shared" si="68"/>
        <v>37586.508364379923</v>
      </c>
      <c r="HI47" s="9">
        <f t="shared" ref="HI47:HU47" si="69">+HH47*(1+$BI$56)</f>
        <v>37962.373448023725</v>
      </c>
      <c r="HJ47" s="9">
        <f t="shared" si="69"/>
        <v>38341.997182503961</v>
      </c>
      <c r="HK47" s="9">
        <f t="shared" si="69"/>
        <v>38725.417154328999</v>
      </c>
      <c r="HL47" s="9">
        <f t="shared" si="69"/>
        <v>39112.671325872288</v>
      </c>
      <c r="HM47" s="9">
        <f t="shared" si="69"/>
        <v>39503.798039131012</v>
      </c>
      <c r="HN47" s="9">
        <f t="shared" si="69"/>
        <v>39898.836019522321</v>
      </c>
      <c r="HO47" s="9">
        <f t="shared" si="69"/>
        <v>40297.824379717546</v>
      </c>
      <c r="HP47" s="9">
        <f t="shared" si="69"/>
        <v>40700.802623514719</v>
      </c>
      <c r="HQ47" s="9">
        <f t="shared" si="69"/>
        <v>41107.810649749867</v>
      </c>
      <c r="HR47" s="9">
        <f t="shared" si="69"/>
        <v>41518.888756247368</v>
      </c>
      <c r="HS47" s="9">
        <f t="shared" si="69"/>
        <v>41934.07764380984</v>
      </c>
      <c r="HT47" s="9">
        <f t="shared" si="69"/>
        <v>42353.418420247937</v>
      </c>
      <c r="HU47" s="9">
        <f t="shared" si="69"/>
        <v>42776.952604450416</v>
      </c>
      <c r="HV47" s="9">
        <f t="shared" ref="HV47" si="70">+HU47*(1+$BI$56)</f>
        <v>43204.72213049492</v>
      </c>
      <c r="HW47" s="9">
        <f t="shared" ref="HW47" si="71">+HV47*(1+$BI$56)</f>
        <v>43636.76935179987</v>
      </c>
      <c r="HX47" s="9">
        <f t="shared" ref="HX47" si="72">+HW47*(1+$BI$56)</f>
        <v>44073.137045317868</v>
      </c>
      <c r="HY47" s="9">
        <f t="shared" ref="HY47" si="73">+HX47*(1+$BI$56)</f>
        <v>44513.868415771045</v>
      </c>
      <c r="HZ47" s="9">
        <f t="shared" ref="HZ47" si="74">+HY47*(1+$BI$56)</f>
        <v>44959.007099928756</v>
      </c>
      <c r="IA47" s="9">
        <f t="shared" ref="IA47" si="75">+HZ47*(1+$BI$56)</f>
        <v>45408.597170928042</v>
      </c>
      <c r="IB47" s="9">
        <f t="shared" ref="IB47" si="76">+IA47*(1+$BI$56)</f>
        <v>45862.683142637325</v>
      </c>
      <c r="IC47" s="9">
        <f t="shared" ref="IC47" si="77">+IB47*(1+$BI$56)</f>
        <v>46321.309974063697</v>
      </c>
      <c r="ID47" s="9">
        <f t="shared" ref="ID47" si="78">+IC47*(1+$BI$56)</f>
        <v>46784.523073804332</v>
      </c>
      <c r="IE47" s="9">
        <f t="shared" ref="IE47" si="79">+ID47*(1+$BI$56)</f>
        <v>47252.368304542375</v>
      </c>
      <c r="IF47" s="9">
        <f t="shared" ref="IF47" si="80">+IE47*(1+$BI$56)</f>
        <v>47724.891987587798</v>
      </c>
      <c r="IG47" s="9">
        <f t="shared" ref="IG47" si="81">+IF47*(1+$BI$56)</f>
        <v>48202.140907463676</v>
      </c>
      <c r="IH47" s="9">
        <f t="shared" ref="IH47" si="82">+IG47*(1+$BI$56)</f>
        <v>48684.162316538313</v>
      </c>
      <c r="II47" s="9">
        <f t="shared" ref="II47" si="83">+IH47*(1+$BI$56)</f>
        <v>49171.003939703696</v>
      </c>
      <c r="IJ47" s="9">
        <f t="shared" ref="IJ47" si="84">+II47*(1+$BI$56)</f>
        <v>49662.713979100736</v>
      </c>
      <c r="IK47" s="9">
        <f t="shared" ref="IK47" si="85">+IJ47*(1+$BI$56)</f>
        <v>50159.341118891745</v>
      </c>
      <c r="IL47" s="9">
        <f t="shared" ref="IL47" si="86">+IK47*(1+$BI$56)</f>
        <v>50660.93453008066</v>
      </c>
      <c r="IM47" s="9">
        <f t="shared" ref="IM47" si="87">+IL47*(1+$BI$56)</f>
        <v>51167.543875381467</v>
      </c>
      <c r="IN47" s="9">
        <f t="shared" ref="IN47" si="88">+IM47*(1+$BI$56)</f>
        <v>51679.219314135284</v>
      </c>
      <c r="IO47" s="9">
        <f t="shared" ref="IO47" si="89">+IN47*(1+$BI$56)</f>
        <v>52196.011507276635</v>
      </c>
      <c r="IP47" s="9">
        <f t="shared" ref="IP47" si="90">+IO47*(1+$BI$56)</f>
        <v>52717.971622349403</v>
      </c>
      <c r="IQ47" s="9">
        <f t="shared" ref="IQ47" si="91">+IP47*(1+$BI$56)</f>
        <v>53245.151338572898</v>
      </c>
      <c r="IR47" s="9">
        <f t="shared" ref="IR47" si="92">+IQ47*(1+$BI$56)</f>
        <v>53777.602851958625</v>
      </c>
      <c r="IS47" s="9">
        <f t="shared" ref="IS47" si="93">+IR47*(1+$BI$56)</f>
        <v>54315.378880478209</v>
      </c>
      <c r="IT47" s="9">
        <f t="shared" ref="IT47" si="94">+IS47*(1+$BI$56)</f>
        <v>54858.532669282991</v>
      </c>
      <c r="IU47" s="9">
        <f t="shared" ref="IU47" si="95">+IT47*(1+$BI$56)</f>
        <v>55407.117995975823</v>
      </c>
      <c r="IV47" s="9">
        <f t="shared" ref="IV47" si="96">+IU47*(1+$BI$56)</f>
        <v>55961.189175935579</v>
      </c>
    </row>
    <row r="48" spans="2:256">
      <c r="B48" s="8" t="s">
        <v>31</v>
      </c>
      <c r="C48" s="4">
        <v>1434.6</v>
      </c>
      <c r="D48" s="4">
        <v>1406.6</v>
      </c>
      <c r="E48" s="4">
        <v>1388.5</v>
      </c>
      <c r="F48" s="4">
        <v>1348.7</v>
      </c>
      <c r="G48" s="4">
        <v>1253.4000000000001</v>
      </c>
      <c r="H48" s="4">
        <v>1250.7</v>
      </c>
      <c r="I48" s="4">
        <v>1223</v>
      </c>
      <c r="J48" s="4">
        <v>1205.5999999999999</v>
      </c>
      <c r="K48" s="4">
        <v>1191</v>
      </c>
      <c r="L48" s="4">
        <v>1180.7</v>
      </c>
      <c r="M48" s="4">
        <v>1168.5</v>
      </c>
      <c r="N48" s="4">
        <v>1179</v>
      </c>
      <c r="O48" s="4">
        <v>1183</v>
      </c>
      <c r="P48" s="4">
        <v>1184.8</v>
      </c>
      <c r="Q48" s="4">
        <v>1186.2</v>
      </c>
      <c r="R48" s="4">
        <v>1187.9000000000001</v>
      </c>
      <c r="S48" s="4">
        <v>1176.5999999999999</v>
      </c>
      <c r="T48" s="4">
        <v>1153.9000000000001</v>
      </c>
      <c r="U48" s="4">
        <v>1151</v>
      </c>
      <c r="V48" s="4">
        <v>1525.5</v>
      </c>
      <c r="W48" s="4">
        <v>1176.5999999999999</v>
      </c>
      <c r="X48" s="4">
        <v>1152.7</v>
      </c>
      <c r="Y48" s="8">
        <v>1150.5</v>
      </c>
      <c r="Z48" s="8">
        <f>+Z47/Z49</f>
        <v>1135.5013849961763</v>
      </c>
      <c r="AA48" s="8">
        <v>1140.5999999999999</v>
      </c>
      <c r="AB48" s="8">
        <v>1135.4000000000001</v>
      </c>
      <c r="AJ48" s="8">
        <v>524.5</v>
      </c>
      <c r="AK48" s="8">
        <v>1526.3</v>
      </c>
      <c r="AL48" s="8">
        <v>1513.4</v>
      </c>
      <c r="AM48" s="8">
        <v>1486.7</v>
      </c>
      <c r="AN48" s="8">
        <v>1461.5</v>
      </c>
      <c r="AO48" s="8">
        <v>1394.6</v>
      </c>
      <c r="AP48" s="8">
        <f>+AP47/AP49</f>
        <v>1232.0701662249603</v>
      </c>
      <c r="AQ48" s="8">
        <f t="shared" ref="AQ48:AR48" si="97">+AQ47/AQ49</f>
        <v>1193.6896608492759</v>
      </c>
      <c r="AR48" s="8">
        <f t="shared" si="97"/>
        <v>1185.7543627399157</v>
      </c>
      <c r="AS48" s="8">
        <f>+AS47/AS49</f>
        <v>1241.8826847603248</v>
      </c>
      <c r="AT48" s="8">
        <v>1151.3</v>
      </c>
      <c r="AU48" s="8">
        <f t="shared" ref="AU48:BD48" si="98">+AT48</f>
        <v>1151.3</v>
      </c>
      <c r="AV48" s="8">
        <f t="shared" si="98"/>
        <v>1151.3</v>
      </c>
      <c r="AW48" s="8">
        <f t="shared" si="98"/>
        <v>1151.3</v>
      </c>
      <c r="AX48" s="8">
        <f t="shared" si="98"/>
        <v>1151.3</v>
      </c>
      <c r="AY48" s="8">
        <f t="shared" si="98"/>
        <v>1151.3</v>
      </c>
      <c r="AZ48" s="8">
        <f t="shared" si="98"/>
        <v>1151.3</v>
      </c>
      <c r="BA48" s="8">
        <f t="shared" si="98"/>
        <v>1151.3</v>
      </c>
      <c r="BB48" s="8">
        <f t="shared" si="98"/>
        <v>1151.3</v>
      </c>
      <c r="BC48" s="8">
        <f t="shared" si="98"/>
        <v>1151.3</v>
      </c>
      <c r="BD48" s="8">
        <f t="shared" si="98"/>
        <v>1151.3</v>
      </c>
    </row>
    <row r="49" spans="1:256" s="20" customFormat="1">
      <c r="B49" s="20" t="s">
        <v>32</v>
      </c>
      <c r="C49" s="21">
        <f t="shared" ref="C49" si="99">+C47/C48</f>
        <v>1.2383939774153072</v>
      </c>
      <c r="D49" s="21">
        <f t="shared" ref="D49" si="100">+D47/D48</f>
        <v>0.56853405374662314</v>
      </c>
      <c r="E49" s="21">
        <f t="shared" ref="E49" si="101">+E47/E48</f>
        <v>0.6243428159884773</v>
      </c>
      <c r="F49" s="21">
        <f t="shared" ref="F49:S49" si="102">+F47/F48</f>
        <v>0.59175502335582442</v>
      </c>
      <c r="G49" s="21">
        <f t="shared" si="102"/>
        <v>0.6412956757619277</v>
      </c>
      <c r="H49" s="21">
        <f t="shared" si="102"/>
        <v>0.54785320220676326</v>
      </c>
      <c r="I49" s="21">
        <f t="shared" si="102"/>
        <v>0.66124284546197942</v>
      </c>
      <c r="J49" s="21">
        <f t="shared" si="102"/>
        <v>0.67576310550763108</v>
      </c>
      <c r="K49" s="21">
        <f t="shared" si="102"/>
        <v>0.74895046179680935</v>
      </c>
      <c r="L49" s="21">
        <f t="shared" si="102"/>
        <v>0.27754721775218028</v>
      </c>
      <c r="M49" s="21">
        <f t="shared" si="102"/>
        <v>-0.51373555840821539</v>
      </c>
      <c r="N49" s="21">
        <f t="shared" si="102"/>
        <v>0.49838846480067961</v>
      </c>
      <c r="O49" s="21">
        <f t="shared" si="102"/>
        <v>0.58698224852071001</v>
      </c>
      <c r="P49" s="21">
        <f t="shared" si="102"/>
        <v>0.57596218771100616</v>
      </c>
      <c r="Q49" s="21">
        <f t="shared" si="102"/>
        <v>0.9890406339571749</v>
      </c>
      <c r="R49" s="21">
        <f t="shared" si="102"/>
        <v>0.80427645424699035</v>
      </c>
      <c r="S49" s="21">
        <f t="shared" si="102"/>
        <v>0.6872344042155365</v>
      </c>
      <c r="T49" s="21">
        <f t="shared" ref="T49:V49" si="103">+T47/T48</f>
        <v>0.58835254354796751</v>
      </c>
      <c r="U49" s="21">
        <f t="shared" ref="U49" si="104">+U47/U48</f>
        <v>0.80529973935708044</v>
      </c>
      <c r="V49" s="21">
        <f t="shared" si="103"/>
        <v>0.59875450671910779</v>
      </c>
      <c r="W49" s="21">
        <f t="shared" ref="W49:Y49" si="105">+W47/W48</f>
        <v>0.68706442291347969</v>
      </c>
      <c r="X49" s="21">
        <f t="shared" si="105"/>
        <v>0.79561030623752971</v>
      </c>
      <c r="Y49" s="21">
        <f t="shared" si="105"/>
        <v>0.99852238157322903</v>
      </c>
      <c r="Z49" s="20">
        <f t="shared" ref="Z49" si="106">+AT49-SUM(W49:Y49)</f>
        <v>1.1202099942874852</v>
      </c>
      <c r="AA49" s="20">
        <f>+AA47/AA48</f>
        <v>0.89812379449412527</v>
      </c>
      <c r="AB49" s="20">
        <f>+AB47/AB48</f>
        <v>0.68037695966179357</v>
      </c>
      <c r="AJ49" s="20">
        <f t="shared" ref="AJ49:AO49" si="107">+AJ47/AJ48</f>
        <v>5.3258341277407073</v>
      </c>
      <c r="AK49" s="20">
        <f t="shared" si="107"/>
        <v>1.341741466291031</v>
      </c>
      <c r="AL49" s="20">
        <f t="shared" si="107"/>
        <v>1.8648737941059867</v>
      </c>
      <c r="AM49" s="20">
        <f t="shared" si="107"/>
        <v>1.8968857200511178</v>
      </c>
      <c r="AN49" s="20">
        <f t="shared" si="107"/>
        <v>2.0151214505644854</v>
      </c>
      <c r="AO49" s="20">
        <f t="shared" si="107"/>
        <v>3.042377742721925</v>
      </c>
      <c r="AP49" s="20">
        <f>+SUM(G49:J49)</f>
        <v>2.5261548289383016</v>
      </c>
      <c r="AQ49" s="20">
        <f>+SUM(K49:N49)</f>
        <v>1.0111505859414538</v>
      </c>
      <c r="AR49" s="20">
        <f>+SUM(O49:R49)</f>
        <v>2.9562615244358814</v>
      </c>
      <c r="AS49" s="20">
        <f>+SUM(S49:V49)</f>
        <v>2.679641193839692</v>
      </c>
      <c r="AT49" s="20">
        <f>+AT47/AT48</f>
        <v>3.6014071050117238</v>
      </c>
      <c r="AU49" s="20">
        <f t="shared" ref="AU49:BB49" si="108">+AU47/AU48</f>
        <v>4.3795126637912052</v>
      </c>
      <c r="AV49" s="20">
        <f t="shared" si="108"/>
        <v>4.6012780514571219</v>
      </c>
      <c r="AW49" s="20">
        <f t="shared" si="108"/>
        <v>4.8295848105739632</v>
      </c>
      <c r="AX49" s="20">
        <f t="shared" si="108"/>
        <v>5.0648110582025527</v>
      </c>
      <c r="AY49" s="20">
        <f t="shared" si="108"/>
        <v>5.3073442129760018</v>
      </c>
      <c r="AZ49" s="20">
        <f t="shared" si="108"/>
        <v>5.5575816583181252</v>
      </c>
      <c r="BA49" s="20">
        <f t="shared" si="108"/>
        <v>5.8159314176327781</v>
      </c>
      <c r="BB49" s="20">
        <f t="shared" si="108"/>
        <v>6.0828128426709149</v>
      </c>
      <c r="BC49" s="20">
        <f t="shared" ref="BC49:BD49" si="109">+BC47/BC48</f>
        <v>6.3586573162939448</v>
      </c>
      <c r="BD49" s="20">
        <f t="shared" si="109"/>
        <v>6.6439089708660797</v>
      </c>
    </row>
    <row r="50" spans="1:256">
      <c r="AU50" s="8">
        <v>1</v>
      </c>
      <c r="AV50" s="8">
        <f>+AU50+1</f>
        <v>2</v>
      </c>
      <c r="AW50" s="8">
        <f t="shared" ref="AW50:DH50" si="110">+AV50+1</f>
        <v>3</v>
      </c>
      <c r="AX50" s="8">
        <f t="shared" si="110"/>
        <v>4</v>
      </c>
      <c r="AY50" s="8">
        <f t="shared" si="110"/>
        <v>5</v>
      </c>
      <c r="AZ50" s="8">
        <f t="shared" si="110"/>
        <v>6</v>
      </c>
      <c r="BA50" s="8">
        <f t="shared" si="110"/>
        <v>7</v>
      </c>
      <c r="BB50" s="8">
        <f t="shared" si="110"/>
        <v>8</v>
      </c>
      <c r="BC50" s="8">
        <f t="shared" si="110"/>
        <v>9</v>
      </c>
      <c r="BD50" s="8">
        <f t="shared" ref="BD50" si="111">+BC50+1</f>
        <v>10</v>
      </c>
      <c r="BE50" s="8">
        <f t="shared" si="110"/>
        <v>11</v>
      </c>
      <c r="BF50" s="8">
        <f t="shared" si="110"/>
        <v>12</v>
      </c>
      <c r="BG50" s="8">
        <f t="shared" si="110"/>
        <v>13</v>
      </c>
      <c r="BH50" s="8">
        <f t="shared" si="110"/>
        <v>14</v>
      </c>
      <c r="BI50" s="8">
        <f t="shared" si="110"/>
        <v>15</v>
      </c>
      <c r="BJ50" s="8">
        <f t="shared" si="110"/>
        <v>16</v>
      </c>
      <c r="BK50" s="8">
        <f t="shared" si="110"/>
        <v>17</v>
      </c>
      <c r="BL50" s="8">
        <f t="shared" si="110"/>
        <v>18</v>
      </c>
      <c r="BM50" s="8">
        <f t="shared" si="110"/>
        <v>19</v>
      </c>
      <c r="BN50" s="8">
        <f t="shared" si="110"/>
        <v>20</v>
      </c>
      <c r="BO50" s="8">
        <f t="shared" si="110"/>
        <v>21</v>
      </c>
      <c r="BP50" s="8">
        <f t="shared" si="110"/>
        <v>22</v>
      </c>
      <c r="BQ50" s="8">
        <f t="shared" si="110"/>
        <v>23</v>
      </c>
      <c r="BR50" s="8">
        <f t="shared" si="110"/>
        <v>24</v>
      </c>
      <c r="BS50" s="8">
        <f t="shared" si="110"/>
        <v>25</v>
      </c>
      <c r="BT50" s="8">
        <f t="shared" si="110"/>
        <v>26</v>
      </c>
      <c r="BU50" s="8">
        <f t="shared" si="110"/>
        <v>27</v>
      </c>
      <c r="BV50" s="8">
        <f t="shared" si="110"/>
        <v>28</v>
      </c>
      <c r="BW50" s="8">
        <f t="shared" si="110"/>
        <v>29</v>
      </c>
      <c r="BX50" s="8">
        <f t="shared" si="110"/>
        <v>30</v>
      </c>
      <c r="BY50" s="8">
        <f t="shared" si="110"/>
        <v>31</v>
      </c>
      <c r="BZ50" s="8">
        <f t="shared" si="110"/>
        <v>32</v>
      </c>
      <c r="CA50" s="8">
        <f t="shared" si="110"/>
        <v>33</v>
      </c>
      <c r="CB50" s="8">
        <f t="shared" si="110"/>
        <v>34</v>
      </c>
      <c r="CC50" s="8">
        <f t="shared" si="110"/>
        <v>35</v>
      </c>
      <c r="CD50" s="8">
        <f t="shared" si="110"/>
        <v>36</v>
      </c>
      <c r="CE50" s="8">
        <f t="shared" si="110"/>
        <v>37</v>
      </c>
      <c r="CF50" s="8">
        <f t="shared" si="110"/>
        <v>38</v>
      </c>
      <c r="CG50" s="8">
        <f t="shared" si="110"/>
        <v>39</v>
      </c>
      <c r="CH50" s="8">
        <f t="shared" si="110"/>
        <v>40</v>
      </c>
      <c r="CI50" s="8">
        <f t="shared" si="110"/>
        <v>41</v>
      </c>
      <c r="CJ50" s="8">
        <f t="shared" si="110"/>
        <v>42</v>
      </c>
      <c r="CK50" s="8">
        <f t="shared" si="110"/>
        <v>43</v>
      </c>
      <c r="CL50" s="8">
        <f t="shared" si="110"/>
        <v>44</v>
      </c>
      <c r="CM50" s="8">
        <f t="shared" si="110"/>
        <v>45</v>
      </c>
      <c r="CN50" s="8">
        <f t="shared" si="110"/>
        <v>46</v>
      </c>
      <c r="CO50" s="8">
        <f t="shared" si="110"/>
        <v>47</v>
      </c>
      <c r="CP50" s="8">
        <f t="shared" si="110"/>
        <v>48</v>
      </c>
      <c r="CQ50" s="8">
        <f t="shared" si="110"/>
        <v>49</v>
      </c>
      <c r="CR50" s="8">
        <f t="shared" si="110"/>
        <v>50</v>
      </c>
      <c r="CS50" s="8">
        <f t="shared" si="110"/>
        <v>51</v>
      </c>
      <c r="CT50" s="8">
        <f t="shared" si="110"/>
        <v>52</v>
      </c>
      <c r="CU50" s="8">
        <f t="shared" si="110"/>
        <v>53</v>
      </c>
      <c r="CV50" s="8">
        <f t="shared" si="110"/>
        <v>54</v>
      </c>
      <c r="CW50" s="8">
        <f t="shared" si="110"/>
        <v>55</v>
      </c>
      <c r="CX50" s="8">
        <f t="shared" si="110"/>
        <v>56</v>
      </c>
      <c r="CY50" s="8">
        <f t="shared" si="110"/>
        <v>57</v>
      </c>
      <c r="CZ50" s="8">
        <f t="shared" si="110"/>
        <v>58</v>
      </c>
      <c r="DA50" s="8">
        <f t="shared" si="110"/>
        <v>59</v>
      </c>
      <c r="DB50" s="8">
        <f t="shared" si="110"/>
        <v>60</v>
      </c>
      <c r="DC50" s="8">
        <f t="shared" si="110"/>
        <v>61</v>
      </c>
      <c r="DD50" s="8">
        <f t="shared" si="110"/>
        <v>62</v>
      </c>
      <c r="DE50" s="8">
        <f t="shared" si="110"/>
        <v>63</v>
      </c>
      <c r="DF50" s="8">
        <f t="shared" si="110"/>
        <v>64</v>
      </c>
      <c r="DG50" s="8">
        <f t="shared" si="110"/>
        <v>65</v>
      </c>
      <c r="DH50" s="8">
        <f t="shared" si="110"/>
        <v>66</v>
      </c>
      <c r="DI50" s="8">
        <f t="shared" ref="DI50:FT50" si="112">+DH50+1</f>
        <v>67</v>
      </c>
      <c r="DJ50" s="8">
        <f t="shared" si="112"/>
        <v>68</v>
      </c>
      <c r="DK50" s="8">
        <f t="shared" si="112"/>
        <v>69</v>
      </c>
      <c r="DL50" s="8">
        <f t="shared" si="112"/>
        <v>70</v>
      </c>
      <c r="DM50" s="8">
        <f t="shared" si="112"/>
        <v>71</v>
      </c>
      <c r="DN50" s="8">
        <f t="shared" si="112"/>
        <v>72</v>
      </c>
      <c r="DO50" s="8">
        <f t="shared" si="112"/>
        <v>73</v>
      </c>
      <c r="DP50" s="8">
        <f t="shared" si="112"/>
        <v>74</v>
      </c>
      <c r="DQ50" s="8">
        <f t="shared" si="112"/>
        <v>75</v>
      </c>
      <c r="DR50" s="8">
        <f t="shared" si="112"/>
        <v>76</v>
      </c>
      <c r="DS50" s="8">
        <f t="shared" si="112"/>
        <v>77</v>
      </c>
      <c r="DT50" s="8">
        <f t="shared" si="112"/>
        <v>78</v>
      </c>
      <c r="DU50" s="8">
        <f t="shared" si="112"/>
        <v>79</v>
      </c>
      <c r="DV50" s="8">
        <f t="shared" si="112"/>
        <v>80</v>
      </c>
      <c r="DW50" s="8">
        <f t="shared" si="112"/>
        <v>81</v>
      </c>
      <c r="DX50" s="8">
        <f t="shared" si="112"/>
        <v>82</v>
      </c>
      <c r="DY50" s="8">
        <f t="shared" si="112"/>
        <v>83</v>
      </c>
      <c r="DZ50" s="8">
        <f t="shared" si="112"/>
        <v>84</v>
      </c>
      <c r="EA50" s="8">
        <f t="shared" si="112"/>
        <v>85</v>
      </c>
      <c r="EB50" s="8">
        <f t="shared" si="112"/>
        <v>86</v>
      </c>
      <c r="EC50" s="8">
        <f t="shared" si="112"/>
        <v>87</v>
      </c>
      <c r="ED50" s="8">
        <f t="shared" si="112"/>
        <v>88</v>
      </c>
      <c r="EE50" s="8">
        <f t="shared" si="112"/>
        <v>89</v>
      </c>
      <c r="EF50" s="8">
        <f t="shared" si="112"/>
        <v>90</v>
      </c>
      <c r="EG50" s="8">
        <f t="shared" si="112"/>
        <v>91</v>
      </c>
      <c r="EH50" s="8">
        <f t="shared" si="112"/>
        <v>92</v>
      </c>
      <c r="EI50" s="8">
        <f t="shared" si="112"/>
        <v>93</v>
      </c>
      <c r="EJ50" s="8">
        <f t="shared" si="112"/>
        <v>94</v>
      </c>
      <c r="EK50" s="8">
        <f t="shared" si="112"/>
        <v>95</v>
      </c>
      <c r="EL50" s="8">
        <f t="shared" si="112"/>
        <v>96</v>
      </c>
      <c r="EM50" s="8">
        <f t="shared" si="112"/>
        <v>97</v>
      </c>
      <c r="EN50" s="8">
        <f t="shared" si="112"/>
        <v>98</v>
      </c>
      <c r="EO50" s="8">
        <f t="shared" si="112"/>
        <v>99</v>
      </c>
      <c r="EP50" s="8">
        <f t="shared" si="112"/>
        <v>100</v>
      </c>
      <c r="EQ50" s="8">
        <f t="shared" si="112"/>
        <v>101</v>
      </c>
      <c r="ER50" s="8">
        <f t="shared" si="112"/>
        <v>102</v>
      </c>
      <c r="ES50" s="8">
        <f t="shared" si="112"/>
        <v>103</v>
      </c>
      <c r="ET50" s="8">
        <f t="shared" si="112"/>
        <v>104</v>
      </c>
      <c r="EU50" s="8">
        <f t="shared" si="112"/>
        <v>105</v>
      </c>
      <c r="EV50" s="8">
        <f t="shared" si="112"/>
        <v>106</v>
      </c>
      <c r="EW50" s="8">
        <f t="shared" si="112"/>
        <v>107</v>
      </c>
      <c r="EX50" s="8">
        <f t="shared" si="112"/>
        <v>108</v>
      </c>
      <c r="EY50" s="8">
        <f t="shared" si="112"/>
        <v>109</v>
      </c>
      <c r="EZ50" s="8">
        <f t="shared" si="112"/>
        <v>110</v>
      </c>
      <c r="FA50" s="8">
        <f t="shared" si="112"/>
        <v>111</v>
      </c>
      <c r="FB50" s="8">
        <f t="shared" si="112"/>
        <v>112</v>
      </c>
      <c r="FC50" s="8">
        <f t="shared" si="112"/>
        <v>113</v>
      </c>
      <c r="FD50" s="8">
        <f t="shared" si="112"/>
        <v>114</v>
      </c>
      <c r="FE50" s="8">
        <f t="shared" si="112"/>
        <v>115</v>
      </c>
      <c r="FF50" s="8">
        <f t="shared" si="112"/>
        <v>116</v>
      </c>
      <c r="FG50" s="8">
        <f t="shared" si="112"/>
        <v>117</v>
      </c>
      <c r="FH50" s="8">
        <f t="shared" si="112"/>
        <v>118</v>
      </c>
      <c r="FI50" s="8">
        <f t="shared" si="112"/>
        <v>119</v>
      </c>
      <c r="FJ50" s="8">
        <f t="shared" si="112"/>
        <v>120</v>
      </c>
      <c r="FK50" s="8">
        <f t="shared" si="112"/>
        <v>121</v>
      </c>
      <c r="FL50" s="8">
        <f t="shared" si="112"/>
        <v>122</v>
      </c>
      <c r="FM50" s="8">
        <f t="shared" si="112"/>
        <v>123</v>
      </c>
      <c r="FN50" s="8">
        <f t="shared" si="112"/>
        <v>124</v>
      </c>
      <c r="FO50" s="8">
        <f t="shared" si="112"/>
        <v>125</v>
      </c>
      <c r="FP50" s="8">
        <f t="shared" si="112"/>
        <v>126</v>
      </c>
      <c r="FQ50" s="8">
        <f t="shared" si="112"/>
        <v>127</v>
      </c>
      <c r="FR50" s="8">
        <f t="shared" si="112"/>
        <v>128</v>
      </c>
      <c r="FS50" s="8">
        <f t="shared" si="112"/>
        <v>129</v>
      </c>
      <c r="FT50" s="8">
        <f t="shared" si="112"/>
        <v>130</v>
      </c>
      <c r="FU50" s="8">
        <f t="shared" ref="FU50:HU50" si="113">+FT50+1</f>
        <v>131</v>
      </c>
      <c r="FV50" s="8">
        <f t="shared" si="113"/>
        <v>132</v>
      </c>
      <c r="FW50" s="8">
        <f t="shared" si="113"/>
        <v>133</v>
      </c>
      <c r="FX50" s="8">
        <f t="shared" si="113"/>
        <v>134</v>
      </c>
      <c r="FY50" s="8">
        <f t="shared" si="113"/>
        <v>135</v>
      </c>
      <c r="FZ50" s="8">
        <f t="shared" si="113"/>
        <v>136</v>
      </c>
      <c r="GA50" s="8">
        <f t="shared" si="113"/>
        <v>137</v>
      </c>
      <c r="GB50" s="8">
        <f t="shared" si="113"/>
        <v>138</v>
      </c>
      <c r="GC50" s="8">
        <f t="shared" si="113"/>
        <v>139</v>
      </c>
      <c r="GD50" s="8">
        <f t="shared" si="113"/>
        <v>140</v>
      </c>
      <c r="GE50" s="8">
        <f t="shared" si="113"/>
        <v>141</v>
      </c>
      <c r="GF50" s="8">
        <f t="shared" si="113"/>
        <v>142</v>
      </c>
      <c r="GG50" s="8">
        <f t="shared" si="113"/>
        <v>143</v>
      </c>
      <c r="GH50" s="8">
        <f t="shared" si="113"/>
        <v>144</v>
      </c>
      <c r="GI50" s="8">
        <f t="shared" si="113"/>
        <v>145</v>
      </c>
      <c r="GJ50" s="8">
        <f t="shared" si="113"/>
        <v>146</v>
      </c>
      <c r="GK50" s="8">
        <f t="shared" si="113"/>
        <v>147</v>
      </c>
      <c r="GL50" s="8">
        <f t="shared" si="113"/>
        <v>148</v>
      </c>
      <c r="GM50" s="8">
        <f t="shared" si="113"/>
        <v>149</v>
      </c>
      <c r="GN50" s="8">
        <f t="shared" si="113"/>
        <v>150</v>
      </c>
      <c r="GO50" s="8">
        <f t="shared" si="113"/>
        <v>151</v>
      </c>
      <c r="GP50" s="8">
        <f t="shared" si="113"/>
        <v>152</v>
      </c>
      <c r="GQ50" s="8">
        <f t="shared" si="113"/>
        <v>153</v>
      </c>
      <c r="GR50" s="8">
        <f t="shared" si="113"/>
        <v>154</v>
      </c>
      <c r="GS50" s="8">
        <f t="shared" si="113"/>
        <v>155</v>
      </c>
      <c r="GT50" s="8">
        <f t="shared" si="113"/>
        <v>156</v>
      </c>
      <c r="GU50" s="8">
        <f t="shared" si="113"/>
        <v>157</v>
      </c>
      <c r="GV50" s="8">
        <f t="shared" si="113"/>
        <v>158</v>
      </c>
      <c r="GW50" s="8">
        <f t="shared" si="113"/>
        <v>159</v>
      </c>
      <c r="GX50" s="8">
        <f t="shared" si="113"/>
        <v>160</v>
      </c>
      <c r="GY50" s="8">
        <f t="shared" si="113"/>
        <v>161</v>
      </c>
      <c r="GZ50" s="8">
        <f t="shared" si="113"/>
        <v>162</v>
      </c>
      <c r="HA50" s="8">
        <f t="shared" si="113"/>
        <v>163</v>
      </c>
      <c r="HB50" s="8">
        <f t="shared" si="113"/>
        <v>164</v>
      </c>
      <c r="HC50" s="8">
        <f t="shared" si="113"/>
        <v>165</v>
      </c>
      <c r="HD50" s="8">
        <f t="shared" si="113"/>
        <v>166</v>
      </c>
      <c r="HE50" s="8">
        <f t="shared" si="113"/>
        <v>167</v>
      </c>
      <c r="HF50" s="8">
        <f t="shared" si="113"/>
        <v>168</v>
      </c>
      <c r="HG50" s="8">
        <f t="shared" si="113"/>
        <v>169</v>
      </c>
      <c r="HH50" s="8">
        <f t="shared" si="113"/>
        <v>170</v>
      </c>
      <c r="HI50" s="8">
        <f t="shared" si="113"/>
        <v>171</v>
      </c>
      <c r="HJ50" s="8">
        <f t="shared" si="113"/>
        <v>172</v>
      </c>
      <c r="HK50" s="8">
        <f t="shared" si="113"/>
        <v>173</v>
      </c>
      <c r="HL50" s="8">
        <f t="shared" si="113"/>
        <v>174</v>
      </c>
      <c r="HM50" s="8">
        <f t="shared" si="113"/>
        <v>175</v>
      </c>
      <c r="HN50" s="8">
        <f t="shared" si="113"/>
        <v>176</v>
      </c>
      <c r="HO50" s="8">
        <f t="shared" si="113"/>
        <v>177</v>
      </c>
      <c r="HP50" s="8">
        <f t="shared" si="113"/>
        <v>178</v>
      </c>
      <c r="HQ50" s="8">
        <f t="shared" si="113"/>
        <v>179</v>
      </c>
      <c r="HR50" s="8">
        <f t="shared" si="113"/>
        <v>180</v>
      </c>
      <c r="HS50" s="8">
        <f t="shared" si="113"/>
        <v>181</v>
      </c>
      <c r="HT50" s="8">
        <f t="shared" si="113"/>
        <v>182</v>
      </c>
      <c r="HU50" s="8">
        <f t="shared" si="113"/>
        <v>183</v>
      </c>
      <c r="HV50" s="8">
        <f t="shared" ref="HV50" si="114">+HU50+1</f>
        <v>184</v>
      </c>
      <c r="HW50" s="8">
        <f t="shared" ref="HW50" si="115">+HV50+1</f>
        <v>185</v>
      </c>
      <c r="HX50" s="8">
        <f t="shared" ref="HX50" si="116">+HW50+1</f>
        <v>186</v>
      </c>
      <c r="HY50" s="8">
        <f t="shared" ref="HY50" si="117">+HX50+1</f>
        <v>187</v>
      </c>
      <c r="HZ50" s="8">
        <f t="shared" ref="HZ50" si="118">+HY50+1</f>
        <v>188</v>
      </c>
      <c r="IA50" s="8">
        <f t="shared" ref="IA50" si="119">+HZ50+1</f>
        <v>189</v>
      </c>
      <c r="IB50" s="8">
        <f t="shared" ref="IB50" si="120">+IA50+1</f>
        <v>190</v>
      </c>
      <c r="IC50" s="8">
        <f t="shared" ref="IC50" si="121">+IB50+1</f>
        <v>191</v>
      </c>
      <c r="ID50" s="8">
        <f t="shared" ref="ID50" si="122">+IC50+1</f>
        <v>192</v>
      </c>
      <c r="IE50" s="8">
        <f t="shared" ref="IE50" si="123">+ID50+1</f>
        <v>193</v>
      </c>
      <c r="IF50" s="8">
        <f t="shared" ref="IF50" si="124">+IE50+1</f>
        <v>194</v>
      </c>
      <c r="IG50" s="8">
        <f t="shared" ref="IG50" si="125">+IF50+1</f>
        <v>195</v>
      </c>
      <c r="IH50" s="8">
        <f t="shared" ref="IH50" si="126">+IG50+1</f>
        <v>196</v>
      </c>
      <c r="II50" s="8">
        <f t="shared" ref="II50" si="127">+IH50+1</f>
        <v>197</v>
      </c>
      <c r="IJ50" s="8">
        <f t="shared" ref="IJ50" si="128">+II50+1</f>
        <v>198</v>
      </c>
      <c r="IK50" s="8">
        <f t="shared" ref="IK50" si="129">+IJ50+1</f>
        <v>199</v>
      </c>
      <c r="IL50" s="8">
        <f t="shared" ref="IL50" si="130">+IK50+1</f>
        <v>200</v>
      </c>
      <c r="IM50" s="8">
        <f t="shared" ref="IM50" si="131">+IL50+1</f>
        <v>201</v>
      </c>
      <c r="IN50" s="8">
        <f t="shared" ref="IN50" si="132">+IM50+1</f>
        <v>202</v>
      </c>
      <c r="IO50" s="8">
        <f t="shared" ref="IO50" si="133">+IN50+1</f>
        <v>203</v>
      </c>
      <c r="IP50" s="8">
        <f t="shared" ref="IP50" si="134">+IO50+1</f>
        <v>204</v>
      </c>
      <c r="IQ50" s="8">
        <f t="shared" ref="IQ50" si="135">+IP50+1</f>
        <v>205</v>
      </c>
      <c r="IR50" s="8">
        <f t="shared" ref="IR50" si="136">+IQ50+1</f>
        <v>206</v>
      </c>
      <c r="IS50" s="8">
        <f t="shared" ref="IS50" si="137">+IR50+1</f>
        <v>207</v>
      </c>
      <c r="IT50" s="8">
        <f t="shared" ref="IT50" si="138">+IS50+1</f>
        <v>208</v>
      </c>
      <c r="IU50" s="8">
        <f t="shared" ref="IU50" si="139">+IT50+1</f>
        <v>209</v>
      </c>
      <c r="IV50" s="8">
        <f t="shared" ref="IV50" si="140">+IU50+1</f>
        <v>210</v>
      </c>
    </row>
    <row r="51" spans="1:256">
      <c r="AU51" s="8">
        <f t="shared" ref="AU51:BZ51" si="141">AU47/(1+$BI$57)^AU50</f>
        <v>4690.3562137886647</v>
      </c>
      <c r="AV51" s="8">
        <f t="shared" si="141"/>
        <v>4584.0574759481533</v>
      </c>
      <c r="AW51" s="8">
        <f t="shared" si="141"/>
        <v>4475.8230534982258</v>
      </c>
      <c r="AX51" s="8">
        <f t="shared" si="141"/>
        <v>4366.3434773038889</v>
      </c>
      <c r="AY51" s="8">
        <f t="shared" si="141"/>
        <v>4256.2138297164693</v>
      </c>
      <c r="AZ51" s="8">
        <f t="shared" si="141"/>
        <v>4145.9453366314501</v>
      </c>
      <c r="BA51" s="8">
        <f t="shared" si="141"/>
        <v>4035.9755955685932</v>
      </c>
      <c r="BB51" s="8">
        <f t="shared" si="141"/>
        <v>3926.6775988995014</v>
      </c>
      <c r="BC51" s="8">
        <f t="shared" si="141"/>
        <v>3818.3676928276855</v>
      </c>
      <c r="BD51" s="8">
        <f t="shared" si="141"/>
        <v>3711.3125963603379</v>
      </c>
      <c r="BE51" s="8">
        <f t="shared" si="141"/>
        <v>3486.9076486734334</v>
      </c>
      <c r="BF51" s="8">
        <f t="shared" si="141"/>
        <v>3276.0713722420169</v>
      </c>
      <c r="BG51" s="8">
        <f t="shared" si="141"/>
        <v>3077.9833357808716</v>
      </c>
      <c r="BH51" s="8">
        <f t="shared" si="141"/>
        <v>2891.8727154778421</v>
      </c>
      <c r="BI51" s="8">
        <f t="shared" si="141"/>
        <v>2717.0152954722057</v>
      </c>
      <c r="BJ51" s="8">
        <f t="shared" si="141"/>
        <v>2552.7306496994679</v>
      </c>
      <c r="BK51" s="8">
        <f t="shared" si="141"/>
        <v>2398.3794941362439</v>
      </c>
      <c r="BL51" s="8">
        <f t="shared" si="141"/>
        <v>2253.3611991419593</v>
      </c>
      <c r="BM51" s="8">
        <f t="shared" si="141"/>
        <v>2117.1114522170969</v>
      </c>
      <c r="BN51" s="8">
        <f t="shared" si="141"/>
        <v>1989.10006208304</v>
      </c>
      <c r="BO51" s="8">
        <f t="shared" si="141"/>
        <v>1868.8288955384837</v>
      </c>
      <c r="BP51" s="8">
        <f t="shared" si="141"/>
        <v>1755.8299390640641</v>
      </c>
      <c r="BQ51" s="8">
        <f t="shared" si="141"/>
        <v>1649.6634776322833</v>
      </c>
      <c r="BR51" s="8">
        <f t="shared" si="141"/>
        <v>1549.9163836359128</v>
      </c>
      <c r="BS51" s="8">
        <f t="shared" si="141"/>
        <v>1456.2005092765319</v>
      </c>
      <c r="BT51" s="8">
        <f t="shared" si="141"/>
        <v>1368.1511761574861</v>
      </c>
      <c r="BU51" s="8">
        <f t="shared" si="141"/>
        <v>1285.4257562037776</v>
      </c>
      <c r="BV51" s="8">
        <f t="shared" si="141"/>
        <v>1207.702338386805</v>
      </c>
      <c r="BW51" s="8">
        <f t="shared" si="141"/>
        <v>1134.678476065742</v>
      </c>
      <c r="BX51" s="8">
        <f t="shared" si="141"/>
        <v>1066.0700100710694</v>
      </c>
      <c r="BY51" s="8">
        <f t="shared" si="141"/>
        <v>1001.6099629504932</v>
      </c>
      <c r="BZ51" s="8">
        <f t="shared" si="141"/>
        <v>941.04750007441703</v>
      </c>
      <c r="CA51" s="8">
        <f t="shared" ref="CA51:DF51" si="142">CA47/(1+$BI$57)^CA50</f>
        <v>884.1469535582894</v>
      </c>
      <c r="CB51" s="8">
        <f t="shared" si="142"/>
        <v>830.68690520360235</v>
      </c>
      <c r="CC51" s="8">
        <f t="shared" si="142"/>
        <v>780.45932488896597</v>
      </c>
      <c r="CD51" s="8">
        <f t="shared" si="142"/>
        <v>733.2687610584702</v>
      </c>
      <c r="CE51" s="8">
        <f t="shared" si="142"/>
        <v>688.93158015726044</v>
      </c>
      <c r="CF51" s="8">
        <f t="shared" si="142"/>
        <v>647.27525205472841</v>
      </c>
      <c r="CG51" s="8">
        <f t="shared" si="142"/>
        <v>608.13767867467504</v>
      </c>
      <c r="CH51" s="8">
        <f t="shared" si="142"/>
        <v>571.36656321992723</v>
      </c>
      <c r="CI51" s="8">
        <f t="shared" si="142"/>
        <v>536.81881753686196</v>
      </c>
      <c r="CJ51" s="8">
        <f t="shared" si="142"/>
        <v>504.36000531370286</v>
      </c>
      <c r="CK51" s="8">
        <f t="shared" si="142"/>
        <v>473.86381894589749</v>
      </c>
      <c r="CL51" s="8">
        <f t="shared" si="142"/>
        <v>445.21158803288984</v>
      </c>
      <c r="CM51" s="8">
        <f t="shared" si="142"/>
        <v>418.2918175936918</v>
      </c>
      <c r="CN51" s="8">
        <f t="shared" si="142"/>
        <v>392.99975420430587</v>
      </c>
      <c r="CO51" s="8">
        <f t="shared" si="142"/>
        <v>369.23697836869667</v>
      </c>
      <c r="CP51" s="8">
        <f t="shared" si="142"/>
        <v>346.91102153710108</v>
      </c>
      <c r="CQ51" s="8">
        <f t="shared" si="142"/>
        <v>325.9350062813694</v>
      </c>
      <c r="CR51" s="8">
        <f t="shared" si="142"/>
        <v>306.22730822714715</v>
      </c>
      <c r="CS51" s="8">
        <f t="shared" si="142"/>
        <v>287.71123842736614</v>
      </c>
      <c r="CT51" s="8">
        <f t="shared" si="142"/>
        <v>270.31474494106027</v>
      </c>
      <c r="CU51" s="8">
        <f t="shared" si="142"/>
        <v>253.97013245625197</v>
      </c>
      <c r="CV51" s="8">
        <f t="shared" si="142"/>
        <v>238.613798865874</v>
      </c>
      <c r="CW51" s="8">
        <f t="shared" si="142"/>
        <v>224.18598777165838</v>
      </c>
      <c r="CX51" s="8">
        <f t="shared" si="142"/>
        <v>210.63055595290695</v>
      </c>
      <c r="CY51" s="8">
        <f t="shared" si="142"/>
        <v>197.89475489528928</v>
      </c>
      <c r="CZ51" s="8">
        <f t="shared" si="142"/>
        <v>185.92902552952768</v>
      </c>
      <c r="DA51" s="8">
        <f t="shared" si="142"/>
        <v>174.68680538123064</v>
      </c>
      <c r="DB51" s="8">
        <f t="shared" si="142"/>
        <v>164.12434738143529</v>
      </c>
      <c r="DC51" s="8">
        <f t="shared" si="142"/>
        <v>154.20054963279034</v>
      </c>
      <c r="DD51" s="8">
        <f t="shared" si="142"/>
        <v>144.87679546894722</v>
      </c>
      <c r="DE51" s="8">
        <f t="shared" si="142"/>
        <v>136.11680318477832</v>
      </c>
      <c r="DF51" s="8">
        <f t="shared" si="142"/>
        <v>127.88648485267547</v>
      </c>
      <c r="DG51" s="8">
        <f t="shared" ref="DG51:EL51" si="143">DG47/(1+$BI$57)^DG50</f>
        <v>120.15381367553694</v>
      </c>
      <c r="DH51" s="8">
        <f t="shared" si="143"/>
        <v>112.88869936027193</v>
      </c>
      <c r="DI51" s="8">
        <f t="shared" si="143"/>
        <v>106.06287102686014</v>
      </c>
      <c r="DJ51" s="8">
        <f t="shared" si="143"/>
        <v>99.649767197329069</v>
      </c>
      <c r="DK51" s="8">
        <f t="shared" si="143"/>
        <v>93.624432436560312</v>
      </c>
      <c r="DL51" s="8">
        <f t="shared" si="143"/>
        <v>87.963420242721796</v>
      </c>
      <c r="DM51" s="8">
        <f t="shared" si="143"/>
        <v>82.644701809440946</v>
      </c>
      <c r="DN51" s="8">
        <f t="shared" si="143"/>
        <v>77.647580304684055</v>
      </c>
      <c r="DO51" s="8">
        <f t="shared" si="143"/>
        <v>72.952610332772934</v>
      </c>
      <c r="DP51" s="8">
        <f t="shared" si="143"/>
        <v>68.541522266140163</v>
      </c>
      <c r="DQ51" s="8">
        <f t="shared" si="143"/>
        <v>64.397151152373539</v>
      </c>
      <c r="DR51" s="8">
        <f t="shared" si="143"/>
        <v>60.503369919904436</v>
      </c>
      <c r="DS51" s="8">
        <f t="shared" si="143"/>
        <v>56.845026622421848</v>
      </c>
      <c r="DT51" s="8">
        <f t="shared" si="143"/>
        <v>53.407885477810296</v>
      </c>
      <c r="DU51" s="8">
        <f t="shared" si="143"/>
        <v>50.178571472175257</v>
      </c>
      <c r="DV51" s="8">
        <f t="shared" si="143"/>
        <v>47.144518313392574</v>
      </c>
      <c r="DW51" s="8">
        <f t="shared" si="143"/>
        <v>44.293919531652563</v>
      </c>
      <c r="DX51" s="8">
        <f t="shared" si="143"/>
        <v>41.615682536715433</v>
      </c>
      <c r="DY51" s="8">
        <f t="shared" si="143"/>
        <v>39.099385453100084</v>
      </c>
      <c r="DZ51" s="8">
        <f t="shared" si="143"/>
        <v>36.735236565238218</v>
      </c>
      <c r="EA51" s="8">
        <f t="shared" si="143"/>
        <v>34.514036214781953</v>
      </c>
      <c r="EB51" s="8">
        <f t="shared" si="143"/>
        <v>32.427141001795135</v>
      </c>
      <c r="EC51" s="8">
        <f t="shared" si="143"/>
        <v>30.466430150523806</v>
      </c>
      <c r="ED51" s="8">
        <f t="shared" si="143"/>
        <v>28.624273908864225</v>
      </c>
      <c r="EE51" s="8">
        <f t="shared" si="143"/>
        <v>26.893503858560805</v>
      </c>
      <c r="EF51" s="8">
        <f t="shared" si="143"/>
        <v>25.267385020601324</v>
      </c>
      <c r="EG51" s="8">
        <f t="shared" si="143"/>
        <v>23.739589647262633</v>
      </c>
      <c r="EH51" s="8">
        <f t="shared" si="143"/>
        <v>22.304172598823502</v>
      </c>
      <c r="EI51" s="8">
        <f t="shared" si="143"/>
        <v>20.955548209127194</v>
      </c>
      <c r="EJ51" s="8">
        <f t="shared" si="143"/>
        <v>19.688468549970668</v>
      </c>
      <c r="EK51" s="8">
        <f t="shared" si="143"/>
        <v>18.498003009739882</v>
      </c>
      <c r="EL51" s="8">
        <f t="shared" si="143"/>
        <v>17.379519106825381</v>
      </c>
      <c r="EM51" s="8">
        <f t="shared" ref="EM51:FR51" si="144">EM47/(1+$BI$57)^EM50</f>
        <v>16.328664463156869</v>
      </c>
      <c r="EN51" s="8">
        <f t="shared" si="144"/>
        <v>15.341349867710177</v>
      </c>
      <c r="EO51" s="8">
        <f t="shared" si="144"/>
        <v>14.413733364081187</v>
      </c>
      <c r="EP51" s="8">
        <f t="shared" si="144"/>
        <v>13.542205300206509</v>
      </c>
      <c r="EQ51" s="8">
        <f t="shared" si="144"/>
        <v>12.723374282054488</v>
      </c>
      <c r="ER51" s="8">
        <f t="shared" si="144"/>
        <v>11.954053976627939</v>
      </c>
      <c r="ES51" s="8">
        <f t="shared" si="144"/>
        <v>11.231250712924856</v>
      </c>
      <c r="ET51" s="8">
        <f t="shared" si="144"/>
        <v>10.552151832608468</v>
      </c>
      <c r="EU51" s="8">
        <f t="shared" si="144"/>
        <v>9.9141147450553966</v>
      </c>
      <c r="EV51" s="8">
        <f t="shared" si="144"/>
        <v>9.314656644191583</v>
      </c>
      <c r="EW51" s="8">
        <f t="shared" si="144"/>
        <v>8.7514448471009292</v>
      </c>
      <c r="EX51" s="8">
        <f t="shared" si="144"/>
        <v>8.2222877168111079</v>
      </c>
      <c r="EY51" s="8">
        <f t="shared" si="144"/>
        <v>7.7251261339341557</v>
      </c>
      <c r="EZ51" s="8">
        <f t="shared" si="144"/>
        <v>7.2580254839753469</v>
      </c>
      <c r="FA51" s="8">
        <f t="shared" si="144"/>
        <v>6.8191681291303263</v>
      </c>
      <c r="FB51" s="8">
        <f t="shared" si="144"/>
        <v>6.4068463352759348</v>
      </c>
      <c r="FC51" s="8">
        <f t="shared" si="144"/>
        <v>6.019455626631343</v>
      </c>
      <c r="FD51" s="8">
        <f t="shared" si="144"/>
        <v>5.6554885422303789</v>
      </c>
      <c r="FE51" s="8">
        <f t="shared" si="144"/>
        <v>5.313528769909472</v>
      </c>
      <c r="FF51" s="8">
        <f t="shared" si="144"/>
        <v>4.9922456349847133</v>
      </c>
      <c r="FG51" s="8">
        <f t="shared" si="144"/>
        <v>4.6903889221716843</v>
      </c>
      <c r="FH51" s="8">
        <f t="shared" si="144"/>
        <v>4.4067840105985132</v>
      </c>
      <c r="FI51" s="8">
        <f t="shared" si="144"/>
        <v>4.1403273029809284</v>
      </c>
      <c r="FJ51" s="8">
        <f t="shared" si="144"/>
        <v>3.8899819311727799</v>
      </c>
      <c r="FK51" s="8">
        <f t="shared" si="144"/>
        <v>3.6547737213809368</v>
      </c>
      <c r="FL51" s="8">
        <f t="shared" si="144"/>
        <v>3.4337874033439513</v>
      </c>
      <c r="FM51" s="8">
        <f t="shared" si="144"/>
        <v>3.2261630487231541</v>
      </c>
      <c r="FN51" s="8">
        <f t="shared" si="144"/>
        <v>3.0310927248468702</v>
      </c>
      <c r="FO51" s="8">
        <f t="shared" si="144"/>
        <v>2.8478173507863609</v>
      </c>
      <c r="FP51" s="8">
        <f t="shared" si="144"/>
        <v>2.675623743529512</v>
      </c>
      <c r="FQ51" s="8">
        <f t="shared" si="144"/>
        <v>2.5138418427579601</v>
      </c>
      <c r="FR51" s="8">
        <f t="shared" si="144"/>
        <v>2.3618421034284092</v>
      </c>
      <c r="FS51" s="8">
        <f t="shared" ref="FS51:GX51" si="145">FS47/(1+$BI$57)^FS50</f>
        <v>2.2190330460118077</v>
      </c>
      <c r="FT51" s="8">
        <f t="shared" si="145"/>
        <v>2.0848589548576055</v>
      </c>
      <c r="FU51" s="8">
        <f t="shared" si="145"/>
        <v>1.9587977157266807</v>
      </c>
      <c r="FV51" s="8">
        <f t="shared" si="145"/>
        <v>1.8403587840780906</v>
      </c>
      <c r="FW51" s="8">
        <f t="shared" si="145"/>
        <v>1.7290812762036014</v>
      </c>
      <c r="FX51" s="8">
        <f t="shared" si="145"/>
        <v>1.6245321757819884</v>
      </c>
      <c r="FY51" s="8">
        <f t="shared" si="145"/>
        <v>1.5263046488742404</v>
      </c>
      <c r="FZ51" s="8">
        <f t="shared" si="145"/>
        <v>1.4340164608027748</v>
      </c>
      <c r="GA51" s="8">
        <f t="shared" si="145"/>
        <v>1.3473084887542348</v>
      </c>
      <c r="GB51" s="8">
        <f t="shared" si="145"/>
        <v>1.2658433243179326</v>
      </c>
      <c r="GC51" s="8">
        <f t="shared" si="145"/>
        <v>1.1893039605219646</v>
      </c>
      <c r="GD51" s="8">
        <f t="shared" si="145"/>
        <v>1.1173925582578457</v>
      </c>
      <c r="GE51" s="8">
        <f t="shared" si="145"/>
        <v>1.0498292872934178</v>
      </c>
      <c r="GF51" s="8">
        <f t="shared" si="145"/>
        <v>0.98635123736404851</v>
      </c>
      <c r="GG51" s="8">
        <f t="shared" si="145"/>
        <v>0.92671139510482703</v>
      </c>
      <c r="GH51" s="8">
        <f t="shared" si="145"/>
        <v>0.87067768284267477</v>
      </c>
      <c r="GI51" s="8">
        <f t="shared" si="145"/>
        <v>0.81803205550800151</v>
      </c>
      <c r="GJ51" s="8">
        <f t="shared" si="145"/>
        <v>0.76856965215170381</v>
      </c>
      <c r="GK51" s="8">
        <f t="shared" si="145"/>
        <v>0.72209799876578673</v>
      </c>
      <c r="GL51" s="8">
        <f t="shared" si="145"/>
        <v>0.67843625930552987</v>
      </c>
      <c r="GM51" s="8">
        <f t="shared" si="145"/>
        <v>0.63741453199868392</v>
      </c>
      <c r="GN51" s="8">
        <f t="shared" si="145"/>
        <v>0.59887318820341462</v>
      </c>
      <c r="GO51" s="8">
        <f t="shared" si="145"/>
        <v>0.56266225124227798</v>
      </c>
      <c r="GP51" s="8">
        <f t="shared" si="145"/>
        <v>0.52864081279507047</v>
      </c>
      <c r="GQ51" s="8">
        <f t="shared" si="145"/>
        <v>0.4966764845795546</v>
      </c>
      <c r="GR51" s="8">
        <f t="shared" si="145"/>
        <v>0.46664488318637232</v>
      </c>
      <c r="GS51" s="8">
        <f t="shared" si="145"/>
        <v>0.43842914606347533</v>
      </c>
      <c r="GT51" s="8">
        <f t="shared" si="145"/>
        <v>0.41191947676661406</v>
      </c>
      <c r="GU51" s="8">
        <f t="shared" si="145"/>
        <v>0.38701271770630707</v>
      </c>
      <c r="GV51" s="8">
        <f t="shared" si="145"/>
        <v>0.36361194872871649</v>
      </c>
      <c r="GW51" s="8">
        <f t="shared" si="145"/>
        <v>0.3416261099683755</v>
      </c>
      <c r="GX51" s="8">
        <f t="shared" si="145"/>
        <v>0.32096964750517143</v>
      </c>
      <c r="GY51" s="8">
        <f t="shared" ref="GY51:HU51" si="146">GY47/(1+$BI$57)^GY50</f>
        <v>0.30156218044671917</v>
      </c>
      <c r="GZ51" s="8">
        <f t="shared" si="146"/>
        <v>0.28332818814063854</v>
      </c>
      <c r="HA51" s="8">
        <f t="shared" si="146"/>
        <v>0.2661967162995767</v>
      </c>
      <c r="HB51" s="8">
        <f t="shared" si="146"/>
        <v>0.25010110089541615</v>
      </c>
      <c r="HC51" s="8">
        <f t="shared" si="146"/>
        <v>0.23497870874825147</v>
      </c>
      <c r="HD51" s="8">
        <f t="shared" si="146"/>
        <v>0.22077069380068282</v>
      </c>
      <c r="HE51" s="8">
        <f t="shared" si="146"/>
        <v>0.20742176812901361</v>
      </c>
      <c r="HF51" s="8">
        <f t="shared" si="146"/>
        <v>0.19487998680028251</v>
      </c>
      <c r="HG51" s="8">
        <f t="shared" si="146"/>
        <v>0.18309654573793988</v>
      </c>
      <c r="HH51" s="8">
        <f t="shared" si="146"/>
        <v>0.17202559180959937</v>
      </c>
      <c r="HI51" s="8">
        <f t="shared" si="146"/>
        <v>0.16162404439785613</v>
      </c>
      <c r="HJ51" s="8">
        <f t="shared" si="146"/>
        <v>0.15185142775984625</v>
      </c>
      <c r="HK51" s="8">
        <f t="shared" si="146"/>
        <v>0.14266971352320434</v>
      </c>
      <c r="HL51" s="8">
        <f t="shared" si="146"/>
        <v>0.13404317270552224</v>
      </c>
      <c r="HM51" s="8">
        <f t="shared" si="146"/>
        <v>0.12593823668146742</v>
      </c>
      <c r="HN51" s="8">
        <f t="shared" si="146"/>
        <v>0.11832336655654148</v>
      </c>
      <c r="HO51" s="8">
        <f t="shared" si="146"/>
        <v>0.11116893043916921</v>
      </c>
      <c r="HP51" s="8">
        <f t="shared" si="146"/>
        <v>0.10444708813354503</v>
      </c>
      <c r="HQ51" s="8">
        <f t="shared" si="146"/>
        <v>9.8131682804539988E-2</v>
      </c>
      <c r="HR51" s="8">
        <f t="shared" si="146"/>
        <v>9.2198139193102685E-2</v>
      </c>
      <c r="HS51" s="8">
        <f t="shared" si="146"/>
        <v>8.6623367986077865E-2</v>
      </c>
      <c r="HT51" s="8">
        <f t="shared" si="146"/>
        <v>8.138567596831503E-2</v>
      </c>
      <c r="HU51" s="8">
        <f t="shared" si="146"/>
        <v>7.6464681607440174E-2</v>
      </c>
      <c r="HV51" s="8">
        <f>HV47/(1+$BI$57)^HV50</f>
        <v>7.1841235742804252E-2</v>
      </c>
      <c r="HW51" s="8">
        <f>HW47/(1+$BI$57)^HW50</f>
        <v>6.7497347069983532E-2</v>
      </c>
      <c r="HX51" s="8">
        <f>HX47/(1+$BI$57)^HX50</f>
        <v>6.3416112130868257E-2</v>
      </c>
      <c r="HY51" s="8">
        <f>HY47/(1+$BI$57)^HY50</f>
        <v>5.9581649536908775E-2</v>
      </c>
      <c r="HZ51" s="8">
        <f>HZ47/(1+$BI$57)^HZ50</f>
        <v>5.5979038169560805E-2</v>
      </c>
      <c r="IA51" s="8">
        <f>IA47/(1+$BI$57)^IA50</f>
        <v>5.2594259117447813E-2</v>
      </c>
      <c r="IB51" s="8">
        <f>IB47/(1+$BI$57)^IB50</f>
        <v>4.9414141124299815E-2</v>
      </c>
      <c r="IC51" s="8">
        <f>IC47/(1+$BI$57)^IC50</f>
        <v>4.642630933538866E-2</v>
      </c>
      <c r="ID51" s="8">
        <f>ID47/(1+$BI$57)^ID50</f>
        <v>4.361913714301633E-2</v>
      </c>
      <c r="IE51" s="8">
        <f>IE47/(1+$BI$57)^IE50</f>
        <v>4.0981700943671151E-2</v>
      </c>
      <c r="IF51" s="8">
        <f>IF47/(1+$BI$57)^IF50</f>
        <v>3.8503737630798021E-2</v>
      </c>
      <c r="IG51" s="8">
        <f>IG47/(1+$BI$57)^IG50</f>
        <v>3.6175604657773024E-2</v>
      </c>
      <c r="IH51" s="8">
        <f>IH47/(1+$BI$57)^IH50</f>
        <v>3.3988242515675123E-2</v>
      </c>
      <c r="II51" s="8">
        <f>II47/(1+$BI$57)^II50</f>
        <v>3.1933139479843595E-2</v>
      </c>
      <c r="IJ51" s="8">
        <f>IJ47/(1+$BI$57)^IJ50</f>
        <v>3.0002298488039106E-2</v>
      </c>
      <c r="IK51" s="8">
        <f>IK47/(1+$BI$57)^IK50</f>
        <v>2.8188206021320463E-2</v>
      </c>
      <c r="IL51" s="8">
        <f>IL47/(1+$BI$57)^IL50</f>
        <v>2.6483802866542946E-2</v>
      </c>
      <c r="IM51" s="8">
        <f>IM47/(1+$BI$57)^IM50</f>
        <v>2.4882456646705468E-2</v>
      </c>
      <c r="IN51" s="8">
        <f>IN47/(1+$BI$57)^IN50</f>
        <v>2.3377936012253513E-2</v>
      </c>
      <c r="IO51" s="8">
        <f>IO47/(1+$BI$57)^IO50</f>
        <v>2.1964386392907948E-2</v>
      </c>
      <c r="IP51" s="8">
        <f>IP47/(1+$BI$57)^IP50</f>
        <v>2.0636307215662352E-2</v>
      </c>
      <c r="IQ51" s="8">
        <f>IQ47/(1+$BI$57)^IQ50</f>
        <v>1.9388530500296722E-2</v>
      </c>
      <c r="IR51" s="8">
        <f>IR47/(1+$BI$57)^IR50</f>
        <v>1.821620074911599E-2</v>
      </c>
      <c r="IS51" s="8">
        <f>IS47/(1+$BI$57)^IS50</f>
        <v>1.7114756052657814E-2</v>
      </c>
      <c r="IT51" s="8">
        <f>IT47/(1+$BI$57)^IT50</f>
        <v>1.6079910337845948E-2</v>
      </c>
      <c r="IU51" s="8">
        <f>IU47/(1+$BI$57)^IU50</f>
        <v>1.5107636689511077E-2</v>
      </c>
      <c r="IV51" s="8">
        <f>IV47/(1+$BI$57)^IV50</f>
        <v>1.419415168037785E-2</v>
      </c>
    </row>
    <row r="52" spans="1:256">
      <c r="AV52" s="8">
        <f>SUM(AU51:HU51)</f>
        <v>99677.972762781792</v>
      </c>
      <c r="AW52" s="22"/>
      <c r="BH52" s="23"/>
      <c r="BI52" s="23"/>
    </row>
    <row r="53" spans="1:256">
      <c r="BH53" s="23"/>
      <c r="BI53" s="23"/>
    </row>
    <row r="54" spans="1:256">
      <c r="BG54" s="9"/>
      <c r="BH54" s="24" t="s">
        <v>136</v>
      </c>
      <c r="BI54" s="25">
        <v>0.04</v>
      </c>
      <c r="BJ54" s="9"/>
    </row>
    <row r="55" spans="1:256" s="26" customFormat="1">
      <c r="B55" s="26" t="s">
        <v>39</v>
      </c>
      <c r="C55" s="27"/>
      <c r="D55" s="27"/>
      <c r="E55" s="27"/>
      <c r="F55" s="27"/>
      <c r="G55" s="27">
        <f t="shared" ref="G55:X55" si="147">+G30/C30-1</f>
        <v>9.203615588521008E-2</v>
      </c>
      <c r="H55" s="27">
        <f t="shared" si="147"/>
        <v>4.5442488146158588E-2</v>
      </c>
      <c r="I55" s="27">
        <f t="shared" si="147"/>
        <v>8.1248118156030502E-2</v>
      </c>
      <c r="J55" s="27">
        <f t="shared" si="147"/>
        <v>7.0340757662288089E-2</v>
      </c>
      <c r="K55" s="27">
        <f t="shared" si="147"/>
        <v>7.0016735266180907E-2</v>
      </c>
      <c r="L55" s="27">
        <f t="shared" si="147"/>
        <v>-4.9192026514851106E-2</v>
      </c>
      <c r="M55" s="27">
        <f t="shared" si="147"/>
        <v>-0.38119595485856661</v>
      </c>
      <c r="N55" s="27">
        <f t="shared" si="147"/>
        <v>-8.0613606047131969E-2</v>
      </c>
      <c r="O55" s="27">
        <f t="shared" si="147"/>
        <v>-4.8991841738174613E-2</v>
      </c>
      <c r="P55" s="27">
        <f t="shared" si="147"/>
        <v>0.11213036009139876</v>
      </c>
      <c r="Q55" s="27">
        <f t="shared" si="147"/>
        <v>0.77553823926482068</v>
      </c>
      <c r="R55" s="27">
        <f t="shared" si="147"/>
        <v>0.31332720736405983</v>
      </c>
      <c r="S55" s="27">
        <f t="shared" si="147"/>
        <v>0.19275787477405393</v>
      </c>
      <c r="T55" s="27">
        <f t="shared" si="147"/>
        <v>0.14511097780443905</v>
      </c>
      <c r="U55" s="27">
        <f t="shared" si="147"/>
        <v>8.7187354098579473E-2</v>
      </c>
      <c r="V55" s="27">
        <f t="shared" si="147"/>
        <v>3.2835381197294566E-2</v>
      </c>
      <c r="W55" s="27">
        <f t="shared" si="147"/>
        <v>0</v>
      </c>
      <c r="X55" s="27">
        <f t="shared" si="147"/>
        <v>0.14199277070564187</v>
      </c>
      <c r="Y55" s="27">
        <f t="shared" ref="Y55" si="148">+Y30/U30-1</f>
        <v>0.12493098244193312</v>
      </c>
      <c r="Z55" s="27">
        <f t="shared" ref="Z55" si="149">+Z30/V30-1</f>
        <v>0.19287632811200117</v>
      </c>
      <c r="AA55" s="27">
        <f>+AA30/V30-1</f>
        <v>0.12016591000927002</v>
      </c>
      <c r="AB55" s="27">
        <f>+AB30/W30-1</f>
        <v>6.3673854715293743E-2</v>
      </c>
      <c r="AC55" s="27"/>
      <c r="AD55" s="27"/>
      <c r="AK55" s="26">
        <f t="shared" ref="AK55:BD55" si="150">+AK30/AJ30-1</f>
        <v>0.10634433771894414</v>
      </c>
      <c r="AL55" s="26">
        <f t="shared" si="150"/>
        <v>0.16506158878391042</v>
      </c>
      <c r="AM55" s="26">
        <f t="shared" si="150"/>
        <v>0.1123641240534996</v>
      </c>
      <c r="AN55" s="26">
        <f t="shared" si="150"/>
        <v>5.0239492585347101E-2</v>
      </c>
      <c r="AO55" s="26">
        <f t="shared" si="150"/>
        <v>0.10419979630853904</v>
      </c>
      <c r="AP55" s="26">
        <f t="shared" si="150"/>
        <v>7.2376059386314306E-2</v>
      </c>
      <c r="AQ55" s="26">
        <f t="shared" si="150"/>
        <v>-0.11281621813298326</v>
      </c>
      <c r="AR55" s="26">
        <f t="shared" si="150"/>
        <v>0.23567480227910553</v>
      </c>
      <c r="AS55" s="26">
        <f t="shared" si="150"/>
        <v>0.10976029400631759</v>
      </c>
      <c r="AT55" s="26">
        <f t="shared" si="150"/>
        <v>0.11551210376337595</v>
      </c>
      <c r="AU55" s="26">
        <f>+AU30/AT30-1</f>
        <v>8.800000000000141E-3</v>
      </c>
      <c r="AV55" s="26">
        <f t="shared" si="150"/>
        <v>4.0000000000000036E-2</v>
      </c>
      <c r="AW55" s="26">
        <f t="shared" si="150"/>
        <v>4.0000000000000036E-2</v>
      </c>
      <c r="AX55" s="26">
        <f t="shared" si="150"/>
        <v>4.0000000000000036E-2</v>
      </c>
      <c r="AY55" s="26">
        <f t="shared" si="150"/>
        <v>4.0000000000000036E-2</v>
      </c>
      <c r="AZ55" s="26">
        <f t="shared" si="150"/>
        <v>4.0000000000000258E-2</v>
      </c>
      <c r="BA55" s="26">
        <f t="shared" si="150"/>
        <v>4.0000000000000036E-2</v>
      </c>
      <c r="BB55" s="26">
        <f t="shared" si="150"/>
        <v>4.0000000000000036E-2</v>
      </c>
      <c r="BC55" s="26">
        <f t="shared" si="150"/>
        <v>4.0000000000000036E-2</v>
      </c>
      <c r="BD55" s="26">
        <f t="shared" si="150"/>
        <v>4.0000000000000036E-2</v>
      </c>
      <c r="BG55" s="8"/>
      <c r="BH55" s="28" t="s">
        <v>137</v>
      </c>
      <c r="BI55" s="29">
        <v>0.05</v>
      </c>
      <c r="BJ55" s="8"/>
    </row>
    <row r="56" spans="1:256" s="9" customFormat="1">
      <c r="B56" s="9" t="s">
        <v>50</v>
      </c>
      <c r="C56" s="12"/>
      <c r="D56" s="12"/>
      <c r="E56" s="12"/>
      <c r="F56" s="12"/>
      <c r="G56" s="27">
        <f t="shared" ref="G56:Z56" si="151">+G39/G30</f>
        <v>0.15964840864203117</v>
      </c>
      <c r="H56" s="27">
        <f t="shared" si="151"/>
        <v>0.14283448833631976</v>
      </c>
      <c r="I56" s="27">
        <f t="shared" si="151"/>
        <v>0.1698666275831747</v>
      </c>
      <c r="J56" s="27">
        <f t="shared" si="151"/>
        <v>0.16230917444790277</v>
      </c>
      <c r="K56" s="27">
        <f t="shared" si="151"/>
        <v>0.17276070507672148</v>
      </c>
      <c r="L56" s="27">
        <f t="shared" si="151"/>
        <v>8.1174841970078432E-2</v>
      </c>
      <c r="M56" s="27">
        <f t="shared" si="151"/>
        <v>-0.14822008005494891</v>
      </c>
      <c r="N56" s="27">
        <f t="shared" si="151"/>
        <v>0.1214392803598203</v>
      </c>
      <c r="O56" s="27">
        <f t="shared" si="151"/>
        <v>0.1460426111950692</v>
      </c>
      <c r="P56" s="27">
        <f t="shared" si="151"/>
        <v>0.15155968806238754</v>
      </c>
      <c r="Q56" s="27">
        <f t="shared" si="151"/>
        <v>0.20122723937837669</v>
      </c>
      <c r="R56" s="27">
        <f t="shared" si="151"/>
        <v>0.18875127352179408</v>
      </c>
      <c r="S56" s="27">
        <f t="shared" si="151"/>
        <v>0.14537165855112791</v>
      </c>
      <c r="T56" s="27">
        <f t="shared" si="151"/>
        <v>0.12484938970087484</v>
      </c>
      <c r="U56" s="27">
        <f t="shared" si="151"/>
        <v>0.16067287517944559</v>
      </c>
      <c r="V56" s="27">
        <f t="shared" si="151"/>
        <v>0.14625276318604255</v>
      </c>
      <c r="W56" s="27">
        <f t="shared" si="151"/>
        <v>0.14537165855112791</v>
      </c>
      <c r="X56" s="27">
        <f t="shared" si="151"/>
        <v>0.15324892772770024</v>
      </c>
      <c r="Y56" s="27">
        <f t="shared" si="151"/>
        <v>0.1735327159887875</v>
      </c>
      <c r="Z56" s="27">
        <f t="shared" si="151"/>
        <v>0.17883651652369692</v>
      </c>
      <c r="AA56" s="27"/>
      <c r="AB56" s="27"/>
      <c r="AC56" s="27"/>
      <c r="AD56" s="27"/>
      <c r="AL56" s="26">
        <f t="shared" ref="AL56:BD56" si="152">+AL39/AL30</f>
        <v>0.18791715154962507</v>
      </c>
      <c r="AM56" s="26">
        <f t="shared" si="152"/>
        <v>0.19571775059931776</v>
      </c>
      <c r="AN56" s="26">
        <f t="shared" si="152"/>
        <v>0.19155037790126303</v>
      </c>
      <c r="AO56" s="26">
        <f t="shared" si="152"/>
        <v>0.16617245494447688</v>
      </c>
      <c r="AP56" s="26">
        <f t="shared" si="152"/>
        <v>0.15895596146156341</v>
      </c>
      <c r="AQ56" s="26">
        <f t="shared" si="152"/>
        <v>7.8250701590271324E-2</v>
      </c>
      <c r="AR56" s="26">
        <f t="shared" si="152"/>
        <v>0.17351672023289266</v>
      </c>
      <c r="AS56" s="26">
        <f t="shared" si="152"/>
        <v>0.14460950750845727</v>
      </c>
      <c r="AT56" s="26">
        <f t="shared" si="152"/>
        <v>0.16379434950355234</v>
      </c>
      <c r="AU56" s="26">
        <f t="shared" si="152"/>
        <v>0.19913218959517009</v>
      </c>
      <c r="AV56" s="26">
        <f t="shared" si="152"/>
        <v>0.19913218959516998</v>
      </c>
      <c r="AW56" s="26">
        <f t="shared" si="152"/>
        <v>0.19913218959516993</v>
      </c>
      <c r="AX56" s="26">
        <f t="shared" si="152"/>
        <v>0.19913218959516996</v>
      </c>
      <c r="AY56" s="26">
        <f t="shared" si="152"/>
        <v>0.19913218959516996</v>
      </c>
      <c r="AZ56" s="26">
        <f t="shared" si="152"/>
        <v>0.19913218959517001</v>
      </c>
      <c r="BA56" s="26">
        <f t="shared" si="152"/>
        <v>0.19913218959517009</v>
      </c>
      <c r="BB56" s="26">
        <f t="shared" si="152"/>
        <v>0.19913218959516993</v>
      </c>
      <c r="BC56" s="26">
        <f t="shared" si="152"/>
        <v>0.19913218959517001</v>
      </c>
      <c r="BD56" s="26">
        <f t="shared" si="152"/>
        <v>0.19913218959516993</v>
      </c>
      <c r="BG56" s="8"/>
      <c r="BH56" s="30" t="s">
        <v>112</v>
      </c>
      <c r="BI56" s="29">
        <v>0.01</v>
      </c>
      <c r="BJ56" s="8"/>
    </row>
    <row r="57" spans="1:256">
      <c r="B57" s="8" t="s">
        <v>153</v>
      </c>
      <c r="O57" s="11"/>
      <c r="T57" s="11">
        <f>931.5/5445.7</f>
        <v>0.17105238995905026</v>
      </c>
      <c r="U57" s="11"/>
      <c r="V57" s="11"/>
      <c r="W57" s="11"/>
      <c r="X57" s="11">
        <f>1217.9/6380.6</f>
        <v>0.19087546625709181</v>
      </c>
      <c r="Y57" s="11">
        <f>1217.9/6380.6</f>
        <v>0.19087546625709181</v>
      </c>
      <c r="Z57" s="11">
        <f>1217.9/6380.6</f>
        <v>0.19087546625709181</v>
      </c>
      <c r="AA57" s="11"/>
      <c r="AB57" s="11"/>
      <c r="AC57" s="11"/>
      <c r="AD57" s="11"/>
      <c r="BH57" s="30" t="s">
        <v>44</v>
      </c>
      <c r="BI57" s="42">
        <v>7.4999999999999997E-2</v>
      </c>
    </row>
    <row r="58" spans="1:256">
      <c r="B58" s="8" t="s">
        <v>154</v>
      </c>
      <c r="O58" s="11"/>
      <c r="T58" s="11">
        <f>180.7/1702.4</f>
        <v>0.10614426691729321</v>
      </c>
      <c r="U58" s="11"/>
      <c r="V58" s="11"/>
      <c r="W58" s="11"/>
      <c r="X58" s="11">
        <f>314.7/1854.8</f>
        <v>0.16966788872115593</v>
      </c>
      <c r="Y58" s="11">
        <f>314.7/1854.8</f>
        <v>0.16966788872115593</v>
      </c>
      <c r="Z58" s="11">
        <f>314.7/1854.8</f>
        <v>0.16966788872115593</v>
      </c>
      <c r="AA58" s="11"/>
      <c r="AB58" s="11"/>
      <c r="AC58" s="11"/>
      <c r="AD58" s="11"/>
      <c r="BH58" s="28" t="s">
        <v>184</v>
      </c>
      <c r="BI58" s="31">
        <f>NPV(BI57,AU47:IV47)</f>
        <v>99678.940351016019</v>
      </c>
    </row>
    <row r="59" spans="1:256">
      <c r="A59" s="8" t="s">
        <v>156</v>
      </c>
      <c r="B59" s="8" t="s">
        <v>155</v>
      </c>
      <c r="O59" s="11"/>
      <c r="T59" s="11">
        <f>197.9/463.1</f>
        <v>0.42733750809760312</v>
      </c>
      <c r="U59" s="11"/>
      <c r="V59" s="11"/>
      <c r="W59" s="11"/>
      <c r="X59" s="11">
        <f>262.1/480.7</f>
        <v>0.54524651549823178</v>
      </c>
      <c r="Y59" s="11">
        <f>262.1/480.7</f>
        <v>0.54524651549823178</v>
      </c>
      <c r="Z59" s="11">
        <f>262.1/480.7</f>
        <v>0.54524651549823178</v>
      </c>
      <c r="AA59" s="11"/>
      <c r="AB59" s="11"/>
      <c r="AC59" s="11"/>
      <c r="AD59" s="11"/>
      <c r="BH59" s="28" t="s">
        <v>59</v>
      </c>
      <c r="BI59" s="31">
        <f>+AB65</f>
        <v>-12182.6</v>
      </c>
    </row>
    <row r="60" spans="1:256">
      <c r="B60" s="8" t="s">
        <v>143</v>
      </c>
      <c r="C60" s="4">
        <f>+C39+C34</f>
        <v>1402.5000000000002</v>
      </c>
      <c r="D60" s="4">
        <f t="shared" ref="D60:Z60" si="153">+D39+D34</f>
        <v>1238.8000000000002</v>
      </c>
      <c r="E60" s="4">
        <f t="shared" si="153"/>
        <v>1385.1000000000008</v>
      </c>
      <c r="F60" s="4">
        <f t="shared" si="153"/>
        <v>1328.4000000000005</v>
      </c>
      <c r="G60" s="4">
        <f t="shared" si="153"/>
        <v>1392.3000000000002</v>
      </c>
      <c r="H60" s="4">
        <f t="shared" si="153"/>
        <v>1256.8999999999987</v>
      </c>
      <c r="I60" s="4">
        <f t="shared" si="153"/>
        <v>1502.1000000000008</v>
      </c>
      <c r="J60" s="4">
        <f t="shared" si="153"/>
        <v>1439.8</v>
      </c>
      <c r="K60" s="4">
        <f t="shared" si="153"/>
        <v>1577.1</v>
      </c>
      <c r="L60" s="4">
        <f t="shared" si="153"/>
        <v>842.99999999999932</v>
      </c>
      <c r="M60" s="4">
        <f t="shared" si="153"/>
        <v>-264.79999999999984</v>
      </c>
      <c r="N60" s="4">
        <f t="shared" si="153"/>
        <v>1116.2000000000012</v>
      </c>
      <c r="O60" s="4">
        <f t="shared" si="153"/>
        <v>1351.8000000000002</v>
      </c>
      <c r="P60" s="4">
        <f t="shared" si="153"/>
        <v>1377.3</v>
      </c>
      <c r="Q60" s="4">
        <f t="shared" si="153"/>
        <v>1862.8000000000009</v>
      </c>
      <c r="R60" s="4">
        <f t="shared" si="153"/>
        <v>1892.3999999999999</v>
      </c>
      <c r="S60" s="4">
        <f t="shared" si="153"/>
        <v>1536.3</v>
      </c>
      <c r="T60" s="4">
        <f t="shared" si="153"/>
        <v>1320.9999999999998</v>
      </c>
      <c r="U60" s="4">
        <f t="shared" si="153"/>
        <v>1666.2999999999995</v>
      </c>
      <c r="V60" s="4">
        <f t="shared" si="153"/>
        <v>1587.9999999999991</v>
      </c>
      <c r="W60" s="4">
        <f t="shared" si="153"/>
        <v>1536.3</v>
      </c>
      <c r="X60" s="4">
        <f t="shared" si="153"/>
        <v>1678.2000000000003</v>
      </c>
      <c r="Y60" s="4">
        <f t="shared" si="153"/>
        <v>1933.2000000000003</v>
      </c>
      <c r="Z60" s="4">
        <f t="shared" si="153"/>
        <v>2107.4999999999982</v>
      </c>
      <c r="AA60" s="4"/>
      <c r="AB60" s="4"/>
      <c r="AC60" s="4"/>
      <c r="AD60" s="4"/>
      <c r="AJ60" s="4">
        <f t="shared" ref="AJ60:BC60" si="154">+AJ39+AJ34</f>
        <v>3080.1000000000013</v>
      </c>
      <c r="AK60" s="4">
        <f t="shared" si="154"/>
        <v>3770.5000000000005</v>
      </c>
      <c r="AL60" s="4">
        <f t="shared" si="154"/>
        <v>4494.9000000000005</v>
      </c>
      <c r="AM60" s="4">
        <f t="shared" si="154"/>
        <v>5152.6999999999971</v>
      </c>
      <c r="AN60" s="4">
        <f t="shared" si="154"/>
        <v>5299.5999999999949</v>
      </c>
      <c r="AO60" s="4">
        <f t="shared" si="154"/>
        <v>5354.6999999999962</v>
      </c>
      <c r="AP60" s="4">
        <f t="shared" si="154"/>
        <v>5591.0999999999995</v>
      </c>
      <c r="AQ60" s="4">
        <f t="shared" si="154"/>
        <v>3271.5000000000009</v>
      </c>
      <c r="AR60" s="4">
        <f t="shared" si="154"/>
        <v>6484.3000000000011</v>
      </c>
      <c r="AS60" s="4">
        <f t="shared" si="154"/>
        <v>6111.5999999999985</v>
      </c>
      <c r="AT60" s="4">
        <f t="shared" si="154"/>
        <v>7255.1999999999971</v>
      </c>
      <c r="AU60" s="4">
        <f t="shared" si="154"/>
        <v>7226.9423200000019</v>
      </c>
      <c r="AV60" s="4">
        <f t="shared" si="154"/>
        <v>7516.0200127999988</v>
      </c>
      <c r="AW60" s="4">
        <f t="shared" si="154"/>
        <v>7816.6608133119962</v>
      </c>
      <c r="AX60" s="4">
        <f t="shared" si="154"/>
        <v>8129.3272458444781</v>
      </c>
      <c r="AY60" s="4">
        <f t="shared" si="154"/>
        <v>8454.5003356782563</v>
      </c>
      <c r="AZ60" s="4">
        <f t="shared" si="154"/>
        <v>8792.6803491053906</v>
      </c>
      <c r="BA60" s="4">
        <f t="shared" si="154"/>
        <v>9144.3875630696093</v>
      </c>
      <c r="BB60" s="4">
        <f t="shared" si="154"/>
        <v>9510.1630655923873</v>
      </c>
      <c r="BC60" s="4">
        <f t="shared" si="154"/>
        <v>9890.5695882160871</v>
      </c>
      <c r="BD60" s="4">
        <f t="shared" ref="BD60" si="155">+BD39+BD34</f>
        <v>10286.192371744728</v>
      </c>
      <c r="BG60" s="9"/>
      <c r="BH60" s="32" t="s">
        <v>185</v>
      </c>
      <c r="BI60" s="33">
        <f>+BI58+BI59</f>
        <v>87496.340351016013</v>
      </c>
      <c r="BJ60" s="9"/>
    </row>
    <row r="61" spans="1:256">
      <c r="BH61" s="28" t="s">
        <v>47</v>
      </c>
      <c r="BI61" s="31">
        <f>+Main!I4</f>
        <v>1132.7</v>
      </c>
    </row>
    <row r="62" spans="1:256">
      <c r="BH62" s="32" t="s">
        <v>46</v>
      </c>
      <c r="BI62" s="33">
        <f>+BI60/BI61</f>
        <v>77.245820032679447</v>
      </c>
    </row>
    <row r="63" spans="1:256">
      <c r="BH63" s="28" t="s">
        <v>48</v>
      </c>
      <c r="BI63" s="31">
        <f>+Main!I3</f>
        <v>78.87</v>
      </c>
    </row>
    <row r="64" spans="1:256">
      <c r="BH64" s="34" t="s">
        <v>49</v>
      </c>
      <c r="BI64" s="35">
        <f>+BI62/BI63-1</f>
        <v>-2.0593127517694376E-2</v>
      </c>
    </row>
    <row r="65" spans="2:62" s="9" customFormat="1">
      <c r="B65" s="9" t="s">
        <v>59</v>
      </c>
      <c r="C65" s="12"/>
      <c r="D65" s="12"/>
      <c r="E65" s="12"/>
      <c r="F65" s="12"/>
      <c r="G65" s="12"/>
      <c r="H65" s="12"/>
      <c r="I65" s="12"/>
      <c r="J65" s="12">
        <f t="shared" ref="J65:X65" si="156">+SUM(J66:J67,J72)-SUM(J88:J89,J91)</f>
        <v>-8189.9</v>
      </c>
      <c r="K65" s="12">
        <f t="shared" si="156"/>
        <v>-8341.1</v>
      </c>
      <c r="L65" s="12">
        <f t="shared" si="156"/>
        <v>-11191.2</v>
      </c>
      <c r="M65" s="12">
        <f t="shared" si="156"/>
        <v>-12412.5</v>
      </c>
      <c r="N65" s="12">
        <f t="shared" si="156"/>
        <v>-11510.400000000001</v>
      </c>
      <c r="O65" s="12">
        <f t="shared" si="156"/>
        <v>-10461.6</v>
      </c>
      <c r="P65" s="12">
        <f t="shared" si="156"/>
        <v>-10360.099999999999</v>
      </c>
      <c r="Q65" s="12">
        <f t="shared" si="156"/>
        <v>-9425.5</v>
      </c>
      <c r="R65" s="12">
        <f t="shared" si="156"/>
        <v>-9312.2999999999993</v>
      </c>
      <c r="S65" s="12">
        <f t="shared" si="156"/>
        <v>-10428.799999999999</v>
      </c>
      <c r="T65" s="12">
        <f t="shared" si="156"/>
        <v>-11731.9</v>
      </c>
      <c r="U65" s="12">
        <f t="shared" si="156"/>
        <v>-1582.9999999999995</v>
      </c>
      <c r="V65" s="12">
        <f t="shared" si="156"/>
        <v>-11581.9</v>
      </c>
      <c r="W65" s="12">
        <f t="shared" si="156"/>
        <v>-11332</v>
      </c>
      <c r="X65" s="12">
        <f t="shared" si="156"/>
        <v>-11783.9</v>
      </c>
      <c r="Y65" s="12">
        <f t="shared" ref="Y65:AB65" si="157">+SUM(Y66:Y67,Y72)-SUM(Y88:Y89,Y91)</f>
        <v>-11556.199999999999</v>
      </c>
      <c r="Z65" s="12">
        <f t="shared" si="157"/>
        <v>-11199.300000000001</v>
      </c>
      <c r="AA65" s="12"/>
      <c r="AB65" s="12">
        <f t="shared" si="157"/>
        <v>-12182.6</v>
      </c>
      <c r="AC65" s="12"/>
      <c r="AD65" s="12"/>
      <c r="AT65" s="9">
        <f>+Z65</f>
        <v>-11199.300000000001</v>
      </c>
      <c r="AU65" s="9">
        <f t="shared" ref="AU65:BD65" si="158">+AT65+AU47</f>
        <v>-6157.1670701771864</v>
      </c>
      <c r="AV65" s="9">
        <f t="shared" si="158"/>
        <v>-859.71564953460165</v>
      </c>
      <c r="AW65" s="9">
        <f t="shared" si="158"/>
        <v>4700.5853428792016</v>
      </c>
      <c r="AX65" s="9">
        <f t="shared" si="158"/>
        <v>10531.7023141878</v>
      </c>
      <c r="AY65" s="9">
        <f t="shared" si="158"/>
        <v>16642.047706587069</v>
      </c>
      <c r="AZ65" s="9">
        <f t="shared" si="158"/>
        <v>23040.491469808727</v>
      </c>
      <c r="BA65" s="9">
        <f t="shared" si="158"/>
        <v>29736.373310929346</v>
      </c>
      <c r="BB65" s="9">
        <f t="shared" si="158"/>
        <v>36739.515736696369</v>
      </c>
      <c r="BC65" s="9">
        <f t="shared" si="158"/>
        <v>44060.237904945585</v>
      </c>
      <c r="BD65" s="9">
        <f t="shared" si="158"/>
        <v>51709.3703031037</v>
      </c>
      <c r="BG65" s="8"/>
      <c r="BH65" s="8"/>
      <c r="BI65" s="8"/>
      <c r="BJ65" s="8"/>
    </row>
    <row r="66" spans="2:62">
      <c r="B66" s="8" t="s">
        <v>15</v>
      </c>
      <c r="J66" s="4">
        <v>2686.6</v>
      </c>
      <c r="K66" s="4">
        <v>3040.5</v>
      </c>
      <c r="L66" s="4">
        <v>2572.3000000000002</v>
      </c>
      <c r="M66" s="4">
        <v>3965.9</v>
      </c>
      <c r="N66" s="4">
        <v>4350.8999999999996</v>
      </c>
      <c r="O66" s="4">
        <v>5028.1000000000004</v>
      </c>
      <c r="P66" s="4">
        <v>3880.7</v>
      </c>
      <c r="Q66" s="4">
        <v>4753.1000000000004</v>
      </c>
      <c r="R66" s="4">
        <v>6455.7</v>
      </c>
      <c r="S66" s="4">
        <v>3969.4</v>
      </c>
      <c r="T66" s="4">
        <v>3913.4</v>
      </c>
      <c r="U66" s="4">
        <v>3177.5</v>
      </c>
      <c r="V66" s="4">
        <v>2818.4</v>
      </c>
      <c r="W66" s="4">
        <v>3186.5</v>
      </c>
      <c r="X66" s="4">
        <v>3071.8</v>
      </c>
      <c r="Y66" s="4">
        <v>3357</v>
      </c>
      <c r="Z66" s="4">
        <v>3551.5</v>
      </c>
      <c r="AA66" s="4"/>
      <c r="AB66" s="4">
        <v>2764.1</v>
      </c>
      <c r="AC66" s="4"/>
      <c r="AD66" s="4"/>
      <c r="AT66" s="8">
        <f>+Z66</f>
        <v>3551.5</v>
      </c>
      <c r="AU66" s="8">
        <f t="shared" ref="AU66:BD66" si="159">+AT66*(1+$BI$54)</f>
        <v>3693.56</v>
      </c>
      <c r="AV66" s="8">
        <f t="shared" si="159"/>
        <v>3841.3024</v>
      </c>
      <c r="AW66" s="8">
        <f t="shared" si="159"/>
        <v>3994.9544960000003</v>
      </c>
      <c r="AX66" s="8">
        <f t="shared" si="159"/>
        <v>4154.7526758400008</v>
      </c>
      <c r="AY66" s="8">
        <f t="shared" si="159"/>
        <v>4320.9427828736007</v>
      </c>
      <c r="AZ66" s="8">
        <f t="shared" si="159"/>
        <v>4493.7804941885452</v>
      </c>
      <c r="BA66" s="8">
        <f t="shared" si="159"/>
        <v>4673.5317139560875</v>
      </c>
      <c r="BB66" s="8">
        <f t="shared" si="159"/>
        <v>4860.4729825143313</v>
      </c>
      <c r="BC66" s="8">
        <f t="shared" si="159"/>
        <v>5054.8919018149045</v>
      </c>
      <c r="BD66" s="8">
        <f t="shared" si="159"/>
        <v>5257.0875778875006</v>
      </c>
    </row>
    <row r="67" spans="2:62">
      <c r="B67" s="8" t="s">
        <v>60</v>
      </c>
      <c r="J67" s="4">
        <v>70.5</v>
      </c>
      <c r="K67" s="4">
        <v>68.400000000000006</v>
      </c>
      <c r="L67" s="4">
        <v>52.9</v>
      </c>
      <c r="M67" s="4">
        <v>229.9</v>
      </c>
      <c r="N67" s="4">
        <v>281.2</v>
      </c>
      <c r="O67" s="4">
        <v>235.5</v>
      </c>
      <c r="P67" s="4">
        <v>123</v>
      </c>
      <c r="Q67" s="4">
        <v>153.6</v>
      </c>
      <c r="R67" s="4">
        <v>162.19999999999999</v>
      </c>
      <c r="S67" s="4">
        <v>87.4</v>
      </c>
      <c r="T67" s="4">
        <v>82.1</v>
      </c>
      <c r="U67" s="4">
        <v>76.900000000000006</v>
      </c>
      <c r="V67" s="4">
        <v>364.5</v>
      </c>
      <c r="W67" s="4">
        <v>123.9</v>
      </c>
      <c r="X67" s="4">
        <v>379.4</v>
      </c>
      <c r="Y67" s="4">
        <v>263</v>
      </c>
      <c r="Z67" s="4">
        <v>401.5</v>
      </c>
      <c r="AA67" s="4"/>
      <c r="AB67" s="4">
        <v>362.5</v>
      </c>
      <c r="AC67" s="4"/>
      <c r="AD67" s="4"/>
      <c r="BH67" s="8" t="s">
        <v>193</v>
      </c>
      <c r="BI67" s="43">
        <f>+Main!I8/Model!AT47</f>
        <v>24.551780864867492</v>
      </c>
    </row>
    <row r="68" spans="2:62">
      <c r="B68" s="8" t="s">
        <v>61</v>
      </c>
      <c r="J68" s="4">
        <v>879.2</v>
      </c>
      <c r="K68" s="4">
        <v>908.1</v>
      </c>
      <c r="L68" s="4">
        <v>941</v>
      </c>
      <c r="M68" s="4">
        <v>881.1</v>
      </c>
      <c r="N68" s="4">
        <v>883.4</v>
      </c>
      <c r="O68" s="4">
        <v>888</v>
      </c>
      <c r="P68" s="4">
        <v>880.2</v>
      </c>
      <c r="Q68" s="4">
        <v>911.2</v>
      </c>
      <c r="R68" s="4">
        <v>940</v>
      </c>
      <c r="S68" s="4">
        <v>1031.0999999999999</v>
      </c>
      <c r="T68" s="4">
        <v>1001.9</v>
      </c>
      <c r="U68" s="4">
        <v>1146.0999999999999</v>
      </c>
      <c r="V68" s="4">
        <v>1175.5</v>
      </c>
      <c r="W68" s="4">
        <v>1162.9000000000001</v>
      </c>
      <c r="X68" s="4">
        <v>1185.8</v>
      </c>
      <c r="Y68" s="4">
        <v>1140.2</v>
      </c>
      <c r="Z68" s="4">
        <v>1184.0999999999999</v>
      </c>
      <c r="AA68" s="4"/>
      <c r="AB68" s="4">
        <v>1110.3</v>
      </c>
      <c r="AC68" s="4"/>
      <c r="AD68" s="4"/>
      <c r="BH68" s="8" t="s">
        <v>194</v>
      </c>
      <c r="BI68" s="43">
        <f>+Main!I8/Model!AU47</f>
        <v>20.189679728173555</v>
      </c>
    </row>
    <row r="69" spans="2:62">
      <c r="B69" s="8" t="s">
        <v>62</v>
      </c>
      <c r="J69" s="4">
        <v>1529.4</v>
      </c>
      <c r="K69" s="4">
        <v>1408.7</v>
      </c>
      <c r="L69" s="4">
        <v>1492.2</v>
      </c>
      <c r="M69" s="4">
        <v>1583.8</v>
      </c>
      <c r="N69" s="4">
        <v>1551.4</v>
      </c>
      <c r="O69" s="4">
        <v>1471.5</v>
      </c>
      <c r="P69" s="4">
        <v>1503.6</v>
      </c>
      <c r="Q69" s="4">
        <v>1548.2</v>
      </c>
      <c r="R69" s="4">
        <v>1603.9</v>
      </c>
      <c r="S69" s="4">
        <v>1637.1</v>
      </c>
      <c r="T69" s="4">
        <v>1920</v>
      </c>
      <c r="U69" s="4">
        <v>2132.9</v>
      </c>
      <c r="V69" s="4">
        <v>2176.6</v>
      </c>
      <c r="W69" s="4">
        <v>2088.1</v>
      </c>
      <c r="X69" s="4">
        <v>2000.6</v>
      </c>
      <c r="Y69" s="4">
        <v>1987</v>
      </c>
      <c r="Z69" s="4">
        <v>1806.4</v>
      </c>
      <c r="AA69" s="4"/>
      <c r="AB69" s="4">
        <v>1744</v>
      </c>
      <c r="AC69" s="4"/>
      <c r="AD69" s="4"/>
      <c r="BH69" s="8" t="s">
        <v>195</v>
      </c>
      <c r="BI69" s="43">
        <f>+Main!I8/Model!AU47</f>
        <v>20.189679728173555</v>
      </c>
    </row>
    <row r="70" spans="2:62">
      <c r="B70" s="8" t="s">
        <v>63</v>
      </c>
      <c r="J70" s="4">
        <v>488.2</v>
      </c>
      <c r="K70" s="4">
        <v>474</v>
      </c>
      <c r="L70" s="4">
        <v>691.5</v>
      </c>
      <c r="M70" s="4">
        <v>920.3</v>
      </c>
      <c r="N70" s="4">
        <v>739.5</v>
      </c>
      <c r="O70" s="4">
        <v>734.4</v>
      </c>
      <c r="P70" s="4">
        <v>592</v>
      </c>
      <c r="Q70" s="4">
        <v>565.6</v>
      </c>
      <c r="R70" s="4">
        <v>594.6</v>
      </c>
      <c r="S70" s="4">
        <v>530.1</v>
      </c>
      <c r="T70" s="4">
        <v>623.70000000000005</v>
      </c>
      <c r="U70" s="4">
        <v>534.1</v>
      </c>
      <c r="V70" s="4">
        <v>483.7</v>
      </c>
      <c r="W70" s="4">
        <v>373.5</v>
      </c>
      <c r="X70" s="4">
        <v>408.6</v>
      </c>
      <c r="Y70" s="4">
        <v>423.5</v>
      </c>
      <c r="Z70" s="4">
        <v>359.9</v>
      </c>
      <c r="AA70" s="4"/>
      <c r="AB70" s="4">
        <v>484.1</v>
      </c>
      <c r="AC70" s="4"/>
      <c r="AD70" s="4"/>
    </row>
    <row r="71" spans="2:62" s="9" customFormat="1">
      <c r="B71" s="9" t="s">
        <v>57</v>
      </c>
      <c r="C71" s="12"/>
      <c r="D71" s="12"/>
      <c r="E71" s="12"/>
      <c r="F71" s="12"/>
      <c r="G71" s="12"/>
      <c r="H71" s="12"/>
      <c r="I71" s="12"/>
      <c r="J71" s="12">
        <f t="shared" ref="J71:X71" si="160">+SUM(J66:J70)</f>
        <v>5653.9000000000005</v>
      </c>
      <c r="K71" s="12">
        <f t="shared" si="160"/>
        <v>5899.7</v>
      </c>
      <c r="L71" s="12">
        <f t="shared" si="160"/>
        <v>5749.9000000000005</v>
      </c>
      <c r="M71" s="12">
        <f t="shared" si="160"/>
        <v>7581.0000000000009</v>
      </c>
      <c r="N71" s="12">
        <f t="shared" si="160"/>
        <v>7806.4</v>
      </c>
      <c r="O71" s="12">
        <f t="shared" si="160"/>
        <v>8357.5</v>
      </c>
      <c r="P71" s="12">
        <f t="shared" si="160"/>
        <v>6979.5</v>
      </c>
      <c r="Q71" s="12">
        <f t="shared" si="160"/>
        <v>7931.7000000000007</v>
      </c>
      <c r="R71" s="12">
        <f t="shared" si="160"/>
        <v>9756.4</v>
      </c>
      <c r="S71" s="12">
        <f t="shared" si="160"/>
        <v>7255.1</v>
      </c>
      <c r="T71" s="12">
        <f t="shared" si="160"/>
        <v>7541.0999999999995</v>
      </c>
      <c r="U71" s="12">
        <f t="shared" si="160"/>
        <v>7067.5</v>
      </c>
      <c r="V71" s="12">
        <f t="shared" si="160"/>
        <v>7018.7</v>
      </c>
      <c r="W71" s="12">
        <f t="shared" si="160"/>
        <v>6934.9</v>
      </c>
      <c r="X71" s="12">
        <f t="shared" si="160"/>
        <v>7046.2000000000007</v>
      </c>
      <c r="Y71" s="12">
        <f t="shared" ref="Y71:AB71" si="161">+SUM(Y66:Y70)</f>
        <v>7170.7</v>
      </c>
      <c r="Z71" s="12">
        <f t="shared" si="161"/>
        <v>7303.4</v>
      </c>
      <c r="AA71" s="12"/>
      <c r="AB71" s="12">
        <f t="shared" si="161"/>
        <v>6465</v>
      </c>
      <c r="AC71" s="12"/>
      <c r="AD71" s="12"/>
    </row>
    <row r="72" spans="2:62">
      <c r="B72" s="8" t="s">
        <v>64</v>
      </c>
      <c r="J72" s="4">
        <v>220</v>
      </c>
      <c r="K72" s="4">
        <v>199.8</v>
      </c>
      <c r="L72" s="4">
        <v>198.8</v>
      </c>
      <c r="M72" s="4">
        <v>223.4</v>
      </c>
      <c r="N72" s="4">
        <v>206.1</v>
      </c>
      <c r="O72" s="4">
        <v>190.9</v>
      </c>
      <c r="P72" s="4">
        <v>284.8</v>
      </c>
      <c r="Q72" s="4">
        <v>285.89999999999998</v>
      </c>
      <c r="R72" s="4">
        <v>281.7</v>
      </c>
      <c r="S72" s="4">
        <v>299.60000000000002</v>
      </c>
      <c r="T72" s="4">
        <v>285.60000000000002</v>
      </c>
      <c r="U72" s="4">
        <v>292.5</v>
      </c>
      <c r="V72" s="4">
        <v>279.10000000000002</v>
      </c>
      <c r="W72" s="4">
        <v>283.60000000000002</v>
      </c>
      <c r="X72" s="4">
        <v>251.2</v>
      </c>
      <c r="Y72" s="4">
        <v>238.6</v>
      </c>
      <c r="Z72" s="4">
        <v>247.4</v>
      </c>
      <c r="AA72" s="4"/>
      <c r="AB72" s="4">
        <v>280.39999999999998</v>
      </c>
      <c r="AC72" s="4"/>
      <c r="AD72" s="4"/>
    </row>
    <row r="73" spans="2:62">
      <c r="B73" s="8" t="s">
        <v>65</v>
      </c>
      <c r="J73" s="4">
        <v>396</v>
      </c>
      <c r="K73" s="4">
        <v>411.3</v>
      </c>
      <c r="L73" s="4">
        <v>420.9</v>
      </c>
      <c r="M73" s="4">
        <v>426.1</v>
      </c>
      <c r="N73" s="4">
        <v>478.7</v>
      </c>
      <c r="O73" s="4">
        <v>496</v>
      </c>
      <c r="P73" s="4">
        <v>499.4</v>
      </c>
      <c r="Q73" s="4">
        <v>535.29999999999995</v>
      </c>
      <c r="R73" s="4">
        <v>268.5</v>
      </c>
      <c r="S73" s="4">
        <v>251.9</v>
      </c>
      <c r="T73" s="4">
        <v>270.8</v>
      </c>
      <c r="U73" s="4">
        <v>302.7</v>
      </c>
      <c r="V73" s="4">
        <v>311.2</v>
      </c>
      <c r="W73" s="4">
        <v>330.5</v>
      </c>
      <c r="X73" s="4">
        <v>360.5</v>
      </c>
      <c r="Y73" s="4">
        <v>384.4</v>
      </c>
      <c r="Z73" s="4">
        <v>439.9</v>
      </c>
      <c r="AA73" s="4"/>
      <c r="AB73" s="4">
        <v>440.2</v>
      </c>
      <c r="AC73" s="4"/>
      <c r="AD73" s="4"/>
    </row>
    <row r="74" spans="2:62">
      <c r="B74" s="8" t="s">
        <v>66</v>
      </c>
      <c r="J74" s="4">
        <v>6431.7</v>
      </c>
      <c r="K74" s="4">
        <v>6390.9</v>
      </c>
      <c r="L74" s="4">
        <v>6387</v>
      </c>
      <c r="M74" s="4">
        <v>6295.6</v>
      </c>
      <c r="N74" s="4">
        <v>6241.4</v>
      </c>
      <c r="O74" s="4">
        <v>6177.9</v>
      </c>
      <c r="P74" s="4">
        <v>6123.1</v>
      </c>
      <c r="Q74" s="4">
        <v>6151.4</v>
      </c>
      <c r="R74" s="4">
        <v>6369.5</v>
      </c>
      <c r="S74" s="4">
        <v>6398</v>
      </c>
      <c r="T74" s="4">
        <v>6460.8</v>
      </c>
      <c r="U74" s="4">
        <v>6408</v>
      </c>
      <c r="V74" s="4">
        <v>6560.5</v>
      </c>
      <c r="W74" s="4">
        <v>6699.5</v>
      </c>
      <c r="X74" s="4">
        <v>6818.6</v>
      </c>
      <c r="Y74" s="4">
        <v>7053.5</v>
      </c>
      <c r="Z74" s="4">
        <v>7387.1</v>
      </c>
      <c r="AA74" s="4"/>
      <c r="AB74" s="4">
        <v>7817.4</v>
      </c>
      <c r="AC74" s="4"/>
      <c r="AD74" s="4"/>
    </row>
    <row r="75" spans="2:62">
      <c r="B75" s="8" t="s">
        <v>67</v>
      </c>
      <c r="J75" s="4">
        <v>0</v>
      </c>
      <c r="K75" s="4">
        <v>8358.5</v>
      </c>
      <c r="L75" s="4">
        <v>8260.7999999999993</v>
      </c>
      <c r="M75" s="4">
        <v>8214</v>
      </c>
      <c r="N75" s="4">
        <v>8134.1</v>
      </c>
      <c r="O75" s="4">
        <v>8199.4</v>
      </c>
      <c r="P75" s="4">
        <v>8036.8</v>
      </c>
      <c r="Q75" s="4">
        <v>8065.2</v>
      </c>
      <c r="R75" s="4">
        <v>8236</v>
      </c>
      <c r="S75" s="4">
        <v>8203.4</v>
      </c>
      <c r="T75" s="4">
        <v>8170.2</v>
      </c>
      <c r="U75" s="4">
        <v>8037.1</v>
      </c>
      <c r="V75" s="4">
        <v>8015.6</v>
      </c>
      <c r="W75" s="4">
        <v>8133.8</v>
      </c>
      <c r="X75" s="4">
        <v>8251.6</v>
      </c>
      <c r="Y75" s="4">
        <v>8178.5</v>
      </c>
      <c r="Z75" s="4">
        <v>8412.6</v>
      </c>
      <c r="AA75" s="4"/>
      <c r="AB75" s="4">
        <v>8686.5</v>
      </c>
      <c r="AC75" s="4"/>
      <c r="AD75" s="4"/>
    </row>
    <row r="76" spans="2:62">
      <c r="B76" s="8" t="s">
        <v>68</v>
      </c>
      <c r="J76" s="4">
        <v>1765.8</v>
      </c>
      <c r="K76" s="4">
        <v>1731.4</v>
      </c>
      <c r="L76" s="4">
        <v>1709.7</v>
      </c>
      <c r="M76" s="4">
        <v>1740</v>
      </c>
      <c r="N76" s="4">
        <v>1789.9</v>
      </c>
      <c r="O76" s="4">
        <v>1792.4</v>
      </c>
      <c r="P76" s="4">
        <v>1770</v>
      </c>
      <c r="Q76" s="4">
        <v>1851</v>
      </c>
      <c r="R76" s="4">
        <v>1874.5</v>
      </c>
      <c r="S76" s="4">
        <v>1859.7</v>
      </c>
      <c r="T76" s="4">
        <v>1809.4</v>
      </c>
      <c r="U76" s="4">
        <v>1752.9</v>
      </c>
      <c r="V76" s="4">
        <v>1799.7</v>
      </c>
      <c r="W76" s="4">
        <v>1811.8</v>
      </c>
      <c r="X76" s="4">
        <v>1811.1</v>
      </c>
      <c r="Y76" s="4">
        <v>1790.3</v>
      </c>
      <c r="Z76" s="4">
        <v>1769.8</v>
      </c>
      <c r="AA76" s="4"/>
      <c r="AB76" s="4">
        <v>1746.5</v>
      </c>
      <c r="AC76" s="4"/>
      <c r="AD76" s="4"/>
    </row>
    <row r="77" spans="2:62">
      <c r="B77" s="8" t="s">
        <v>69</v>
      </c>
      <c r="J77" s="4">
        <v>479.6</v>
      </c>
      <c r="K77" s="4">
        <v>484.7</v>
      </c>
      <c r="L77" s="4">
        <v>580.1</v>
      </c>
      <c r="M77" s="4">
        <v>550.79999999999995</v>
      </c>
      <c r="N77" s="4">
        <v>568.6</v>
      </c>
      <c r="O77" s="4">
        <v>541.1</v>
      </c>
      <c r="P77" s="4">
        <v>574.9</v>
      </c>
      <c r="Q77" s="4">
        <v>586.29999999999995</v>
      </c>
      <c r="R77" s="4">
        <v>578.5</v>
      </c>
      <c r="S77" s="4">
        <v>588</v>
      </c>
      <c r="T77" s="4">
        <v>582.79999999999995</v>
      </c>
      <c r="U77" s="4">
        <v>640.70000000000005</v>
      </c>
      <c r="V77" s="4">
        <v>554.20000000000005</v>
      </c>
      <c r="W77" s="4">
        <v>527.6</v>
      </c>
      <c r="X77" s="4">
        <v>526.70000000000005</v>
      </c>
      <c r="Y77" s="4">
        <v>541.70000000000005</v>
      </c>
      <c r="Z77" s="4">
        <v>546.5</v>
      </c>
      <c r="AA77" s="4"/>
      <c r="AB77" s="4">
        <v>587.20000000000005</v>
      </c>
      <c r="AC77" s="4"/>
      <c r="AD77" s="4"/>
    </row>
    <row r="78" spans="2:62">
      <c r="B78" s="8" t="s">
        <v>70</v>
      </c>
      <c r="J78" s="4">
        <v>781.8</v>
      </c>
      <c r="K78" s="4">
        <v>739.1</v>
      </c>
      <c r="L78" s="4">
        <v>678.7</v>
      </c>
      <c r="M78" s="4">
        <v>599.6</v>
      </c>
      <c r="N78" s="4">
        <v>552.1</v>
      </c>
      <c r="O78" s="4">
        <v>506.4</v>
      </c>
      <c r="P78" s="4">
        <v>444.3</v>
      </c>
      <c r="Q78" s="4">
        <v>398</v>
      </c>
      <c r="R78" s="4">
        <v>349.9</v>
      </c>
      <c r="S78" s="4">
        <v>302.5</v>
      </c>
      <c r="T78" s="4">
        <v>254.7</v>
      </c>
      <c r="U78" s="4">
        <v>203.4</v>
      </c>
      <c r="V78" s="4">
        <v>155.9</v>
      </c>
      <c r="W78" s="4">
        <v>151.4</v>
      </c>
      <c r="X78" s="4">
        <v>130.80000000000001</v>
      </c>
      <c r="Y78" s="4">
        <v>124.4</v>
      </c>
      <c r="Z78" s="4">
        <v>120.5</v>
      </c>
      <c r="AA78" s="4"/>
      <c r="AB78" s="4">
        <v>110.7</v>
      </c>
      <c r="AC78" s="4"/>
      <c r="AD78" s="4"/>
    </row>
    <row r="79" spans="2:62">
      <c r="B79" s="8" t="s">
        <v>71</v>
      </c>
      <c r="J79" s="4">
        <v>3490.8</v>
      </c>
      <c r="K79" s="4">
        <v>3515.9</v>
      </c>
      <c r="L79" s="4">
        <v>3493</v>
      </c>
      <c r="M79" s="4">
        <v>3510.1</v>
      </c>
      <c r="N79" s="4">
        <v>3597.2</v>
      </c>
      <c r="O79" s="4">
        <v>3706.8</v>
      </c>
      <c r="P79" s="4">
        <v>3658.9</v>
      </c>
      <c r="Q79" s="4">
        <v>3672</v>
      </c>
      <c r="R79" s="4">
        <v>3677.3</v>
      </c>
      <c r="S79" s="4">
        <v>3675.7</v>
      </c>
      <c r="T79" s="4">
        <v>3646.1</v>
      </c>
      <c r="U79" s="4">
        <v>3451.2</v>
      </c>
      <c r="V79" s="4">
        <v>3283.5</v>
      </c>
      <c r="W79" s="4">
        <v>3383</v>
      </c>
      <c r="X79" s="4">
        <v>3412.3</v>
      </c>
      <c r="Y79" s="4">
        <v>3250.9</v>
      </c>
      <c r="Z79" s="4">
        <v>3218.3</v>
      </c>
      <c r="AA79" s="4"/>
      <c r="AB79" s="4">
        <v>3229.3</v>
      </c>
      <c r="AC79" s="4"/>
      <c r="AD79" s="4"/>
    </row>
    <row r="80" spans="2:62" s="9" customFormat="1">
      <c r="B80" s="9" t="s">
        <v>58</v>
      </c>
      <c r="C80" s="12"/>
      <c r="D80" s="12"/>
      <c r="E80" s="12"/>
      <c r="F80" s="12"/>
      <c r="G80" s="12"/>
      <c r="H80" s="12"/>
      <c r="I80" s="12"/>
      <c r="J80" s="12">
        <f t="shared" ref="J80:K80" si="162">+SUM(J71:J79)</f>
        <v>19219.599999999999</v>
      </c>
      <c r="K80" s="12">
        <f t="shared" si="162"/>
        <v>27731.300000000003</v>
      </c>
      <c r="L80" s="12">
        <f t="shared" ref="L80:M80" si="163">+SUM(L71:L79)</f>
        <v>27478.9</v>
      </c>
      <c r="M80" s="12">
        <f t="shared" si="163"/>
        <v>29140.599999999995</v>
      </c>
      <c r="N80" s="12">
        <f t="shared" ref="N80:T80" si="164">+SUM(N71:N79)</f>
        <v>29374.5</v>
      </c>
      <c r="O80" s="12">
        <f t="shared" si="164"/>
        <v>29968.399999999998</v>
      </c>
      <c r="P80" s="12">
        <f t="shared" si="164"/>
        <v>28371.7</v>
      </c>
      <c r="Q80" s="12">
        <f t="shared" si="164"/>
        <v>29476.799999999999</v>
      </c>
      <c r="R80" s="12">
        <f t="shared" si="164"/>
        <v>31392.3</v>
      </c>
      <c r="S80" s="12">
        <f t="shared" si="164"/>
        <v>28833.9</v>
      </c>
      <c r="T80" s="12">
        <f t="shared" si="164"/>
        <v>29021.5</v>
      </c>
      <c r="U80" s="12">
        <f t="shared" ref="U80:V80" si="165">+SUM(U71:U79)</f>
        <v>28156.000000000007</v>
      </c>
      <c r="V80" s="12">
        <f t="shared" si="165"/>
        <v>27978.400000000001</v>
      </c>
      <c r="W80" s="12">
        <f t="shared" ref="W80:X80" si="166">+SUM(W71:W79)</f>
        <v>28256.1</v>
      </c>
      <c r="X80" s="12">
        <f t="shared" si="166"/>
        <v>28608.999999999996</v>
      </c>
      <c r="Y80" s="12">
        <f t="shared" ref="Y80:AB80" si="167">+SUM(Y71:Y79)</f>
        <v>28733.000000000004</v>
      </c>
      <c r="Z80" s="12">
        <f t="shared" si="167"/>
        <v>29445.5</v>
      </c>
      <c r="AA80" s="12"/>
      <c r="AB80" s="12">
        <f t="shared" si="167"/>
        <v>29363.200000000001</v>
      </c>
      <c r="AC80" s="12"/>
      <c r="AD80" s="12"/>
    </row>
    <row r="83" spans="2:56">
      <c r="B83" s="8" t="s">
        <v>73</v>
      </c>
      <c r="J83" s="4">
        <v>1753.7</v>
      </c>
      <c r="K83" s="4">
        <v>1637.8</v>
      </c>
      <c r="L83" s="4">
        <v>1539</v>
      </c>
      <c r="M83" s="4">
        <v>1511.7</v>
      </c>
      <c r="N83" s="4">
        <v>1160.7</v>
      </c>
      <c r="O83" s="4">
        <v>1616.9</v>
      </c>
      <c r="P83" s="4">
        <v>1771.6</v>
      </c>
      <c r="Q83" s="4">
        <v>1791.4</v>
      </c>
      <c r="R83" s="4">
        <v>1973.2</v>
      </c>
      <c r="S83" s="4">
        <v>2444.3000000000002</v>
      </c>
      <c r="T83" s="4">
        <v>2092.4</v>
      </c>
      <c r="U83" s="4">
        <v>2068.9</v>
      </c>
      <c r="V83" s="4">
        <v>2137.1</v>
      </c>
      <c r="W83" s="4">
        <v>2089.6</v>
      </c>
      <c r="X83" s="4">
        <v>1970</v>
      </c>
      <c r="Y83" s="4">
        <v>2060.5</v>
      </c>
      <c r="Z83" s="4">
        <v>2145.1</v>
      </c>
      <c r="AA83" s="4"/>
      <c r="AB83" s="4">
        <v>1487.4</v>
      </c>
      <c r="AC83" s="4"/>
      <c r="AD83" s="4"/>
    </row>
    <row r="84" spans="2:56">
      <c r="B84" s="8" t="s">
        <v>74</v>
      </c>
      <c r="J84" s="4">
        <v>664.6</v>
      </c>
      <c r="K84" s="4">
        <v>578.5</v>
      </c>
      <c r="L84" s="4">
        <v>596.1</v>
      </c>
      <c r="M84" s="4">
        <v>652.1</v>
      </c>
      <c r="N84" s="4">
        <v>696</v>
      </c>
      <c r="O84" s="4">
        <v>685.3</v>
      </c>
      <c r="P84" s="4">
        <v>646.1</v>
      </c>
      <c r="Q84" s="4">
        <v>741</v>
      </c>
      <c r="R84" s="4">
        <v>772.3</v>
      </c>
      <c r="S84" s="4">
        <v>664.1</v>
      </c>
      <c r="T84" s="4">
        <v>665.9</v>
      </c>
      <c r="U84" s="4">
        <v>706.8</v>
      </c>
      <c r="V84" s="4">
        <v>761.7</v>
      </c>
      <c r="W84" s="4">
        <v>664.6</v>
      </c>
      <c r="X84" s="4">
        <v>710.9</v>
      </c>
      <c r="Y84" s="4">
        <v>755.4</v>
      </c>
      <c r="Z84" s="4">
        <v>828.3</v>
      </c>
      <c r="AA84" s="4"/>
      <c r="AB84" s="4">
        <v>2016</v>
      </c>
      <c r="AC84" s="4"/>
      <c r="AD84" s="4"/>
    </row>
    <row r="85" spans="2:56">
      <c r="B85" s="8" t="s">
        <v>118</v>
      </c>
      <c r="J85" s="4">
        <v>1291.7</v>
      </c>
      <c r="K85" s="4">
        <v>1414</v>
      </c>
      <c r="L85" s="4">
        <v>86.7</v>
      </c>
      <c r="M85" s="4">
        <v>90.9</v>
      </c>
      <c r="N85" s="4">
        <v>98.2</v>
      </c>
      <c r="O85" s="4">
        <v>149.69999999999999</v>
      </c>
      <c r="P85" s="4">
        <v>117</v>
      </c>
      <c r="Q85" s="4">
        <v>204.8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1257.5</v>
      </c>
      <c r="X85" s="4">
        <v>0</v>
      </c>
      <c r="Y85" s="4">
        <v>0</v>
      </c>
      <c r="Z85" s="4">
        <v>0</v>
      </c>
      <c r="AA85" s="4"/>
      <c r="AB85" s="4">
        <v>704.8</v>
      </c>
      <c r="AC85" s="4"/>
      <c r="AD85" s="4"/>
    </row>
    <row r="86" spans="2:56">
      <c r="B86" s="8" t="s">
        <v>75</v>
      </c>
      <c r="J86" s="4">
        <v>0</v>
      </c>
      <c r="K86" s="4">
        <v>1268.9000000000001</v>
      </c>
      <c r="L86" s="4">
        <v>1253.5</v>
      </c>
      <c r="M86" s="4">
        <v>1237.0999999999999</v>
      </c>
      <c r="N86" s="4">
        <v>1248.8</v>
      </c>
      <c r="O86" s="4">
        <v>1267.5999999999999</v>
      </c>
      <c r="P86" s="4">
        <v>1296.4000000000001</v>
      </c>
      <c r="Q86" s="4">
        <v>1308.4000000000001</v>
      </c>
      <c r="R86" s="4">
        <v>348</v>
      </c>
      <c r="S86" s="4">
        <v>1253.3</v>
      </c>
      <c r="T86" s="4">
        <v>1236.3</v>
      </c>
      <c r="U86" s="4">
        <v>1214.8</v>
      </c>
      <c r="V86" s="4">
        <v>1245.7</v>
      </c>
      <c r="W86" s="4">
        <v>2137</v>
      </c>
      <c r="X86" s="4">
        <v>1269.5</v>
      </c>
      <c r="Y86" s="4">
        <v>1265.2</v>
      </c>
      <c r="Z86" s="4">
        <v>1275.3</v>
      </c>
      <c r="AA86" s="4"/>
      <c r="AB86" s="4">
        <v>1406.6</v>
      </c>
      <c r="AC86" s="4"/>
      <c r="AD86" s="4"/>
    </row>
    <row r="87" spans="2:56">
      <c r="B87" s="8" t="s">
        <v>76</v>
      </c>
      <c r="J87" s="4">
        <v>1269</v>
      </c>
      <c r="K87" s="4">
        <v>1694.1</v>
      </c>
      <c r="L87" s="4">
        <v>1436.3</v>
      </c>
      <c r="M87" s="4">
        <v>1463.3</v>
      </c>
      <c r="N87" s="4">
        <v>1456.5</v>
      </c>
      <c r="O87" s="4">
        <v>1871.2</v>
      </c>
      <c r="P87" s="4">
        <v>1622.1</v>
      </c>
      <c r="Q87" s="4">
        <v>1628.3</v>
      </c>
      <c r="R87" s="4">
        <v>1251.3</v>
      </c>
      <c r="S87" s="4">
        <v>2070.6999999999998</v>
      </c>
      <c r="T87" s="4">
        <v>1781.6</v>
      </c>
      <c r="U87" s="4">
        <v>1723</v>
      </c>
      <c r="V87" s="4">
        <v>1641.9</v>
      </c>
      <c r="W87" s="4">
        <v>0</v>
      </c>
      <c r="X87" s="4">
        <v>1795.09</v>
      </c>
      <c r="Y87" s="4">
        <v>1759.6</v>
      </c>
      <c r="Z87" s="4">
        <v>1700.2</v>
      </c>
      <c r="AA87" s="4"/>
      <c r="AB87" s="4">
        <v>1872</v>
      </c>
      <c r="AC87" s="4"/>
      <c r="AD87" s="4"/>
    </row>
    <row r="88" spans="2:56">
      <c r="B88" s="8" t="s">
        <v>77</v>
      </c>
      <c r="J88" s="4">
        <v>0</v>
      </c>
      <c r="K88" s="4">
        <v>497.9</v>
      </c>
      <c r="L88" s="4">
        <v>1107.0999999999999</v>
      </c>
      <c r="M88" s="4">
        <v>936.5</v>
      </c>
      <c r="N88" s="4">
        <v>438.8</v>
      </c>
      <c r="O88" s="4">
        <v>492.6</v>
      </c>
      <c r="P88" s="4">
        <v>18.3</v>
      </c>
      <c r="Q88" s="4">
        <v>0</v>
      </c>
      <c r="R88" s="4">
        <v>1596.1</v>
      </c>
      <c r="S88" s="4">
        <v>200</v>
      </c>
      <c r="T88" s="4">
        <v>0</v>
      </c>
      <c r="U88" s="4">
        <v>200</v>
      </c>
      <c r="V88" s="4">
        <v>175</v>
      </c>
      <c r="W88" s="4">
        <v>0</v>
      </c>
      <c r="X88" s="4">
        <v>52.8</v>
      </c>
      <c r="Y88" s="4">
        <v>34.5</v>
      </c>
      <c r="Z88" s="4">
        <v>33.5</v>
      </c>
      <c r="AA88" s="4"/>
      <c r="AB88" s="4">
        <v>42.1</v>
      </c>
      <c r="AC88" s="4"/>
      <c r="AD88" s="4"/>
      <c r="AT88" s="8">
        <f>+AB88</f>
        <v>42.1</v>
      </c>
      <c r="AU88" s="8">
        <f>AT88-(AT88*$BI$55)</f>
        <v>39.995000000000005</v>
      </c>
      <c r="AV88" s="8">
        <f>AU88-(AU88*$BI$55)</f>
        <v>37.995250000000006</v>
      </c>
      <c r="AW88" s="8">
        <f>AV88-(AV88*$BI$55)</f>
        <v>36.095487500000004</v>
      </c>
      <c r="AX88" s="8">
        <f>AW88-(AW88*$BI$55)</f>
        <v>34.290713125000003</v>
      </c>
      <c r="AY88" s="8">
        <f>AX88-(AX88*$BI$55)</f>
        <v>32.576177468750004</v>
      </c>
      <c r="AZ88" s="8">
        <f>AY88-(AY88*$BI$55)</f>
        <v>30.947368595312504</v>
      </c>
      <c r="BA88" s="8">
        <f>AZ88-(AZ88*$BI$55)</f>
        <v>29.400000165546878</v>
      </c>
      <c r="BB88" s="8">
        <f>BA88-(BA88*$BI$55)</f>
        <v>27.930000157269532</v>
      </c>
      <c r="BC88" s="8">
        <f t="shared" ref="BC88" si="168">BB88-(BB88*$BI$55)</f>
        <v>26.533500149406056</v>
      </c>
      <c r="BD88" s="8">
        <f t="shared" ref="BD88" si="169">BC88-(BC88*$BI$55)</f>
        <v>25.206825141935752</v>
      </c>
    </row>
    <row r="89" spans="2:56">
      <c r="B89" s="8" t="s">
        <v>78</v>
      </c>
      <c r="J89" s="4">
        <v>0</v>
      </c>
      <c r="K89" s="4">
        <v>498.7</v>
      </c>
      <c r="L89" s="4">
        <v>1249.4000000000001</v>
      </c>
      <c r="M89" s="4">
        <v>1249.5999999999999</v>
      </c>
      <c r="N89" s="4">
        <v>1249.9000000000001</v>
      </c>
      <c r="O89" s="4">
        <v>750</v>
      </c>
      <c r="P89" s="4">
        <v>0</v>
      </c>
      <c r="Q89" s="4">
        <v>998.9</v>
      </c>
      <c r="R89" s="4">
        <v>998.9</v>
      </c>
      <c r="S89" s="4">
        <v>998.9</v>
      </c>
      <c r="T89" s="4">
        <v>1998.6</v>
      </c>
      <c r="U89" s="4">
        <v>999.1</v>
      </c>
      <c r="V89" s="4">
        <v>1749</v>
      </c>
      <c r="W89" s="4">
        <v>1749.3</v>
      </c>
      <c r="X89" s="4">
        <v>1888.7</v>
      </c>
      <c r="Y89" s="4">
        <v>1835.9</v>
      </c>
      <c r="Z89" s="4">
        <v>1818.6</v>
      </c>
      <c r="AA89" s="4"/>
      <c r="AB89" s="4">
        <v>0</v>
      </c>
      <c r="AC89" s="4"/>
      <c r="AD89" s="4"/>
    </row>
    <row r="90" spans="2:56" s="9" customFormat="1">
      <c r="B90" s="9" t="s">
        <v>56</v>
      </c>
      <c r="C90" s="12"/>
      <c r="D90" s="12"/>
      <c r="E90" s="12"/>
      <c r="F90" s="12"/>
      <c r="G90" s="12"/>
      <c r="H90" s="12"/>
      <c r="I90" s="12"/>
      <c r="J90" s="12">
        <f t="shared" ref="J90:K90" si="170">+SUM(J82:J89)</f>
        <v>4979</v>
      </c>
      <c r="K90" s="12">
        <f t="shared" si="170"/>
        <v>7589.9000000000005</v>
      </c>
      <c r="L90" s="12">
        <f t="shared" ref="L90:M90" si="171">+SUM(L82:L89)</f>
        <v>7268.0999999999985</v>
      </c>
      <c r="M90" s="12">
        <f t="shared" si="171"/>
        <v>7141.2000000000007</v>
      </c>
      <c r="N90" s="12">
        <f t="shared" ref="N90:T90" si="172">+SUM(N82:N89)</f>
        <v>6348.9</v>
      </c>
      <c r="O90" s="12">
        <f t="shared" si="172"/>
        <v>6833.3</v>
      </c>
      <c r="P90" s="12">
        <f t="shared" si="172"/>
        <v>5471.5</v>
      </c>
      <c r="Q90" s="12">
        <f t="shared" si="172"/>
        <v>6672.8</v>
      </c>
      <c r="R90" s="12">
        <f t="shared" si="172"/>
        <v>6939.7999999999993</v>
      </c>
      <c r="S90" s="12">
        <f t="shared" si="172"/>
        <v>7631.2999999999993</v>
      </c>
      <c r="T90" s="12">
        <f t="shared" si="172"/>
        <v>7774.8000000000011</v>
      </c>
      <c r="U90" s="12">
        <f t="shared" ref="U90:W90" si="173">+SUM(U82:U89)</f>
        <v>6912.6</v>
      </c>
      <c r="V90" s="12">
        <f t="shared" si="173"/>
        <v>7710.4</v>
      </c>
      <c r="W90" s="12">
        <f t="shared" si="173"/>
        <v>7898</v>
      </c>
      <c r="X90" s="12">
        <f t="shared" ref="X90:Y90" si="174">+SUM(X82:X89)</f>
        <v>7686.99</v>
      </c>
      <c r="Y90" s="12">
        <f t="shared" si="174"/>
        <v>7711.1</v>
      </c>
      <c r="Z90" s="12">
        <f t="shared" ref="Z90:AB90" si="175">+SUM(Z82:Z89)</f>
        <v>7801</v>
      </c>
      <c r="AA90" s="12"/>
      <c r="AB90" s="12">
        <f t="shared" si="175"/>
        <v>7528.9</v>
      </c>
      <c r="AC90" s="12"/>
      <c r="AD90" s="12"/>
    </row>
    <row r="91" spans="2:56">
      <c r="B91" s="8" t="s">
        <v>79</v>
      </c>
      <c r="J91" s="4">
        <v>11167</v>
      </c>
      <c r="K91" s="4">
        <v>10653.2</v>
      </c>
      <c r="L91" s="4">
        <v>11658.7</v>
      </c>
      <c r="M91" s="4">
        <v>14645.6</v>
      </c>
      <c r="N91" s="4">
        <v>14659.9</v>
      </c>
      <c r="O91" s="4">
        <v>14673.5</v>
      </c>
      <c r="P91" s="4">
        <v>14630.3</v>
      </c>
      <c r="Q91" s="4">
        <v>13619.2</v>
      </c>
      <c r="R91" s="4">
        <v>13616.9</v>
      </c>
      <c r="S91" s="4">
        <v>13586.3</v>
      </c>
      <c r="T91" s="4">
        <v>14014.4</v>
      </c>
      <c r="U91" s="4">
        <v>3930.8</v>
      </c>
      <c r="V91" s="4">
        <v>13119.9</v>
      </c>
      <c r="W91" s="4">
        <v>13176.7</v>
      </c>
      <c r="X91" s="4">
        <v>13544.8</v>
      </c>
      <c r="Y91" s="4">
        <v>13544.4</v>
      </c>
      <c r="Z91" s="4">
        <v>13547.6</v>
      </c>
      <c r="AA91" s="4"/>
      <c r="AB91" s="4">
        <v>15547.5</v>
      </c>
      <c r="AC91" s="4"/>
      <c r="AD91" s="4"/>
      <c r="AT91" s="8">
        <f>+AB91</f>
        <v>15547.5</v>
      </c>
      <c r="AU91" s="8">
        <f>AT91-(AT91*$BI$55)</f>
        <v>14770.125</v>
      </c>
      <c r="AV91" s="8">
        <f>AU91-(AU91*$BI$55)</f>
        <v>14031.61875</v>
      </c>
      <c r="AW91" s="8">
        <f>AV91-(AV91*$BI$55)</f>
        <v>13330.037812499999</v>
      </c>
      <c r="AX91" s="8">
        <f>AW91-(AW91*$BI$55)</f>
        <v>12663.535921874998</v>
      </c>
      <c r="AY91" s="8">
        <f>AX91-(AX91*$BI$55)</f>
        <v>12030.359125781248</v>
      </c>
      <c r="AZ91" s="8">
        <f>AY91-(AY91*$BI$55)</f>
        <v>11428.841169492185</v>
      </c>
      <c r="BA91" s="8">
        <f>AZ91-(AZ91*$BI$55)</f>
        <v>10857.399111017576</v>
      </c>
      <c r="BB91" s="8">
        <f>BA91-(BA91*$BI$55)</f>
        <v>10314.529155466696</v>
      </c>
      <c r="BC91" s="8">
        <f t="shared" ref="BC91" si="176">BB91-(BB91*$BI$55)</f>
        <v>9798.8026976933616</v>
      </c>
      <c r="BD91" s="8">
        <f t="shared" ref="BD91" si="177">BC91-(BC91*$BI$55)</f>
        <v>9308.8625628086938</v>
      </c>
    </row>
    <row r="92" spans="2:56">
      <c r="B92" s="8" t="s">
        <v>80</v>
      </c>
      <c r="J92" s="4">
        <v>0</v>
      </c>
      <c r="K92" s="4">
        <v>7711.7</v>
      </c>
      <c r="L92" s="4">
        <v>7650.4</v>
      </c>
      <c r="M92" s="4">
        <v>7653.6</v>
      </c>
      <c r="N92" s="4">
        <v>7661.7</v>
      </c>
      <c r="O92" s="4">
        <v>7754.5</v>
      </c>
      <c r="P92" s="4">
        <v>7577.7</v>
      </c>
      <c r="Q92" s="4">
        <v>7597.8</v>
      </c>
      <c r="R92" s="4">
        <v>7738</v>
      </c>
      <c r="S92" s="4">
        <v>7708</v>
      </c>
      <c r="T92" s="4">
        <v>7668.5</v>
      </c>
      <c r="U92" s="4">
        <v>7554.4</v>
      </c>
      <c r="V92" s="4">
        <v>7515.2</v>
      </c>
      <c r="W92" s="4">
        <v>7635.4</v>
      </c>
      <c r="X92" s="4">
        <v>7753.5</v>
      </c>
      <c r="Y92" s="4">
        <v>7691.2</v>
      </c>
      <c r="Z92" s="4">
        <v>7924.8</v>
      </c>
      <c r="AA92" s="4"/>
      <c r="AB92" s="4">
        <v>8180.3</v>
      </c>
      <c r="AC92" s="4"/>
      <c r="AD92" s="4"/>
    </row>
    <row r="93" spans="2:56">
      <c r="B93" s="8" t="s">
        <v>81</v>
      </c>
      <c r="J93" s="4">
        <v>6744.4</v>
      </c>
      <c r="K93" s="4">
        <v>6748.8</v>
      </c>
      <c r="L93" s="4">
        <v>6685.5</v>
      </c>
      <c r="M93" s="4">
        <v>6642.6</v>
      </c>
      <c r="N93" s="4">
        <v>6598.5</v>
      </c>
      <c r="O93" s="4">
        <v>6597.7</v>
      </c>
      <c r="P93" s="4">
        <v>6532.1</v>
      </c>
      <c r="Q93" s="4">
        <v>6491.4</v>
      </c>
      <c r="R93" s="4">
        <v>6463</v>
      </c>
      <c r="S93" s="4">
        <v>6447.7</v>
      </c>
      <c r="T93" s="4">
        <v>6381.9</v>
      </c>
      <c r="U93" s="4">
        <v>6333.1</v>
      </c>
      <c r="V93" s="4">
        <v>6279.7</v>
      </c>
      <c r="W93" s="4">
        <v>6263.5</v>
      </c>
      <c r="X93" s="4">
        <v>6200.2</v>
      </c>
      <c r="Y93" s="4">
        <v>6152.5</v>
      </c>
      <c r="Z93" s="4">
        <v>6101.8</v>
      </c>
      <c r="AA93" s="4"/>
      <c r="AB93" s="4">
        <v>6058.4</v>
      </c>
      <c r="AC93" s="4"/>
      <c r="AD93" s="4"/>
    </row>
    <row r="94" spans="2:56">
      <c r="B94" s="8" t="s">
        <v>82</v>
      </c>
      <c r="J94" s="4">
        <v>1370.5</v>
      </c>
      <c r="K94" s="4">
        <v>701.2</v>
      </c>
      <c r="L94" s="4">
        <v>751.4</v>
      </c>
      <c r="M94" s="4">
        <v>821.1</v>
      </c>
      <c r="N94" s="4">
        <v>907.3</v>
      </c>
      <c r="O94" s="4">
        <v>962.8</v>
      </c>
      <c r="P94" s="4">
        <v>774.8</v>
      </c>
      <c r="Q94" s="4">
        <v>762.9</v>
      </c>
      <c r="R94" s="4">
        <v>737.8</v>
      </c>
      <c r="S94" s="4">
        <v>621.1</v>
      </c>
      <c r="T94" s="4">
        <v>613.6</v>
      </c>
      <c r="U94" s="4">
        <v>594.4</v>
      </c>
      <c r="V94" s="4">
        <v>610.5</v>
      </c>
      <c r="W94" s="4">
        <v>600.5</v>
      </c>
      <c r="X94" s="4">
        <v>488.1</v>
      </c>
      <c r="Y94" s="4">
        <v>471.9</v>
      </c>
      <c r="Z94" s="4">
        <v>513.79999999999995</v>
      </c>
      <c r="AA94" s="4"/>
      <c r="AB94" s="4">
        <v>490.3</v>
      </c>
      <c r="AC94" s="4"/>
      <c r="AD94" s="4"/>
    </row>
    <row r="95" spans="2:56" s="9" customFormat="1">
      <c r="B95" s="9" t="s">
        <v>55</v>
      </c>
      <c r="C95" s="12"/>
      <c r="D95" s="12"/>
      <c r="E95" s="12"/>
      <c r="F95" s="12"/>
      <c r="G95" s="12"/>
      <c r="H95" s="12"/>
      <c r="I95" s="12"/>
      <c r="J95" s="12">
        <f t="shared" ref="J95:K95" si="178">+SUM(J90:J94)</f>
        <v>24260.9</v>
      </c>
      <c r="K95" s="12">
        <f t="shared" si="178"/>
        <v>33404.800000000003</v>
      </c>
      <c r="L95" s="12">
        <f t="shared" ref="L95:M95" si="179">+SUM(L90:L94)</f>
        <v>34014.1</v>
      </c>
      <c r="M95" s="12">
        <f t="shared" si="179"/>
        <v>36904.1</v>
      </c>
      <c r="N95" s="12">
        <f t="shared" ref="N95:T95" si="180">+SUM(N90:N94)</f>
        <v>36176.300000000003</v>
      </c>
      <c r="O95" s="12">
        <f t="shared" si="180"/>
        <v>36821.800000000003</v>
      </c>
      <c r="P95" s="12">
        <f t="shared" si="180"/>
        <v>34986.400000000001</v>
      </c>
      <c r="Q95" s="12">
        <f t="shared" si="180"/>
        <v>35144.1</v>
      </c>
      <c r="R95" s="12">
        <f t="shared" si="180"/>
        <v>35495.5</v>
      </c>
      <c r="S95" s="12">
        <f t="shared" si="180"/>
        <v>35994.399999999994</v>
      </c>
      <c r="T95" s="12">
        <f t="shared" si="180"/>
        <v>36453.199999999997</v>
      </c>
      <c r="U95" s="12">
        <f t="shared" ref="U95:V95" si="181">+SUM(U90:U94)</f>
        <v>25325.300000000003</v>
      </c>
      <c r="V95" s="12">
        <f t="shared" si="181"/>
        <v>35235.699999999997</v>
      </c>
      <c r="W95" s="12">
        <f t="shared" ref="W95:X95" si="182">+SUM(W90:W94)</f>
        <v>35574.1</v>
      </c>
      <c r="X95" s="12">
        <f t="shared" si="182"/>
        <v>35673.589999999997</v>
      </c>
      <c r="Y95" s="12">
        <f t="shared" ref="Y95:AB95" si="183">+SUM(Y90:Y94)</f>
        <v>35571.1</v>
      </c>
      <c r="Z95" s="12">
        <f t="shared" si="183"/>
        <v>35889</v>
      </c>
      <c r="AA95" s="12"/>
      <c r="AB95" s="12">
        <f t="shared" si="183"/>
        <v>37805.4</v>
      </c>
      <c r="AC95" s="12"/>
      <c r="AD95" s="12"/>
    </row>
    <row r="96" spans="2:56">
      <c r="B96" s="8" t="s">
        <v>54</v>
      </c>
      <c r="J96" s="4">
        <v>-6231</v>
      </c>
      <c r="K96" s="4">
        <v>-6759.1</v>
      </c>
      <c r="L96" s="4">
        <v>-7532.9</v>
      </c>
      <c r="M96" s="4">
        <v>-8624.2999999999993</v>
      </c>
      <c r="N96" s="4">
        <v>-7799.4</v>
      </c>
      <c r="O96" s="4">
        <v>-7904</v>
      </c>
      <c r="P96" s="4">
        <v>-7648.3</v>
      </c>
      <c r="Q96" s="4">
        <v>-6794.3</v>
      </c>
      <c r="R96" s="4">
        <v>-5314.5</v>
      </c>
      <c r="S96" s="4">
        <v>-8450.2999999999993</v>
      </c>
      <c r="T96" s="4">
        <v>-8761.2000000000007</v>
      </c>
      <c r="U96" s="4">
        <v>-8658.9</v>
      </c>
      <c r="V96" s="4">
        <v>-8698.7000000000007</v>
      </c>
      <c r="W96" s="4">
        <v>-8665.9</v>
      </c>
      <c r="X96" s="4">
        <v>-8499.4</v>
      </c>
      <c r="Y96" s="4">
        <v>-8341.6</v>
      </c>
      <c r="Z96" s="4">
        <v>-7987.8</v>
      </c>
      <c r="AA96" s="4"/>
      <c r="AB96" s="4">
        <v>-8442.2000000000007</v>
      </c>
      <c r="AC96" s="4"/>
      <c r="AD96" s="4"/>
    </row>
    <row r="97" spans="2:30" s="9" customFormat="1">
      <c r="B97" s="9" t="s">
        <v>53</v>
      </c>
      <c r="C97" s="12"/>
      <c r="D97" s="12"/>
      <c r="E97" s="12"/>
      <c r="F97" s="12"/>
      <c r="G97" s="12"/>
      <c r="H97" s="12"/>
      <c r="I97" s="12"/>
      <c r="J97" s="12">
        <f t="shared" ref="J97:K97" si="184">+J95+J96</f>
        <v>18029.900000000001</v>
      </c>
      <c r="K97" s="12">
        <f t="shared" si="184"/>
        <v>26645.700000000004</v>
      </c>
      <c r="L97" s="12">
        <f t="shared" ref="L97:M97" si="185">+L95+L96</f>
        <v>26481.199999999997</v>
      </c>
      <c r="M97" s="12">
        <f t="shared" si="185"/>
        <v>28279.8</v>
      </c>
      <c r="N97" s="12">
        <f t="shared" ref="N97:T97" si="186">+N95+N96</f>
        <v>28376.9</v>
      </c>
      <c r="O97" s="12">
        <f t="shared" si="186"/>
        <v>28917.800000000003</v>
      </c>
      <c r="P97" s="12">
        <f t="shared" si="186"/>
        <v>27338.100000000002</v>
      </c>
      <c r="Q97" s="12">
        <f t="shared" si="186"/>
        <v>28349.8</v>
      </c>
      <c r="R97" s="12">
        <f t="shared" si="186"/>
        <v>30181</v>
      </c>
      <c r="S97" s="12">
        <f t="shared" si="186"/>
        <v>27544.099999999995</v>
      </c>
      <c r="T97" s="12">
        <f t="shared" si="186"/>
        <v>27691.999999999996</v>
      </c>
      <c r="U97" s="12">
        <f t="shared" ref="U97:V97" si="187">+U95+U96</f>
        <v>16666.400000000001</v>
      </c>
      <c r="V97" s="12">
        <f t="shared" si="187"/>
        <v>26536.999999999996</v>
      </c>
      <c r="W97" s="12">
        <f t="shared" ref="W97:X97" si="188">+W95+W96</f>
        <v>26908.199999999997</v>
      </c>
      <c r="X97" s="12">
        <f t="shared" si="188"/>
        <v>27174.189999999995</v>
      </c>
      <c r="Y97" s="12">
        <f t="shared" ref="Y97:AB97" si="189">+Y95+Y96</f>
        <v>27229.5</v>
      </c>
      <c r="Z97" s="12">
        <f t="shared" si="189"/>
        <v>27901.200000000001</v>
      </c>
      <c r="AA97" s="12"/>
      <c r="AB97" s="12">
        <f t="shared" si="189"/>
        <v>29363.200000000001</v>
      </c>
      <c r="AC97" s="12"/>
      <c r="AD97" s="12"/>
    </row>
    <row r="98" spans="2:30" s="9" customFormat="1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2:30" s="9" customFormat="1">
      <c r="B99" s="36" t="s">
        <v>177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2:30" s="9" customFormat="1">
      <c r="B100" s="8" t="s">
        <v>178</v>
      </c>
      <c r="C100" s="12"/>
      <c r="D100" s="12"/>
      <c r="E100" s="12"/>
      <c r="F100" s="12"/>
      <c r="G100" s="12"/>
      <c r="H100" s="12"/>
      <c r="I100" s="12"/>
      <c r="J100" s="4">
        <f>+J91+J89+J88</f>
        <v>11167</v>
      </c>
      <c r="K100" s="4">
        <f t="shared" ref="K100:Z100" si="190">+K91+K89+K88</f>
        <v>11649.800000000001</v>
      </c>
      <c r="L100" s="4">
        <f t="shared" si="190"/>
        <v>14015.2</v>
      </c>
      <c r="M100" s="4">
        <f t="shared" si="190"/>
        <v>16831.7</v>
      </c>
      <c r="N100" s="4">
        <f t="shared" si="190"/>
        <v>16348.599999999999</v>
      </c>
      <c r="O100" s="4">
        <f t="shared" si="190"/>
        <v>15916.1</v>
      </c>
      <c r="P100" s="4">
        <f t="shared" si="190"/>
        <v>14648.599999999999</v>
      </c>
      <c r="Q100" s="4">
        <f t="shared" si="190"/>
        <v>14618.1</v>
      </c>
      <c r="R100" s="4">
        <f t="shared" si="190"/>
        <v>16211.9</v>
      </c>
      <c r="S100" s="4">
        <f t="shared" si="190"/>
        <v>14785.199999999999</v>
      </c>
      <c r="T100" s="4">
        <f t="shared" si="190"/>
        <v>16013</v>
      </c>
      <c r="U100" s="4">
        <f t="shared" si="190"/>
        <v>5129.9000000000005</v>
      </c>
      <c r="V100" s="4">
        <f t="shared" si="190"/>
        <v>15043.9</v>
      </c>
      <c r="W100" s="4">
        <f t="shared" si="190"/>
        <v>14926</v>
      </c>
      <c r="X100" s="4">
        <f t="shared" si="190"/>
        <v>15486.3</v>
      </c>
      <c r="Y100" s="4">
        <f t="shared" si="190"/>
        <v>15414.8</v>
      </c>
      <c r="Z100" s="4">
        <f t="shared" si="190"/>
        <v>15399.7</v>
      </c>
      <c r="AB100" s="4">
        <f t="shared" ref="AB100" si="191">+AB91+AB89+AB88</f>
        <v>15589.6</v>
      </c>
    </row>
    <row r="101" spans="2:30" s="9" customFormat="1">
      <c r="B101" s="8" t="s">
        <v>179</v>
      </c>
      <c r="C101" s="12"/>
      <c r="D101" s="12"/>
      <c r="E101" s="12"/>
      <c r="F101" s="12"/>
      <c r="G101" s="12"/>
      <c r="H101" s="12"/>
      <c r="I101" s="12"/>
      <c r="J101" s="4">
        <f>+J100-J66-J67</f>
        <v>8409.9</v>
      </c>
      <c r="K101" s="4">
        <f t="shared" ref="K101:Z101" si="192">+K100-K66-K67</f>
        <v>8540.9000000000015</v>
      </c>
      <c r="L101" s="4">
        <f t="shared" si="192"/>
        <v>11390.000000000002</v>
      </c>
      <c r="M101" s="4">
        <f t="shared" si="192"/>
        <v>12635.900000000001</v>
      </c>
      <c r="N101" s="4">
        <f t="shared" si="192"/>
        <v>11716.499999999998</v>
      </c>
      <c r="O101" s="4">
        <f t="shared" si="192"/>
        <v>10652.5</v>
      </c>
      <c r="P101" s="4">
        <f t="shared" si="192"/>
        <v>10644.899999999998</v>
      </c>
      <c r="Q101" s="4">
        <f t="shared" si="192"/>
        <v>9711.4</v>
      </c>
      <c r="R101" s="4">
        <f t="shared" si="192"/>
        <v>9594</v>
      </c>
      <c r="S101" s="4">
        <f t="shared" si="192"/>
        <v>10728.4</v>
      </c>
      <c r="T101" s="4">
        <f t="shared" si="192"/>
        <v>12017.5</v>
      </c>
      <c r="U101" s="4">
        <f t="shared" si="192"/>
        <v>1875.5000000000005</v>
      </c>
      <c r="V101" s="4">
        <f t="shared" si="192"/>
        <v>11861</v>
      </c>
      <c r="W101" s="4">
        <f t="shared" si="192"/>
        <v>11615.6</v>
      </c>
      <c r="X101" s="4">
        <f t="shared" si="192"/>
        <v>12035.1</v>
      </c>
      <c r="Y101" s="4">
        <f t="shared" si="192"/>
        <v>11794.8</v>
      </c>
      <c r="Z101" s="4">
        <f t="shared" si="192"/>
        <v>11446.7</v>
      </c>
      <c r="AB101" s="4">
        <f t="shared" ref="AB101" si="193">+AB100-AB66-AB67</f>
        <v>12463</v>
      </c>
    </row>
    <row r="102" spans="2:30" s="9" customFormat="1">
      <c r="B102" s="8" t="s">
        <v>180</v>
      </c>
      <c r="C102" s="12"/>
      <c r="D102" s="12"/>
      <c r="E102" s="12"/>
      <c r="F102" s="12"/>
      <c r="G102" s="12"/>
      <c r="H102" s="12"/>
      <c r="I102" s="12"/>
      <c r="J102" s="37">
        <f t="shared" ref="J102:Z102" si="194">+J101/J48</f>
        <v>6.9756967485069676</v>
      </c>
      <c r="K102" s="37">
        <f t="shared" si="194"/>
        <v>7.171200671704451</v>
      </c>
      <c r="L102" s="37">
        <f t="shared" si="194"/>
        <v>9.6468196832387587</v>
      </c>
      <c r="M102" s="37">
        <f t="shared" si="194"/>
        <v>10.8137783483098</v>
      </c>
      <c r="N102" s="37">
        <f t="shared" si="194"/>
        <v>9.9376590330788783</v>
      </c>
      <c r="O102" s="37">
        <f t="shared" si="194"/>
        <v>9.0046491969568887</v>
      </c>
      <c r="P102" s="37">
        <f t="shared" si="194"/>
        <v>8.984554355165427</v>
      </c>
      <c r="Q102" s="37">
        <f t="shared" si="194"/>
        <v>8.1869836452537506</v>
      </c>
      <c r="R102" s="37">
        <f t="shared" si="194"/>
        <v>8.0764374105564443</v>
      </c>
      <c r="S102" s="37">
        <f t="shared" si="194"/>
        <v>9.1181370049294586</v>
      </c>
      <c r="T102" s="37">
        <f t="shared" si="194"/>
        <v>10.414680648236414</v>
      </c>
      <c r="U102" s="37">
        <f t="shared" si="194"/>
        <v>1.6294526498696789</v>
      </c>
      <c r="V102" s="37">
        <f t="shared" si="194"/>
        <v>7.7751556866601117</v>
      </c>
      <c r="W102" s="37">
        <f t="shared" si="194"/>
        <v>9.8721740608533075</v>
      </c>
      <c r="X102" s="37">
        <f t="shared" si="194"/>
        <v>10.440791185911339</v>
      </c>
      <c r="Y102" s="37">
        <f t="shared" si="194"/>
        <v>10.251890482398956</v>
      </c>
      <c r="Z102" s="37">
        <f t="shared" si="194"/>
        <v>10.080745079882528</v>
      </c>
      <c r="AB102" s="37">
        <f t="shared" ref="AB102" si="195">+AB101/AB48</f>
        <v>10.976748282543596</v>
      </c>
    </row>
    <row r="103" spans="2:30" s="9" customFormat="1">
      <c r="B103" s="8" t="s">
        <v>181</v>
      </c>
      <c r="C103" s="12"/>
      <c r="D103" s="12"/>
      <c r="E103" s="12"/>
      <c r="F103" s="12"/>
      <c r="G103" s="12"/>
      <c r="H103" s="12"/>
      <c r="I103" s="12"/>
      <c r="J103" s="37">
        <f t="shared" ref="J103:Z103" si="196">+J96/J48</f>
        <v>-5.1683808891838092</v>
      </c>
      <c r="K103" s="37">
        <f t="shared" si="196"/>
        <v>-5.6751469353484474</v>
      </c>
      <c r="L103" s="37">
        <f t="shared" si="196"/>
        <v>-6.3800287964766662</v>
      </c>
      <c r="M103" s="37">
        <f t="shared" si="196"/>
        <v>-7.3806589644843807</v>
      </c>
      <c r="N103" s="37">
        <f t="shared" si="196"/>
        <v>-6.6152671755725185</v>
      </c>
      <c r="O103" s="37">
        <f t="shared" si="196"/>
        <v>-6.6813186813186816</v>
      </c>
      <c r="P103" s="37">
        <f t="shared" si="196"/>
        <v>-6.4553511141120872</v>
      </c>
      <c r="Q103" s="37">
        <f t="shared" si="196"/>
        <v>-5.7277862080593493</v>
      </c>
      <c r="R103" s="37">
        <f t="shared" si="196"/>
        <v>-4.4738614361478239</v>
      </c>
      <c r="S103" s="37">
        <f t="shared" si="196"/>
        <v>-7.1819649838517758</v>
      </c>
      <c r="T103" s="37">
        <f t="shared" si="196"/>
        <v>-7.5926856746685152</v>
      </c>
      <c r="U103" s="37">
        <f t="shared" si="196"/>
        <v>-7.522936576889661</v>
      </c>
      <c r="V103" s="37">
        <f t="shared" si="196"/>
        <v>-5.7021960013110462</v>
      </c>
      <c r="W103" s="37">
        <f t="shared" si="196"/>
        <v>-7.365204827468979</v>
      </c>
      <c r="X103" s="37">
        <f t="shared" si="196"/>
        <v>-7.3734709811746333</v>
      </c>
      <c r="Y103" s="37">
        <f t="shared" si="196"/>
        <v>-7.2504128639721861</v>
      </c>
      <c r="Z103" s="37">
        <f t="shared" si="196"/>
        <v>-7.0346017235609963</v>
      </c>
      <c r="AB103" s="37">
        <f t="shared" ref="AB103" si="197">+AB96/AB48</f>
        <v>-7.435441254183548</v>
      </c>
    </row>
    <row r="104" spans="2:30">
      <c r="B104" s="8" t="s">
        <v>111</v>
      </c>
      <c r="J104" s="4">
        <f>+J71-J90</f>
        <v>674.90000000000055</v>
      </c>
      <c r="K104" s="4">
        <f>+K71-K90</f>
        <v>-1690.2000000000007</v>
      </c>
      <c r="L104" s="4">
        <f>+L71-L90</f>
        <v>-1518.199999999998</v>
      </c>
      <c r="M104" s="4">
        <f>+M71-M90</f>
        <v>439.80000000000018</v>
      </c>
      <c r="N104" s="4">
        <f>+N71-N90</f>
        <v>1457.5</v>
      </c>
      <c r="O104" s="4">
        <f t="shared" ref="O104:S104" si="198">+O71-O90</f>
        <v>1524.1999999999998</v>
      </c>
      <c r="P104" s="4">
        <f t="shared" si="198"/>
        <v>1508</v>
      </c>
      <c r="Q104" s="4">
        <f t="shared" si="198"/>
        <v>1258.9000000000005</v>
      </c>
      <c r="R104" s="4">
        <f t="shared" si="198"/>
        <v>2816.6000000000004</v>
      </c>
      <c r="S104" s="4">
        <f t="shared" si="198"/>
        <v>-376.19999999999891</v>
      </c>
      <c r="T104" s="4">
        <f t="shared" ref="T104:U104" si="199">+T71-T90</f>
        <v>-233.70000000000164</v>
      </c>
      <c r="U104" s="4">
        <f t="shared" si="199"/>
        <v>154.89999999999964</v>
      </c>
      <c r="V104" s="4">
        <f t="shared" ref="V104:W104" si="200">+V71-V90</f>
        <v>-691.69999999999982</v>
      </c>
      <c r="W104" s="4">
        <f t="shared" si="200"/>
        <v>-963.10000000000036</v>
      </c>
      <c r="X104" s="4">
        <f t="shared" ref="X104:Y104" si="201">+X71-X90</f>
        <v>-640.78999999999905</v>
      </c>
      <c r="Y104" s="4">
        <f t="shared" si="201"/>
        <v>-540.40000000000055</v>
      </c>
      <c r="Z104" s="4">
        <f t="shared" ref="Z104:AB104" si="202">+Z71-Z90</f>
        <v>-497.60000000000036</v>
      </c>
      <c r="AA104" s="4"/>
      <c r="AB104" s="4">
        <f t="shared" si="202"/>
        <v>-1063.8999999999996</v>
      </c>
      <c r="AC104" s="4"/>
      <c r="AD104" s="4"/>
    </row>
    <row r="105" spans="2:30">
      <c r="Y105" s="4"/>
      <c r="Z105" s="4"/>
      <c r="AA105" s="4"/>
      <c r="AB105" s="4"/>
      <c r="AC105" s="4"/>
      <c r="AD105" s="4"/>
    </row>
    <row r="106" spans="2:30">
      <c r="B106" s="36" t="s">
        <v>182</v>
      </c>
      <c r="Y106" s="4"/>
      <c r="Z106" s="4"/>
      <c r="AA106" s="4"/>
      <c r="AB106" s="4"/>
      <c r="AC106" s="4"/>
      <c r="AD106" s="4"/>
    </row>
    <row r="107" spans="2:30" s="10" customFormat="1">
      <c r="B107" s="10" t="s">
        <v>183</v>
      </c>
      <c r="C107" s="11"/>
      <c r="D107" s="11"/>
      <c r="E107" s="11"/>
      <c r="F107" s="11"/>
      <c r="G107" s="11"/>
      <c r="H107" s="11"/>
      <c r="I107" s="11"/>
      <c r="J107" s="11">
        <f t="shared" ref="J107:Z107" si="203">ABS(SUM(G42:J42))/J100</f>
        <v>2.9640906241604727E-2</v>
      </c>
      <c r="K107" s="11">
        <f t="shared" si="203"/>
        <v>2.9863173616714447E-2</v>
      </c>
      <c r="L107" s="11">
        <f t="shared" si="203"/>
        <v>2.6628232205034533E-2</v>
      </c>
      <c r="M107" s="11">
        <f t="shared" si="203"/>
        <v>2.4216211077906568E-2</v>
      </c>
      <c r="N107" s="11">
        <f t="shared" si="203"/>
        <v>2.6724000831875518E-2</v>
      </c>
      <c r="O107" s="11">
        <f t="shared" si="203"/>
        <v>2.9259680449356312E-2</v>
      </c>
      <c r="P107" s="11">
        <f t="shared" si="203"/>
        <v>3.287003536174106E-2</v>
      </c>
      <c r="Q107" s="11">
        <f t="shared" si="203"/>
        <v>3.2432395454949685E-2</v>
      </c>
      <c r="R107" s="11">
        <f t="shared" si="203"/>
        <v>2.8972544859023314E-2</v>
      </c>
      <c r="S107" s="11">
        <f t="shared" si="203"/>
        <v>3.1403024646267895E-2</v>
      </c>
      <c r="T107" s="11">
        <f t="shared" si="203"/>
        <v>2.925123337288453E-2</v>
      </c>
      <c r="U107" s="11">
        <f t="shared" si="203"/>
        <v>9.3198697830367064E-2</v>
      </c>
      <c r="V107" s="11">
        <f t="shared" si="203"/>
        <v>3.2092741908680597E-2</v>
      </c>
      <c r="W107" s="11">
        <f t="shared" si="203"/>
        <v>3.234624145785877E-2</v>
      </c>
      <c r="X107" s="11">
        <f t="shared" si="203"/>
        <v>3.2286601706024036E-2</v>
      </c>
      <c r="Y107" s="11">
        <f t="shared" si="203"/>
        <v>3.3591094273036304E-2</v>
      </c>
      <c r="Z107" s="11">
        <f t="shared" si="203"/>
        <v>3.5721475093670657E-2</v>
      </c>
      <c r="AA107" s="11"/>
      <c r="AB107" s="11"/>
      <c r="AC107" s="11"/>
      <c r="AD107" s="11"/>
    </row>
    <row r="108" spans="2:30" s="23" customFormat="1">
      <c r="B108" s="23" t="s">
        <v>138</v>
      </c>
      <c r="C108" s="38"/>
      <c r="D108" s="38"/>
      <c r="E108" s="38"/>
      <c r="F108" s="38"/>
      <c r="G108" s="38"/>
      <c r="H108" s="38"/>
      <c r="I108" s="38"/>
      <c r="J108" s="39">
        <f t="shared" ref="J108:Z108" si="204">+J31/(SUM(I69:J69)/2)</f>
        <v>2.7979599843075711</v>
      </c>
      <c r="K108" s="39">
        <f t="shared" si="204"/>
        <v>1.522344372213335</v>
      </c>
      <c r="L108" s="39">
        <f t="shared" si="204"/>
        <v>1.3772967010238202</v>
      </c>
      <c r="M108" s="39">
        <f t="shared" si="204"/>
        <v>0.96488946684005206</v>
      </c>
      <c r="N108" s="39">
        <f t="shared" si="204"/>
        <v>1.2610359785659608</v>
      </c>
      <c r="O108" s="39">
        <f t="shared" si="204"/>
        <v>1.3557180191207119</v>
      </c>
      <c r="P108" s="39">
        <f t="shared" si="204"/>
        <v>1.3393835501327687</v>
      </c>
      <c r="Q108" s="39">
        <f t="shared" si="204"/>
        <v>1.4457041745854904</v>
      </c>
      <c r="R108" s="39">
        <f t="shared" si="204"/>
        <v>1.5805970622759429</v>
      </c>
      <c r="S108" s="39">
        <f t="shared" si="204"/>
        <v>1.5593335390311633</v>
      </c>
      <c r="T108" s="39">
        <f t="shared" si="204"/>
        <v>1.3864102780354786</v>
      </c>
      <c r="U108" s="39">
        <f t="shared" si="204"/>
        <v>1.2897431468824792</v>
      </c>
      <c r="V108" s="39">
        <f t="shared" si="204"/>
        <v>1.2581505975171134</v>
      </c>
      <c r="W108" s="39">
        <f t="shared" si="204"/>
        <v>1.1850306000422071</v>
      </c>
      <c r="X108" s="39">
        <f t="shared" si="204"/>
        <v>1.37046004842615</v>
      </c>
      <c r="Y108" s="39">
        <f t="shared" si="204"/>
        <v>1.4365533152773597</v>
      </c>
      <c r="Z108" s="39">
        <f t="shared" si="204"/>
        <v>1.6957346971054996</v>
      </c>
      <c r="AA108" s="39"/>
      <c r="AB108" s="39"/>
      <c r="AC108" s="39"/>
      <c r="AD108" s="39"/>
    </row>
    <row r="109" spans="2:30">
      <c r="B109" s="8" t="s">
        <v>139</v>
      </c>
      <c r="J109" s="4">
        <f t="shared" ref="J109:Z109" si="205">+(J69/J31)*365</f>
        <v>260.90437464946717</v>
      </c>
      <c r="K109" s="4">
        <f t="shared" si="205"/>
        <v>229.9121355750313</v>
      </c>
      <c r="L109" s="4">
        <f t="shared" si="205"/>
        <v>272.64003604144767</v>
      </c>
      <c r="M109" s="4">
        <f t="shared" si="205"/>
        <v>389.54649595687329</v>
      </c>
      <c r="N109" s="4">
        <f t="shared" si="205"/>
        <v>286.45335896398223</v>
      </c>
      <c r="O109" s="4">
        <f t="shared" si="205"/>
        <v>262.11385486311065</v>
      </c>
      <c r="P109" s="4">
        <f t="shared" si="205"/>
        <v>275.45372415177673</v>
      </c>
      <c r="Q109" s="4">
        <f t="shared" si="205"/>
        <v>256.16183136899366</v>
      </c>
      <c r="R109" s="4">
        <f t="shared" si="205"/>
        <v>235.00602143631332</v>
      </c>
      <c r="S109" s="4">
        <f t="shared" si="205"/>
        <v>236.47215956310103</v>
      </c>
      <c r="T109" s="4">
        <f t="shared" si="205"/>
        <v>284.2079649606618</v>
      </c>
      <c r="U109" s="4">
        <f t="shared" si="205"/>
        <v>297.86826599326605</v>
      </c>
      <c r="V109" s="4">
        <f t="shared" si="205"/>
        <v>293.05016599040943</v>
      </c>
      <c r="W109" s="4">
        <f t="shared" si="205"/>
        <v>301.61719893941194</v>
      </c>
      <c r="X109" s="4">
        <f t="shared" si="205"/>
        <v>260.63425777206697</v>
      </c>
      <c r="Y109" s="4">
        <f t="shared" si="205"/>
        <v>253.21381188464494</v>
      </c>
      <c r="Z109" s="4">
        <f t="shared" si="205"/>
        <v>204.99828996051357</v>
      </c>
      <c r="AA109" s="4"/>
      <c r="AB109" s="4"/>
      <c r="AC109" s="39"/>
      <c r="AD109" s="4"/>
    </row>
    <row r="110" spans="2:30" s="10" customFormat="1">
      <c r="B110" s="10" t="s">
        <v>140</v>
      </c>
      <c r="C110" s="11"/>
      <c r="D110" s="11"/>
      <c r="E110" s="11"/>
      <c r="F110" s="11"/>
      <c r="G110" s="11"/>
      <c r="H110" s="11"/>
      <c r="I110" s="11"/>
      <c r="J110" s="11">
        <f t="shared" ref="J110:Z110" si="206">+SUM(G47:J47)/(SUM(I80:J80)/2)</f>
        <v>0.32387770817290679</v>
      </c>
      <c r="K110" s="11">
        <f t="shared" si="206"/>
        <v>0.13633817456108399</v>
      </c>
      <c r="L110" s="11">
        <f t="shared" si="206"/>
        <v>0.10299183846463153</v>
      </c>
      <c r="M110" s="11">
        <f t="shared" si="206"/>
        <v>5.0657459002640411E-2</v>
      </c>
      <c r="N110" s="11">
        <f t="shared" si="206"/>
        <v>4.1254308716895324E-2</v>
      </c>
      <c r="O110" s="11">
        <f t="shared" si="206"/>
        <v>3.4019233977442991E-2</v>
      </c>
      <c r="P110" s="11">
        <f t="shared" si="206"/>
        <v>4.6763718265824081E-2</v>
      </c>
      <c r="Q110" s="11">
        <f t="shared" si="206"/>
        <v>0.10847645142052093</v>
      </c>
      <c r="R110" s="11">
        <f t="shared" si="206"/>
        <v>0.11517830886278918</v>
      </c>
      <c r="S110" s="11">
        <f t="shared" si="206"/>
        <v>0.12020017865978599</v>
      </c>
      <c r="T110" s="11">
        <f t="shared" si="206"/>
        <v>0.12500475322960347</v>
      </c>
      <c r="U110" s="11">
        <f t="shared" si="206"/>
        <v>0.1178715403786454</v>
      </c>
      <c r="V110" s="11">
        <f t="shared" si="206"/>
        <v>0.11856544293695125</v>
      </c>
      <c r="W110" s="11">
        <f t="shared" si="206"/>
        <v>0.11834727791658139</v>
      </c>
      <c r="X110" s="11">
        <f t="shared" si="206"/>
        <v>0.12541259929200863</v>
      </c>
      <c r="Y110" s="11">
        <f t="shared" si="206"/>
        <v>0.13210909978724145</v>
      </c>
      <c r="Z110" s="11">
        <f t="shared" si="206"/>
        <v>0.14253719157420694</v>
      </c>
      <c r="AA110" s="11"/>
      <c r="AB110" s="11"/>
      <c r="AC110" s="11"/>
      <c r="AD110" s="11"/>
    </row>
    <row r="111" spans="2:30" s="9" customFormat="1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2:30" s="9" customFormat="1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2:24" s="9" customFormat="1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2:24" s="9" customFormat="1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2:24" s="9" customFormat="1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2:24" hidden="1" outlineLevel="1">
      <c r="B116" s="8" t="s">
        <v>15</v>
      </c>
      <c r="N116" s="11">
        <f t="shared" ref="N116:S125" si="207">+N66/N$80</f>
        <v>0.14811826584282284</v>
      </c>
      <c r="O116" s="11">
        <f t="shared" si="207"/>
        <v>0.16778006166495377</v>
      </c>
      <c r="P116" s="11">
        <f t="shared" si="207"/>
        <v>0.13678066524036275</v>
      </c>
      <c r="Q116" s="11">
        <f t="shared" si="207"/>
        <v>0.16124884655050753</v>
      </c>
      <c r="R116" s="11">
        <f t="shared" si="207"/>
        <v>0.20564597050869163</v>
      </c>
      <c r="S116" s="11">
        <f t="shared" si="207"/>
        <v>0.1376643464810518</v>
      </c>
    </row>
    <row r="117" spans="2:24" hidden="1" outlineLevel="1">
      <c r="B117" s="8" t="s">
        <v>60</v>
      </c>
      <c r="N117" s="11">
        <f t="shared" si="207"/>
        <v>9.5729289009174618E-3</v>
      </c>
      <c r="O117" s="11">
        <f t="shared" si="207"/>
        <v>7.8582773855127401E-3</v>
      </c>
      <c r="P117" s="11">
        <f t="shared" si="207"/>
        <v>4.3353059562874271E-3</v>
      </c>
      <c r="Q117" s="11">
        <f t="shared" si="207"/>
        <v>5.2108777072138084E-3</v>
      </c>
      <c r="R117" s="11">
        <f t="shared" si="207"/>
        <v>5.1668721310639864E-3</v>
      </c>
      <c r="S117" s="11">
        <f t="shared" si="207"/>
        <v>3.0311543010137373E-3</v>
      </c>
    </row>
    <row r="118" spans="2:24" hidden="1" outlineLevel="1">
      <c r="B118" s="8" t="s">
        <v>61</v>
      </c>
      <c r="N118" s="11">
        <f t="shared" si="207"/>
        <v>3.0073703382185228E-2</v>
      </c>
      <c r="O118" s="11">
        <f t="shared" si="207"/>
        <v>2.9631211542825112E-2</v>
      </c>
      <c r="P118" s="11">
        <f t="shared" si="207"/>
        <v>3.1023872379871493E-2</v>
      </c>
      <c r="Q118" s="11">
        <f t="shared" si="207"/>
        <v>3.0912446398523585E-2</v>
      </c>
      <c r="R118" s="11">
        <f t="shared" si="207"/>
        <v>2.9943648601727175E-2</v>
      </c>
      <c r="S118" s="11">
        <f t="shared" si="207"/>
        <v>3.5759990844110572E-2</v>
      </c>
    </row>
    <row r="119" spans="2:24" hidden="1" outlineLevel="1">
      <c r="B119" s="8" t="s">
        <v>62</v>
      </c>
      <c r="N119" s="11">
        <f t="shared" si="207"/>
        <v>5.2814515991761568E-2</v>
      </c>
      <c r="O119" s="11">
        <f t="shared" si="207"/>
        <v>4.9101720478904452E-2</v>
      </c>
      <c r="P119" s="11">
        <f t="shared" si="207"/>
        <v>5.2996471836372155E-2</v>
      </c>
      <c r="Q119" s="11">
        <f t="shared" si="207"/>
        <v>5.2522661890028771E-2</v>
      </c>
      <c r="R119" s="11">
        <f t="shared" si="207"/>
        <v>5.1092146800330022E-2</v>
      </c>
      <c r="S119" s="11">
        <f t="shared" si="207"/>
        <v>5.6776918835121155E-2</v>
      </c>
    </row>
    <row r="120" spans="2:24" hidden="1" outlineLevel="1">
      <c r="B120" s="8" t="s">
        <v>63</v>
      </c>
      <c r="N120" s="11">
        <f t="shared" si="207"/>
        <v>2.5174896593984579E-2</v>
      </c>
      <c r="O120" s="11">
        <f t="shared" si="207"/>
        <v>2.4505812789471577E-2</v>
      </c>
      <c r="P120" s="11">
        <f t="shared" si="207"/>
        <v>2.0865862814001275E-2</v>
      </c>
      <c r="Q120" s="11">
        <f t="shared" si="207"/>
        <v>1.9187971557292516E-2</v>
      </c>
      <c r="R120" s="11">
        <f t="shared" si="207"/>
        <v>1.8940950487858488E-2</v>
      </c>
      <c r="S120" s="11">
        <f t="shared" si="207"/>
        <v>1.8384609782235495E-2</v>
      </c>
    </row>
    <row r="121" spans="2:24" hidden="1" outlineLevel="1">
      <c r="B121" s="8" t="s">
        <v>57</v>
      </c>
      <c r="N121" s="11">
        <f t="shared" si="207"/>
        <v>0.26575431071167166</v>
      </c>
      <c r="O121" s="11">
        <f t="shared" si="207"/>
        <v>0.27887708386166765</v>
      </c>
      <c r="P121" s="11">
        <f t="shared" si="207"/>
        <v>0.2460021782268951</v>
      </c>
      <c r="Q121" s="11">
        <f t="shared" si="207"/>
        <v>0.26908280410356622</v>
      </c>
      <c r="R121" s="11">
        <f t="shared" si="207"/>
        <v>0.31078958852967126</v>
      </c>
      <c r="S121" s="11">
        <f t="shared" si="207"/>
        <v>0.25161702024353277</v>
      </c>
    </row>
    <row r="122" spans="2:24" hidden="1" outlineLevel="1">
      <c r="B122" s="8" t="s">
        <v>64</v>
      </c>
      <c r="N122" s="11">
        <f t="shared" si="207"/>
        <v>7.0162896389725782E-3</v>
      </c>
      <c r="O122" s="11">
        <f t="shared" si="207"/>
        <v>6.3700431120780566E-3</v>
      </c>
      <c r="P122" s="11">
        <f t="shared" si="207"/>
        <v>1.0038171840249263E-2</v>
      </c>
      <c r="Q122" s="11">
        <f t="shared" si="207"/>
        <v>9.6991532323725781E-3</v>
      </c>
      <c r="R122" s="11">
        <f t="shared" si="207"/>
        <v>8.9735380969218573E-3</v>
      </c>
      <c r="S122" s="11">
        <f t="shared" si="207"/>
        <v>1.0390547237799952E-2</v>
      </c>
    </row>
    <row r="123" spans="2:24" hidden="1" outlineLevel="1">
      <c r="B123" s="8" t="s">
        <v>65</v>
      </c>
      <c r="N123" s="11">
        <f t="shared" si="207"/>
        <v>1.6296447599108071E-2</v>
      </c>
      <c r="O123" s="11">
        <f t="shared" si="207"/>
        <v>1.6550766807704117E-2</v>
      </c>
      <c r="P123" s="11">
        <f t="shared" si="207"/>
        <v>1.7602047110324724E-2</v>
      </c>
      <c r="Q123" s="11">
        <f t="shared" si="207"/>
        <v>1.8160044509580416E-2</v>
      </c>
      <c r="R123" s="11">
        <f t="shared" si="207"/>
        <v>8.5530528186848372E-3</v>
      </c>
      <c r="S123" s="11">
        <f t="shared" si="207"/>
        <v>8.7362444899926825E-3</v>
      </c>
    </row>
    <row r="124" spans="2:24" hidden="1" outlineLevel="1">
      <c r="B124" s="8" t="s">
        <v>66</v>
      </c>
      <c r="N124" s="11">
        <f t="shared" si="207"/>
        <v>0.21247680811588282</v>
      </c>
      <c r="O124" s="11">
        <f t="shared" si="207"/>
        <v>0.20614714165587752</v>
      </c>
      <c r="P124" s="11">
        <f t="shared" si="207"/>
        <v>0.21581716992637029</v>
      </c>
      <c r="Q124" s="11">
        <f t="shared" si="207"/>
        <v>0.20868615317809258</v>
      </c>
      <c r="R124" s="11">
        <f t="shared" si="207"/>
        <v>0.20290007422202261</v>
      </c>
      <c r="S124" s="11">
        <f t="shared" si="207"/>
        <v>0.22189159288198959</v>
      </c>
    </row>
    <row r="125" spans="2:24" hidden="1" outlineLevel="1">
      <c r="B125" s="8" t="s">
        <v>67</v>
      </c>
      <c r="N125" s="11">
        <f t="shared" si="207"/>
        <v>0.27691024528077074</v>
      </c>
      <c r="O125" s="11">
        <f t="shared" si="207"/>
        <v>0.27360152694171197</v>
      </c>
      <c r="P125" s="11">
        <f t="shared" si="207"/>
        <v>0.28326818625602274</v>
      </c>
      <c r="Q125" s="11">
        <f t="shared" si="207"/>
        <v>0.27361178961081256</v>
      </c>
      <c r="R125" s="11">
        <f t="shared" si="207"/>
        <v>0.26235732966364361</v>
      </c>
      <c r="S125" s="11">
        <f t="shared" si="207"/>
        <v>0.28450539122352508</v>
      </c>
    </row>
    <row r="126" spans="2:24" hidden="1" outlineLevel="1">
      <c r="B126" s="8" t="s">
        <v>68</v>
      </c>
      <c r="N126" s="11">
        <f t="shared" ref="N126:S135" si="208">+N76/N$80</f>
        <v>6.093380312856389E-2</v>
      </c>
      <c r="O126" s="11">
        <f t="shared" si="208"/>
        <v>5.9809666181711407E-2</v>
      </c>
      <c r="P126" s="11">
        <f t="shared" si="208"/>
        <v>6.2386110102672733E-2</v>
      </c>
      <c r="Q126" s="11">
        <f t="shared" si="208"/>
        <v>6.2795147370135154E-2</v>
      </c>
      <c r="R126" s="11">
        <f t="shared" si="208"/>
        <v>5.9712095004188927E-2</v>
      </c>
      <c r="S126" s="11">
        <f t="shared" si="208"/>
        <v>6.4496998324888408E-2</v>
      </c>
    </row>
    <row r="127" spans="2:24" hidden="1" outlineLevel="1">
      <c r="B127" s="8" t="s">
        <v>69</v>
      </c>
      <c r="N127" s="11">
        <f t="shared" si="208"/>
        <v>1.9356925224259136E-2</v>
      </c>
      <c r="O127" s="11">
        <f t="shared" si="208"/>
        <v>1.8055685321872374E-2</v>
      </c>
      <c r="P127" s="11">
        <f t="shared" si="208"/>
        <v>2.0263149546907656E-2</v>
      </c>
      <c r="Q127" s="11">
        <f t="shared" si="208"/>
        <v>1.989021874830375E-2</v>
      </c>
      <c r="R127" s="11">
        <f t="shared" si="208"/>
        <v>1.8428085868190607E-2</v>
      </c>
      <c r="S127" s="11">
        <f t="shared" si="208"/>
        <v>2.0392662803158781E-2</v>
      </c>
    </row>
    <row r="128" spans="2:24" hidden="1" outlineLevel="1">
      <c r="B128" s="8" t="s">
        <v>70</v>
      </c>
      <c r="N128" s="11">
        <f t="shared" si="208"/>
        <v>1.879521353554954E-2</v>
      </c>
      <c r="O128" s="11">
        <f t="shared" si="208"/>
        <v>1.6897799014962429E-2</v>
      </c>
      <c r="P128" s="11">
        <f t="shared" si="208"/>
        <v>1.5659971027467513E-2</v>
      </c>
      <c r="Q128" s="11">
        <f t="shared" si="208"/>
        <v>1.3502144059056614E-2</v>
      </c>
      <c r="R128" s="11">
        <f t="shared" si="208"/>
        <v>1.1146045367813126E-2</v>
      </c>
      <c r="S128" s="11">
        <f t="shared" si="208"/>
        <v>1.0491123295842741E-2</v>
      </c>
    </row>
    <row r="129" spans="2:19" hidden="1" outlineLevel="1">
      <c r="B129" s="8" t="s">
        <v>71</v>
      </c>
      <c r="N129" s="11">
        <f t="shared" si="208"/>
        <v>0.12245995676522153</v>
      </c>
      <c r="O129" s="11">
        <f t="shared" si="208"/>
        <v>0.12369028710241456</v>
      </c>
      <c r="P129" s="11">
        <f t="shared" si="208"/>
        <v>0.12896301596308998</v>
      </c>
      <c r="Q129" s="11">
        <f t="shared" si="208"/>
        <v>0.12457254518808011</v>
      </c>
      <c r="R129" s="11">
        <f t="shared" si="208"/>
        <v>0.11714019042886313</v>
      </c>
      <c r="S129" s="11">
        <f t="shared" si="208"/>
        <v>0.12747841949926994</v>
      </c>
    </row>
    <row r="130" spans="2:19" hidden="1" outlineLevel="1">
      <c r="B130" s="8" t="s">
        <v>58</v>
      </c>
      <c r="N130" s="11">
        <f t="shared" si="208"/>
        <v>1</v>
      </c>
      <c r="O130" s="11">
        <f t="shared" si="208"/>
        <v>1</v>
      </c>
      <c r="P130" s="11">
        <f t="shared" si="208"/>
        <v>1</v>
      </c>
      <c r="Q130" s="11">
        <f t="shared" si="208"/>
        <v>1</v>
      </c>
      <c r="R130" s="11">
        <f t="shared" si="208"/>
        <v>1</v>
      </c>
      <c r="S130" s="11">
        <f t="shared" si="208"/>
        <v>1</v>
      </c>
    </row>
    <row r="131" spans="2:19" hidden="1" outlineLevel="1">
      <c r="N131" s="11">
        <f t="shared" si="208"/>
        <v>0</v>
      </c>
      <c r="O131" s="11">
        <f t="shared" si="208"/>
        <v>0</v>
      </c>
      <c r="P131" s="11">
        <f t="shared" si="208"/>
        <v>0</v>
      </c>
      <c r="Q131" s="11">
        <f t="shared" si="208"/>
        <v>0</v>
      </c>
      <c r="R131" s="11">
        <f t="shared" si="208"/>
        <v>0</v>
      </c>
      <c r="S131" s="11">
        <f t="shared" si="208"/>
        <v>0</v>
      </c>
    </row>
    <row r="132" spans="2:19" hidden="1" outlineLevel="1">
      <c r="B132" s="8" t="s">
        <v>72</v>
      </c>
      <c r="N132" s="11">
        <f t="shared" si="208"/>
        <v>0</v>
      </c>
      <c r="O132" s="11">
        <f t="shared" si="208"/>
        <v>0</v>
      </c>
      <c r="P132" s="11">
        <f t="shared" si="208"/>
        <v>0</v>
      </c>
      <c r="Q132" s="11">
        <f t="shared" si="208"/>
        <v>0</v>
      </c>
      <c r="R132" s="11">
        <f t="shared" si="208"/>
        <v>0</v>
      </c>
      <c r="S132" s="11">
        <f t="shared" si="208"/>
        <v>0</v>
      </c>
    </row>
    <row r="133" spans="2:19" hidden="1" outlineLevel="1">
      <c r="B133" s="8" t="s">
        <v>73</v>
      </c>
      <c r="N133" s="11">
        <f t="shared" si="208"/>
        <v>3.9513864065771336E-2</v>
      </c>
      <c r="O133" s="11">
        <f t="shared" si="208"/>
        <v>5.3953497684227393E-2</v>
      </c>
      <c r="P133" s="11">
        <f t="shared" si="208"/>
        <v>6.2442504326494355E-2</v>
      </c>
      <c r="Q133" s="11">
        <f t="shared" si="208"/>
        <v>6.0773218259783969E-2</v>
      </c>
      <c r="R133" s="11">
        <f t="shared" si="208"/>
        <v>6.2856178107370278E-2</v>
      </c>
      <c r="S133" s="11">
        <f t="shared" si="208"/>
        <v>8.4771744370341851E-2</v>
      </c>
    </row>
    <row r="134" spans="2:19" hidden="1" outlineLevel="1">
      <c r="B134" s="8" t="s">
        <v>74</v>
      </c>
      <c r="N134" s="11">
        <f t="shared" si="208"/>
        <v>2.3694020323750193E-2</v>
      </c>
      <c r="O134" s="11">
        <f t="shared" si="208"/>
        <v>2.2867420349434738E-2</v>
      </c>
      <c r="P134" s="11">
        <f t="shared" si="208"/>
        <v>2.2772692506969974E-2</v>
      </c>
      <c r="Q134" s="11">
        <f t="shared" si="208"/>
        <v>2.5138413939097867E-2</v>
      </c>
      <c r="R134" s="11">
        <f t="shared" si="208"/>
        <v>2.4601574271397763E-2</v>
      </c>
      <c r="S134" s="11">
        <f t="shared" si="208"/>
        <v>2.303191729179889E-2</v>
      </c>
    </row>
    <row r="135" spans="2:19" hidden="1" outlineLevel="1">
      <c r="B135" s="8" t="s">
        <v>109</v>
      </c>
      <c r="N135" s="11">
        <f t="shared" si="208"/>
        <v>3.3430356261383173E-3</v>
      </c>
      <c r="O135" s="11">
        <f t="shared" si="208"/>
        <v>4.9952616756316652E-3</v>
      </c>
      <c r="P135" s="11">
        <f t="shared" si="208"/>
        <v>4.1238276169563333E-3</v>
      </c>
      <c r="Q135" s="11">
        <f t="shared" si="208"/>
        <v>6.947836942951746E-3</v>
      </c>
      <c r="R135" s="11">
        <f t="shared" si="208"/>
        <v>0</v>
      </c>
      <c r="S135" s="11">
        <f t="shared" si="208"/>
        <v>0</v>
      </c>
    </row>
    <row r="136" spans="2:19" hidden="1" outlineLevel="1">
      <c r="B136" s="8" t="s">
        <v>75</v>
      </c>
      <c r="N136" s="11">
        <f t="shared" ref="N136:S145" si="209">+N86/N$80</f>
        <v>4.2513064052154076E-2</v>
      </c>
      <c r="O136" s="11">
        <f t="shared" si="209"/>
        <v>4.22978871077535E-2</v>
      </c>
      <c r="P136" s="11">
        <f t="shared" si="209"/>
        <v>4.5693419851471712E-2</v>
      </c>
      <c r="Q136" s="11">
        <f t="shared" si="209"/>
        <v>4.4387450469521798E-2</v>
      </c>
      <c r="R136" s="11">
        <f t="shared" si="209"/>
        <v>1.1085520971703252E-2</v>
      </c>
      <c r="S136" s="11">
        <f t="shared" si="209"/>
        <v>4.3466197774147786E-2</v>
      </c>
    </row>
    <row r="137" spans="2:19" hidden="1" outlineLevel="1">
      <c r="B137" s="8" t="s">
        <v>76</v>
      </c>
      <c r="N137" s="11">
        <f t="shared" si="209"/>
        <v>4.9583822703365164E-2</v>
      </c>
      <c r="O137" s="11">
        <f t="shared" si="209"/>
        <v>6.2439102521322468E-2</v>
      </c>
      <c r="P137" s="11">
        <f t="shared" si="209"/>
        <v>5.7173169038161262E-2</v>
      </c>
      <c r="Q137" s="11">
        <f t="shared" si="209"/>
        <v>5.5240053194376595E-2</v>
      </c>
      <c r="R137" s="11">
        <f t="shared" si="209"/>
        <v>3.9860093080150226E-2</v>
      </c>
      <c r="S137" s="11">
        <f t="shared" si="209"/>
        <v>7.181477358248449E-2</v>
      </c>
    </row>
    <row r="138" spans="2:19" hidden="1" outlineLevel="1">
      <c r="B138" s="8" t="s">
        <v>77</v>
      </c>
      <c r="N138" s="11">
        <f t="shared" si="209"/>
        <v>1.4938126606410322E-2</v>
      </c>
      <c r="O138" s="11">
        <f t="shared" si="209"/>
        <v>1.6437313970715822E-2</v>
      </c>
      <c r="P138" s="11">
        <f t="shared" si="209"/>
        <v>6.4500893495983674E-4</v>
      </c>
      <c r="Q138" s="11">
        <f t="shared" si="209"/>
        <v>0</v>
      </c>
      <c r="R138" s="11">
        <f t="shared" si="209"/>
        <v>5.0843678226826325E-2</v>
      </c>
      <c r="S138" s="11">
        <f t="shared" si="209"/>
        <v>6.9362798650199932E-3</v>
      </c>
    </row>
    <row r="139" spans="2:19" hidden="1" outlineLevel="1">
      <c r="B139" s="8" t="s">
        <v>78</v>
      </c>
      <c r="N139" s="11">
        <f t="shared" si="209"/>
        <v>4.2550511498068058E-2</v>
      </c>
      <c r="O139" s="11">
        <f t="shared" si="209"/>
        <v>2.5026361100359048E-2</v>
      </c>
      <c r="P139" s="11">
        <f t="shared" si="209"/>
        <v>0</v>
      </c>
      <c r="Q139" s="11">
        <f t="shared" si="209"/>
        <v>3.3887667589426261E-2</v>
      </c>
      <c r="R139" s="11">
        <f t="shared" si="209"/>
        <v>3.1819904881133274E-2</v>
      </c>
      <c r="S139" s="11">
        <f t="shared" si="209"/>
        <v>3.4643249785842357E-2</v>
      </c>
    </row>
    <row r="140" spans="2:19" hidden="1" outlineLevel="1">
      <c r="B140" s="8" t="s">
        <v>56</v>
      </c>
      <c r="N140" s="11">
        <f t="shared" si="209"/>
        <v>0.21613644487565745</v>
      </c>
      <c r="O140" s="11">
        <f t="shared" si="209"/>
        <v>0.22801684440944464</v>
      </c>
      <c r="P140" s="11">
        <f t="shared" si="209"/>
        <v>0.19285062227501348</v>
      </c>
      <c r="Q140" s="11">
        <f t="shared" si="209"/>
        <v>0.22637464039515823</v>
      </c>
      <c r="R140" s="11">
        <f t="shared" si="209"/>
        <v>0.22106694953858111</v>
      </c>
      <c r="S140" s="11">
        <f t="shared" si="209"/>
        <v>0.26466416266963538</v>
      </c>
    </row>
    <row r="141" spans="2:19" hidden="1" outlineLevel="1">
      <c r="B141" s="8" t="s">
        <v>79</v>
      </c>
      <c r="N141" s="11">
        <f t="shared" si="209"/>
        <v>0.49906892032204803</v>
      </c>
      <c r="O141" s="11">
        <f t="shared" si="209"/>
        <v>0.48963241280815795</v>
      </c>
      <c r="P141" s="11">
        <f t="shared" si="209"/>
        <v>0.51566525798595075</v>
      </c>
      <c r="Q141" s="11">
        <f t="shared" si="209"/>
        <v>0.46203115670629108</v>
      </c>
      <c r="R141" s="11">
        <f t="shared" si="209"/>
        <v>0.43376560494133909</v>
      </c>
      <c r="S141" s="11">
        <f t="shared" si="209"/>
        <v>0.47119189565060565</v>
      </c>
    </row>
    <row r="142" spans="2:19" hidden="1" outlineLevel="1">
      <c r="B142" s="8" t="s">
        <v>80</v>
      </c>
      <c r="N142" s="11">
        <f t="shared" si="209"/>
        <v>0.26082826941735177</v>
      </c>
      <c r="O142" s="11">
        <f t="shared" si="209"/>
        <v>0.25875588953697898</v>
      </c>
      <c r="P142" s="11">
        <f t="shared" si="209"/>
        <v>0.26708656865820518</v>
      </c>
      <c r="Q142" s="11">
        <f t="shared" si="209"/>
        <v>0.2577552515876893</v>
      </c>
      <c r="R142" s="11">
        <f t="shared" si="209"/>
        <v>0.24649356689379243</v>
      </c>
      <c r="S142" s="11">
        <f t="shared" si="209"/>
        <v>0.26732422599787053</v>
      </c>
    </row>
    <row r="143" spans="2:19" hidden="1" outlineLevel="1">
      <c r="B143" s="8" t="s">
        <v>81</v>
      </c>
      <c r="N143" s="11">
        <f t="shared" si="209"/>
        <v>0.22463361078486443</v>
      </c>
      <c r="O143" s="11">
        <f t="shared" si="209"/>
        <v>0.22015523017578517</v>
      </c>
      <c r="P143" s="11">
        <f t="shared" si="209"/>
        <v>0.23023294339077321</v>
      </c>
      <c r="Q143" s="11">
        <f t="shared" si="209"/>
        <v>0.22022064810291483</v>
      </c>
      <c r="R143" s="11">
        <f t="shared" si="209"/>
        <v>0.20587851160953483</v>
      </c>
      <c r="S143" s="11">
        <f t="shared" si="209"/>
        <v>0.22361525842844707</v>
      </c>
    </row>
    <row r="144" spans="2:19" hidden="1" outlineLevel="1">
      <c r="B144" s="8" t="s">
        <v>82</v>
      </c>
      <c r="N144" s="11">
        <f t="shared" si="209"/>
        <v>3.0887334252497914E-2</v>
      </c>
      <c r="O144" s="11">
        <f t="shared" si="209"/>
        <v>3.2127173956567584E-2</v>
      </c>
      <c r="P144" s="11">
        <f t="shared" si="209"/>
        <v>2.7308902885621936E-2</v>
      </c>
      <c r="Q144" s="11">
        <f t="shared" si="209"/>
        <v>2.588137111219671E-2</v>
      </c>
      <c r="R144" s="11">
        <f t="shared" si="209"/>
        <v>2.3502578657823733E-2</v>
      </c>
      <c r="S144" s="11">
        <f t="shared" si="209"/>
        <v>2.1540617120819592E-2</v>
      </c>
    </row>
    <row r="145" spans="2:45" hidden="1" outlineLevel="1">
      <c r="B145" s="8" t="s">
        <v>55</v>
      </c>
      <c r="N145" s="11">
        <f t="shared" si="209"/>
        <v>1.2315545796524197</v>
      </c>
      <c r="O145" s="11">
        <f t="shared" si="209"/>
        <v>1.2286875508869344</v>
      </c>
      <c r="P145" s="11">
        <f t="shared" si="209"/>
        <v>1.2331442951955647</v>
      </c>
      <c r="Q145" s="11">
        <f t="shared" si="209"/>
        <v>1.1922630679042501</v>
      </c>
      <c r="R145" s="11">
        <f t="shared" si="209"/>
        <v>1.1307072116410712</v>
      </c>
      <c r="S145" s="11">
        <f t="shared" si="209"/>
        <v>1.2483361598673781</v>
      </c>
    </row>
    <row r="146" spans="2:45" hidden="1" outlineLevel="1">
      <c r="B146" s="8" t="s">
        <v>54</v>
      </c>
      <c r="N146" s="11">
        <f t="shared" ref="N146:S146" si="210">+N96/N$80</f>
        <v>-0.2655160087831282</v>
      </c>
      <c r="O146" s="11">
        <f t="shared" si="210"/>
        <v>-0.26374447751631719</v>
      </c>
      <c r="P146" s="11">
        <f t="shared" si="210"/>
        <v>-0.26957496378433438</v>
      </c>
      <c r="Q146" s="11">
        <f t="shared" si="210"/>
        <v>-0.23049652608152854</v>
      </c>
      <c r="R146" s="11">
        <f t="shared" si="210"/>
        <v>-0.16929310690838201</v>
      </c>
      <c r="S146" s="11">
        <f t="shared" si="210"/>
        <v>-0.29306822871689225</v>
      </c>
    </row>
    <row r="147" spans="2:45" hidden="1" outlineLevel="1">
      <c r="B147" s="8" t="s">
        <v>53</v>
      </c>
      <c r="N147" s="11">
        <f>+N97/N$80</f>
        <v>0.96603857086929146</v>
      </c>
      <c r="O147" s="11">
        <f t="shared" ref="O147:S147" si="211">+O97/O$80</f>
        <v>0.96494307337061724</v>
      </c>
      <c r="P147" s="11">
        <f t="shared" si="211"/>
        <v>0.96356933141123025</v>
      </c>
      <c r="Q147" s="11">
        <f t="shared" si="211"/>
        <v>0.96176654182272159</v>
      </c>
      <c r="R147" s="11">
        <f t="shared" si="211"/>
        <v>0.96141410473268929</v>
      </c>
      <c r="S147" s="11">
        <f t="shared" si="211"/>
        <v>0.95526793115048581</v>
      </c>
    </row>
    <row r="148" spans="2:45" collapsed="1"/>
    <row r="149" spans="2:45">
      <c r="B149" s="8" t="s">
        <v>84</v>
      </c>
      <c r="O149" s="4">
        <v>622.20000000000005</v>
      </c>
      <c r="P149" s="4">
        <f>1281.6-O149</f>
        <v>659.39999999999986</v>
      </c>
      <c r="Q149" s="4">
        <f>2435.7-SUM(O149:P149)</f>
        <v>1154.0999999999999</v>
      </c>
      <c r="R149" s="4">
        <f>4200.3-SUM(O149:Q149)</f>
        <v>1764.6000000000004</v>
      </c>
      <c r="S149" s="4">
        <v>816.1</v>
      </c>
      <c r="W149" s="4">
        <v>855.2</v>
      </c>
      <c r="X149" s="4">
        <f>1763.6-W149</f>
        <v>908.39999999999986</v>
      </c>
      <c r="AQ149" s="8">
        <v>924.7</v>
      </c>
      <c r="AR149" s="8">
        <v>4200.3</v>
      </c>
      <c r="AS149" s="8">
        <v>3283.4</v>
      </c>
    </row>
    <row r="150" spans="2:45">
      <c r="B150" s="8" t="s">
        <v>36</v>
      </c>
      <c r="O150" s="4">
        <v>388.4</v>
      </c>
      <c r="P150" s="4">
        <f>772.9-O150</f>
        <v>384.5</v>
      </c>
      <c r="Q150" s="4">
        <f>1146.2-SUM(O150:P150)</f>
        <v>373.30000000000007</v>
      </c>
      <c r="R150" s="4">
        <f>1524.1-SUM(O150:Q150)</f>
        <v>377.89999999999986</v>
      </c>
      <c r="S150" s="4">
        <v>386.4</v>
      </c>
      <c r="W150" s="4">
        <v>342.5</v>
      </c>
      <c r="X150" s="4">
        <f>709.3-W150</f>
        <v>366.79999999999995</v>
      </c>
      <c r="AQ150" s="8">
        <v>1503.2</v>
      </c>
      <c r="AR150" s="8">
        <v>1524.1</v>
      </c>
      <c r="AS150" s="8">
        <v>1529.4</v>
      </c>
    </row>
    <row r="151" spans="2:45">
      <c r="B151" s="8" t="s">
        <v>68</v>
      </c>
      <c r="O151" s="4">
        <v>-6.1</v>
      </c>
      <c r="P151" s="4">
        <f>+-25.2-O151</f>
        <v>-19.100000000000001</v>
      </c>
      <c r="Q151" s="4">
        <f>-113.2-SUM(O151:P151)</f>
        <v>-88</v>
      </c>
      <c r="R151" s="4">
        <f>+-146.2-SUM(O151:Q151)</f>
        <v>-32.999999999999986</v>
      </c>
      <c r="S151" s="4">
        <f>+-0.3</f>
        <v>-0.3</v>
      </c>
      <c r="W151" s="4">
        <v>15.8</v>
      </c>
      <c r="X151" s="4">
        <f>2.6-W151</f>
        <v>-13.200000000000001</v>
      </c>
      <c r="AQ151" s="8">
        <v>-25.8</v>
      </c>
      <c r="AR151" s="8">
        <v>-146.19999999999999</v>
      </c>
      <c r="AS151" s="8">
        <v>-37.799999999999997</v>
      </c>
    </row>
    <row r="152" spans="2:45">
      <c r="B152" s="8" t="s">
        <v>85</v>
      </c>
      <c r="O152" s="4">
        <v>-69</v>
      </c>
      <c r="P152" s="4">
        <f>+-131.3-O152</f>
        <v>-62.300000000000011</v>
      </c>
      <c r="Q152" s="4">
        <f>+-238.3-SUM(O152:P152)</f>
        <v>-107</v>
      </c>
      <c r="R152" s="4">
        <f>+-347.3-SUM(O152:Q152)</f>
        <v>-109</v>
      </c>
      <c r="S152" s="4">
        <f>+-46.6</f>
        <v>-46.6</v>
      </c>
      <c r="W152" s="4">
        <v>-56.9</v>
      </c>
      <c r="X152" s="4">
        <f>+-109.9-W152</f>
        <v>-53.000000000000007</v>
      </c>
      <c r="AQ152" s="8">
        <v>-280.7</v>
      </c>
      <c r="AR152" s="8">
        <v>-347.3</v>
      </c>
      <c r="AS152" s="8">
        <v>-268.7</v>
      </c>
    </row>
    <row r="153" spans="2:45">
      <c r="B153" s="8" t="s">
        <v>86</v>
      </c>
      <c r="O153" s="4">
        <v>77.2</v>
      </c>
      <c r="P153" s="4">
        <f>130.2-O153</f>
        <v>52.999999999999986</v>
      </c>
      <c r="Q153" s="4">
        <f>226.7-SUM(O153:P153)</f>
        <v>96.5</v>
      </c>
      <c r="R153" s="4">
        <f>336-SUM(O153:Q153)</f>
        <v>109.30000000000001</v>
      </c>
      <c r="S153" s="4">
        <v>44.9</v>
      </c>
      <c r="W153" s="4">
        <v>45.7</v>
      </c>
      <c r="X153" s="4">
        <f>88-W153</f>
        <v>42.3</v>
      </c>
      <c r="AQ153" s="8">
        <v>227.7</v>
      </c>
      <c r="AR153" s="8">
        <v>336</v>
      </c>
      <c r="AS153" s="8">
        <v>231.2</v>
      </c>
    </row>
    <row r="154" spans="2:45">
      <c r="B154" s="8" t="s">
        <v>25</v>
      </c>
      <c r="P154" s="4">
        <v>0</v>
      </c>
      <c r="Q154" s="4">
        <v>0</v>
      </c>
      <c r="R154" s="4">
        <f>+-864.5-SUM(O154:Q154)</f>
        <v>-864.5</v>
      </c>
      <c r="W154" s="4">
        <v>0</v>
      </c>
      <c r="X154" s="4">
        <f>+-91.3-W154</f>
        <v>-91.3</v>
      </c>
      <c r="AQ154" s="8">
        <v>0</v>
      </c>
      <c r="AR154" s="8">
        <v>-864.5</v>
      </c>
      <c r="AS154" s="8">
        <v>0</v>
      </c>
    </row>
    <row r="155" spans="2:45">
      <c r="B155" s="8" t="s">
        <v>87</v>
      </c>
      <c r="O155" s="4">
        <v>99.3</v>
      </c>
      <c r="P155" s="4">
        <f>175.3-O155</f>
        <v>76.000000000000014</v>
      </c>
      <c r="Q155" s="4">
        <f>255.3-SUM(O155:P155)</f>
        <v>80</v>
      </c>
      <c r="R155" s="4">
        <f>319.1-SUM(O155:Q155)</f>
        <v>63.800000000000011</v>
      </c>
      <c r="S155" s="4">
        <v>95.8</v>
      </c>
      <c r="W155" s="4">
        <v>85.2</v>
      </c>
      <c r="X155" s="4">
        <f>159.3-W155</f>
        <v>74.100000000000009</v>
      </c>
      <c r="AQ155" s="8">
        <v>248.6</v>
      </c>
      <c r="AR155" s="8">
        <v>319.10000000000002</v>
      </c>
      <c r="AS155" s="8">
        <v>271.5</v>
      </c>
    </row>
    <row r="156" spans="2:45">
      <c r="B156" s="8" t="s">
        <v>110</v>
      </c>
      <c r="P156" s="4">
        <v>0</v>
      </c>
      <c r="Q156" s="4">
        <v>0</v>
      </c>
      <c r="R156" s="4">
        <f>0-SUM(O156:Q156)</f>
        <v>0</v>
      </c>
      <c r="W156" s="4">
        <v>0</v>
      </c>
      <c r="X156" s="4">
        <v>0</v>
      </c>
      <c r="AO156" s="8">
        <v>250.3</v>
      </c>
      <c r="AP156" s="8">
        <v>308</v>
      </c>
      <c r="AQ156" s="8">
        <v>0</v>
      </c>
      <c r="AR156" s="8">
        <v>0</v>
      </c>
    </row>
    <row r="157" spans="2:45">
      <c r="B157" s="8" t="s">
        <v>88</v>
      </c>
      <c r="O157" s="4">
        <v>308.3</v>
      </c>
      <c r="P157" s="4">
        <f>617.9-O157</f>
        <v>309.59999999999997</v>
      </c>
      <c r="Q157" s="4">
        <f>931.7-SUM(O157:P157)</f>
        <v>313.80000000000007</v>
      </c>
      <c r="R157" s="4">
        <f>1248.6-SUM(O157:Q157)</f>
        <v>316.89999999999986</v>
      </c>
      <c r="S157" s="4">
        <v>330.4</v>
      </c>
      <c r="W157" s="4">
        <v>263.7</v>
      </c>
      <c r="X157" s="4">
        <f>584.7-W157</f>
        <v>321.00000000000006</v>
      </c>
      <c r="AQ157" s="8">
        <v>1197.5999999999999</v>
      </c>
      <c r="AR157" s="8">
        <v>1248.5999999999999</v>
      </c>
      <c r="AS157" s="8">
        <v>1497.7</v>
      </c>
    </row>
    <row r="158" spans="2:45">
      <c r="B158" s="8" t="s">
        <v>89</v>
      </c>
      <c r="O158" s="4">
        <v>132.6</v>
      </c>
      <c r="P158" s="4">
        <f>175.4-O158</f>
        <v>42.800000000000011</v>
      </c>
      <c r="Q158" s="4">
        <f>204.7-SUM(O158:P158)</f>
        <v>29.299999999999983</v>
      </c>
      <c r="R158" s="4">
        <f>226.2-SUM(O158:Q158)</f>
        <v>21.5</v>
      </c>
      <c r="S158" s="4">
        <v>50.7</v>
      </c>
      <c r="W158" s="4">
        <v>21.1</v>
      </c>
      <c r="X158" s="4">
        <f>75.6-W158</f>
        <v>54.499999999999993</v>
      </c>
      <c r="AQ158" s="8">
        <v>454.4</v>
      </c>
      <c r="AR158" s="8">
        <v>226.2</v>
      </c>
      <c r="AS158" s="8">
        <v>91.4</v>
      </c>
    </row>
    <row r="159" spans="2:45">
      <c r="B159" s="8" t="s">
        <v>90</v>
      </c>
      <c r="O159" s="4">
        <v>-10.199999999999999</v>
      </c>
      <c r="P159" s="4">
        <f>+-15.4-O159</f>
        <v>-5.2000000000000011</v>
      </c>
      <c r="Q159" s="4">
        <f>+-6.8-SUM(O159:P159)</f>
        <v>8.6000000000000014</v>
      </c>
      <c r="R159" s="4">
        <f>+-6-SUM(O159:Q159)</f>
        <v>0.79999999999999893</v>
      </c>
      <c r="S159" s="4">
        <v>-4.9000000000000004</v>
      </c>
      <c r="W159" s="4">
        <v>6.7</v>
      </c>
      <c r="X159" s="4">
        <f>22.6-W159</f>
        <v>15.900000000000002</v>
      </c>
      <c r="AQ159" s="8">
        <v>24.5</v>
      </c>
      <c r="AR159" s="8">
        <v>-6</v>
      </c>
      <c r="AS159" s="8">
        <v>-67.8</v>
      </c>
    </row>
    <row r="160" spans="2:45">
      <c r="B160" s="8" t="s">
        <v>61</v>
      </c>
      <c r="O160" s="4">
        <v>19.600000000000001</v>
      </c>
      <c r="P160" s="4">
        <f>12.8-O160</f>
        <v>-6.8000000000000007</v>
      </c>
      <c r="Q160" s="4">
        <f>+-13.1-SUM(O160:P160)</f>
        <v>-25.9</v>
      </c>
      <c r="R160" s="4">
        <f>+-43-SUM(O160:Q160)</f>
        <v>-29.900000000000002</v>
      </c>
      <c r="S160" s="4">
        <v>-91.6</v>
      </c>
      <c r="W160" s="4">
        <v>42</v>
      </c>
      <c r="X160" s="4">
        <f>26.2-W160</f>
        <v>-15.8</v>
      </c>
      <c r="AQ160" s="8">
        <v>-2.7</v>
      </c>
      <c r="AR160" s="8">
        <v>-43</v>
      </c>
      <c r="AS160" s="8">
        <v>-326.10000000000002</v>
      </c>
    </row>
    <row r="161" spans="2:45">
      <c r="B161" s="8" t="s">
        <v>62</v>
      </c>
      <c r="O161" s="4">
        <v>90.1</v>
      </c>
      <c r="P161" s="4">
        <f>51.3-O161</f>
        <v>-38.799999999999997</v>
      </c>
      <c r="Q161" s="4">
        <f>8.4-SUM(O161:P161)</f>
        <v>-42.9</v>
      </c>
      <c r="R161" s="4">
        <f>+-49.8-SUM(O161:Q161)</f>
        <v>-58.199999999999996</v>
      </c>
      <c r="S161" s="4">
        <v>-36</v>
      </c>
      <c r="W161" s="4">
        <v>108.5</v>
      </c>
      <c r="X161" s="4">
        <f>194.6-W161</f>
        <v>86.1</v>
      </c>
      <c r="AQ161" s="8">
        <v>-10.9</v>
      </c>
      <c r="AR161" s="8">
        <v>-49.8</v>
      </c>
      <c r="AS161" s="8">
        <v>-641</v>
      </c>
    </row>
    <row r="162" spans="2:45">
      <c r="B162" s="8" t="s">
        <v>91</v>
      </c>
      <c r="O162" s="4">
        <v>5.2</v>
      </c>
      <c r="P162" s="4">
        <f>139.7-O162</f>
        <v>134.5</v>
      </c>
      <c r="Q162" s="4">
        <f>216.8-SUM(O162:P162)</f>
        <v>77.100000000000023</v>
      </c>
      <c r="R162" s="4">
        <f>251.1-SUM(O162:Q162)</f>
        <v>34.299999999999983</v>
      </c>
      <c r="S162" s="4">
        <v>64.599999999999994</v>
      </c>
      <c r="W162" s="4">
        <v>0</v>
      </c>
      <c r="X162" s="4">
        <v>0</v>
      </c>
      <c r="AQ162" s="8">
        <v>-1214.5999999999999</v>
      </c>
      <c r="AR162" s="8">
        <v>286.10000000000002</v>
      </c>
      <c r="AS162" s="8">
        <v>-149.6</v>
      </c>
    </row>
    <row r="163" spans="2:45">
      <c r="B163" s="8" t="s">
        <v>72</v>
      </c>
      <c r="O163" s="4">
        <v>24.8</v>
      </c>
      <c r="P163" s="4">
        <f>21.3-O163</f>
        <v>-3.5</v>
      </c>
      <c r="Q163" s="4">
        <f>108.2-SUM(O163:P163)</f>
        <v>86.9</v>
      </c>
      <c r="R163" s="4">
        <f>189.9-SUM(O163:Q163)</f>
        <v>81.7</v>
      </c>
      <c r="S163" s="4">
        <v>84</v>
      </c>
      <c r="W163" s="4">
        <v>-117.3</v>
      </c>
      <c r="X163" s="4">
        <f>+-51.2-W163</f>
        <v>66.099999999999994</v>
      </c>
      <c r="AQ163" s="8">
        <v>-210.8</v>
      </c>
      <c r="AR163" s="8">
        <v>189.9</v>
      </c>
      <c r="AS163" s="8">
        <v>345.5</v>
      </c>
    </row>
    <row r="164" spans="2:45">
      <c r="B164" s="8" t="s">
        <v>92</v>
      </c>
      <c r="O164" s="4">
        <v>398.9</v>
      </c>
      <c r="P164" s="4">
        <f>89.8-O164</f>
        <v>-309.09999999999997</v>
      </c>
      <c r="Q164" s="4">
        <f>52.4-SUM(O164:P164)</f>
        <v>-37.400000000000013</v>
      </c>
      <c r="R164" s="4">
        <f>+-6.1-SUM(O164:Q164)</f>
        <v>-58.5</v>
      </c>
      <c r="S164" s="4">
        <v>461.3</v>
      </c>
      <c r="W164" s="4">
        <v>461</v>
      </c>
      <c r="X164" s="4">
        <f>54-W164</f>
        <v>-407</v>
      </c>
      <c r="AQ164" s="8">
        <v>31</v>
      </c>
      <c r="AR164" s="8">
        <v>-6.1</v>
      </c>
      <c r="AS164" s="8">
        <v>-75.8</v>
      </c>
    </row>
    <row r="165" spans="2:45">
      <c r="B165" s="8" t="s">
        <v>80</v>
      </c>
      <c r="O165" s="4">
        <v>-314.8</v>
      </c>
      <c r="P165" s="4">
        <f>+-676.3-O165</f>
        <v>-361.49999999999994</v>
      </c>
      <c r="Q165" s="4">
        <f>+-1029.8-SUM(O165:P165)</f>
        <v>-353.5</v>
      </c>
      <c r="R165" s="4">
        <f>+-1488.1-SUM(O165:Q165)</f>
        <v>-458.29999999999995</v>
      </c>
      <c r="S165" s="4">
        <v>-363.3</v>
      </c>
      <c r="W165" s="4">
        <v>-281.39999999999998</v>
      </c>
      <c r="X165" s="4">
        <f>+-621.8-W165</f>
        <v>-340.4</v>
      </c>
      <c r="AQ165" s="8">
        <v>-1231.4000000000001</v>
      </c>
      <c r="AR165" s="8">
        <v>-1488.1</v>
      </c>
      <c r="AS165" s="8">
        <v>-1625.6</v>
      </c>
    </row>
    <row r="166" spans="2:45">
      <c r="B166" s="8" t="s">
        <v>93</v>
      </c>
      <c r="O166" s="4">
        <v>69.2</v>
      </c>
      <c r="P166" s="4">
        <f>59.5-O166</f>
        <v>-9.7000000000000028</v>
      </c>
      <c r="Q166" s="4">
        <f>154.6-SUM(O166:P166)</f>
        <v>95.1</v>
      </c>
      <c r="R166" s="4">
        <f>358.7-SUM(O166:Q166)</f>
        <v>204.1</v>
      </c>
      <c r="S166" s="4">
        <v>79.400000000000006</v>
      </c>
      <c r="W166" s="4">
        <v>-198.6</v>
      </c>
      <c r="X166" s="4">
        <f>+-445.5-W166</f>
        <v>-246.9</v>
      </c>
      <c r="AQ166" s="8">
        <v>-37</v>
      </c>
      <c r="AR166" s="8">
        <v>609.79999999999995</v>
      </c>
      <c r="AS166" s="8">
        <v>339.6</v>
      </c>
    </row>
    <row r="167" spans="2:45" s="9" customFormat="1">
      <c r="B167" s="9" t="s">
        <v>83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>
        <f>+SUM(O149:O166)</f>
        <v>1835.6999999999998</v>
      </c>
      <c r="P167" s="12">
        <f>+SUM(P149:P166)</f>
        <v>843.8</v>
      </c>
      <c r="Q167" s="12">
        <f>+SUM(Q149:Q166)</f>
        <v>1660</v>
      </c>
      <c r="R167" s="12">
        <f>+SUM(R149:R166)</f>
        <v>1363.4999999999998</v>
      </c>
      <c r="S167" s="12">
        <f>+SUM(S149:S166)</f>
        <v>1870.9000000000003</v>
      </c>
      <c r="T167" s="12">
        <f t="shared" ref="T167:V167" si="212">+SUM(T149:T166)</f>
        <v>0</v>
      </c>
      <c r="U167" s="12">
        <f t="shared" si="212"/>
        <v>0</v>
      </c>
      <c r="V167" s="12">
        <f t="shared" si="212"/>
        <v>0</v>
      </c>
      <c r="W167" s="12">
        <f>+SUM(W149:W166)</f>
        <v>1593.1999999999998</v>
      </c>
      <c r="X167" s="12">
        <f>+SUM(X149:X166)</f>
        <v>767.59999999999968</v>
      </c>
      <c r="AO167" s="9">
        <v>11937.8</v>
      </c>
      <c r="AP167" s="9">
        <v>5047</v>
      </c>
      <c r="AQ167" s="9">
        <v>1597.8</v>
      </c>
      <c r="AR167" s="9">
        <v>5989.1</v>
      </c>
      <c r="AS167" s="9">
        <f>SUM(AS149:AS166)</f>
        <v>4397.2999999999984</v>
      </c>
    </row>
    <row r="170" spans="2:45">
      <c r="B170" s="8" t="s">
        <v>94</v>
      </c>
      <c r="O170" s="4">
        <v>91.2</v>
      </c>
      <c r="P170" s="4">
        <f>121.7-O170</f>
        <v>30.5</v>
      </c>
      <c r="Q170" s="4">
        <f>130.4-SUM(O170:P170)</f>
        <v>8.7000000000000028</v>
      </c>
      <c r="R170" s="4">
        <f>143.2-SUM(O170:Q170)</f>
        <v>12.799999999999983</v>
      </c>
      <c r="S170" s="4">
        <v>72.599999999999994</v>
      </c>
      <c r="W170" s="4">
        <v>0.8</v>
      </c>
      <c r="X170" s="4">
        <f>1.9-W170</f>
        <v>1.0999999999999999</v>
      </c>
      <c r="AQ170" s="8">
        <v>186.7</v>
      </c>
      <c r="AR170" s="8">
        <v>143.19999999999999</v>
      </c>
      <c r="AS170" s="8">
        <v>72.599999999999994</v>
      </c>
    </row>
    <row r="171" spans="2:45">
      <c r="B171" s="8" t="s">
        <v>95</v>
      </c>
      <c r="O171" s="4">
        <v>113.7</v>
      </c>
      <c r="P171" s="4">
        <f>289-O171</f>
        <v>175.3</v>
      </c>
      <c r="Q171" s="4">
        <f>298.7-SUM(O171:P171)</f>
        <v>9.6999999999999886</v>
      </c>
      <c r="R171" s="4">
        <f>345.5-SUM(O171:Q171)</f>
        <v>46.800000000000011</v>
      </c>
      <c r="S171" s="4">
        <v>45.6</v>
      </c>
      <c r="W171" s="4">
        <v>253.3</v>
      </c>
      <c r="X171" s="4">
        <f>270-W171</f>
        <v>16.699999999999989</v>
      </c>
      <c r="AQ171" s="8">
        <v>73.7</v>
      </c>
      <c r="AR171" s="8">
        <v>345.5</v>
      </c>
      <c r="AS171" s="8">
        <v>67.3</v>
      </c>
    </row>
    <row r="172" spans="2:45">
      <c r="B172" s="8" t="s">
        <v>96</v>
      </c>
      <c r="O172" s="4">
        <v>-324.2</v>
      </c>
      <c r="P172" s="4">
        <f>+-647.9-O172</f>
        <v>-323.7</v>
      </c>
      <c r="Q172" s="4">
        <f>+-985.7-SUM(O172:P172)</f>
        <v>-337.80000000000007</v>
      </c>
      <c r="R172" s="4">
        <f>+-1470-SUM(O172:Q172)</f>
        <v>-484.29999999999995</v>
      </c>
      <c r="S172" s="4">
        <v>-416.8</v>
      </c>
      <c r="W172" s="4">
        <v>-516.79999999999995</v>
      </c>
      <c r="X172" s="4">
        <f>+-1002-W172</f>
        <v>-485.20000000000005</v>
      </c>
      <c r="AO172" s="8">
        <v>-1976.4</v>
      </c>
      <c r="AP172" s="8">
        <v>-1806.6</v>
      </c>
      <c r="AQ172" s="8">
        <v>-1483.6</v>
      </c>
      <c r="AR172" s="8">
        <v>-1470</v>
      </c>
      <c r="AS172" s="8">
        <v>-1841.3</v>
      </c>
    </row>
    <row r="173" spans="2:45">
      <c r="B173" s="8" t="s">
        <v>148</v>
      </c>
      <c r="W173" s="4">
        <v>0</v>
      </c>
      <c r="X173" s="4">
        <f>110-W173</f>
        <v>110</v>
      </c>
      <c r="AQ173" s="8">
        <v>0</v>
      </c>
      <c r="AR173" s="8">
        <v>1175</v>
      </c>
      <c r="AS173" s="8">
        <v>0</v>
      </c>
    </row>
    <row r="174" spans="2:45">
      <c r="B174" s="8" t="s">
        <v>90</v>
      </c>
      <c r="O174" s="4">
        <v>-17.7</v>
      </c>
      <c r="P174" s="4">
        <f>+-20.1-O174</f>
        <v>-2.4000000000000021</v>
      </c>
      <c r="Q174" s="4">
        <f>+-62.3-SUM(O174:P174)</f>
        <v>-42.199999999999996</v>
      </c>
      <c r="R174" s="4">
        <f>+-81.2-SUM(O174:Q174)</f>
        <v>-18.900000000000006</v>
      </c>
      <c r="S174" s="4">
        <v>-41.4</v>
      </c>
      <c r="W174" s="4">
        <v>-6.1</v>
      </c>
      <c r="X174" s="4">
        <f>+-39.2-W174</f>
        <v>-33.1</v>
      </c>
      <c r="AQ174" s="8">
        <v>-44.4</v>
      </c>
      <c r="AR174" s="8">
        <v>-81.2</v>
      </c>
      <c r="AS174" s="8">
        <v>-126.3</v>
      </c>
    </row>
    <row r="175" spans="2:45">
      <c r="B175" s="8" t="s">
        <v>150</v>
      </c>
      <c r="AQ175" s="8">
        <v>0</v>
      </c>
      <c r="AR175" s="8">
        <v>59.3</v>
      </c>
      <c r="AS175" s="8">
        <v>59.3</v>
      </c>
    </row>
    <row r="176" spans="2:45" s="9" customFormat="1">
      <c r="B176" s="9" t="s">
        <v>97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>
        <f>+SUM(O169:O174)</f>
        <v>-136.99999999999997</v>
      </c>
      <c r="P176" s="12">
        <f>+SUM(P169:P174)</f>
        <v>-120.29999999999998</v>
      </c>
      <c r="Q176" s="12">
        <f>+SUM(Q169:Q174)</f>
        <v>-361.60000000000008</v>
      </c>
      <c r="R176" s="12">
        <f>+SUM(R169:R174)</f>
        <v>-443.59999999999991</v>
      </c>
      <c r="S176" s="12">
        <f>+SUM(S169:S174)</f>
        <v>-340</v>
      </c>
      <c r="T176" s="12">
        <f t="shared" ref="T176:X176" si="213">+SUM(T169:T174)</f>
        <v>0</v>
      </c>
      <c r="U176" s="12">
        <f t="shared" si="213"/>
        <v>0</v>
      </c>
      <c r="V176" s="12">
        <f t="shared" si="213"/>
        <v>0</v>
      </c>
      <c r="W176" s="12">
        <f t="shared" si="213"/>
        <v>-268.79999999999995</v>
      </c>
      <c r="X176" s="12">
        <f t="shared" si="213"/>
        <v>-390.50000000000006</v>
      </c>
      <c r="AO176" s="12">
        <f>+SUM(AO169:AO175)</f>
        <v>-1976.4</v>
      </c>
      <c r="AP176" s="12">
        <f>+SUM(AP169:AP175)</f>
        <v>-1806.6</v>
      </c>
      <c r="AQ176" s="12">
        <f>+SUM(AQ169:AQ175)</f>
        <v>-1267.5999999999999</v>
      </c>
      <c r="AR176" s="12">
        <f>+SUM(AR169:AR175)</f>
        <v>171.80000000000004</v>
      </c>
      <c r="AS176" s="12">
        <f>+SUM(AS169:AS175)</f>
        <v>-1768.4</v>
      </c>
    </row>
    <row r="179" spans="2:45">
      <c r="B179" s="8" t="s">
        <v>98</v>
      </c>
      <c r="O179" s="4">
        <v>192.9</v>
      </c>
      <c r="P179" s="4">
        <f>203.3-O179</f>
        <v>10.400000000000006</v>
      </c>
      <c r="Q179" s="4">
        <f>215.6-SUM(O179:P179)</f>
        <v>12.299999999999983</v>
      </c>
      <c r="R179" s="4">
        <f>215.1-SUM(O179:Q179)</f>
        <v>-0.5</v>
      </c>
      <c r="S179" s="4">
        <v>0</v>
      </c>
      <c r="W179" s="4">
        <v>0</v>
      </c>
      <c r="X179" s="4">
        <f>52.8+1497.8</f>
        <v>1550.6</v>
      </c>
      <c r="AQ179" s="8">
        <f>1406.6+4727.6</f>
        <v>6134.2000000000007</v>
      </c>
      <c r="AR179" s="8">
        <f>215.1+0</f>
        <v>215.1</v>
      </c>
      <c r="AS179" s="8">
        <f>36.6+1498.1</f>
        <v>1534.6999999999998</v>
      </c>
    </row>
    <row r="180" spans="2:45">
      <c r="B180" s="8" t="s">
        <v>99</v>
      </c>
      <c r="O180" s="4">
        <v>-144.69999999999999</v>
      </c>
      <c r="P180" s="4">
        <f>+-320.5-O180</f>
        <v>-175.8</v>
      </c>
      <c r="Q180" s="4">
        <f>+-346.2-SUM(O180:P180)</f>
        <v>-25.699999999999989</v>
      </c>
      <c r="R180" s="4">
        <f>+-349.8-SUM(O180:Q180)</f>
        <v>-3.6000000000000227</v>
      </c>
      <c r="S180" s="4">
        <v>0</v>
      </c>
      <c r="W180" s="4">
        <v>0</v>
      </c>
      <c r="X180" s="4">
        <f>0-W180</f>
        <v>0</v>
      </c>
      <c r="AQ180" s="8">
        <v>-967.7</v>
      </c>
      <c r="AR180" s="8">
        <f>+-349.8</f>
        <v>-349.8</v>
      </c>
      <c r="AS180" s="8">
        <v>-36.6</v>
      </c>
    </row>
    <row r="181" spans="2:45">
      <c r="B181" s="8" t="s">
        <v>100</v>
      </c>
      <c r="O181" s="4">
        <v>-500</v>
      </c>
      <c r="P181" s="4">
        <f>0-O181</f>
        <v>500</v>
      </c>
      <c r="Q181" s="4">
        <f>0-SUM(O181:P181)</f>
        <v>0</v>
      </c>
      <c r="R181" s="4">
        <f>+-1250-SUM(O181:Q181)</f>
        <v>-1250</v>
      </c>
      <c r="S181" s="4">
        <v>0</v>
      </c>
      <c r="W181" s="4">
        <v>0</v>
      </c>
      <c r="X181" s="4">
        <f>+-1000-W181</f>
        <v>-1000</v>
      </c>
      <c r="AQ181" s="8">
        <v>0</v>
      </c>
      <c r="AR181" s="8">
        <v>-1250</v>
      </c>
      <c r="AS181" s="8">
        <v>-1000</v>
      </c>
    </row>
    <row r="182" spans="2:45">
      <c r="B182" s="8" t="s">
        <v>101</v>
      </c>
      <c r="O182" s="4">
        <v>102.8</v>
      </c>
      <c r="P182" s="4">
        <f>134.4-O182</f>
        <v>31.600000000000009</v>
      </c>
      <c r="Q182" s="4">
        <f>191.6-SUM(O182:P182)</f>
        <v>57.199999999999989</v>
      </c>
      <c r="R182" s="4">
        <f>246.2-SUM(O182:Q182)</f>
        <v>54.599999999999994</v>
      </c>
      <c r="S182" s="4">
        <v>41.3</v>
      </c>
      <c r="W182" s="4">
        <v>45.9</v>
      </c>
      <c r="X182" s="4">
        <f>129.8-W182</f>
        <v>83.9</v>
      </c>
      <c r="AQ182" s="8">
        <v>298.8</v>
      </c>
      <c r="AR182" s="8">
        <v>246.2</v>
      </c>
      <c r="AS182" s="8">
        <v>101.6</v>
      </c>
    </row>
    <row r="183" spans="2:45">
      <c r="B183" s="8" t="s">
        <v>102</v>
      </c>
      <c r="O183" s="4">
        <v>-528.20000000000005</v>
      </c>
      <c r="P183" s="4">
        <f>+-1058-O183</f>
        <v>-529.79999999999995</v>
      </c>
      <c r="Q183" s="4">
        <f>+-1588.2-SUM(O183:P183)</f>
        <v>-530.20000000000005</v>
      </c>
      <c r="R183" s="4">
        <f>+-2119-SUM(O183:Q183)</f>
        <v>-530.79999999999995</v>
      </c>
      <c r="S183" s="4">
        <v>-576</v>
      </c>
      <c r="W183" s="4">
        <v>-608.29999999999995</v>
      </c>
      <c r="X183" s="4">
        <f>+-1217.4-W183</f>
        <v>-609.10000000000014</v>
      </c>
      <c r="AQ183" s="8">
        <v>-1923.5</v>
      </c>
      <c r="AR183" s="8">
        <v>-2119</v>
      </c>
      <c r="AS183" s="8">
        <v>-2263.3000000000002</v>
      </c>
    </row>
    <row r="184" spans="2:45">
      <c r="B184" s="8" t="s">
        <v>103</v>
      </c>
      <c r="O184" s="4">
        <v>0</v>
      </c>
      <c r="P184" s="4">
        <f>0-O184</f>
        <v>0</v>
      </c>
      <c r="Q184" s="4">
        <f>0-SUM(O184:P184)</f>
        <v>0</v>
      </c>
      <c r="R184" s="4">
        <f>0-SUM(O184:Q184)</f>
        <v>0</v>
      </c>
      <c r="S184" s="4">
        <v>-3520.9</v>
      </c>
      <c r="W184" s="4">
        <v>-191.4</v>
      </c>
      <c r="X184" s="4">
        <f>+-479.3-W184</f>
        <v>-287.89999999999998</v>
      </c>
      <c r="AQ184" s="8">
        <v>-1698.9</v>
      </c>
      <c r="AR184" s="8">
        <v>0</v>
      </c>
      <c r="AS184" s="8">
        <v>-4013</v>
      </c>
    </row>
    <row r="185" spans="2:45">
      <c r="B185" s="8" t="s">
        <v>104</v>
      </c>
      <c r="O185" s="4">
        <v>-88.6</v>
      </c>
      <c r="P185" s="4">
        <f>+-90.1-O185</f>
        <v>-1.5</v>
      </c>
      <c r="Q185" s="4">
        <f>+-94.2-SUM(O185:P185)</f>
        <v>-4.1000000000000085</v>
      </c>
      <c r="R185" s="4">
        <f>97-SUM(O185:Q185)</f>
        <v>191.2</v>
      </c>
      <c r="S185" s="4">
        <v>-113.6</v>
      </c>
      <c r="W185" s="4">
        <v>-79</v>
      </c>
      <c r="X185" s="4">
        <f>+-81.4-W185</f>
        <v>-2.4000000000000057</v>
      </c>
      <c r="AQ185" s="8">
        <v>-91.9</v>
      </c>
      <c r="AR185" s="8">
        <v>-97</v>
      </c>
      <c r="AS185" s="8">
        <v>-127.2</v>
      </c>
    </row>
    <row r="186" spans="2:45">
      <c r="B186" s="8" t="s">
        <v>20</v>
      </c>
      <c r="W186" s="4">
        <v>0</v>
      </c>
      <c r="X186" s="4">
        <f>+-10.7-W186</f>
        <v>-10.7</v>
      </c>
      <c r="AQ186" s="8">
        <v>-37.700000000000003</v>
      </c>
      <c r="AR186" s="8">
        <v>0</v>
      </c>
      <c r="AS186" s="8">
        <v>-9.1999999999999993</v>
      </c>
    </row>
    <row r="187" spans="2:45" s="9" customFormat="1">
      <c r="B187" s="9" t="s">
        <v>105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>
        <f>+SUM(O178:O185)</f>
        <v>-965.80000000000007</v>
      </c>
      <c r="P187" s="12">
        <f>+SUM(P178:P185)</f>
        <v>-165.09999999999991</v>
      </c>
      <c r="Q187" s="12">
        <f>+SUM(Q178:Q185)</f>
        <v>-490.50000000000011</v>
      </c>
      <c r="R187" s="12">
        <f>+SUM(R178:R185)</f>
        <v>-1539.1</v>
      </c>
      <c r="S187" s="12">
        <f>+SUM(S178:S185)</f>
        <v>-4169.2000000000007</v>
      </c>
      <c r="T187" s="12">
        <f t="shared" ref="T187:V187" si="214">+SUM(T178:T185)</f>
        <v>0</v>
      </c>
      <c r="U187" s="12">
        <f t="shared" si="214"/>
        <v>0</v>
      </c>
      <c r="V187" s="12">
        <f t="shared" si="214"/>
        <v>0</v>
      </c>
      <c r="W187" s="12">
        <f>+SUM(W178:W186)</f>
        <v>-832.8</v>
      </c>
      <c r="X187" s="12">
        <f>+SUM(X178:X186)</f>
        <v>-275.60000000000019</v>
      </c>
      <c r="AO187" s="12">
        <f>+SUM(AO178:AO186)</f>
        <v>0</v>
      </c>
      <c r="AP187" s="12">
        <f>+SUM(AP178:AP186)</f>
        <v>0</v>
      </c>
      <c r="AQ187" s="12">
        <f>+SUM(AQ178:AQ186)</f>
        <v>1713.3000000000009</v>
      </c>
      <c r="AR187" s="12">
        <f>+SUM(AR178:AR186)</f>
        <v>-3354.5</v>
      </c>
      <c r="AS187" s="12">
        <f>+SUM(AS178:AS186)</f>
        <v>-5813</v>
      </c>
    </row>
    <row r="188" spans="2:45">
      <c r="B188" s="8" t="s">
        <v>106</v>
      </c>
      <c r="O188" s="4">
        <v>79.8</v>
      </c>
      <c r="P188" s="4">
        <v>66.7</v>
      </c>
      <c r="Q188" s="4">
        <v>87.9</v>
      </c>
      <c r="R188" s="4">
        <v>86.2</v>
      </c>
      <c r="S188" s="4">
        <v>13</v>
      </c>
      <c r="W188" s="4">
        <v>62</v>
      </c>
      <c r="X188" s="4">
        <f>83-W188</f>
        <v>21</v>
      </c>
      <c r="AQ188" s="8">
        <v>64.7</v>
      </c>
      <c r="AR188" s="8">
        <v>86.2</v>
      </c>
      <c r="AS188" s="8">
        <v>-250.3</v>
      </c>
    </row>
    <row r="189" spans="2:45" s="9" customFormat="1">
      <c r="B189" s="9" t="s">
        <v>107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>
        <f>+O167+O176+O187+O188</f>
        <v>812.6999999999997</v>
      </c>
      <c r="P189" s="12">
        <f>+P167+P176+P187+P188</f>
        <v>625.10000000000014</v>
      </c>
      <c r="Q189" s="12">
        <f>+Q167+Q176+Q187+Q188</f>
        <v>895.79999999999973</v>
      </c>
      <c r="R189" s="12">
        <f>+R167+R176+R187+R188</f>
        <v>-533</v>
      </c>
      <c r="S189" s="12">
        <f>+S167+S176+S187+S188</f>
        <v>-2625.3</v>
      </c>
      <c r="T189" s="12">
        <f t="shared" ref="T189:X189" si="215">+T167+T176+T187+T188</f>
        <v>0</v>
      </c>
      <c r="U189" s="12">
        <f t="shared" si="215"/>
        <v>0</v>
      </c>
      <c r="V189" s="12">
        <f t="shared" si="215"/>
        <v>0</v>
      </c>
      <c r="W189" s="12">
        <f t="shared" si="215"/>
        <v>553.59999999999991</v>
      </c>
      <c r="X189" s="12">
        <f t="shared" si="215"/>
        <v>122.49999999999943</v>
      </c>
      <c r="AO189" s="12">
        <f t="shared" ref="AO189:AS189" si="216">+AO167+AO176+AO187+AO188</f>
        <v>9961.4</v>
      </c>
      <c r="AP189" s="12">
        <f t="shared" si="216"/>
        <v>3240.4</v>
      </c>
      <c r="AQ189" s="12">
        <f t="shared" si="216"/>
        <v>2108.2000000000007</v>
      </c>
      <c r="AR189" s="12">
        <f t="shared" si="216"/>
        <v>2892.6000000000004</v>
      </c>
      <c r="AS189" s="12">
        <f t="shared" si="216"/>
        <v>-3434.4000000000019</v>
      </c>
    </row>
    <row r="192" spans="2:45">
      <c r="B192" s="8" t="s">
        <v>84</v>
      </c>
      <c r="O192" s="4">
        <f t="shared" ref="O192:X192" si="217">+O47</f>
        <v>694.4</v>
      </c>
      <c r="P192" s="4">
        <f t="shared" si="217"/>
        <v>682.40000000000009</v>
      </c>
      <c r="Q192" s="4">
        <f t="shared" si="217"/>
        <v>1173.200000000001</v>
      </c>
      <c r="R192" s="4">
        <f t="shared" si="217"/>
        <v>955.39999999999986</v>
      </c>
      <c r="S192" s="4">
        <f t="shared" si="217"/>
        <v>808.60000000000014</v>
      </c>
      <c r="T192" s="4">
        <f t="shared" si="217"/>
        <v>678.89999999999975</v>
      </c>
      <c r="U192" s="4">
        <f t="shared" si="217"/>
        <v>926.89999999999964</v>
      </c>
      <c r="V192" s="4">
        <f t="shared" si="217"/>
        <v>913.39999999999895</v>
      </c>
      <c r="W192" s="4">
        <f t="shared" si="217"/>
        <v>808.40000000000009</v>
      </c>
      <c r="X192" s="4">
        <f t="shared" si="217"/>
        <v>917.10000000000059</v>
      </c>
      <c r="AO192" s="8">
        <f>+AO47</f>
        <v>4242.899999999996</v>
      </c>
      <c r="AP192" s="8">
        <f>+AP47</f>
        <v>3112.3999999999996</v>
      </c>
      <c r="AQ192" s="8">
        <f>+AQ47</f>
        <v>1207.0000000000007</v>
      </c>
      <c r="AR192" s="8">
        <f>+AR47</f>
        <v>3505.4000000000005</v>
      </c>
      <c r="AS192" s="8">
        <f>+AS47</f>
        <v>3327.7999999999984</v>
      </c>
    </row>
    <row r="195" spans="2:45">
      <c r="B195" s="8" t="s">
        <v>135</v>
      </c>
      <c r="R195" s="4">
        <f t="shared" ref="R195" si="218">+SUM(O192:R192)</f>
        <v>3505.4000000000005</v>
      </c>
      <c r="S195" s="4">
        <f>+SUM(P192:S192)</f>
        <v>3619.6000000000013</v>
      </c>
      <c r="T195" s="4">
        <f t="shared" ref="T195:X195" si="219">+SUM(Q192:T192)</f>
        <v>3616.1000000000004</v>
      </c>
      <c r="U195" s="4">
        <f t="shared" si="219"/>
        <v>3369.7999999999993</v>
      </c>
      <c r="V195" s="4">
        <f t="shared" si="219"/>
        <v>3327.7999999999984</v>
      </c>
      <c r="W195" s="4">
        <f t="shared" si="219"/>
        <v>3327.5999999999981</v>
      </c>
      <c r="X195" s="4">
        <f t="shared" si="219"/>
        <v>3565.7999999999993</v>
      </c>
      <c r="AO195" s="8">
        <f>+AO47</f>
        <v>4242.899999999996</v>
      </c>
      <c r="AP195" s="8">
        <f>+AP47</f>
        <v>3112.3999999999996</v>
      </c>
      <c r="AQ195" s="8">
        <f>+AQ47</f>
        <v>1207.0000000000007</v>
      </c>
      <c r="AR195" s="8">
        <f>+AR47</f>
        <v>3505.4000000000005</v>
      </c>
      <c r="AS195" s="8">
        <f>+AS47</f>
        <v>3327.7999999999984</v>
      </c>
    </row>
    <row r="208" spans="2:45">
      <c r="B208" s="8" t="s">
        <v>157</v>
      </c>
      <c r="V208" s="4">
        <v>310.3</v>
      </c>
      <c r="X208" s="4">
        <v>279.39999999999998</v>
      </c>
    </row>
    <row r="209" spans="2:24">
      <c r="B209" s="8" t="s">
        <v>158</v>
      </c>
      <c r="V209" s="4">
        <v>430.9</v>
      </c>
      <c r="X209" s="4">
        <v>376.1</v>
      </c>
    </row>
    <row r="210" spans="2:24">
      <c r="B210" s="8" t="s">
        <v>159</v>
      </c>
      <c r="V210" s="4">
        <v>418.8</v>
      </c>
      <c r="X210" s="4">
        <v>400.9</v>
      </c>
    </row>
    <row r="211" spans="2:24" s="9" customFormat="1">
      <c r="B211" s="9" t="s">
        <v>160</v>
      </c>
      <c r="C211" s="12">
        <f t="shared" ref="C211:W211" si="220">SUM(C207:C210)</f>
        <v>0</v>
      </c>
      <c r="D211" s="12">
        <f t="shared" si="220"/>
        <v>0</v>
      </c>
      <c r="E211" s="12">
        <f t="shared" si="220"/>
        <v>0</v>
      </c>
      <c r="F211" s="12">
        <f t="shared" si="220"/>
        <v>0</v>
      </c>
      <c r="G211" s="12">
        <f t="shared" si="220"/>
        <v>0</v>
      </c>
      <c r="H211" s="12">
        <f t="shared" si="220"/>
        <v>0</v>
      </c>
      <c r="I211" s="12">
        <f t="shared" si="220"/>
        <v>0</v>
      </c>
      <c r="J211" s="12">
        <f t="shared" si="220"/>
        <v>0</v>
      </c>
      <c r="K211" s="12">
        <f t="shared" si="220"/>
        <v>0</v>
      </c>
      <c r="L211" s="12">
        <f t="shared" si="220"/>
        <v>0</v>
      </c>
      <c r="M211" s="12">
        <f t="shared" si="220"/>
        <v>0</v>
      </c>
      <c r="N211" s="12">
        <f t="shared" si="220"/>
        <v>0</v>
      </c>
      <c r="O211" s="12">
        <f t="shared" si="220"/>
        <v>0</v>
      </c>
      <c r="P211" s="12">
        <f t="shared" si="220"/>
        <v>0</v>
      </c>
      <c r="Q211" s="12">
        <f t="shared" si="220"/>
        <v>0</v>
      </c>
      <c r="R211" s="12">
        <f t="shared" si="220"/>
        <v>0</v>
      </c>
      <c r="S211" s="12">
        <f t="shared" si="220"/>
        <v>0</v>
      </c>
      <c r="T211" s="12">
        <f t="shared" si="220"/>
        <v>0</v>
      </c>
      <c r="U211" s="12">
        <f t="shared" si="220"/>
        <v>0</v>
      </c>
      <c r="V211" s="12">
        <f t="shared" si="220"/>
        <v>1160</v>
      </c>
      <c r="W211" s="12">
        <f t="shared" si="220"/>
        <v>0</v>
      </c>
      <c r="X211" s="12">
        <f>SUM(X207:X210)</f>
        <v>1056.4000000000001</v>
      </c>
    </row>
  </sheetData>
  <conditionalFormatting sqref="BI64">
    <cfRule type="cellIs" dxfId="0" priority="1" operator="lessThan">
      <formula>0</formula>
    </cfRule>
  </conditionalFormatting>
  <pageMargins left="0.7" right="0.7" top="0.75" bottom="0.75" header="0.3" footer="0.3"/>
  <ignoredErrors>
    <ignoredError sqref="AP41:AR46 AP27:AR29 AP39:AR39 AP31:AR35 I65:R65 C36:F36 AP36:AR37 AS27:AS35 AS40 Z27:Z29 Z31:Z35 Z46 S65:Z65 M108:S108 J108 J107:Z107 K108:L108 T108:Z108 AS36:AS38 AS41:AS48 V19:V21" formulaRange="1"/>
    <ignoredError sqref="AP47:AR48 Z36:Z40 Z41:Z45" formula="1" formulaRange="1"/>
    <ignoredError sqref="P10:Z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4B9-B3A4-8B4B-9F4D-296896D83C00}">
  <dimension ref="C2"/>
  <sheetViews>
    <sheetView zoomScale="17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RowHeight="13"/>
  <cols>
    <col min="1" max="1" width="2.5" customWidth="1"/>
  </cols>
  <sheetData>
    <row r="2" spans="3:3">
      <c r="C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2021-11-02T00:20:43Z</dcterms:created>
  <dcterms:modified xsi:type="dcterms:W3CDTF">2024-05-26T08:37:34Z</dcterms:modified>
</cp:coreProperties>
</file>