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C5B28829-CEC7-CD42-9F8B-EC4764DE467D}" xr6:coauthVersionLast="47" xr6:coauthVersionMax="47" xr10:uidLastSave="{00000000-0000-0000-0000-000000000000}"/>
  <bookViews>
    <workbookView xWindow="9380" yWindow="500" windowWidth="43460" windowHeight="28300" activeTab="1" xr2:uid="{86A15142-C6AF-A544-8773-0829D7039042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8" i="2" l="1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O20" i="2"/>
  <c r="O19" i="2"/>
  <c r="O17" i="2"/>
  <c r="U15" i="2"/>
  <c r="O13" i="2"/>
  <c r="O15" i="2" s="1"/>
  <c r="O11" i="2"/>
  <c r="O9" i="2"/>
  <c r="Z22" i="2"/>
  <c r="AA22" i="2" s="1"/>
  <c r="AB22" i="2" s="1"/>
  <c r="AC22" i="2" s="1"/>
  <c r="AD22" i="2" s="1"/>
  <c r="AE22" i="2" s="1"/>
  <c r="AF22" i="2" s="1"/>
  <c r="AG22" i="2" s="1"/>
  <c r="AH22" i="2" s="1"/>
  <c r="Y22" i="2"/>
  <c r="X22" i="2"/>
  <c r="O22" i="2"/>
  <c r="O45" i="2"/>
  <c r="O42" i="2"/>
  <c r="O41" i="2"/>
  <c r="O43" i="2" s="1"/>
  <c r="O40" i="2"/>
  <c r="O36" i="2"/>
  <c r="O35" i="2"/>
  <c r="O34" i="2"/>
  <c r="O37" i="2"/>
  <c r="O38" i="2" s="1"/>
  <c r="O28" i="2"/>
  <c r="N40" i="2"/>
  <c r="D40" i="2"/>
  <c r="E40" i="2"/>
  <c r="F40" i="2"/>
  <c r="G40" i="2"/>
  <c r="H40" i="2"/>
  <c r="I40" i="2"/>
  <c r="J40" i="2"/>
  <c r="K40" i="2"/>
  <c r="L40" i="2"/>
  <c r="M40" i="2"/>
  <c r="N45" i="2"/>
  <c r="M45" i="2"/>
  <c r="L45" i="2"/>
  <c r="K45" i="2"/>
  <c r="J45" i="2"/>
  <c r="I45" i="2"/>
  <c r="H45" i="2"/>
  <c r="G45" i="2"/>
  <c r="F45" i="2"/>
  <c r="E45" i="2"/>
  <c r="D45" i="2"/>
  <c r="C45" i="2"/>
  <c r="E41" i="2"/>
  <c r="M43" i="2"/>
  <c r="M22" i="2" s="1"/>
  <c r="L43" i="2"/>
  <c r="L22" i="2" s="1"/>
  <c r="K43" i="2"/>
  <c r="K22" i="2" s="1"/>
  <c r="D43" i="2"/>
  <c r="D22" i="2" s="1"/>
  <c r="C43" i="2"/>
  <c r="C22" i="2" s="1"/>
  <c r="N42" i="2"/>
  <c r="N43" i="2" s="1"/>
  <c r="N22" i="2" s="1"/>
  <c r="M42" i="2"/>
  <c r="L42" i="2"/>
  <c r="K42" i="2"/>
  <c r="J42" i="2"/>
  <c r="I42" i="2"/>
  <c r="H42" i="2"/>
  <c r="G42" i="2"/>
  <c r="G43" i="2" s="1"/>
  <c r="G22" i="2" s="1"/>
  <c r="F42" i="2"/>
  <c r="F43" i="2" s="1"/>
  <c r="F22" i="2" s="1"/>
  <c r="E42" i="2"/>
  <c r="D42" i="2"/>
  <c r="N41" i="2"/>
  <c r="M41" i="2"/>
  <c r="L41" i="2"/>
  <c r="K41" i="2"/>
  <c r="J41" i="2"/>
  <c r="J43" i="2" s="1"/>
  <c r="J22" i="2" s="1"/>
  <c r="I41" i="2"/>
  <c r="I43" i="2" s="1"/>
  <c r="I22" i="2" s="1"/>
  <c r="H41" i="2"/>
  <c r="H43" i="2" s="1"/>
  <c r="H22" i="2" s="1"/>
  <c r="G41" i="2"/>
  <c r="F41" i="2"/>
  <c r="D41" i="2"/>
  <c r="C42" i="2"/>
  <c r="C41" i="2"/>
  <c r="J36" i="2"/>
  <c r="F36" i="2"/>
  <c r="F37" i="2"/>
  <c r="F38" i="2" s="1"/>
  <c r="G36" i="2"/>
  <c r="H36" i="2"/>
  <c r="I36" i="2"/>
  <c r="I37" i="2" s="1"/>
  <c r="I38" i="2" s="1"/>
  <c r="K36" i="2"/>
  <c r="L36" i="2"/>
  <c r="L28" i="2"/>
  <c r="K28" i="2"/>
  <c r="J28" i="2"/>
  <c r="I28" i="2"/>
  <c r="H28" i="2"/>
  <c r="G28" i="2"/>
  <c r="F28" i="2"/>
  <c r="E28" i="2"/>
  <c r="D28" i="2"/>
  <c r="C28" i="2"/>
  <c r="AL25" i="2"/>
  <c r="AL23" i="2"/>
  <c r="H15" i="1"/>
  <c r="N36" i="2"/>
  <c r="N37" i="2" s="1"/>
  <c r="L37" i="2"/>
  <c r="L38" i="2" s="1"/>
  <c r="K37" i="2"/>
  <c r="K38" i="2" s="1"/>
  <c r="J37" i="2"/>
  <c r="J38" i="2" s="1"/>
  <c r="H37" i="2"/>
  <c r="H38" i="2" s="1"/>
  <c r="G37" i="2"/>
  <c r="G38" i="2" s="1"/>
  <c r="E37" i="2"/>
  <c r="E38" i="2" s="1"/>
  <c r="D37" i="2"/>
  <c r="C37" i="2"/>
  <c r="L34" i="2"/>
  <c r="K34" i="2"/>
  <c r="J34" i="2"/>
  <c r="I34" i="2"/>
  <c r="H34" i="2"/>
  <c r="G34" i="2"/>
  <c r="F34" i="2"/>
  <c r="E34" i="2"/>
  <c r="D34" i="2"/>
  <c r="C34" i="2"/>
  <c r="N34" i="2"/>
  <c r="N28" i="2"/>
  <c r="M20" i="2"/>
  <c r="L20" i="2"/>
  <c r="K20" i="2"/>
  <c r="J20" i="2"/>
  <c r="I20" i="2"/>
  <c r="H20" i="2"/>
  <c r="G20" i="2"/>
  <c r="N20" i="2"/>
  <c r="M34" i="2"/>
  <c r="M28" i="2"/>
  <c r="AJ1" i="2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M37" i="2"/>
  <c r="M38" i="2" s="1"/>
  <c r="X14" i="2"/>
  <c r="X12" i="2"/>
  <c r="X10" i="2"/>
  <c r="X8" i="2"/>
  <c r="X7" i="2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U9" i="2"/>
  <c r="U17" i="2" s="1"/>
  <c r="W14" i="2"/>
  <c r="W12" i="2"/>
  <c r="W10" i="2"/>
  <c r="W8" i="2"/>
  <c r="W7" i="2"/>
  <c r="V14" i="2"/>
  <c r="V12" i="2"/>
  <c r="V10" i="2"/>
  <c r="V8" i="2"/>
  <c r="V7" i="2"/>
  <c r="V19" i="2" s="1"/>
  <c r="W3" i="2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N9" i="2"/>
  <c r="N17" i="2" s="1"/>
  <c r="M9" i="2"/>
  <c r="M11" i="2" s="1"/>
  <c r="L9" i="2"/>
  <c r="L11" i="2" s="1"/>
  <c r="L13" i="2" s="1"/>
  <c r="L15" i="2" s="1"/>
  <c r="K9" i="2"/>
  <c r="K11" i="2" s="1"/>
  <c r="K13" i="2" s="1"/>
  <c r="K15" i="2" s="1"/>
  <c r="J9" i="2"/>
  <c r="J17" i="2" s="1"/>
  <c r="I9" i="2"/>
  <c r="I17" i="2" s="1"/>
  <c r="H9" i="2"/>
  <c r="H17" i="2" s="1"/>
  <c r="G9" i="2"/>
  <c r="G17" i="2" s="1"/>
  <c r="F9" i="2"/>
  <c r="F11" i="2" s="1"/>
  <c r="F13" i="2" s="1"/>
  <c r="F15" i="2" s="1"/>
  <c r="E9" i="2"/>
  <c r="E17" i="2" s="1"/>
  <c r="D9" i="2"/>
  <c r="D11" i="2" s="1"/>
  <c r="D13" i="2" s="1"/>
  <c r="D15" i="2" s="1"/>
  <c r="C9" i="2"/>
  <c r="C11" i="2" s="1"/>
  <c r="N19" i="2"/>
  <c r="M19" i="2"/>
  <c r="L19" i="2"/>
  <c r="K19" i="2"/>
  <c r="J19" i="2"/>
  <c r="I19" i="2"/>
  <c r="H19" i="2"/>
  <c r="G19" i="2"/>
  <c r="H17" i="1"/>
  <c r="H20" i="1" s="1"/>
  <c r="H21" i="1"/>
  <c r="H22" i="1" s="1"/>
  <c r="I16" i="1"/>
  <c r="I17" i="1" s="1"/>
  <c r="AL21" i="2" l="1"/>
  <c r="E43" i="2"/>
  <c r="E22" i="2" s="1"/>
  <c r="H18" i="1"/>
  <c r="F17" i="2"/>
  <c r="N38" i="2"/>
  <c r="X19" i="2"/>
  <c r="G11" i="2"/>
  <c r="G13" i="2" s="1"/>
  <c r="H11" i="2"/>
  <c r="H13" i="2" s="1"/>
  <c r="H15" i="2" s="1"/>
  <c r="U11" i="2"/>
  <c r="U13" i="2" s="1"/>
  <c r="AB19" i="2"/>
  <c r="Y19" i="2"/>
  <c r="Y10" i="2"/>
  <c r="Y8" i="2"/>
  <c r="Y9" i="2" s="1"/>
  <c r="J11" i="2"/>
  <c r="J13" i="2" s="1"/>
  <c r="J15" i="2" s="1"/>
  <c r="W9" i="2"/>
  <c r="W17" i="2" s="1"/>
  <c r="I11" i="2"/>
  <c r="I13" i="2" s="1"/>
  <c r="I15" i="2" s="1"/>
  <c r="C13" i="2"/>
  <c r="M17" i="2"/>
  <c r="W19" i="2"/>
  <c r="C17" i="2"/>
  <c r="K17" i="2"/>
  <c r="D17" i="2"/>
  <c r="L17" i="2"/>
  <c r="V9" i="2"/>
  <c r="V17" i="2" s="1"/>
  <c r="N11" i="2"/>
  <c r="N13" i="2" s="1"/>
  <c r="N15" i="2" s="1"/>
  <c r="E11" i="2"/>
  <c r="E13" i="2" s="1"/>
  <c r="E15" i="2" s="1"/>
  <c r="M13" i="2"/>
  <c r="X9" i="2"/>
  <c r="X17" i="2" s="1"/>
  <c r="I21" i="1"/>
  <c r="Z10" i="2" l="1"/>
  <c r="AA10" i="2" s="1"/>
  <c r="AB10" i="2" s="1"/>
  <c r="Z8" i="2"/>
  <c r="AA8" i="2" s="1"/>
  <c r="AB8" i="2" s="1"/>
  <c r="AC10" i="2"/>
  <c r="AA19" i="2"/>
  <c r="Z19" i="2"/>
  <c r="Y11" i="2"/>
  <c r="Y17" i="2"/>
  <c r="X11" i="2"/>
  <c r="W11" i="2"/>
  <c r="AA9" i="2"/>
  <c r="V11" i="2"/>
  <c r="W13" i="2"/>
  <c r="G15" i="2"/>
  <c r="W15" i="2" s="1"/>
  <c r="V13" i="2"/>
  <c r="C15" i="2"/>
  <c r="V15" i="2" s="1"/>
  <c r="X13" i="2"/>
  <c r="M15" i="2"/>
  <c r="X15" i="2" s="1"/>
  <c r="Z9" i="2" l="1"/>
  <c r="Z11" i="2" s="1"/>
  <c r="AC19" i="2"/>
  <c r="Z17" i="2"/>
  <c r="Y12" i="2"/>
  <c r="Y13" i="2" s="1"/>
  <c r="Y14" i="2" s="1"/>
  <c r="Y15" i="2" s="1"/>
  <c r="AD19" i="2"/>
  <c r="AD10" i="2"/>
  <c r="AE10" i="2" s="1"/>
  <c r="AA11" i="2"/>
  <c r="AA17" i="2"/>
  <c r="AC8" i="2"/>
  <c r="AB9" i="2"/>
  <c r="Z12" i="2" l="1"/>
  <c r="Z13" i="2" s="1"/>
  <c r="Z14" i="2" s="1"/>
  <c r="Z15" i="2" s="1"/>
  <c r="AE19" i="2"/>
  <c r="AB17" i="2"/>
  <c r="AB11" i="2"/>
  <c r="AD8" i="2"/>
  <c r="AC9" i="2"/>
  <c r="AA12" i="2" l="1"/>
  <c r="AA13" i="2" s="1"/>
  <c r="AA14" i="2" s="1"/>
  <c r="AA15" i="2" s="1"/>
  <c r="AF19" i="2"/>
  <c r="AF10" i="2"/>
  <c r="AG10" i="2" s="1"/>
  <c r="AC11" i="2"/>
  <c r="AC17" i="2"/>
  <c r="AE8" i="2"/>
  <c r="AD9" i="2"/>
  <c r="AB12" i="2" l="1"/>
  <c r="AB13" i="2" s="1"/>
  <c r="AB14" i="2"/>
  <c r="AB15" i="2" s="1"/>
  <c r="AH19" i="2"/>
  <c r="AG19" i="2"/>
  <c r="AD17" i="2"/>
  <c r="AD11" i="2"/>
  <c r="AF8" i="2"/>
  <c r="AE9" i="2"/>
  <c r="AC12" i="2"/>
  <c r="AC13" i="2" s="1"/>
  <c r="AH10" i="2" l="1"/>
  <c r="AC14" i="2"/>
  <c r="AC15" i="2" s="1"/>
  <c r="AE11" i="2"/>
  <c r="AE17" i="2"/>
  <c r="AD12" i="2"/>
  <c r="AD13" i="2" s="1"/>
  <c r="AG8" i="2"/>
  <c r="AF9" i="2"/>
  <c r="AF17" i="2" l="1"/>
  <c r="AF11" i="2"/>
  <c r="AH8" i="2"/>
  <c r="AH9" i="2" s="1"/>
  <c r="AG9" i="2"/>
  <c r="AD14" i="2"/>
  <c r="AD15" i="2" s="1"/>
  <c r="AE12" i="2"/>
  <c r="AE13" i="2" s="1"/>
  <c r="AE14" i="2" l="1"/>
  <c r="AE15" i="2" s="1"/>
  <c r="AG11" i="2"/>
  <c r="AG17" i="2"/>
  <c r="AH11" i="2"/>
  <c r="AH17" i="2"/>
  <c r="AF12" i="2"/>
  <c r="AF13" i="2" s="1"/>
  <c r="AF14" i="2" l="1"/>
  <c r="AF15" i="2" s="1"/>
  <c r="AG12" i="2"/>
  <c r="AH12" i="2" s="1"/>
  <c r="AH13" i="2" s="1"/>
  <c r="AG13" i="2"/>
  <c r="AG14" i="2" l="1"/>
  <c r="AH14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GB15" i="2" s="1"/>
  <c r="GC15" i="2" s="1"/>
  <c r="GD15" i="2" s="1"/>
  <c r="GE15" i="2" s="1"/>
  <c r="GF15" i="2" s="1"/>
  <c r="GG15" i="2" s="1"/>
  <c r="GH15" i="2" s="1"/>
  <c r="GI15" i="2" s="1"/>
  <c r="GJ15" i="2" s="1"/>
  <c r="GK15" i="2" s="1"/>
  <c r="GL15" i="2" s="1"/>
  <c r="GM15" i="2" s="1"/>
  <c r="GN15" i="2" s="1"/>
  <c r="GO15" i="2" s="1"/>
  <c r="GP15" i="2" s="1"/>
  <c r="GQ15" i="2" s="1"/>
  <c r="GR15" i="2" s="1"/>
  <c r="GS15" i="2" s="1"/>
  <c r="GT15" i="2" s="1"/>
  <c r="GU15" i="2" s="1"/>
  <c r="GV15" i="2" s="1"/>
  <c r="GW15" i="2" s="1"/>
  <c r="GX15" i="2" s="1"/>
  <c r="GY15" i="2" s="1"/>
  <c r="GZ15" i="2" s="1"/>
  <c r="HA15" i="2" s="1"/>
  <c r="HB15" i="2" s="1"/>
  <c r="HC15" i="2" s="1"/>
  <c r="HD15" i="2" s="1"/>
  <c r="HE15" i="2" s="1"/>
  <c r="HF15" i="2" s="1"/>
  <c r="HG15" i="2" s="1"/>
  <c r="HH15" i="2" s="1"/>
  <c r="HI15" i="2" s="1"/>
  <c r="HJ15" i="2" s="1"/>
  <c r="HK15" i="2" s="1"/>
  <c r="HL15" i="2" s="1"/>
  <c r="HM15" i="2" s="1"/>
  <c r="HN15" i="2" s="1"/>
  <c r="HO15" i="2" s="1"/>
  <c r="HP15" i="2" s="1"/>
  <c r="AG15" i="2" l="1"/>
  <c r="AL20" i="2" l="1"/>
  <c r="AL22" i="2" s="1"/>
  <c r="AL24" i="2" s="1"/>
  <c r="AL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G14" authorId="0" shapeId="0" xr:uid="{AF1ABA06-520C-714E-9136-6CEFD43E2A9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 get this data: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Company website (every public company has a investor relations page) e.g. google walmart investor relations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2. Securities and exchange commission (SEC) (prefer)</t>
        </r>
      </text>
    </comment>
    <comment ref="G16" authorId="0" shapeId="0" xr:uid="{D9B9BBD3-45CB-AE4A-B239-B582891A5E34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Cash is kept in bank accounts, money market securities, treasury securities, demand deposits, and other liquid items</t>
        </r>
      </text>
    </comment>
    <comment ref="G17" authorId="0" shapeId="0" xr:uid="{967F462E-8798-3D49-9CF5-142BDDA8445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Companies get loans ...  companies get loans to fund business strategies, to pay back other debt, and other items </t>
        </r>
      </text>
    </comment>
    <comment ref="G18" authorId="0" shapeId="0" xr:uid="{82A62C17-1DAE-2F49-9AE6-06A695027CF7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Enterprise Value (EV) is the total value of the company. It is Market cap - cash + debt = EV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Market cap = Price * shares oustanding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L87" authorId="0" shapeId="0" xr:uid="{898C270D-FA2C-4844-AAC9-7CEB7DA63E69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WMT kept 24 cents per dollar of sales </t>
        </r>
      </text>
    </comment>
  </commentList>
</comments>
</file>

<file path=xl/sharedStrings.xml><?xml version="1.0" encoding="utf-8"?>
<sst xmlns="http://schemas.openxmlformats.org/spreadsheetml/2006/main" count="87" uniqueCount="81">
  <si>
    <t>Price</t>
  </si>
  <si>
    <t xml:space="preserve">Shares </t>
  </si>
  <si>
    <t xml:space="preserve">Market Capitalization </t>
  </si>
  <si>
    <t xml:space="preserve">Cash </t>
  </si>
  <si>
    <t>Debt</t>
  </si>
  <si>
    <t xml:space="preserve">Enterprise Value </t>
  </si>
  <si>
    <t>Annal Div</t>
  </si>
  <si>
    <t xml:space="preserve">Net Cash </t>
  </si>
  <si>
    <t>Company WMT</t>
  </si>
  <si>
    <t>Q122</t>
  </si>
  <si>
    <t>Q222</t>
  </si>
  <si>
    <t>Q322</t>
  </si>
  <si>
    <t>Q422</t>
  </si>
  <si>
    <t>Q123</t>
  </si>
  <si>
    <t>Q223</t>
  </si>
  <si>
    <t>Taxes</t>
  </si>
  <si>
    <t>GM%</t>
  </si>
  <si>
    <t>Bank Pays</t>
  </si>
  <si>
    <t>Div Yield (WMT Pays)</t>
  </si>
  <si>
    <t>PPE</t>
  </si>
  <si>
    <t>Press Releases</t>
  </si>
  <si>
    <t xml:space="preserve">Terminal </t>
  </si>
  <si>
    <t>Discount</t>
  </si>
  <si>
    <t>NPV</t>
  </si>
  <si>
    <t>A/R</t>
  </si>
  <si>
    <t>A/P</t>
  </si>
  <si>
    <t>Equity</t>
  </si>
  <si>
    <t>Inventories?</t>
  </si>
  <si>
    <t>International?</t>
  </si>
  <si>
    <t>Strategy?</t>
  </si>
  <si>
    <t>competition?</t>
  </si>
  <si>
    <t>Total Revenue</t>
  </si>
  <si>
    <t>CoS</t>
  </si>
  <si>
    <t xml:space="preserve">Gross profit </t>
  </si>
  <si>
    <t>SG&amp;A</t>
  </si>
  <si>
    <t xml:space="preserve">Op Income </t>
  </si>
  <si>
    <t>Other income</t>
  </si>
  <si>
    <t xml:space="preserve">Pretax Income </t>
  </si>
  <si>
    <t xml:space="preserve">Net Income </t>
  </si>
  <si>
    <t>Q323</t>
  </si>
  <si>
    <t>Q423</t>
  </si>
  <si>
    <t>Q124</t>
  </si>
  <si>
    <t>Q224</t>
  </si>
  <si>
    <t>Q324</t>
  </si>
  <si>
    <t>Q424</t>
  </si>
  <si>
    <t>Revenue Y/Y</t>
  </si>
  <si>
    <t xml:space="preserve">Inventory </t>
  </si>
  <si>
    <t>ONCA</t>
  </si>
  <si>
    <t xml:space="preserve">Total Assets </t>
  </si>
  <si>
    <t>Long Term Debt</t>
  </si>
  <si>
    <t xml:space="preserve">Total Liabilities </t>
  </si>
  <si>
    <t>Other</t>
  </si>
  <si>
    <t xml:space="preserve">Other </t>
  </si>
  <si>
    <t>Revenue Q/Q</t>
  </si>
  <si>
    <t>$M</t>
  </si>
  <si>
    <t>TL + E</t>
  </si>
  <si>
    <t xml:space="preserve">Total Value </t>
  </si>
  <si>
    <t>Shares</t>
  </si>
  <si>
    <t>Estimate</t>
  </si>
  <si>
    <t>Current</t>
  </si>
  <si>
    <t>Upside</t>
  </si>
  <si>
    <t>Q125</t>
  </si>
  <si>
    <t>Q225</t>
  </si>
  <si>
    <t>Q325</t>
  </si>
  <si>
    <t>Q425</t>
  </si>
  <si>
    <t>Units</t>
  </si>
  <si>
    <t>ROIC</t>
  </si>
  <si>
    <t xml:space="preserve">CEO </t>
  </si>
  <si>
    <t xml:space="preserve">Doug McMillan </t>
  </si>
  <si>
    <t>Inventory Q/Q</t>
  </si>
  <si>
    <t>Cash</t>
  </si>
  <si>
    <t>Total Debt</t>
  </si>
  <si>
    <t xml:space="preserve">Net cash </t>
  </si>
  <si>
    <t>WC</t>
  </si>
  <si>
    <t>OM%</t>
  </si>
  <si>
    <t>CFFO</t>
  </si>
  <si>
    <t>Capex</t>
  </si>
  <si>
    <t xml:space="preserve">Free Cash Flow </t>
  </si>
  <si>
    <t>Filings</t>
  </si>
  <si>
    <t>8K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</si>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</sst>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#,##0.0"/>
    <numFmt numFmtId="165" formatCode="0.0000"/>
  </numFmts>
  <fonts count="10">
    <font>
      <sz val="10"/>
      <color theme="1"/>
      <name val="IntelClear-Regul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IntelClear-Regular"/>
      <family val="2"/>
    </font>
    <font>
      <sz val="10"/>
      <color theme="0"/>
      <name val="IntelClear-Regular"/>
    </font>
    <font>
      <b/>
      <sz val="10"/>
      <color theme="0"/>
      <name val="IntelClear-Regular"/>
    </font>
    <font>
      <u/>
      <sz val="10"/>
      <color theme="0"/>
      <name val="IntelClear-Regular"/>
    </font>
    <font>
      <sz val="10"/>
      <color theme="0" tint="-0.14999847407452621"/>
      <name val="Tahoma"/>
      <family val="2"/>
    </font>
    <font>
      <b/>
      <sz val="10"/>
      <color theme="0" tint="-0.14999847407452621"/>
      <name val="Tahoma"/>
      <family val="2"/>
    </font>
    <font>
      <sz val="12"/>
      <color theme="0" tint="-0.1499984740745262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0" xfId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center"/>
    </xf>
    <xf numFmtId="3" fontId="4" fillId="2" borderId="0" xfId="0" applyNumberFormat="1" applyFont="1" applyFill="1"/>
    <xf numFmtId="3" fontId="5" fillId="2" borderId="0" xfId="0" applyNumberFormat="1" applyFont="1" applyFill="1"/>
    <xf numFmtId="165" fontId="5" fillId="2" borderId="0" xfId="0" applyNumberFormat="1" applyFont="1" applyFill="1"/>
    <xf numFmtId="9" fontId="4" fillId="2" borderId="0" xfId="0" applyNumberFormat="1" applyFont="1" applyFill="1"/>
    <xf numFmtId="9" fontId="5" fillId="2" borderId="0" xfId="0" applyNumberFormat="1" applyFont="1" applyFill="1"/>
    <xf numFmtId="10" fontId="5" fillId="2" borderId="0" xfId="0" applyNumberFormat="1" applyFont="1" applyFill="1"/>
    <xf numFmtId="10" fontId="4" fillId="2" borderId="0" xfId="0" applyNumberFormat="1" applyFont="1" applyFill="1"/>
    <xf numFmtId="0" fontId="6" fillId="2" borderId="0" xfId="1" applyFont="1" applyFill="1"/>
    <xf numFmtId="3" fontId="7" fillId="2" borderId="0" xfId="0" applyNumberFormat="1" applyFont="1" applyFill="1"/>
    <xf numFmtId="14" fontId="8" fillId="2" borderId="0" xfId="0" applyNumberFormat="1" applyFont="1" applyFill="1"/>
    <xf numFmtId="14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left"/>
    </xf>
    <xf numFmtId="3" fontId="7" fillId="2" borderId="0" xfId="0" applyNumberFormat="1" applyFont="1" applyFill="1" applyAlignment="1">
      <alignment horizontal="right"/>
    </xf>
    <xf numFmtId="3" fontId="8" fillId="2" borderId="0" xfId="0" applyNumberFormat="1" applyFont="1" applyFill="1"/>
    <xf numFmtId="3" fontId="8" fillId="2" borderId="0" xfId="0" applyNumberFormat="1" applyFont="1" applyFill="1" applyAlignment="1">
      <alignment horizontal="right"/>
    </xf>
    <xf numFmtId="164" fontId="8" fillId="2" borderId="0" xfId="0" applyNumberFormat="1" applyFont="1" applyFill="1"/>
    <xf numFmtId="1" fontId="8" fillId="2" borderId="0" xfId="0" applyNumberFormat="1" applyFont="1" applyFill="1"/>
    <xf numFmtId="164" fontId="7" fillId="2" borderId="0" xfId="0" applyNumberFormat="1" applyFont="1" applyFill="1"/>
    <xf numFmtId="9" fontId="7" fillId="2" borderId="0" xfId="0" applyNumberFormat="1" applyFont="1" applyFill="1"/>
    <xf numFmtId="8" fontId="7" fillId="2" borderId="0" xfId="0" applyNumberFormat="1" applyFont="1" applyFill="1"/>
    <xf numFmtId="3" fontId="9" fillId="2" borderId="0" xfId="0" applyNumberFormat="1" applyFont="1" applyFill="1"/>
    <xf numFmtId="0" fontId="6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566615</xdr:colOff>
      <xdr:row>0</xdr:row>
      <xdr:rowOff>0</xdr:rowOff>
    </xdr:from>
    <xdr:to>
      <xdr:col>14</xdr:col>
      <xdr:colOff>574702</xdr:colOff>
      <xdr:row>222</xdr:row>
      <xdr:rowOff>74083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CF1F27A-77B5-3334-69C2-2E093AA29F0F}"/>
            </a:ext>
          </a:extLst>
        </xdr:cNvPr>
        <xdr:cNvCxnSpPr/>
      </xdr:nvCxnSpPr>
      <xdr:spPr>
        <a:xfrm flipH="1">
          <a:off x="9241692" y="0"/>
          <a:ext cx="8087" cy="29665083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7937</xdr:colOff>
      <xdr:row>0</xdr:row>
      <xdr:rowOff>0</xdr:rowOff>
    </xdr:from>
    <xdr:to>
      <xdr:col>24</xdr:col>
      <xdr:colOff>28401</xdr:colOff>
      <xdr:row>120</xdr:row>
      <xdr:rowOff>60752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2EE86E0-CC8B-8A48-880F-FFD0624EFDDE}"/>
            </a:ext>
          </a:extLst>
        </xdr:cNvPr>
        <xdr:cNvCxnSpPr/>
      </xdr:nvCxnSpPr>
      <xdr:spPr>
        <a:xfrm>
          <a:off x="12723812" y="0"/>
          <a:ext cx="20464" cy="17602627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sec.gov/ix?doc=/Archives/edgar/data/104169/000010416924000088/wmt-20240516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06E9-7DD8-304E-BF44-17CFE364C1B0}">
  <dimension ref="B2:W30"/>
  <sheetViews>
    <sheetView topLeftCell="A4" zoomScale="210" zoomScaleNormal="210" workbookViewId="0">
      <selection activeCell="B14" sqref="B14"/>
    </sheetView>
  </sheetViews>
  <sheetFormatPr baseColWidth="10" defaultRowHeight="14"/>
  <cols>
    <col min="1" max="4" width="10.83203125" style="2"/>
    <col min="5" max="5" width="14.1640625" style="2" bestFit="1" customWidth="1"/>
    <col min="6" max="6" width="10.83203125" style="2"/>
    <col min="7" max="7" width="17.1640625" style="2" bestFit="1" customWidth="1"/>
    <col min="8" max="8" width="8.83203125" style="2" bestFit="1" customWidth="1"/>
    <col min="9" max="9" width="6.5" style="2" bestFit="1" customWidth="1"/>
    <col min="10" max="10" width="14.1640625" style="2" bestFit="1" customWidth="1"/>
    <col min="11" max="11" width="10.83203125" style="2"/>
    <col min="12" max="13" width="3.83203125" style="2" bestFit="1" customWidth="1"/>
    <col min="14" max="14" width="6" style="2" bestFit="1" customWidth="1"/>
    <col min="15" max="15" width="4.5" style="2" bestFit="1" customWidth="1"/>
    <col min="16" max="16" width="4.33203125" style="2" bestFit="1" customWidth="1"/>
    <col min="17" max="18" width="6.5" style="2" bestFit="1" customWidth="1"/>
    <col min="19" max="19" width="4" style="2" bestFit="1" customWidth="1"/>
    <col min="20" max="20" width="4.33203125" style="2" bestFit="1" customWidth="1"/>
    <col min="21" max="21" width="3.5" style="2" bestFit="1" customWidth="1"/>
    <col min="22" max="22" width="4" style="2" bestFit="1" customWidth="1"/>
    <col min="23" max="23" width="3.83203125" style="2" bestFit="1" customWidth="1"/>
    <col min="24" max="16384" width="10.83203125" style="2"/>
  </cols>
  <sheetData>
    <row r="2" spans="2:23">
      <c r="B2" s="2" t="s">
        <v>67</v>
      </c>
      <c r="C2" s="2" t="s">
        <v>68</v>
      </c>
    </row>
    <row r="11" spans="2:23">
      <c r="G11" s="3" t="s">
        <v>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3" spans="2:23">
      <c r="B13" s="27" t="s">
        <v>80</v>
      </c>
      <c r="C13" s="27" t="s">
        <v>78</v>
      </c>
      <c r="E13" s="5"/>
      <c r="G13" s="2" t="s">
        <v>0</v>
      </c>
      <c r="H13" s="5">
        <v>64</v>
      </c>
      <c r="J13" s="5"/>
    </row>
    <row r="14" spans="2:23">
      <c r="B14" s="2" t="s">
        <v>61</v>
      </c>
      <c r="C14" s="1" t="s">
        <v>79</v>
      </c>
      <c r="E14" s="6"/>
      <c r="G14" s="2" t="s">
        <v>1</v>
      </c>
      <c r="H14" s="5">
        <v>8084</v>
      </c>
      <c r="I14" s="2" t="s">
        <v>44</v>
      </c>
      <c r="J14" s="5"/>
    </row>
    <row r="15" spans="2:23">
      <c r="E15" s="6" t="s">
        <v>20</v>
      </c>
      <c r="G15" s="2" t="s">
        <v>2</v>
      </c>
      <c r="H15" s="5">
        <f>+H13*H14</f>
        <v>517376</v>
      </c>
      <c r="J15" s="5"/>
    </row>
    <row r="16" spans="2:23">
      <c r="G16" s="2" t="s">
        <v>3</v>
      </c>
      <c r="H16" s="5">
        <v>13923</v>
      </c>
      <c r="I16" s="2" t="str">
        <f>+I14</f>
        <v>Q424</v>
      </c>
      <c r="J16" s="5"/>
    </row>
    <row r="17" spans="5:18">
      <c r="G17" s="2" t="s">
        <v>4</v>
      </c>
      <c r="H17" s="5">
        <f>10634+5316+29801</f>
        <v>45751</v>
      </c>
      <c r="I17" s="2" t="str">
        <f>+I16</f>
        <v>Q424</v>
      </c>
      <c r="J17" s="5"/>
      <c r="Q17" s="5"/>
      <c r="R17" s="5"/>
    </row>
    <row r="18" spans="5:18">
      <c r="E18" s="3" t="s">
        <v>27</v>
      </c>
      <c r="G18" s="2" t="s">
        <v>5</v>
      </c>
      <c r="H18" s="5">
        <f>+H15-H16+H17</f>
        <v>549204</v>
      </c>
      <c r="J18" s="5"/>
    </row>
    <row r="19" spans="5:18">
      <c r="E19" s="2" t="s">
        <v>28</v>
      </c>
    </row>
    <row r="20" spans="5:18">
      <c r="E20" s="2" t="s">
        <v>29</v>
      </c>
      <c r="G20" s="2" t="s">
        <v>7</v>
      </c>
      <c r="H20" s="6">
        <f>+H16-H17</f>
        <v>-31828</v>
      </c>
    </row>
    <row r="21" spans="5:18">
      <c r="E21" s="3" t="s">
        <v>30</v>
      </c>
      <c r="G21" s="2" t="s">
        <v>6</v>
      </c>
      <c r="H21" s="3">
        <f>0.56*4</f>
        <v>2.2400000000000002</v>
      </c>
      <c r="I21" s="7">
        <f>+H21/4</f>
        <v>0.56000000000000005</v>
      </c>
    </row>
    <row r="22" spans="5:18">
      <c r="F22" s="8"/>
      <c r="G22" s="9" t="s">
        <v>18</v>
      </c>
      <c r="H22" s="10">
        <f>+H21/H13</f>
        <v>3.5000000000000003E-2</v>
      </c>
    </row>
    <row r="23" spans="5:18">
      <c r="G23" s="2" t="s">
        <v>17</v>
      </c>
      <c r="H23" s="11">
        <v>0.01</v>
      </c>
    </row>
    <row r="30" spans="5:18">
      <c r="E30" s="12"/>
    </row>
  </sheetData>
  <mergeCells count="4">
    <mergeCell ref="L11:N11"/>
    <mergeCell ref="O11:Q11"/>
    <mergeCell ref="R11:T11"/>
    <mergeCell ref="U11:W11"/>
  </mergeCells>
  <hyperlinks>
    <hyperlink ref="C14" r:id="rId1" xr:uid="{FF886D8B-F897-F64E-9B8A-A02B35D48916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174B-E597-8948-8AAD-30220605E74F}">
  <dimension ref="B1:HP217"/>
  <sheetViews>
    <sheetView tabSelected="1" zoomScale="130" zoomScaleNormal="130" workbookViewId="0">
      <pane xSplit="2" ySplit="3" topLeftCell="J4" activePane="bottomRight" state="frozen"/>
      <selection pane="topRight" activeCell="C1" sqref="C1"/>
      <selection pane="bottomLeft" activeCell="A3" sqref="A3"/>
      <selection pane="bottomRight" activeCell="AK22" sqref="AK22"/>
    </sheetView>
  </sheetViews>
  <sheetFormatPr baseColWidth="10" defaultRowHeight="13" outlineLevelRow="1"/>
  <cols>
    <col min="1" max="1" width="1.5" style="13" customWidth="1"/>
    <col min="2" max="2" width="13.5" style="13" bestFit="1" customWidth="1"/>
    <col min="3" max="3" width="8.83203125" style="13" bestFit="1" customWidth="1"/>
    <col min="4" max="9" width="8.1640625" style="13" bestFit="1" customWidth="1"/>
    <col min="10" max="10" width="8" style="13" bestFit="1" customWidth="1"/>
    <col min="11" max="14" width="8.1640625" style="13" bestFit="1" customWidth="1"/>
    <col min="15" max="15" width="7.6640625" style="13" bestFit="1" customWidth="1"/>
    <col min="16" max="18" width="5.5" style="13" bestFit="1" customWidth="1"/>
    <col min="19" max="19" width="7.6640625" style="13" customWidth="1"/>
    <col min="20" max="20" width="10.83203125" style="13"/>
    <col min="21" max="30" width="7.6640625" style="13" bestFit="1" customWidth="1"/>
    <col min="31" max="34" width="9" style="13" bestFit="1" customWidth="1"/>
    <col min="35" max="36" width="6.83203125" style="13" bestFit="1" customWidth="1"/>
    <col min="37" max="37" width="10.83203125" style="13" bestFit="1" customWidth="1"/>
    <col min="38" max="38" width="11.5" style="13" bestFit="1" customWidth="1"/>
    <col min="39" max="148" width="6.83203125" style="13" bestFit="1" customWidth="1"/>
    <col min="149" max="167" width="7.6640625" style="13" bestFit="1" customWidth="1"/>
    <col min="168" max="224" width="7.83203125" style="13" bestFit="1" customWidth="1"/>
    <col min="225" max="16384" width="10.83203125" style="13"/>
  </cols>
  <sheetData>
    <row r="1" spans="2:224">
      <c r="AI1" s="13">
        <v>11</v>
      </c>
      <c r="AJ1" s="13">
        <f>+AI1+1</f>
        <v>12</v>
      </c>
      <c r="AK1" s="13">
        <f t="shared" ref="AK1:CV1" si="0">+AJ1+1</f>
        <v>13</v>
      </c>
      <c r="AL1" s="13">
        <f t="shared" si="0"/>
        <v>14</v>
      </c>
      <c r="AM1" s="13">
        <f t="shared" si="0"/>
        <v>15</v>
      </c>
      <c r="AN1" s="13">
        <f t="shared" si="0"/>
        <v>16</v>
      </c>
      <c r="AO1" s="13">
        <f t="shared" si="0"/>
        <v>17</v>
      </c>
      <c r="AP1" s="13">
        <f t="shared" si="0"/>
        <v>18</v>
      </c>
      <c r="AQ1" s="13">
        <f t="shared" si="0"/>
        <v>19</v>
      </c>
      <c r="AR1" s="13">
        <f t="shared" si="0"/>
        <v>20</v>
      </c>
      <c r="AS1" s="13">
        <f t="shared" si="0"/>
        <v>21</v>
      </c>
      <c r="AT1" s="13">
        <f t="shared" si="0"/>
        <v>22</v>
      </c>
      <c r="AU1" s="13">
        <f t="shared" si="0"/>
        <v>23</v>
      </c>
      <c r="AV1" s="13">
        <f t="shared" si="0"/>
        <v>24</v>
      </c>
      <c r="AW1" s="13">
        <f t="shared" si="0"/>
        <v>25</v>
      </c>
      <c r="AX1" s="13">
        <f t="shared" si="0"/>
        <v>26</v>
      </c>
      <c r="AY1" s="13">
        <f t="shared" si="0"/>
        <v>27</v>
      </c>
      <c r="AZ1" s="13">
        <f t="shared" si="0"/>
        <v>28</v>
      </c>
      <c r="BA1" s="13">
        <f t="shared" si="0"/>
        <v>29</v>
      </c>
      <c r="BB1" s="13">
        <f t="shared" si="0"/>
        <v>30</v>
      </c>
      <c r="BC1" s="13">
        <f t="shared" si="0"/>
        <v>31</v>
      </c>
      <c r="BD1" s="13">
        <f t="shared" si="0"/>
        <v>32</v>
      </c>
      <c r="BE1" s="13">
        <f t="shared" si="0"/>
        <v>33</v>
      </c>
      <c r="BF1" s="13">
        <f t="shared" si="0"/>
        <v>34</v>
      </c>
      <c r="BG1" s="13">
        <f t="shared" si="0"/>
        <v>35</v>
      </c>
      <c r="BH1" s="13">
        <f t="shared" si="0"/>
        <v>36</v>
      </c>
      <c r="BI1" s="13">
        <f t="shared" si="0"/>
        <v>37</v>
      </c>
      <c r="BJ1" s="13">
        <f t="shared" si="0"/>
        <v>38</v>
      </c>
      <c r="BK1" s="13">
        <f t="shared" si="0"/>
        <v>39</v>
      </c>
      <c r="BL1" s="13">
        <f t="shared" si="0"/>
        <v>40</v>
      </c>
      <c r="BM1" s="13">
        <f t="shared" si="0"/>
        <v>41</v>
      </c>
      <c r="BN1" s="13">
        <f t="shared" si="0"/>
        <v>42</v>
      </c>
      <c r="BO1" s="13">
        <f t="shared" si="0"/>
        <v>43</v>
      </c>
      <c r="BP1" s="13">
        <f t="shared" si="0"/>
        <v>44</v>
      </c>
      <c r="BQ1" s="13">
        <f t="shared" si="0"/>
        <v>45</v>
      </c>
      <c r="BR1" s="13">
        <f t="shared" si="0"/>
        <v>46</v>
      </c>
      <c r="BS1" s="13">
        <f t="shared" si="0"/>
        <v>47</v>
      </c>
      <c r="BT1" s="13">
        <f t="shared" si="0"/>
        <v>48</v>
      </c>
      <c r="BU1" s="13">
        <f t="shared" si="0"/>
        <v>49</v>
      </c>
      <c r="BV1" s="13">
        <f t="shared" si="0"/>
        <v>50</v>
      </c>
      <c r="BW1" s="13">
        <f t="shared" si="0"/>
        <v>51</v>
      </c>
      <c r="BX1" s="13">
        <f t="shared" si="0"/>
        <v>52</v>
      </c>
      <c r="BY1" s="13">
        <f t="shared" si="0"/>
        <v>53</v>
      </c>
      <c r="BZ1" s="13">
        <f t="shared" si="0"/>
        <v>54</v>
      </c>
      <c r="CA1" s="13">
        <f t="shared" si="0"/>
        <v>55</v>
      </c>
      <c r="CB1" s="13">
        <f t="shared" si="0"/>
        <v>56</v>
      </c>
      <c r="CC1" s="13">
        <f t="shared" si="0"/>
        <v>57</v>
      </c>
      <c r="CD1" s="13">
        <f t="shared" si="0"/>
        <v>58</v>
      </c>
      <c r="CE1" s="13">
        <f t="shared" si="0"/>
        <v>59</v>
      </c>
      <c r="CF1" s="13">
        <f t="shared" si="0"/>
        <v>60</v>
      </c>
      <c r="CG1" s="13">
        <f t="shared" si="0"/>
        <v>61</v>
      </c>
      <c r="CH1" s="13">
        <f t="shared" si="0"/>
        <v>62</v>
      </c>
      <c r="CI1" s="13">
        <f t="shared" si="0"/>
        <v>63</v>
      </c>
      <c r="CJ1" s="13">
        <f t="shared" si="0"/>
        <v>64</v>
      </c>
      <c r="CK1" s="13">
        <f t="shared" si="0"/>
        <v>65</v>
      </c>
      <c r="CL1" s="13">
        <f t="shared" si="0"/>
        <v>66</v>
      </c>
      <c r="CM1" s="13">
        <f t="shared" si="0"/>
        <v>67</v>
      </c>
      <c r="CN1" s="13">
        <f t="shared" si="0"/>
        <v>68</v>
      </c>
      <c r="CO1" s="13">
        <f t="shared" si="0"/>
        <v>69</v>
      </c>
      <c r="CP1" s="13">
        <f t="shared" si="0"/>
        <v>70</v>
      </c>
      <c r="CQ1" s="13">
        <f t="shared" si="0"/>
        <v>71</v>
      </c>
      <c r="CR1" s="13">
        <f t="shared" si="0"/>
        <v>72</v>
      </c>
      <c r="CS1" s="13">
        <f t="shared" si="0"/>
        <v>73</v>
      </c>
      <c r="CT1" s="13">
        <f t="shared" si="0"/>
        <v>74</v>
      </c>
      <c r="CU1" s="13">
        <f t="shared" si="0"/>
        <v>75</v>
      </c>
      <c r="CV1" s="13">
        <f t="shared" si="0"/>
        <v>76</v>
      </c>
      <c r="CW1" s="13">
        <f t="shared" ref="CW1:DT1" si="1">+CV1+1</f>
        <v>77</v>
      </c>
      <c r="CX1" s="13">
        <f t="shared" si="1"/>
        <v>78</v>
      </c>
      <c r="CY1" s="13">
        <f t="shared" si="1"/>
        <v>79</v>
      </c>
      <c r="CZ1" s="13">
        <f t="shared" si="1"/>
        <v>80</v>
      </c>
      <c r="DA1" s="13">
        <f t="shared" si="1"/>
        <v>81</v>
      </c>
      <c r="DB1" s="13">
        <f t="shared" si="1"/>
        <v>82</v>
      </c>
      <c r="DC1" s="13">
        <f t="shared" si="1"/>
        <v>83</v>
      </c>
      <c r="DD1" s="13">
        <f t="shared" si="1"/>
        <v>84</v>
      </c>
      <c r="DE1" s="13">
        <f t="shared" si="1"/>
        <v>85</v>
      </c>
      <c r="DF1" s="13">
        <f t="shared" si="1"/>
        <v>86</v>
      </c>
      <c r="DG1" s="13">
        <f t="shared" si="1"/>
        <v>87</v>
      </c>
      <c r="DH1" s="13">
        <f t="shared" si="1"/>
        <v>88</v>
      </c>
      <c r="DI1" s="13">
        <f t="shared" si="1"/>
        <v>89</v>
      </c>
      <c r="DJ1" s="13">
        <f t="shared" si="1"/>
        <v>90</v>
      </c>
      <c r="DK1" s="13">
        <f t="shared" si="1"/>
        <v>91</v>
      </c>
      <c r="DL1" s="13">
        <f t="shared" si="1"/>
        <v>92</v>
      </c>
      <c r="DM1" s="13">
        <f t="shared" si="1"/>
        <v>93</v>
      </c>
      <c r="DN1" s="13">
        <f t="shared" si="1"/>
        <v>94</v>
      </c>
      <c r="DO1" s="13">
        <f t="shared" si="1"/>
        <v>95</v>
      </c>
      <c r="DP1" s="13">
        <f t="shared" si="1"/>
        <v>96</v>
      </c>
      <c r="DQ1" s="13">
        <f t="shared" si="1"/>
        <v>97</v>
      </c>
      <c r="DR1" s="13">
        <f t="shared" si="1"/>
        <v>98</v>
      </c>
      <c r="DS1" s="13">
        <f t="shared" si="1"/>
        <v>99</v>
      </c>
      <c r="DT1" s="13">
        <f t="shared" si="1"/>
        <v>100</v>
      </c>
      <c r="DU1" s="13">
        <f t="shared" ref="DU1:GF1" si="2">+DT1+1</f>
        <v>101</v>
      </c>
      <c r="DV1" s="13">
        <f t="shared" si="2"/>
        <v>102</v>
      </c>
      <c r="DW1" s="13">
        <f t="shared" si="2"/>
        <v>103</v>
      </c>
      <c r="DX1" s="13">
        <f t="shared" si="2"/>
        <v>104</v>
      </c>
      <c r="DY1" s="13">
        <f t="shared" si="2"/>
        <v>105</v>
      </c>
      <c r="DZ1" s="13">
        <f t="shared" si="2"/>
        <v>106</v>
      </c>
      <c r="EA1" s="13">
        <f t="shared" si="2"/>
        <v>107</v>
      </c>
      <c r="EB1" s="13">
        <f t="shared" si="2"/>
        <v>108</v>
      </c>
      <c r="EC1" s="13">
        <f t="shared" si="2"/>
        <v>109</v>
      </c>
      <c r="ED1" s="13">
        <f t="shared" si="2"/>
        <v>110</v>
      </c>
      <c r="EE1" s="13">
        <f t="shared" si="2"/>
        <v>111</v>
      </c>
      <c r="EF1" s="13">
        <f t="shared" si="2"/>
        <v>112</v>
      </c>
      <c r="EG1" s="13">
        <f t="shared" si="2"/>
        <v>113</v>
      </c>
      <c r="EH1" s="13">
        <f t="shared" si="2"/>
        <v>114</v>
      </c>
      <c r="EI1" s="13">
        <f t="shared" si="2"/>
        <v>115</v>
      </c>
      <c r="EJ1" s="13">
        <f t="shared" si="2"/>
        <v>116</v>
      </c>
      <c r="EK1" s="13">
        <f t="shared" si="2"/>
        <v>117</v>
      </c>
      <c r="EL1" s="13">
        <f t="shared" si="2"/>
        <v>118</v>
      </c>
      <c r="EM1" s="13">
        <f t="shared" si="2"/>
        <v>119</v>
      </c>
      <c r="EN1" s="13">
        <f t="shared" si="2"/>
        <v>120</v>
      </c>
      <c r="EO1" s="13">
        <f t="shared" si="2"/>
        <v>121</v>
      </c>
      <c r="EP1" s="13">
        <f t="shared" si="2"/>
        <v>122</v>
      </c>
      <c r="EQ1" s="13">
        <f t="shared" si="2"/>
        <v>123</v>
      </c>
      <c r="ER1" s="13">
        <f t="shared" si="2"/>
        <v>124</v>
      </c>
      <c r="ES1" s="13">
        <f t="shared" si="2"/>
        <v>125</v>
      </c>
      <c r="ET1" s="13">
        <f t="shared" si="2"/>
        <v>126</v>
      </c>
      <c r="EU1" s="13">
        <f t="shared" si="2"/>
        <v>127</v>
      </c>
      <c r="EV1" s="13">
        <f t="shared" si="2"/>
        <v>128</v>
      </c>
      <c r="EW1" s="13">
        <f t="shared" si="2"/>
        <v>129</v>
      </c>
      <c r="EX1" s="13">
        <f t="shared" si="2"/>
        <v>130</v>
      </c>
      <c r="EY1" s="13">
        <f t="shared" si="2"/>
        <v>131</v>
      </c>
      <c r="EZ1" s="13">
        <f t="shared" si="2"/>
        <v>132</v>
      </c>
      <c r="FA1" s="13">
        <f t="shared" si="2"/>
        <v>133</v>
      </c>
      <c r="FB1" s="13">
        <f t="shared" si="2"/>
        <v>134</v>
      </c>
      <c r="FC1" s="13">
        <f t="shared" si="2"/>
        <v>135</v>
      </c>
      <c r="FD1" s="13">
        <f t="shared" si="2"/>
        <v>136</v>
      </c>
      <c r="FE1" s="13">
        <f t="shared" si="2"/>
        <v>137</v>
      </c>
      <c r="FF1" s="13">
        <f t="shared" si="2"/>
        <v>138</v>
      </c>
      <c r="FG1" s="13">
        <f t="shared" si="2"/>
        <v>139</v>
      </c>
      <c r="FH1" s="13">
        <f t="shared" si="2"/>
        <v>140</v>
      </c>
      <c r="FI1" s="13">
        <f t="shared" si="2"/>
        <v>141</v>
      </c>
      <c r="FJ1" s="13">
        <f t="shared" si="2"/>
        <v>142</v>
      </c>
      <c r="FK1" s="13">
        <f t="shared" si="2"/>
        <v>143</v>
      </c>
      <c r="FL1" s="13">
        <f t="shared" si="2"/>
        <v>144</v>
      </c>
      <c r="FM1" s="13">
        <f t="shared" si="2"/>
        <v>145</v>
      </c>
      <c r="FN1" s="13">
        <f t="shared" si="2"/>
        <v>146</v>
      </c>
      <c r="FO1" s="13">
        <f t="shared" si="2"/>
        <v>147</v>
      </c>
      <c r="FP1" s="13">
        <f t="shared" si="2"/>
        <v>148</v>
      </c>
      <c r="FQ1" s="13">
        <f t="shared" si="2"/>
        <v>149</v>
      </c>
      <c r="FR1" s="13">
        <f t="shared" si="2"/>
        <v>150</v>
      </c>
      <c r="FS1" s="13">
        <f t="shared" si="2"/>
        <v>151</v>
      </c>
      <c r="FT1" s="13">
        <f t="shared" si="2"/>
        <v>152</v>
      </c>
      <c r="FU1" s="13">
        <f t="shared" si="2"/>
        <v>153</v>
      </c>
      <c r="FV1" s="13">
        <f t="shared" si="2"/>
        <v>154</v>
      </c>
      <c r="FW1" s="13">
        <f t="shared" si="2"/>
        <v>155</v>
      </c>
      <c r="FX1" s="13">
        <f t="shared" si="2"/>
        <v>156</v>
      </c>
      <c r="FY1" s="13">
        <f t="shared" si="2"/>
        <v>157</v>
      </c>
      <c r="FZ1" s="13">
        <f t="shared" si="2"/>
        <v>158</v>
      </c>
      <c r="GA1" s="13">
        <f t="shared" si="2"/>
        <v>159</v>
      </c>
      <c r="GB1" s="13">
        <f t="shared" si="2"/>
        <v>160</v>
      </c>
      <c r="GC1" s="13">
        <f t="shared" si="2"/>
        <v>161</v>
      </c>
      <c r="GD1" s="13">
        <f t="shared" si="2"/>
        <v>162</v>
      </c>
      <c r="GE1" s="13">
        <f t="shared" si="2"/>
        <v>163</v>
      </c>
      <c r="GF1" s="13">
        <f t="shared" si="2"/>
        <v>164</v>
      </c>
      <c r="GG1" s="13">
        <f t="shared" ref="GG1:HL1" si="3">+GF1+1</f>
        <v>165</v>
      </c>
      <c r="GH1" s="13">
        <f t="shared" si="3"/>
        <v>166</v>
      </c>
      <c r="GI1" s="13">
        <f t="shared" si="3"/>
        <v>167</v>
      </c>
      <c r="GJ1" s="13">
        <f t="shared" si="3"/>
        <v>168</v>
      </c>
      <c r="GK1" s="13">
        <f t="shared" si="3"/>
        <v>169</v>
      </c>
      <c r="GL1" s="13">
        <f t="shared" si="3"/>
        <v>170</v>
      </c>
      <c r="GM1" s="13">
        <f t="shared" si="3"/>
        <v>171</v>
      </c>
      <c r="GN1" s="13">
        <f t="shared" si="3"/>
        <v>172</v>
      </c>
      <c r="GO1" s="13">
        <f t="shared" si="3"/>
        <v>173</v>
      </c>
      <c r="GP1" s="13">
        <f t="shared" si="3"/>
        <v>174</v>
      </c>
      <c r="GQ1" s="13">
        <f t="shared" si="3"/>
        <v>175</v>
      </c>
      <c r="GR1" s="13">
        <f t="shared" si="3"/>
        <v>176</v>
      </c>
      <c r="GS1" s="13">
        <f t="shared" si="3"/>
        <v>177</v>
      </c>
      <c r="GT1" s="13">
        <f t="shared" si="3"/>
        <v>178</v>
      </c>
      <c r="GU1" s="13">
        <f t="shared" si="3"/>
        <v>179</v>
      </c>
      <c r="GV1" s="13">
        <f t="shared" si="3"/>
        <v>180</v>
      </c>
      <c r="GW1" s="13">
        <f t="shared" si="3"/>
        <v>181</v>
      </c>
      <c r="GX1" s="13">
        <f t="shared" si="3"/>
        <v>182</v>
      </c>
      <c r="GY1" s="13">
        <f t="shared" si="3"/>
        <v>183</v>
      </c>
      <c r="GZ1" s="13">
        <f t="shared" si="3"/>
        <v>184</v>
      </c>
      <c r="HA1" s="13">
        <f t="shared" si="3"/>
        <v>185</v>
      </c>
      <c r="HB1" s="13">
        <f t="shared" si="3"/>
        <v>186</v>
      </c>
      <c r="HC1" s="13">
        <f t="shared" si="3"/>
        <v>187</v>
      </c>
      <c r="HD1" s="13">
        <f t="shared" si="3"/>
        <v>188</v>
      </c>
      <c r="HE1" s="13">
        <f t="shared" si="3"/>
        <v>189</v>
      </c>
      <c r="HF1" s="13">
        <f t="shared" si="3"/>
        <v>190</v>
      </c>
      <c r="HG1" s="13">
        <f t="shared" si="3"/>
        <v>191</v>
      </c>
      <c r="HH1" s="13">
        <f t="shared" si="3"/>
        <v>192</v>
      </c>
      <c r="HI1" s="13">
        <f t="shared" si="3"/>
        <v>193</v>
      </c>
      <c r="HJ1" s="13">
        <f t="shared" si="3"/>
        <v>194</v>
      </c>
      <c r="HK1" s="13">
        <f t="shared" si="3"/>
        <v>195</v>
      </c>
      <c r="HL1" s="13">
        <f t="shared" si="3"/>
        <v>196</v>
      </c>
      <c r="HM1" s="13">
        <f t="shared" ref="HM1:HP1" si="4">+HL1+1</f>
        <v>197</v>
      </c>
      <c r="HN1" s="13">
        <f t="shared" si="4"/>
        <v>198</v>
      </c>
      <c r="HO1" s="13">
        <f t="shared" si="4"/>
        <v>199</v>
      </c>
      <c r="HP1" s="13">
        <f t="shared" si="4"/>
        <v>200</v>
      </c>
    </row>
    <row r="2" spans="2:224" s="15" customFormat="1">
      <c r="B2" s="14" t="s">
        <v>54</v>
      </c>
    </row>
    <row r="3" spans="2:224" s="16" customFormat="1">
      <c r="C3" s="16" t="s">
        <v>9</v>
      </c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14</v>
      </c>
      <c r="I3" s="16" t="s">
        <v>39</v>
      </c>
      <c r="J3" s="16" t="s">
        <v>40</v>
      </c>
      <c r="K3" s="16" t="s">
        <v>41</v>
      </c>
      <c r="L3" s="16" t="s">
        <v>42</v>
      </c>
      <c r="M3" s="16" t="s">
        <v>43</v>
      </c>
      <c r="N3" s="16" t="s">
        <v>44</v>
      </c>
      <c r="O3" s="16" t="s">
        <v>61</v>
      </c>
      <c r="P3" s="16" t="s">
        <v>62</v>
      </c>
      <c r="Q3" s="16" t="s">
        <v>63</v>
      </c>
      <c r="R3" s="16" t="s">
        <v>64</v>
      </c>
      <c r="U3" s="16">
        <v>2021</v>
      </c>
      <c r="V3" s="16">
        <v>2022</v>
      </c>
      <c r="W3" s="16">
        <f>+V3+1</f>
        <v>2023</v>
      </c>
      <c r="X3" s="16">
        <f>+W3+1</f>
        <v>2024</v>
      </c>
      <c r="Y3" s="16">
        <f>+X3+1</f>
        <v>2025</v>
      </c>
      <c r="Z3" s="16">
        <f>+Y3+1</f>
        <v>2026</v>
      </c>
      <c r="AA3" s="16">
        <f>+Z3+1</f>
        <v>2027</v>
      </c>
      <c r="AB3" s="16">
        <f t="shared" ref="AB3:AH3" si="5">+AA3+1</f>
        <v>2028</v>
      </c>
      <c r="AC3" s="16">
        <f t="shared" si="5"/>
        <v>2029</v>
      </c>
      <c r="AD3" s="16">
        <f t="shared" si="5"/>
        <v>2030</v>
      </c>
      <c r="AE3" s="16">
        <f t="shared" si="5"/>
        <v>2031</v>
      </c>
      <c r="AF3" s="16">
        <f t="shared" si="5"/>
        <v>2032</v>
      </c>
      <c r="AG3" s="16">
        <f t="shared" si="5"/>
        <v>2033</v>
      </c>
      <c r="AH3" s="16">
        <f t="shared" si="5"/>
        <v>2034</v>
      </c>
    </row>
    <row r="4" spans="2:224" s="16" customFormat="1">
      <c r="B4" s="17" t="s">
        <v>65</v>
      </c>
    </row>
    <row r="5" spans="2:224" s="16" customFormat="1"/>
    <row r="6" spans="2:224" s="16" customFormat="1"/>
    <row r="7" spans="2:224">
      <c r="B7" s="13" t="s">
        <v>31</v>
      </c>
      <c r="C7" s="18">
        <v>138310</v>
      </c>
      <c r="D7" s="18">
        <v>141048</v>
      </c>
      <c r="E7" s="18">
        <v>140525</v>
      </c>
      <c r="F7" s="18">
        <v>152871</v>
      </c>
      <c r="G7" s="18">
        <v>141569</v>
      </c>
      <c r="H7" s="18">
        <v>152859</v>
      </c>
      <c r="I7" s="18">
        <v>152813</v>
      </c>
      <c r="J7" s="18">
        <v>164048</v>
      </c>
      <c r="K7" s="18">
        <v>152301</v>
      </c>
      <c r="L7" s="18">
        <v>161632</v>
      </c>
      <c r="M7" s="18">
        <v>160804</v>
      </c>
      <c r="N7" s="18">
        <v>173388</v>
      </c>
      <c r="O7" s="18">
        <v>161508</v>
      </c>
      <c r="P7" s="18"/>
      <c r="Q7" s="18"/>
      <c r="R7" s="18"/>
      <c r="S7" s="18"/>
      <c r="U7" s="13">
        <v>559151</v>
      </c>
      <c r="V7" s="13">
        <f>SUM(C7:F7)</f>
        <v>572754</v>
      </c>
      <c r="W7" s="13">
        <f>SUM(G7:J7)</f>
        <v>611289</v>
      </c>
      <c r="X7" s="13">
        <f>SUM(K7:N7)</f>
        <v>648125</v>
      </c>
      <c r="Y7" s="13">
        <f>+X7*(1+7%)</f>
        <v>693493.75</v>
      </c>
      <c r="Z7" s="13">
        <f t="shared" ref="Z7:AH7" si="6">+Y7*(1+7%)</f>
        <v>742038.3125</v>
      </c>
      <c r="AA7" s="13">
        <f t="shared" si="6"/>
        <v>793980.99437500001</v>
      </c>
      <c r="AB7" s="13">
        <f t="shared" si="6"/>
        <v>849559.66398125002</v>
      </c>
      <c r="AC7" s="13">
        <f t="shared" si="6"/>
        <v>909028.84045993758</v>
      </c>
      <c r="AD7" s="13">
        <f t="shared" si="6"/>
        <v>972660.85929213325</v>
      </c>
      <c r="AE7" s="13">
        <f t="shared" si="6"/>
        <v>1040747.1194425826</v>
      </c>
      <c r="AF7" s="13">
        <f t="shared" si="6"/>
        <v>1113599.4178035634</v>
      </c>
      <c r="AG7" s="13">
        <f t="shared" si="6"/>
        <v>1191551.3770498128</v>
      </c>
      <c r="AH7" s="13">
        <f t="shared" si="6"/>
        <v>1274959.9734432998</v>
      </c>
    </row>
    <row r="8" spans="2:224">
      <c r="B8" s="13" t="s">
        <v>32</v>
      </c>
      <c r="C8" s="18">
        <v>103272</v>
      </c>
      <c r="D8" s="18">
        <v>105183</v>
      </c>
      <c r="E8" s="18">
        <v>105023</v>
      </c>
      <c r="F8" s="18">
        <v>115522</v>
      </c>
      <c r="G8" s="18">
        <v>106847</v>
      </c>
      <c r="H8" s="18">
        <v>115838</v>
      </c>
      <c r="I8" s="18">
        <v>115613</v>
      </c>
      <c r="J8" s="18">
        <v>125423</v>
      </c>
      <c r="K8" s="18">
        <v>115284</v>
      </c>
      <c r="L8" s="18">
        <v>121850</v>
      </c>
      <c r="M8" s="18">
        <v>121183</v>
      </c>
      <c r="N8" s="18">
        <v>131825</v>
      </c>
      <c r="O8" s="18">
        <v>121431</v>
      </c>
      <c r="P8" s="18"/>
      <c r="Q8" s="18"/>
      <c r="R8" s="18"/>
      <c r="S8" s="18"/>
      <c r="U8" s="13">
        <v>420315</v>
      </c>
      <c r="V8" s="13">
        <f>SUM(C8:F8)</f>
        <v>429000</v>
      </c>
      <c r="W8" s="13">
        <f t="shared" ref="W8:W15" si="7">SUM(G8:J8)</f>
        <v>463721</v>
      </c>
      <c r="X8" s="13">
        <f t="shared" ref="X8:X15" si="8">SUM(K8:N8)</f>
        <v>490142</v>
      </c>
      <c r="Y8" s="13">
        <f>+Y7*(X8/X7)</f>
        <v>524451.93999999994</v>
      </c>
      <c r="Z8" s="13">
        <f t="shared" ref="Z8:AH8" si="9">+Z7*(Y8/Y7)</f>
        <v>561163.57579999988</v>
      </c>
      <c r="AA8" s="13">
        <f t="shared" si="9"/>
        <v>600445.02610599995</v>
      </c>
      <c r="AB8" s="13">
        <f t="shared" si="9"/>
        <v>642476.17793342005</v>
      </c>
      <c r="AC8" s="13">
        <f t="shared" si="9"/>
        <v>687449.51038875955</v>
      </c>
      <c r="AD8" s="13">
        <f t="shared" si="9"/>
        <v>735570.97611597273</v>
      </c>
      <c r="AE8" s="13">
        <f t="shared" si="9"/>
        <v>787060.94444409083</v>
      </c>
      <c r="AF8" s="13">
        <f t="shared" si="9"/>
        <v>842155.21055517718</v>
      </c>
      <c r="AG8" s="13">
        <f t="shared" si="9"/>
        <v>901106.07529403956</v>
      </c>
      <c r="AH8" s="13">
        <f t="shared" si="9"/>
        <v>964183.50056462246</v>
      </c>
    </row>
    <row r="9" spans="2:224">
      <c r="B9" s="13" t="s">
        <v>33</v>
      </c>
      <c r="C9" s="18">
        <f>+C7-C8</f>
        <v>35038</v>
      </c>
      <c r="D9" s="18">
        <f t="shared" ref="D9:O9" si="10">+D7-D8</f>
        <v>35865</v>
      </c>
      <c r="E9" s="18">
        <f t="shared" si="10"/>
        <v>35502</v>
      </c>
      <c r="F9" s="18">
        <f t="shared" si="10"/>
        <v>37349</v>
      </c>
      <c r="G9" s="18">
        <f t="shared" si="10"/>
        <v>34722</v>
      </c>
      <c r="H9" s="18">
        <f t="shared" si="10"/>
        <v>37021</v>
      </c>
      <c r="I9" s="18">
        <f t="shared" si="10"/>
        <v>37200</v>
      </c>
      <c r="J9" s="18">
        <f t="shared" si="10"/>
        <v>38625</v>
      </c>
      <c r="K9" s="18">
        <f t="shared" si="10"/>
        <v>37017</v>
      </c>
      <c r="L9" s="18">
        <f t="shared" si="10"/>
        <v>39782</v>
      </c>
      <c r="M9" s="18">
        <f t="shared" si="10"/>
        <v>39621</v>
      </c>
      <c r="N9" s="18">
        <f t="shared" si="10"/>
        <v>41563</v>
      </c>
      <c r="O9" s="18">
        <f t="shared" si="10"/>
        <v>40077</v>
      </c>
      <c r="P9" s="18"/>
      <c r="Q9" s="18"/>
      <c r="R9" s="18"/>
      <c r="S9" s="18"/>
      <c r="U9" s="18">
        <f>+U7-U8</f>
        <v>138836</v>
      </c>
      <c r="V9" s="13">
        <f t="shared" ref="V9:V15" si="11">SUM(C9:F9)</f>
        <v>143754</v>
      </c>
      <c r="W9" s="13">
        <f t="shared" si="7"/>
        <v>147568</v>
      </c>
      <c r="X9" s="13">
        <f t="shared" si="8"/>
        <v>157983</v>
      </c>
      <c r="Y9" s="13">
        <f>+Y7-Y8</f>
        <v>169041.81000000006</v>
      </c>
      <c r="Z9" s="13">
        <f t="shared" ref="Z9:AH9" si="12">+Z7-Z8</f>
        <v>180874.73670000012</v>
      </c>
      <c r="AA9" s="13">
        <f t="shared" si="12"/>
        <v>193535.96826900006</v>
      </c>
      <c r="AB9" s="13">
        <f t="shared" si="12"/>
        <v>207083.48604782997</v>
      </c>
      <c r="AC9" s="13">
        <f t="shared" si="12"/>
        <v>221579.33007117803</v>
      </c>
      <c r="AD9" s="13">
        <f t="shared" si="12"/>
        <v>237089.88317616051</v>
      </c>
      <c r="AE9" s="13">
        <f t="shared" si="12"/>
        <v>253686.17499849177</v>
      </c>
      <c r="AF9" s="13">
        <f t="shared" si="12"/>
        <v>271444.20724838623</v>
      </c>
      <c r="AG9" s="13">
        <f t="shared" si="12"/>
        <v>290445.30175577325</v>
      </c>
      <c r="AH9" s="13">
        <f t="shared" si="12"/>
        <v>310776.4728786773</v>
      </c>
    </row>
    <row r="10" spans="2:224">
      <c r="B10" s="13" t="s">
        <v>34</v>
      </c>
      <c r="C10" s="18">
        <v>28129</v>
      </c>
      <c r="D10" s="18">
        <v>28511</v>
      </c>
      <c r="E10" s="18">
        <v>29710</v>
      </c>
      <c r="F10" s="18">
        <v>31462</v>
      </c>
      <c r="G10" s="18">
        <v>29404</v>
      </c>
      <c r="H10" s="18">
        <v>30167</v>
      </c>
      <c r="I10" s="18">
        <v>34505</v>
      </c>
      <c r="J10" s="18">
        <v>33064</v>
      </c>
      <c r="K10" s="18">
        <v>30777</v>
      </c>
      <c r="L10" s="18">
        <v>32466</v>
      </c>
      <c r="M10" s="18">
        <v>33419</v>
      </c>
      <c r="N10" s="18">
        <v>34309</v>
      </c>
      <c r="O10" s="18">
        <v>33236</v>
      </c>
      <c r="P10" s="18"/>
      <c r="Q10" s="18"/>
      <c r="R10" s="18"/>
      <c r="S10" s="18"/>
      <c r="U10" s="13">
        <v>116288</v>
      </c>
      <c r="V10" s="13">
        <f t="shared" si="11"/>
        <v>117812</v>
      </c>
      <c r="W10" s="13">
        <f t="shared" si="7"/>
        <v>127140</v>
      </c>
      <c r="X10" s="13">
        <f t="shared" si="8"/>
        <v>130971</v>
      </c>
      <c r="Y10" s="13">
        <f>+Y7*(X10/X7)</f>
        <v>140138.97</v>
      </c>
      <c r="Z10" s="13">
        <f t="shared" ref="Z10:AH10" si="13">+Z7*(Y10/Y7)</f>
        <v>149948.6979</v>
      </c>
      <c r="AA10" s="13">
        <f t="shared" si="13"/>
        <v>160445.106753</v>
      </c>
      <c r="AB10" s="13">
        <f t="shared" si="13"/>
        <v>171676.26422571001</v>
      </c>
      <c r="AC10" s="13">
        <f t="shared" si="13"/>
        <v>183693.60272150973</v>
      </c>
      <c r="AD10" s="13">
        <f t="shared" si="13"/>
        <v>196552.15491201542</v>
      </c>
      <c r="AE10" s="13">
        <f t="shared" si="13"/>
        <v>210310.80575585653</v>
      </c>
      <c r="AF10" s="13">
        <f t="shared" si="13"/>
        <v>225032.56215876649</v>
      </c>
      <c r="AG10" s="13">
        <f t="shared" si="13"/>
        <v>240784.84150988012</v>
      </c>
      <c r="AH10" s="13">
        <f t="shared" si="13"/>
        <v>257639.78041557176</v>
      </c>
    </row>
    <row r="11" spans="2:224">
      <c r="B11" s="13" t="s">
        <v>35</v>
      </c>
      <c r="C11" s="18">
        <f>+C9-SUM(C10:C10)</f>
        <v>6909</v>
      </c>
      <c r="D11" s="18">
        <f>+D9-SUM(D10:D10)</f>
        <v>7354</v>
      </c>
      <c r="E11" s="18">
        <f>+E9-SUM(E10:E10)</f>
        <v>5792</v>
      </c>
      <c r="F11" s="18">
        <f>+F9-SUM(F10:F10)</f>
        <v>5887</v>
      </c>
      <c r="G11" s="18">
        <f>+G9-SUM(G10:G10)</f>
        <v>5318</v>
      </c>
      <c r="H11" s="18">
        <f>+H9-SUM(H10:H10)</f>
        <v>6854</v>
      </c>
      <c r="I11" s="18">
        <f>+I9-SUM(I10:I10)</f>
        <v>2695</v>
      </c>
      <c r="J11" s="18">
        <f>+J9-SUM(J10:J10)</f>
        <v>5561</v>
      </c>
      <c r="K11" s="18">
        <f>+K9-SUM(K10:K10)</f>
        <v>6240</v>
      </c>
      <c r="L11" s="18">
        <f>+L9-SUM(L10:L10)</f>
        <v>7316</v>
      </c>
      <c r="M11" s="18">
        <f>+M9-SUM(M10:M10)</f>
        <v>6202</v>
      </c>
      <c r="N11" s="18">
        <f>+N9-SUM(N10:N10)</f>
        <v>7254</v>
      </c>
      <c r="O11" s="18">
        <f>+O9-SUM(O10:O10)</f>
        <v>6841</v>
      </c>
      <c r="P11" s="18"/>
      <c r="Q11" s="18"/>
      <c r="R11" s="18"/>
      <c r="S11" s="18"/>
      <c r="U11" s="18">
        <f>+U9-SUM(U10:U10)</f>
        <v>22548</v>
      </c>
      <c r="V11" s="13">
        <f t="shared" si="11"/>
        <v>25942</v>
      </c>
      <c r="W11" s="13">
        <f t="shared" si="7"/>
        <v>20428</v>
      </c>
      <c r="X11" s="13">
        <f t="shared" si="8"/>
        <v>27012</v>
      </c>
      <c r="Y11" s="18">
        <f>+Y9-SUM(Y10:Y10)</f>
        <v>28902.840000000055</v>
      </c>
      <c r="Z11" s="18">
        <f>+Z9-SUM(Z10:Z10)</f>
        <v>30926.038800000126</v>
      </c>
      <c r="AA11" s="18">
        <f>+AA9-SUM(AA10:AA10)</f>
        <v>33090.861516000063</v>
      </c>
      <c r="AB11" s="18">
        <f>+AB9-SUM(AB10:AB10)</f>
        <v>35407.221822119958</v>
      </c>
      <c r="AC11" s="18">
        <f>+AC9-SUM(AC10:AC10)</f>
        <v>37885.727349668305</v>
      </c>
      <c r="AD11" s="18">
        <f>+AD9-SUM(AD10:AD10)</f>
        <v>40537.728264145087</v>
      </c>
      <c r="AE11" s="18">
        <f>+AE9-SUM(AE10:AE10)</f>
        <v>43375.369242635235</v>
      </c>
      <c r="AF11" s="18">
        <f>+AF9-SUM(AF10:AF10)</f>
        <v>46411.645089619735</v>
      </c>
      <c r="AG11" s="18">
        <f>+AG9-SUM(AG10:AG10)</f>
        <v>49660.460245893133</v>
      </c>
      <c r="AH11" s="18">
        <f>+AH9-SUM(AH10:AH10)</f>
        <v>53136.692463105544</v>
      </c>
    </row>
    <row r="12" spans="2:224">
      <c r="B12" s="13" t="s">
        <v>36</v>
      </c>
      <c r="C12" s="18">
        <v>-3065</v>
      </c>
      <c r="D12" s="18">
        <v>-1431</v>
      </c>
      <c r="E12" s="18">
        <v>-1645</v>
      </c>
      <c r="F12" s="18">
        <v>-1105</v>
      </c>
      <c r="G12" s="18">
        <v>-2417</v>
      </c>
      <c r="H12" s="18">
        <v>-210</v>
      </c>
      <c r="I12" s="18">
        <v>-4126</v>
      </c>
      <c r="J12" s="18">
        <v>3341</v>
      </c>
      <c r="K12" s="18">
        <v>-3552</v>
      </c>
      <c r="L12" s="18">
        <v>3411</v>
      </c>
      <c r="M12" s="18">
        <v>-5287</v>
      </c>
      <c r="N12" s="18">
        <v>264</v>
      </c>
      <c r="O12" s="18">
        <v>194</v>
      </c>
      <c r="P12" s="18"/>
      <c r="Q12" s="18"/>
      <c r="R12" s="18"/>
      <c r="S12" s="18"/>
      <c r="U12" s="13">
        <v>-1984</v>
      </c>
      <c r="V12" s="13">
        <f t="shared" si="11"/>
        <v>-7246</v>
      </c>
      <c r="W12" s="13">
        <f t="shared" si="7"/>
        <v>-3412</v>
      </c>
      <c r="X12" s="13">
        <f t="shared" si="8"/>
        <v>-5164</v>
      </c>
      <c r="Y12" s="13">
        <f>+Y11*(X12/X11)</f>
        <v>-5525.4800000000105</v>
      </c>
      <c r="Z12" s="13">
        <f t="shared" ref="Z12:AH12" si="14">+Z11*(Y12/Y11)</f>
        <v>-5912.2636000000248</v>
      </c>
      <c r="AA12" s="13">
        <f t="shared" si="14"/>
        <v>-6326.1220520000124</v>
      </c>
      <c r="AB12" s="13">
        <f t="shared" si="14"/>
        <v>-6768.9505956399926</v>
      </c>
      <c r="AC12" s="13">
        <f t="shared" si="14"/>
        <v>-7242.7771373347823</v>
      </c>
      <c r="AD12" s="13">
        <f t="shared" si="14"/>
        <v>-7749.7715369482175</v>
      </c>
      <c r="AE12" s="13">
        <f t="shared" si="14"/>
        <v>-8292.2555445345915</v>
      </c>
      <c r="AF12" s="13">
        <f t="shared" si="14"/>
        <v>-8872.713432652019</v>
      </c>
      <c r="AG12" s="13">
        <f t="shared" si="14"/>
        <v>-9493.8033729376639</v>
      </c>
      <c r="AH12" s="13">
        <f t="shared" si="14"/>
        <v>-10158.36960904328</v>
      </c>
    </row>
    <row r="13" spans="2:224">
      <c r="B13" s="13" t="s">
        <v>37</v>
      </c>
      <c r="C13" s="18">
        <f t="shared" ref="C13:K13" si="15">SUM(C11:C12)</f>
        <v>3844</v>
      </c>
      <c r="D13" s="18">
        <f t="shared" si="15"/>
        <v>5923</v>
      </c>
      <c r="E13" s="18">
        <f t="shared" si="15"/>
        <v>4147</v>
      </c>
      <c r="F13" s="18">
        <f t="shared" si="15"/>
        <v>4782</v>
      </c>
      <c r="G13" s="18">
        <f t="shared" si="15"/>
        <v>2901</v>
      </c>
      <c r="H13" s="18">
        <f t="shared" si="15"/>
        <v>6644</v>
      </c>
      <c r="I13" s="18">
        <f t="shared" si="15"/>
        <v>-1431</v>
      </c>
      <c r="J13" s="18">
        <f t="shared" si="15"/>
        <v>8902</v>
      </c>
      <c r="K13" s="18">
        <f t="shared" si="15"/>
        <v>2688</v>
      </c>
      <c r="L13" s="18">
        <f>SUM(L11:L12)</f>
        <v>10727</v>
      </c>
      <c r="M13" s="18">
        <f>SUM(M11:M12)</f>
        <v>915</v>
      </c>
      <c r="N13" s="18">
        <f>SUM(N11:N12)</f>
        <v>7518</v>
      </c>
      <c r="O13" s="18">
        <f>SUM(O11:O12)</f>
        <v>7035</v>
      </c>
      <c r="P13" s="18"/>
      <c r="Q13" s="18"/>
      <c r="R13" s="18"/>
      <c r="S13" s="18"/>
      <c r="U13" s="18">
        <f>SUM(U11:U12)</f>
        <v>20564</v>
      </c>
      <c r="V13" s="13">
        <f t="shared" si="11"/>
        <v>18696</v>
      </c>
      <c r="W13" s="13">
        <f t="shared" si="7"/>
        <v>17016</v>
      </c>
      <c r="X13" s="13">
        <f t="shared" si="8"/>
        <v>21848</v>
      </c>
      <c r="Y13" s="18">
        <f>SUM(Y11:Y12)</f>
        <v>23377.360000000044</v>
      </c>
      <c r="Z13" s="18">
        <f t="shared" ref="Z13:AH13" si="16">SUM(Z11:Z12)</f>
        <v>25013.775200000102</v>
      </c>
      <c r="AA13" s="18">
        <f t="shared" si="16"/>
        <v>26764.739464000049</v>
      </c>
      <c r="AB13" s="18">
        <f t="shared" si="16"/>
        <v>28638.271226479967</v>
      </c>
      <c r="AC13" s="18">
        <f t="shared" si="16"/>
        <v>30642.950212333522</v>
      </c>
      <c r="AD13" s="18">
        <f t="shared" si="16"/>
        <v>32787.95672719687</v>
      </c>
      <c r="AE13" s="18">
        <f t="shared" si="16"/>
        <v>35083.113698100642</v>
      </c>
      <c r="AF13" s="18">
        <f t="shared" si="16"/>
        <v>37538.931656967718</v>
      </c>
      <c r="AG13" s="18">
        <f t="shared" si="16"/>
        <v>40166.656872955471</v>
      </c>
      <c r="AH13" s="18">
        <f t="shared" si="16"/>
        <v>42978.322854062266</v>
      </c>
    </row>
    <row r="14" spans="2:224">
      <c r="B14" s="13" t="s">
        <v>15</v>
      </c>
      <c r="C14" s="18">
        <v>1033</v>
      </c>
      <c r="D14" s="18">
        <v>1559</v>
      </c>
      <c r="E14" s="18">
        <v>1015</v>
      </c>
      <c r="F14" s="18">
        <v>1149</v>
      </c>
      <c r="G14" s="18">
        <v>798</v>
      </c>
      <c r="H14" s="18">
        <v>1497</v>
      </c>
      <c r="I14" s="18">
        <v>336</v>
      </c>
      <c r="J14" s="18">
        <v>3093</v>
      </c>
      <c r="K14" s="18">
        <v>792</v>
      </c>
      <c r="L14" s="18">
        <v>2674</v>
      </c>
      <c r="M14" s="18">
        <v>272</v>
      </c>
      <c r="N14" s="18">
        <v>1840</v>
      </c>
      <c r="O14" s="18">
        <v>1728</v>
      </c>
      <c r="P14" s="18"/>
      <c r="Q14" s="18"/>
      <c r="R14" s="18"/>
      <c r="S14" s="18"/>
      <c r="U14" s="13">
        <v>6858</v>
      </c>
      <c r="V14" s="13">
        <f t="shared" si="11"/>
        <v>4756</v>
      </c>
      <c r="W14" s="13">
        <f t="shared" si="7"/>
        <v>5724</v>
      </c>
      <c r="X14" s="13">
        <f t="shared" si="8"/>
        <v>5578</v>
      </c>
      <c r="Y14" s="13">
        <f>+Y13*(X14/X13)</f>
        <v>5968.460000000011</v>
      </c>
      <c r="Z14" s="13">
        <f t="shared" ref="Z14:AH14" si="17">+Z13*(Y14/Y13)</f>
        <v>6386.2522000000263</v>
      </c>
      <c r="AA14" s="13">
        <f t="shared" si="17"/>
        <v>6833.2898540000124</v>
      </c>
      <c r="AB14" s="13">
        <f t="shared" si="17"/>
        <v>7311.6201437799918</v>
      </c>
      <c r="AC14" s="13">
        <f t="shared" si="17"/>
        <v>7823.4335538445803</v>
      </c>
      <c r="AD14" s="13">
        <f t="shared" si="17"/>
        <v>8371.0739026137016</v>
      </c>
      <c r="AE14" s="13">
        <f t="shared" si="17"/>
        <v>8957.0490757966581</v>
      </c>
      <c r="AF14" s="13">
        <f t="shared" si="17"/>
        <v>9584.0425111024324</v>
      </c>
      <c r="AG14" s="13">
        <f t="shared" si="17"/>
        <v>10254.925486879605</v>
      </c>
      <c r="AH14" s="13">
        <f t="shared" si="17"/>
        <v>10972.770270961155</v>
      </c>
    </row>
    <row r="15" spans="2:224" s="19" customFormat="1">
      <c r="B15" s="19" t="s">
        <v>38</v>
      </c>
      <c r="C15" s="20">
        <f t="shared" ref="C15:H15" si="18">+C13-C14</f>
        <v>2811</v>
      </c>
      <c r="D15" s="20">
        <f t="shared" si="18"/>
        <v>4364</v>
      </c>
      <c r="E15" s="20">
        <f t="shared" si="18"/>
        <v>3132</v>
      </c>
      <c r="F15" s="20">
        <f t="shared" si="18"/>
        <v>3633</v>
      </c>
      <c r="G15" s="20">
        <f t="shared" si="18"/>
        <v>2103</v>
      </c>
      <c r="H15" s="20">
        <f t="shared" si="18"/>
        <v>5147</v>
      </c>
      <c r="I15" s="20">
        <f t="shared" ref="I15" si="19">+I13-I14</f>
        <v>-1767</v>
      </c>
      <c r="J15" s="20">
        <f t="shared" ref="J15" si="20">+J13-J14</f>
        <v>5809</v>
      </c>
      <c r="K15" s="20">
        <f t="shared" ref="K15" si="21">+K13-K14</f>
        <v>1896</v>
      </c>
      <c r="L15" s="20">
        <f t="shared" ref="L15" si="22">+L13-L14</f>
        <v>8053</v>
      </c>
      <c r="M15" s="20">
        <f t="shared" ref="M15" si="23">+M13-M14</f>
        <v>643</v>
      </c>
      <c r="N15" s="20">
        <f t="shared" ref="N15:U15" si="24">+N13-N14</f>
        <v>5678</v>
      </c>
      <c r="O15" s="20">
        <f t="shared" si="24"/>
        <v>5307</v>
      </c>
      <c r="P15" s="20"/>
      <c r="Q15" s="20"/>
      <c r="R15" s="20"/>
      <c r="S15" s="20"/>
      <c r="U15" s="20">
        <f t="shared" si="24"/>
        <v>13706</v>
      </c>
      <c r="V15" s="19">
        <f t="shared" si="11"/>
        <v>13940</v>
      </c>
      <c r="W15" s="19">
        <f t="shared" si="7"/>
        <v>11292</v>
      </c>
      <c r="X15" s="19">
        <f t="shared" si="8"/>
        <v>16270</v>
      </c>
      <c r="Y15" s="20">
        <f t="shared" ref="Y15" si="25">+Y13-Y14</f>
        <v>17408.900000000034</v>
      </c>
      <c r="Z15" s="20">
        <f t="shared" ref="Z15" si="26">+Z13-Z14</f>
        <v>18627.523000000074</v>
      </c>
      <c r="AA15" s="20">
        <f t="shared" ref="AA15" si="27">+AA13-AA14</f>
        <v>19931.449610000036</v>
      </c>
      <c r="AB15" s="20">
        <f t="shared" ref="AB15" si="28">+AB13-AB14</f>
        <v>21326.651082699973</v>
      </c>
      <c r="AC15" s="20">
        <f t="shared" ref="AC15" si="29">+AC13-AC14</f>
        <v>22819.516658488941</v>
      </c>
      <c r="AD15" s="20">
        <f t="shared" ref="AD15" si="30">+AD13-AD14</f>
        <v>24416.882824583168</v>
      </c>
      <c r="AE15" s="20">
        <f t="shared" ref="AE15" si="31">+AE13-AE14</f>
        <v>26126.064622303984</v>
      </c>
      <c r="AF15" s="20">
        <f t="shared" ref="AF15" si="32">+AF13-AF14</f>
        <v>27954.889145865287</v>
      </c>
      <c r="AG15" s="20">
        <f t="shared" ref="AG15" si="33">+AG13-AG14</f>
        <v>29911.731386075866</v>
      </c>
      <c r="AH15" s="20">
        <f t="shared" ref="AH15" si="34">+AH13-AH14</f>
        <v>32005.552583101111</v>
      </c>
      <c r="AI15" s="19">
        <f>+AH15*(1+$AL$18)</f>
        <v>32325.608108932123</v>
      </c>
      <c r="AJ15" s="19">
        <f>+AI15*(1+$AL$18)</f>
        <v>32648.864190021446</v>
      </c>
      <c r="AK15" s="19">
        <f>+AJ15*(1+$AL$18)</f>
        <v>32975.352831921664</v>
      </c>
      <c r="AL15" s="19">
        <f>+AK15*(1+$AL$18)</f>
        <v>33305.106360240883</v>
      </c>
      <c r="AM15" s="19">
        <f>+AL15*(1+$AL$18)</f>
        <v>33638.157423843295</v>
      </c>
      <c r="AN15" s="19">
        <f>+AM15*(1+$AL$18)</f>
        <v>33974.538998081727</v>
      </c>
      <c r="AO15" s="19">
        <f>+AN15*(1+$AL$18)</f>
        <v>34314.284388062544</v>
      </c>
      <c r="AP15" s="19">
        <f>+AO15*(1+$AL$18)</f>
        <v>34657.427231943169</v>
      </c>
      <c r="AQ15" s="19">
        <f>+AP15*(1+$AL$18)</f>
        <v>35004.001504262604</v>
      </c>
      <c r="AR15" s="19">
        <f>+AQ15*(1+$AL$18)</f>
        <v>35354.041519305232</v>
      </c>
      <c r="AS15" s="19">
        <f>+AR15*(1+$AL$18)</f>
        <v>35707.581934498288</v>
      </c>
      <c r="AT15" s="19">
        <f>+AS15*(1+$AL$18)</f>
        <v>36064.657753843268</v>
      </c>
      <c r="AU15" s="19">
        <f>+AT15*(1+$AL$18)</f>
        <v>36425.304331381703</v>
      </c>
      <c r="AV15" s="19">
        <f>+AU15*(1+$AL$18)</f>
        <v>36789.55737469552</v>
      </c>
      <c r="AW15" s="19">
        <f>+AV15*(1+$AL$18)</f>
        <v>37157.452948442478</v>
      </c>
      <c r="AX15" s="19">
        <f>+AW15*(1+$AL$18)</f>
        <v>37529.027477926902</v>
      </c>
      <c r="AY15" s="19">
        <f>+AX15*(1+$AL$18)</f>
        <v>37904.317752706171</v>
      </c>
      <c r="AZ15" s="19">
        <f>+AY15*(1+$AL$18)</f>
        <v>38283.360930233233</v>
      </c>
      <c r="BA15" s="19">
        <f>+AZ15*(1+$AL$18)</f>
        <v>38666.194539535565</v>
      </c>
      <c r="BB15" s="19">
        <f>+BA15*(1+$AL$18)</f>
        <v>39052.856484930919</v>
      </c>
      <c r="BC15" s="19">
        <f>+BB15*(1+$AL$18)</f>
        <v>39443.385049780227</v>
      </c>
      <c r="BD15" s="19">
        <f>+BC15*(1+$AL$18)</f>
        <v>39837.818900278027</v>
      </c>
      <c r="BE15" s="19">
        <f>+BD15*(1+$AL$18)</f>
        <v>40236.197089280809</v>
      </c>
      <c r="BF15" s="19">
        <f>+BE15*(1+$AL$18)</f>
        <v>40638.559060173618</v>
      </c>
      <c r="BG15" s="19">
        <f>+BF15*(1+$AL$18)</f>
        <v>41044.944650775353</v>
      </c>
      <c r="BH15" s="19">
        <f>+BG15*(1+$AL$18)</f>
        <v>41455.394097283104</v>
      </c>
      <c r="BI15" s="19">
        <f>+BH15*(1+$AL$18)</f>
        <v>41869.948038255934</v>
      </c>
      <c r="BJ15" s="19">
        <f>+BI15*(1+$AL$18)</f>
        <v>42288.647518638492</v>
      </c>
      <c r="BK15" s="19">
        <f>+BJ15*(1+$AL$18)</f>
        <v>42711.53399382488</v>
      </c>
      <c r="BL15" s="19">
        <f>+BK15*(1+$AL$18)</f>
        <v>43138.649333763125</v>
      </c>
      <c r="BM15" s="19">
        <f>+BL15*(1+$AL$18)</f>
        <v>43570.035827100757</v>
      </c>
      <c r="BN15" s="19">
        <f>+BM15*(1+$AL$18)</f>
        <v>44005.736185371767</v>
      </c>
      <c r="BO15" s="19">
        <f>+BN15*(1+$AL$18)</f>
        <v>44445.793547225483</v>
      </c>
      <c r="BP15" s="19">
        <f>+BO15*(1+$AL$18)</f>
        <v>44890.251482697735</v>
      </c>
      <c r="BQ15" s="19">
        <f>+BP15*(1+$AL$18)</f>
        <v>45339.153997524714</v>
      </c>
      <c r="BR15" s="19">
        <f>+BQ15*(1+$AL$18)</f>
        <v>45792.545537499958</v>
      </c>
      <c r="BS15" s="19">
        <f>+BR15*(1+$AL$18)</f>
        <v>46250.470992874958</v>
      </c>
      <c r="BT15" s="19">
        <f>+BS15*(1+$AL$18)</f>
        <v>46712.975702803706</v>
      </c>
      <c r="BU15" s="19">
        <f>+BT15*(1+$AL$18)</f>
        <v>47180.105459831742</v>
      </c>
      <c r="BV15" s="19">
        <f>+BU15*(1+$AL$18)</f>
        <v>47651.906514430062</v>
      </c>
      <c r="BW15" s="19">
        <f>+BV15*(1+$AL$18)</f>
        <v>48128.425579574367</v>
      </c>
      <c r="BX15" s="19">
        <f>+BW15*(1+$AL$18)</f>
        <v>48609.709835370108</v>
      </c>
      <c r="BY15" s="19">
        <f>+BX15*(1+$AL$18)</f>
        <v>49095.806933723812</v>
      </c>
      <c r="BZ15" s="19">
        <f>+BY15*(1+$AL$18)</f>
        <v>49586.765003061053</v>
      </c>
      <c r="CA15" s="19">
        <f>+BZ15*(1+$AL$18)</f>
        <v>50082.632653091663</v>
      </c>
      <c r="CB15" s="19">
        <f>+CA15*(1+$AL$18)</f>
        <v>50583.458979622577</v>
      </c>
      <c r="CC15" s="19">
        <f>+CB15*(1+$AL$18)</f>
        <v>51089.293569418805</v>
      </c>
      <c r="CD15" s="19">
        <f>+CC15*(1+$AL$18)</f>
        <v>51600.186505112993</v>
      </c>
      <c r="CE15" s="19">
        <f>+CD15*(1+$AL$18)</f>
        <v>52116.188370164127</v>
      </c>
      <c r="CF15" s="19">
        <f>+CE15*(1+$AL$18)</f>
        <v>52637.35025386577</v>
      </c>
      <c r="CG15" s="19">
        <f>+CF15*(1+$AL$18)</f>
        <v>53163.723756404426</v>
      </c>
      <c r="CH15" s="19">
        <f>+CG15*(1+$AL$18)</f>
        <v>53695.360993968468</v>
      </c>
      <c r="CI15" s="19">
        <f>+CH15*(1+$AL$18)</f>
        <v>54232.314603908155</v>
      </c>
      <c r="CJ15" s="19">
        <f>+CI15*(1+$AL$18)</f>
        <v>54774.637749947236</v>
      </c>
      <c r="CK15" s="19">
        <f>+CJ15*(1+$AL$18)</f>
        <v>55322.384127446712</v>
      </c>
      <c r="CL15" s="19">
        <f>+CK15*(1+$AL$18)</f>
        <v>55875.607968721182</v>
      </c>
      <c r="CM15" s="19">
        <f>+CL15*(1+$AL$18)</f>
        <v>56434.364048408395</v>
      </c>
      <c r="CN15" s="19">
        <f>+CM15*(1+$AL$18)</f>
        <v>56998.707688892478</v>
      </c>
      <c r="CO15" s="19">
        <f>+CN15*(1+$AL$18)</f>
        <v>57568.694765781402</v>
      </c>
      <c r="CP15" s="19">
        <f>+CO15*(1+$AL$18)</f>
        <v>58144.381713439216</v>
      </c>
      <c r="CQ15" s="19">
        <f>+CP15*(1+$AL$18)</f>
        <v>58725.825530573609</v>
      </c>
      <c r="CR15" s="19">
        <f>+CQ15*(1+$AL$18)</f>
        <v>59313.083785879346</v>
      </c>
      <c r="CS15" s="19">
        <f>+CR15*(1+$AL$18)</f>
        <v>59906.214623738138</v>
      </c>
      <c r="CT15" s="19">
        <f>+CS15*(1+$AL$18)</f>
        <v>60505.27676997552</v>
      </c>
      <c r="CU15" s="19">
        <f>+CT15*(1+$AL$18)</f>
        <v>61110.329537675279</v>
      </c>
      <c r="CV15" s="19">
        <f>+CU15*(1+$AL$18)</f>
        <v>61721.432833052029</v>
      </c>
      <c r="CW15" s="19">
        <f>+CV15*(1+$AL$18)</f>
        <v>62338.647161382549</v>
      </c>
      <c r="CX15" s="19">
        <f>+CW15*(1+$AL$18)</f>
        <v>62962.033632996376</v>
      </c>
      <c r="CY15" s="19">
        <f>+CX15*(1+$AL$18)</f>
        <v>63591.65396932634</v>
      </c>
      <c r="CZ15" s="19">
        <f>+CY15*(1+$AL$18)</f>
        <v>64227.570509019606</v>
      </c>
      <c r="DA15" s="19">
        <f>+CZ15*(1+$AL$18)</f>
        <v>64869.846214109806</v>
      </c>
      <c r="DB15" s="19">
        <f>+DA15*(1+$AL$18)</f>
        <v>65518.544676250902</v>
      </c>
      <c r="DC15" s="19">
        <f>+DB15*(1+$AL$18)</f>
        <v>66173.730123013418</v>
      </c>
      <c r="DD15" s="19">
        <f>+DC15*(1+$AL$18)</f>
        <v>66835.467424243558</v>
      </c>
      <c r="DE15" s="19">
        <f>+DD15*(1+$AL$18)</f>
        <v>67503.822098485995</v>
      </c>
      <c r="DF15" s="19">
        <f>+DE15*(1+$AL$18)</f>
        <v>68178.860319470856</v>
      </c>
      <c r="DG15" s="19">
        <f>+DF15*(1+$AL$18)</f>
        <v>68860.648922665569</v>
      </c>
      <c r="DH15" s="19">
        <f>+DG15*(1+$AL$18)</f>
        <v>69549.255411892227</v>
      </c>
      <c r="DI15" s="19">
        <f>+DH15*(1+$AL$18)</f>
        <v>70244.747966011157</v>
      </c>
      <c r="DJ15" s="19">
        <f>+DI15*(1+$AL$18)</f>
        <v>70947.19544567127</v>
      </c>
      <c r="DK15" s="19">
        <f>+DJ15*(1+$AL$18)</f>
        <v>71656.66740012799</v>
      </c>
      <c r="DL15" s="19">
        <f>+DK15*(1+$AL$18)</f>
        <v>72373.234074129272</v>
      </c>
      <c r="DM15" s="19">
        <f>+DL15*(1+$AL$18)</f>
        <v>73096.966414870563</v>
      </c>
      <c r="DN15" s="19">
        <f>+DM15*(1+$AL$18)</f>
        <v>73827.936079019273</v>
      </c>
      <c r="DO15" s="19">
        <f>+DN15*(1+$AL$18)</f>
        <v>74566.215439809472</v>
      </c>
      <c r="DP15" s="19">
        <f>+DO15*(1+$AL$18)</f>
        <v>75311.877594207574</v>
      </c>
      <c r="DQ15" s="19">
        <f>+DP15*(1+$AL$18)</f>
        <v>76064.996370149645</v>
      </c>
      <c r="DR15" s="19">
        <f>+DQ15*(1+$AL$18)</f>
        <v>76825.646333851138</v>
      </c>
      <c r="DS15" s="19">
        <f>+DR15*(1+$AL$18)</f>
        <v>77593.902797189658</v>
      </c>
      <c r="DT15" s="19">
        <f>+DS15*(1+$AL$18)</f>
        <v>78369.841825161551</v>
      </c>
      <c r="DU15" s="19">
        <f>+DT15*(1+$AL$18)</f>
        <v>79153.540243413168</v>
      </c>
      <c r="DV15" s="19">
        <f>+DU15*(1+$AL$18)</f>
        <v>79945.075645847304</v>
      </c>
      <c r="DW15" s="19">
        <f>+DV15*(1+$AL$18)</f>
        <v>80744.526402305783</v>
      </c>
      <c r="DX15" s="19">
        <f>+DW15*(1+$AL$18)</f>
        <v>81551.971666328842</v>
      </c>
      <c r="DY15" s="19">
        <f>+DX15*(1+$AL$18)</f>
        <v>82367.491382992128</v>
      </c>
      <c r="DZ15" s="19">
        <f>+DY15*(1+$AL$18)</f>
        <v>83191.166296822048</v>
      </c>
      <c r="EA15" s="19">
        <f>+DZ15*(1+$AL$18)</f>
        <v>84023.077959790273</v>
      </c>
      <c r="EB15" s="19">
        <f>+EA15*(1+$AL$18)</f>
        <v>84863.308739388172</v>
      </c>
      <c r="EC15" s="19">
        <f>+EB15*(1+$AL$18)</f>
        <v>85711.941826782058</v>
      </c>
      <c r="ED15" s="19">
        <f>+EC15*(1+$AL$18)</f>
        <v>86569.061245049874</v>
      </c>
      <c r="EE15" s="19">
        <f>+ED15*(1+$AL$18)</f>
        <v>87434.751857500378</v>
      </c>
      <c r="EF15" s="19">
        <f>+EE15*(1+$AL$18)</f>
        <v>88309.099376075377</v>
      </c>
      <c r="EG15" s="19">
        <f>+EF15*(1+$AL$18)</f>
        <v>89192.190369836128</v>
      </c>
      <c r="EH15" s="19">
        <f>+EG15*(1+$AL$18)</f>
        <v>90084.112273534483</v>
      </c>
      <c r="EI15" s="19">
        <f>+EH15*(1+$AL$18)</f>
        <v>90984.953396269833</v>
      </c>
      <c r="EJ15" s="19">
        <f>+EI15*(1+$AL$18)</f>
        <v>91894.80293023253</v>
      </c>
      <c r="EK15" s="19">
        <f>+EJ15*(1+$AL$18)</f>
        <v>92813.750959534853</v>
      </c>
      <c r="EL15" s="19">
        <f>+EK15*(1+$AL$18)</f>
        <v>93741.888469130208</v>
      </c>
      <c r="EM15" s="19">
        <f>+EL15*(1+$AL$18)</f>
        <v>94679.30735382151</v>
      </c>
      <c r="EN15" s="19">
        <f>+EM15*(1+$AL$18)</f>
        <v>95626.100427359721</v>
      </c>
      <c r="EO15" s="19">
        <f>+EN15*(1+$AL$18)</f>
        <v>96582.361431633326</v>
      </c>
      <c r="EP15" s="19">
        <f>+EO15*(1+$AL$18)</f>
        <v>97548.185045949664</v>
      </c>
      <c r="EQ15" s="19">
        <f>+EP15*(1+$AL$18)</f>
        <v>98523.666896409166</v>
      </c>
      <c r="ER15" s="19">
        <f>+EQ15*(1+$AL$18)</f>
        <v>99508.903565373257</v>
      </c>
      <c r="ES15" s="19">
        <f>+ER15*(1+$AL$18)</f>
        <v>100503.99260102698</v>
      </c>
      <c r="ET15" s="19">
        <f>+ES15*(1+$AL$18)</f>
        <v>101509.03252703726</v>
      </c>
      <c r="EU15" s="19">
        <f>+ET15*(1+$AL$18)</f>
        <v>102524.12285230763</v>
      </c>
      <c r="EV15" s="19">
        <f>+EU15*(1+$AL$18)</f>
        <v>103549.36408083071</v>
      </c>
      <c r="EW15" s="19">
        <f>+EV15*(1+$AL$18)</f>
        <v>104584.85772163901</v>
      </c>
      <c r="EX15" s="19">
        <f>+EW15*(1+$AL$18)</f>
        <v>105630.7062988554</v>
      </c>
      <c r="EY15" s="19">
        <f>+EX15*(1+$AL$18)</f>
        <v>106687.01336184394</v>
      </c>
      <c r="EZ15" s="19">
        <f>+EY15*(1+$AL$18)</f>
        <v>107753.88349546239</v>
      </c>
      <c r="FA15" s="19">
        <f>+EZ15*(1+$AL$18)</f>
        <v>108831.42233041702</v>
      </c>
      <c r="FB15" s="19">
        <f>+FA15*(1+$AL$18)</f>
        <v>109919.73655372119</v>
      </c>
      <c r="FC15" s="19">
        <f>+FB15*(1+$AL$18)</f>
        <v>111018.9339192584</v>
      </c>
      <c r="FD15" s="19">
        <f>+FC15*(1+$AL$18)</f>
        <v>112129.12325845099</v>
      </c>
      <c r="FE15" s="19">
        <f>+FD15*(1+$AL$18)</f>
        <v>113250.4144910355</v>
      </c>
      <c r="FF15" s="19">
        <f>+FE15*(1+$AL$18)</f>
        <v>114382.91863594585</v>
      </c>
      <c r="FG15" s="19">
        <f>+FF15*(1+$AL$18)</f>
        <v>115526.74782230532</v>
      </c>
      <c r="FH15" s="19">
        <f>+FG15*(1+$AL$18)</f>
        <v>116682.01530052838</v>
      </c>
      <c r="FI15" s="19">
        <f>+FH15*(1+$AL$18)</f>
        <v>117848.83545353367</v>
      </c>
      <c r="FJ15" s="19">
        <f>+FI15*(1+$AL$18)</f>
        <v>119027.32380806901</v>
      </c>
      <c r="FK15" s="19">
        <f>+FJ15*(1+$AL$18)</f>
        <v>120217.59704614969</v>
      </c>
      <c r="FL15" s="19">
        <f>+FK15*(1+$AL$18)</f>
        <v>121419.77301661119</v>
      </c>
      <c r="FM15" s="19">
        <f>+FL15*(1+$AL$18)</f>
        <v>122633.9707467773</v>
      </c>
      <c r="FN15" s="19">
        <f>+FM15*(1+$AL$18)</f>
        <v>123860.31045424507</v>
      </c>
      <c r="FO15" s="19">
        <f>+FN15*(1+$AL$18)</f>
        <v>125098.91355878752</v>
      </c>
      <c r="FP15" s="19">
        <f>+FO15*(1+$AL$18)</f>
        <v>126349.9026943754</v>
      </c>
      <c r="FQ15" s="19">
        <f>+FP15*(1+$AL$18)</f>
        <v>127613.40172131915</v>
      </c>
      <c r="FR15" s="19">
        <f>+FQ15*(1+$AL$18)</f>
        <v>128889.53573853234</v>
      </c>
      <c r="FS15" s="19">
        <f>+FR15*(1+$AL$18)</f>
        <v>130178.43109591767</v>
      </c>
      <c r="FT15" s="19">
        <f>+FS15*(1+$AL$18)</f>
        <v>131480.21540687684</v>
      </c>
      <c r="FU15" s="19">
        <f>+FT15*(1+$AL$18)</f>
        <v>132795.01756094562</v>
      </c>
      <c r="FV15" s="19">
        <f>+FU15*(1+$AL$18)</f>
        <v>134122.96773655509</v>
      </c>
      <c r="FW15" s="19">
        <f>+FV15*(1+$AL$18)</f>
        <v>135464.19741392063</v>
      </c>
      <c r="FX15" s="19">
        <f>+FW15*(1+$AL$18)</f>
        <v>136818.83938805983</v>
      </c>
      <c r="FY15" s="19">
        <f>+FX15*(1+$AL$18)</f>
        <v>138187.02778194044</v>
      </c>
      <c r="FZ15" s="19">
        <f>+FY15*(1+$AL$18)</f>
        <v>139568.89805975984</v>
      </c>
      <c r="GA15" s="19">
        <f>+FZ15*(1+$AL$18)</f>
        <v>140964.58704035744</v>
      </c>
      <c r="GB15" s="19">
        <f>+GA15*(1+$AL$18)</f>
        <v>142374.232910761</v>
      </c>
      <c r="GC15" s="19">
        <f>+GB15*(1+$AL$18)</f>
        <v>143797.9752398686</v>
      </c>
      <c r="GD15" s="19">
        <f>+GC15*(1+$AL$18)</f>
        <v>145235.95499226727</v>
      </c>
      <c r="GE15" s="19">
        <f>+GD15*(1+$AL$18)</f>
        <v>146688.31454218994</v>
      </c>
      <c r="GF15" s="19">
        <f>+GE15*(1+$AL$18)</f>
        <v>148155.19768761183</v>
      </c>
      <c r="GG15" s="19">
        <f>+GF15*(1+$AL$18)</f>
        <v>149636.74966448796</v>
      </c>
      <c r="GH15" s="19">
        <f>+GG15*(1+$AL$18)</f>
        <v>151133.11716113283</v>
      </c>
      <c r="GI15" s="19">
        <f>+GH15*(1+$AL$18)</f>
        <v>152644.44833274416</v>
      </c>
      <c r="GJ15" s="19">
        <f>+GI15*(1+$AL$18)</f>
        <v>154170.8928160716</v>
      </c>
      <c r="GK15" s="19">
        <f>+GJ15*(1+$AL$18)</f>
        <v>155712.60174423232</v>
      </c>
      <c r="GL15" s="19">
        <f>+GK15*(1+$AL$18)</f>
        <v>157269.72776167464</v>
      </c>
      <c r="GM15" s="19">
        <f>+GL15*(1+$AL$18)</f>
        <v>158842.42503929138</v>
      </c>
      <c r="GN15" s="19">
        <f>+GM15*(1+$AL$18)</f>
        <v>160430.84928968429</v>
      </c>
      <c r="GO15" s="19">
        <f>+GN15*(1+$AL$18)</f>
        <v>162035.15778258114</v>
      </c>
      <c r="GP15" s="19">
        <f>+GO15*(1+$AL$18)</f>
        <v>163655.50936040696</v>
      </c>
      <c r="GQ15" s="19">
        <f>+GP15*(1+$AL$18)</f>
        <v>165292.06445401104</v>
      </c>
      <c r="GR15" s="19">
        <f>+GQ15*(1+$AL$18)</f>
        <v>166944.98509855114</v>
      </c>
      <c r="GS15" s="19">
        <f>+GR15*(1+$AL$18)</f>
        <v>168614.43494953666</v>
      </c>
      <c r="GT15" s="19">
        <f>+GS15*(1+$AL$18)</f>
        <v>170300.57929903202</v>
      </c>
      <c r="GU15" s="19">
        <f>+GT15*(1+$AL$18)</f>
        <v>172003.58509202235</v>
      </c>
      <c r="GV15" s="19">
        <f>+GU15*(1+$AL$18)</f>
        <v>173723.62094294257</v>
      </c>
      <c r="GW15" s="19">
        <f>+GV15*(1+$AL$18)</f>
        <v>175460.85715237199</v>
      </c>
      <c r="GX15" s="19">
        <f>+GW15*(1+$AL$18)</f>
        <v>177215.4657238957</v>
      </c>
      <c r="GY15" s="19">
        <f>+GX15*(1+$AL$18)</f>
        <v>178987.62038113465</v>
      </c>
      <c r="GZ15" s="19">
        <f>+GY15*(1+$AL$18)</f>
        <v>180777.496584946</v>
      </c>
      <c r="HA15" s="19">
        <f>+GZ15*(1+$AL$18)</f>
        <v>182585.27155079547</v>
      </c>
      <c r="HB15" s="19">
        <f>+HA15*(1+$AL$18)</f>
        <v>184411.12426630344</v>
      </c>
      <c r="HC15" s="19">
        <f>+HB15*(1+$AL$18)</f>
        <v>186255.23550896646</v>
      </c>
      <c r="HD15" s="19">
        <f>+HC15*(1+$AL$18)</f>
        <v>188117.78786405612</v>
      </c>
      <c r="HE15" s="19">
        <f>+HD15*(1+$AL$18)</f>
        <v>189998.96574269669</v>
      </c>
      <c r="HF15" s="19">
        <f>+HE15*(1+$AL$18)</f>
        <v>191898.95540012367</v>
      </c>
      <c r="HG15" s="19">
        <f>+HF15*(1+$AL$18)</f>
        <v>193817.94495412492</v>
      </c>
      <c r="HH15" s="19">
        <f>+HG15*(1+$AL$18)</f>
        <v>195756.12440366618</v>
      </c>
      <c r="HI15" s="19">
        <f>+HH15*(1+$AL$18)</f>
        <v>197713.68564770283</v>
      </c>
      <c r="HJ15" s="19">
        <f>+HI15*(1+$AL$18)</f>
        <v>199690.82250417987</v>
      </c>
      <c r="HK15" s="19">
        <f>+HJ15*(1+$AL$18)</f>
        <v>201687.73072922169</v>
      </c>
      <c r="HL15" s="19">
        <f>+HK15*(1+$AL$18)</f>
        <v>203704.60803651391</v>
      </c>
      <c r="HM15" s="19">
        <f>+HL15*(1+$AL$18)</f>
        <v>205741.65411687904</v>
      </c>
      <c r="HN15" s="19">
        <f>+HM15*(1+$AL$18)</f>
        <v>207799.07065804783</v>
      </c>
      <c r="HO15" s="19">
        <f>+HN15*(1+$AL$18)</f>
        <v>209877.06136462832</v>
      </c>
      <c r="HP15" s="19">
        <f>+HO15*(1+$AL$18)</f>
        <v>211975.8319782746</v>
      </c>
    </row>
    <row r="16" spans="2:224" s="19" customFormat="1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W16" s="22"/>
      <c r="X16" s="22"/>
      <c r="Y16" s="22"/>
      <c r="Z16" s="22"/>
      <c r="AA16" s="22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2:40">
      <c r="B17" s="24" t="s">
        <v>16</v>
      </c>
      <c r="C17" s="24">
        <f>+C9/C7</f>
        <v>0.25332947726122479</v>
      </c>
      <c r="D17" s="24">
        <f>+D9/D7</f>
        <v>0.25427514037774374</v>
      </c>
      <c r="E17" s="24">
        <f>+E9/E7</f>
        <v>0.25263832058352609</v>
      </c>
      <c r="F17" s="24">
        <f>+F9/F7</f>
        <v>0.24431710396347248</v>
      </c>
      <c r="G17" s="24">
        <f>+G9/G7</f>
        <v>0.24526555955046656</v>
      </c>
      <c r="H17" s="24">
        <f>+H9/H7</f>
        <v>0.24219051544233575</v>
      </c>
      <c r="I17" s="24">
        <f>+I9/I7</f>
        <v>0.24343478630744766</v>
      </c>
      <c r="J17" s="24">
        <f>+J9/J7</f>
        <v>0.23544938066907248</v>
      </c>
      <c r="K17" s="24">
        <f>+K9/K7</f>
        <v>0.24305158863040952</v>
      </c>
      <c r="L17" s="24">
        <f>+L9/L7</f>
        <v>0.24612700455355374</v>
      </c>
      <c r="M17" s="24">
        <f>+M9/M7</f>
        <v>0.24639312454914056</v>
      </c>
      <c r="N17" s="24">
        <f>+N9/N7</f>
        <v>0.23971093731976839</v>
      </c>
      <c r="O17" s="24">
        <f>+O9/O7</f>
        <v>0.24814250687272457</v>
      </c>
      <c r="P17" s="24"/>
      <c r="Q17" s="24"/>
      <c r="R17" s="24"/>
      <c r="S17" s="24"/>
      <c r="T17" s="24"/>
      <c r="U17" s="24">
        <f>+U9/U7</f>
        <v>0.24829786587165184</v>
      </c>
      <c r="V17" s="24">
        <f>+V9/V7</f>
        <v>0.25098733487675334</v>
      </c>
      <c r="W17" s="24">
        <f>+W9/W7</f>
        <v>0.24140463839525986</v>
      </c>
      <c r="X17" s="24">
        <f>+X9/X7</f>
        <v>0.24375390549662487</v>
      </c>
      <c r="Y17" s="24">
        <f>+Y9/Y7</f>
        <v>0.24375390549662496</v>
      </c>
      <c r="Z17" s="24">
        <f>+Z9/Z7</f>
        <v>0.24375390549662504</v>
      </c>
      <c r="AA17" s="24">
        <f>+AA9/AA7</f>
        <v>0.24375390549662496</v>
      </c>
      <c r="AB17" s="24">
        <f>+AB9/AB7</f>
        <v>0.24375390549662485</v>
      </c>
      <c r="AC17" s="24">
        <f>+AC9/AC7</f>
        <v>0.24375390549662479</v>
      </c>
      <c r="AD17" s="24">
        <f>+AD9/AD7</f>
        <v>0.24375390549662479</v>
      </c>
      <c r="AE17" s="24">
        <f>+AE9/AE7</f>
        <v>0.24375390549662482</v>
      </c>
      <c r="AF17" s="24">
        <f>+AF9/AF7</f>
        <v>0.24375390549662485</v>
      </c>
      <c r="AG17" s="24">
        <f>+AG9/AG7</f>
        <v>0.24375390549662482</v>
      </c>
      <c r="AH17" s="24">
        <f>+AH9/AH7</f>
        <v>0.24375390549662476</v>
      </c>
      <c r="AI17" s="23"/>
      <c r="AJ17" s="23"/>
      <c r="AK17" s="13" t="s">
        <v>66</v>
      </c>
      <c r="AL17" s="24">
        <v>0.01</v>
      </c>
      <c r="AM17" s="23"/>
      <c r="AN17" s="23"/>
    </row>
    <row r="18" spans="2:40" s="24" customFormat="1">
      <c r="B18" s="24" t="s">
        <v>74</v>
      </c>
      <c r="C18" s="24">
        <f>+C11/C7</f>
        <v>4.9953004121177064E-2</v>
      </c>
      <c r="D18" s="24">
        <f t="shared" ref="D18:O18" si="35">+D11/D7</f>
        <v>5.2138279167375644E-2</v>
      </c>
      <c r="E18" s="24">
        <f t="shared" si="35"/>
        <v>4.1216865326454369E-2</v>
      </c>
      <c r="F18" s="24">
        <f t="shared" si="35"/>
        <v>3.8509593055582811E-2</v>
      </c>
      <c r="G18" s="24">
        <f t="shared" si="35"/>
        <v>3.7564721090069156E-2</v>
      </c>
      <c r="H18" s="24">
        <f t="shared" si="35"/>
        <v>4.4838707567104327E-2</v>
      </c>
      <c r="I18" s="24">
        <f t="shared" si="35"/>
        <v>1.7635934115552997E-2</v>
      </c>
      <c r="J18" s="24">
        <f t="shared" si="35"/>
        <v>3.3898615039500632E-2</v>
      </c>
      <c r="K18" s="24">
        <f t="shared" si="35"/>
        <v>4.0971497232454156E-2</v>
      </c>
      <c r="L18" s="24">
        <f t="shared" si="35"/>
        <v>4.5263314195208869E-2</v>
      </c>
      <c r="M18" s="24">
        <f t="shared" si="35"/>
        <v>3.8568692321086541E-2</v>
      </c>
      <c r="N18" s="24">
        <f t="shared" si="35"/>
        <v>4.1836805315246729E-2</v>
      </c>
      <c r="O18" s="24">
        <f t="shared" si="35"/>
        <v>4.2357034945637369E-2</v>
      </c>
      <c r="U18" s="24">
        <f t="shared" ref="U18:AH18" si="36">+U11/U7</f>
        <v>4.032542193432543E-2</v>
      </c>
      <c r="V18" s="24">
        <f t="shared" si="36"/>
        <v>4.5293441861602016E-2</v>
      </c>
      <c r="W18" s="24">
        <f t="shared" si="36"/>
        <v>3.3417908714208827E-2</v>
      </c>
      <c r="X18" s="24">
        <f t="shared" si="36"/>
        <v>4.16771456123433E-2</v>
      </c>
      <c r="Y18" s="24">
        <f t="shared" si="36"/>
        <v>4.1677145612343376E-2</v>
      </c>
      <c r="Z18" s="24">
        <f t="shared" si="36"/>
        <v>4.1677145612343466E-2</v>
      </c>
      <c r="AA18" s="24">
        <f t="shared" si="36"/>
        <v>4.1677145612343376E-2</v>
      </c>
      <c r="AB18" s="24">
        <f t="shared" si="36"/>
        <v>4.1677145612343244E-2</v>
      </c>
      <c r="AC18" s="24">
        <f t="shared" si="36"/>
        <v>4.1677145612343189E-2</v>
      </c>
      <c r="AD18" s="24">
        <f t="shared" si="36"/>
        <v>4.1677145612343189E-2</v>
      </c>
      <c r="AE18" s="24">
        <f t="shared" si="36"/>
        <v>4.1677145612343182E-2</v>
      </c>
      <c r="AF18" s="24">
        <f t="shared" si="36"/>
        <v>4.167714561234321E-2</v>
      </c>
      <c r="AG18" s="24">
        <f t="shared" si="36"/>
        <v>4.1677145612343224E-2</v>
      </c>
      <c r="AH18" s="24">
        <f t="shared" si="36"/>
        <v>4.167714561234314E-2</v>
      </c>
      <c r="AK18" s="23" t="s">
        <v>21</v>
      </c>
      <c r="AL18" s="24">
        <v>0.01</v>
      </c>
    </row>
    <row r="19" spans="2:40" s="24" customFormat="1">
      <c r="B19" s="24" t="s">
        <v>45</v>
      </c>
      <c r="G19" s="24">
        <f>+G7/C7-1</f>
        <v>2.3563010628298686E-2</v>
      </c>
      <c r="H19" s="24">
        <f>+H7/D7-1</f>
        <v>8.3737451080483138E-2</v>
      </c>
      <c r="I19" s="24">
        <f>+I7/E7-1</f>
        <v>8.7443515388720972E-2</v>
      </c>
      <c r="J19" s="24">
        <f>+J7/F7-1</f>
        <v>7.3113932662179248E-2</v>
      </c>
      <c r="K19" s="24">
        <f>+K7/G7-1</f>
        <v>7.5807556739116544E-2</v>
      </c>
      <c r="L19" s="24">
        <f>+L7/H7-1</f>
        <v>5.7392760648702357E-2</v>
      </c>
      <c r="M19" s="24">
        <f>+M7/I7-1</f>
        <v>5.2292671435021809E-2</v>
      </c>
      <c r="N19" s="24">
        <f>+N7/J7-1</f>
        <v>5.6934555739783566E-2</v>
      </c>
      <c r="O19" s="24">
        <f>+O7/K7-1</f>
        <v>6.045265625307783E-2</v>
      </c>
      <c r="V19" s="24">
        <f>+V7/U7-1</f>
        <v>2.4327954345069625E-2</v>
      </c>
      <c r="W19" s="24">
        <f>+W7/V7-1</f>
        <v>6.7280193590965709E-2</v>
      </c>
      <c r="X19" s="24">
        <f>+X7/W7-1</f>
        <v>6.02595499019285E-2</v>
      </c>
      <c r="Y19" s="24">
        <f>+Y7/X7-1</f>
        <v>7.0000000000000062E-2</v>
      </c>
      <c r="Z19" s="24">
        <f>+Z7/Y7-1</f>
        <v>7.0000000000000062E-2</v>
      </c>
      <c r="AA19" s="24">
        <f>+AA7/Z7-1</f>
        <v>7.0000000000000062E-2</v>
      </c>
      <c r="AB19" s="24">
        <f>+AB7/AA7-1</f>
        <v>7.0000000000000062E-2</v>
      </c>
      <c r="AC19" s="24">
        <f>+AC7/AB7-1</f>
        <v>7.0000000000000062E-2</v>
      </c>
      <c r="AD19" s="24">
        <f>+AD7/AC7-1</f>
        <v>7.0000000000000062E-2</v>
      </c>
      <c r="AE19" s="24">
        <f>+AE7/AD7-1</f>
        <v>7.0000000000000062E-2</v>
      </c>
      <c r="AF19" s="24">
        <f>+AF7/AE7-1</f>
        <v>7.0000000000000062E-2</v>
      </c>
      <c r="AG19" s="24">
        <f>+AG7/AF7-1</f>
        <v>7.0000000000000062E-2</v>
      </c>
      <c r="AH19" s="24">
        <f>+AH7/AG7-1</f>
        <v>7.0000000000000062E-2</v>
      </c>
      <c r="AK19" s="24" t="s">
        <v>22</v>
      </c>
      <c r="AL19" s="24">
        <v>0.06</v>
      </c>
    </row>
    <row r="20" spans="2:40" s="24" customFormat="1">
      <c r="B20" s="24" t="s">
        <v>53</v>
      </c>
      <c r="G20" s="24">
        <f>+G7/F7-1</f>
        <v>-7.3931615545132834E-2</v>
      </c>
      <c r="H20" s="24">
        <f>+H7/G7-1</f>
        <v>7.9749097613178055E-2</v>
      </c>
      <c r="I20" s="24">
        <f>+I7/H7-1</f>
        <v>-3.0093092326910487E-4</v>
      </c>
      <c r="J20" s="24">
        <f>+J7/I7-1</f>
        <v>7.352123183237036E-2</v>
      </c>
      <c r="K20" s="24">
        <f>+K7/J7-1</f>
        <v>-7.1607090607627044E-2</v>
      </c>
      <c r="L20" s="24">
        <f>+L7/K7-1</f>
        <v>6.1266833441671498E-2</v>
      </c>
      <c r="M20" s="24">
        <f>+M7/L7-1</f>
        <v>-5.1227479706988932E-3</v>
      </c>
      <c r="N20" s="24">
        <f>+N7/M7-1</f>
        <v>7.8256759782094898E-2</v>
      </c>
      <c r="O20" s="24">
        <f>+O7/N7-1</f>
        <v>-6.8516852377327186E-2</v>
      </c>
      <c r="AK20" s="24" t="s">
        <v>23</v>
      </c>
      <c r="AL20" s="25">
        <f>NPV(AL19,Y15:HP15)</f>
        <v>532357.29450816754</v>
      </c>
    </row>
    <row r="21" spans="2:40" s="19" customFormat="1">
      <c r="M21" s="21"/>
      <c r="W21" s="22"/>
      <c r="X21" s="22"/>
      <c r="Y21" s="22"/>
      <c r="Z21" s="22"/>
      <c r="AA21" s="22"/>
      <c r="AK21" s="24" t="s">
        <v>7</v>
      </c>
      <c r="AL21" s="13">
        <f>+N22</f>
        <v>-30590</v>
      </c>
    </row>
    <row r="22" spans="2:40" s="19" customFormat="1">
      <c r="B22" s="19" t="s">
        <v>7</v>
      </c>
      <c r="C22" s="19">
        <f>+C43</f>
        <v>-21289</v>
      </c>
      <c r="D22" s="19">
        <f t="shared" ref="D22:O22" si="37">+D43</f>
        <v>-19038</v>
      </c>
      <c r="E22" s="19">
        <f t="shared" si="37"/>
        <v>-22336</v>
      </c>
      <c r="F22" s="19">
        <f t="shared" si="37"/>
        <v>-23317</v>
      </c>
      <c r="G22" s="19">
        <f t="shared" si="37"/>
        <v>-35369</v>
      </c>
      <c r="H22" s="19">
        <f t="shared" si="37"/>
        <v>-31828</v>
      </c>
      <c r="I22" s="19">
        <f t="shared" si="37"/>
        <v>-34617</v>
      </c>
      <c r="J22" s="19">
        <f t="shared" si="37"/>
        <v>-30587</v>
      </c>
      <c r="K22" s="19">
        <f t="shared" si="37"/>
        <v>-33231</v>
      </c>
      <c r="L22" s="19">
        <f t="shared" si="37"/>
        <v>-30361</v>
      </c>
      <c r="M22" s="19">
        <f t="shared" si="37"/>
        <v>-36936</v>
      </c>
      <c r="N22" s="19">
        <f t="shared" si="37"/>
        <v>-30590</v>
      </c>
      <c r="O22" s="19">
        <f t="shared" si="37"/>
        <v>-31980</v>
      </c>
      <c r="W22" s="22"/>
      <c r="X22" s="19">
        <f>+O22</f>
        <v>-31980</v>
      </c>
      <c r="Y22" s="19">
        <f>+X22+Y15</f>
        <v>-14571.099999999966</v>
      </c>
      <c r="Z22" s="19">
        <f t="shared" ref="Z22:AH22" si="38">+Y22+Z15</f>
        <v>4056.423000000108</v>
      </c>
      <c r="AA22" s="19">
        <f t="shared" si="38"/>
        <v>23987.872610000144</v>
      </c>
      <c r="AB22" s="19">
        <f t="shared" si="38"/>
        <v>45314.523692700117</v>
      </c>
      <c r="AC22" s="19">
        <f t="shared" si="38"/>
        <v>68134.040351189062</v>
      </c>
      <c r="AD22" s="19">
        <f t="shared" si="38"/>
        <v>92550.92317577223</v>
      </c>
      <c r="AE22" s="19">
        <f t="shared" si="38"/>
        <v>118676.98779807621</v>
      </c>
      <c r="AF22" s="19">
        <f t="shared" si="38"/>
        <v>146631.87694394149</v>
      </c>
      <c r="AG22" s="19">
        <f t="shared" si="38"/>
        <v>176543.60833001736</v>
      </c>
      <c r="AH22" s="19">
        <f t="shared" si="38"/>
        <v>208549.16091311848</v>
      </c>
      <c r="AK22" s="19" t="s">
        <v>56</v>
      </c>
      <c r="AL22" s="19">
        <f>+SUM(AL20:AL21)</f>
        <v>501767.29450816754</v>
      </c>
    </row>
    <row r="23" spans="2:40">
      <c r="B23" s="13" t="s">
        <v>3</v>
      </c>
      <c r="C23" s="13">
        <v>22846</v>
      </c>
      <c r="D23" s="13">
        <v>22831</v>
      </c>
      <c r="E23" s="13">
        <v>16111</v>
      </c>
      <c r="F23" s="13">
        <v>14760</v>
      </c>
      <c r="G23" s="13">
        <v>11817</v>
      </c>
      <c r="H23" s="13">
        <v>13923</v>
      </c>
      <c r="I23" s="13">
        <v>11587</v>
      </c>
      <c r="J23" s="13">
        <v>8625</v>
      </c>
      <c r="K23" s="13">
        <v>10575</v>
      </c>
      <c r="L23" s="13">
        <v>13888</v>
      </c>
      <c r="M23" s="13">
        <v>12154</v>
      </c>
      <c r="N23" s="13">
        <v>9867</v>
      </c>
      <c r="O23" s="13">
        <v>9405</v>
      </c>
      <c r="AK23" s="19" t="s">
        <v>57</v>
      </c>
      <c r="AL23" s="19">
        <f>+Main!H14</f>
        <v>8084</v>
      </c>
    </row>
    <row r="24" spans="2:40">
      <c r="B24" s="13" t="s">
        <v>24</v>
      </c>
      <c r="C24" s="13">
        <v>5797</v>
      </c>
      <c r="D24" s="13">
        <v>6103</v>
      </c>
      <c r="E24" s="13">
        <v>7349</v>
      </c>
      <c r="F24" s="13">
        <v>8280</v>
      </c>
      <c r="G24" s="13">
        <v>7674</v>
      </c>
      <c r="H24" s="13">
        <v>7522</v>
      </c>
      <c r="I24" s="13">
        <v>8218</v>
      </c>
      <c r="J24" s="13">
        <v>7933</v>
      </c>
      <c r="K24" s="13">
        <v>7647</v>
      </c>
      <c r="L24" s="13">
        <v>7891</v>
      </c>
      <c r="M24" s="13">
        <v>8625</v>
      </c>
      <c r="N24" s="13">
        <v>8796</v>
      </c>
      <c r="O24" s="13">
        <v>9075</v>
      </c>
      <c r="AK24" s="13" t="s">
        <v>58</v>
      </c>
      <c r="AL24" s="13">
        <f>+AL22/AL23</f>
        <v>62.069185367165701</v>
      </c>
    </row>
    <row r="25" spans="2:40">
      <c r="B25" s="13" t="s">
        <v>46</v>
      </c>
      <c r="C25" s="13">
        <v>46383</v>
      </c>
      <c r="D25" s="13">
        <v>47754</v>
      </c>
      <c r="E25" s="13">
        <v>57484</v>
      </c>
      <c r="F25" s="13">
        <v>56511</v>
      </c>
      <c r="G25" s="13">
        <v>61229</v>
      </c>
      <c r="H25" s="13">
        <v>59921</v>
      </c>
      <c r="I25" s="13">
        <v>64706</v>
      </c>
      <c r="J25" s="13">
        <v>56576</v>
      </c>
      <c r="K25" s="13">
        <v>56932</v>
      </c>
      <c r="L25" s="13">
        <v>56722</v>
      </c>
      <c r="M25" s="13">
        <v>63951</v>
      </c>
      <c r="N25" s="13">
        <v>54892</v>
      </c>
      <c r="O25" s="13">
        <v>55382</v>
      </c>
      <c r="AK25" s="13" t="s">
        <v>59</v>
      </c>
      <c r="AL25" s="13">
        <f>+Main!H13</f>
        <v>64</v>
      </c>
    </row>
    <row r="26" spans="2:40">
      <c r="B26" s="13" t="s">
        <v>19</v>
      </c>
      <c r="C26" s="13">
        <v>90996</v>
      </c>
      <c r="D26" s="13">
        <v>91621</v>
      </c>
      <c r="E26" s="13">
        <v>92242</v>
      </c>
      <c r="F26" s="13">
        <v>94515</v>
      </c>
      <c r="G26" s="13">
        <v>94741</v>
      </c>
      <c r="H26" s="13">
        <v>96006</v>
      </c>
      <c r="I26" s="13">
        <v>97553</v>
      </c>
      <c r="J26" s="13">
        <v>100760</v>
      </c>
      <c r="K26" s="13">
        <v>102335</v>
      </c>
      <c r="L26" s="13">
        <v>104733</v>
      </c>
      <c r="M26" s="13">
        <v>107471</v>
      </c>
      <c r="N26" s="13">
        <v>110810</v>
      </c>
      <c r="O26" s="13">
        <v>111498</v>
      </c>
      <c r="AK26" s="13" t="s">
        <v>60</v>
      </c>
      <c r="AL26" s="24">
        <f>+AL24/AL25-1</f>
        <v>-3.0168978638035915E-2</v>
      </c>
    </row>
    <row r="27" spans="2:40">
      <c r="B27" s="13" t="s">
        <v>47</v>
      </c>
      <c r="C27" s="13">
        <v>33665</v>
      </c>
      <c r="D27" s="13">
        <v>36819</v>
      </c>
      <c r="E27" s="13">
        <v>39864</v>
      </c>
      <c r="F27" s="13">
        <v>35910</v>
      </c>
      <c r="G27" s="13">
        <v>36143</v>
      </c>
      <c r="H27" s="13">
        <v>35420</v>
      </c>
      <c r="I27" s="13">
        <v>36496</v>
      </c>
      <c r="J27" s="13">
        <v>33689</v>
      </c>
      <c r="K27" s="13">
        <v>30777</v>
      </c>
      <c r="L27" s="13">
        <v>34536</v>
      </c>
      <c r="M27" s="13">
        <v>29491</v>
      </c>
      <c r="N27" s="13">
        <v>30744</v>
      </c>
      <c r="O27" s="13">
        <v>27999</v>
      </c>
    </row>
    <row r="28" spans="2:40">
      <c r="B28" s="13" t="s">
        <v>51</v>
      </c>
      <c r="C28" s="13">
        <f>+C29-SUM(C23:C27)</f>
        <v>36894</v>
      </c>
      <c r="D28" s="13">
        <f>+D29-SUM(D23:D27)</f>
        <v>33424</v>
      </c>
      <c r="E28" s="13">
        <f>+E29-SUM(E23:E27)</f>
        <v>31801</v>
      </c>
      <c r="F28" s="13">
        <f>+F29-SUM(F23:F27)</f>
        <v>34884</v>
      </c>
      <c r="G28" s="13">
        <f>+G29-SUM(G23:G27)</f>
        <v>34538</v>
      </c>
      <c r="H28" s="13">
        <f>+H29-SUM(H23:H27)</f>
        <v>34407</v>
      </c>
      <c r="I28" s="13">
        <f>+I29-SUM(I23:I27)</f>
        <v>29096</v>
      </c>
      <c r="J28" s="13">
        <f>+J29-SUM(J23:J27)</f>
        <v>35614</v>
      </c>
      <c r="K28" s="13">
        <f>+K29-SUM(K23:K27)</f>
        <v>36787</v>
      </c>
      <c r="L28" s="13">
        <f>+L29-SUM(L23:L27)</f>
        <v>37351</v>
      </c>
      <c r="M28" s="13">
        <f>+M29-SUM(M23:M27)</f>
        <v>37482</v>
      </c>
      <c r="N28" s="13">
        <f>+N29-SUM(N23:N27)</f>
        <v>37290</v>
      </c>
      <c r="O28" s="13">
        <f>+O29-SUM(O23:O27)</f>
        <v>40695</v>
      </c>
    </row>
    <row r="29" spans="2:40">
      <c r="B29" s="13" t="s">
        <v>48</v>
      </c>
      <c r="C29" s="13">
        <v>236581</v>
      </c>
      <c r="D29" s="13">
        <v>238552</v>
      </c>
      <c r="E29" s="13">
        <v>244851</v>
      </c>
      <c r="F29" s="13">
        <v>244860</v>
      </c>
      <c r="G29" s="13">
        <v>246142</v>
      </c>
      <c r="H29" s="13">
        <v>247199</v>
      </c>
      <c r="I29" s="13">
        <v>247656</v>
      </c>
      <c r="J29" s="13">
        <v>243197</v>
      </c>
      <c r="K29" s="13">
        <v>245053</v>
      </c>
      <c r="L29" s="13">
        <v>255121</v>
      </c>
      <c r="M29" s="13">
        <v>259174</v>
      </c>
      <c r="N29" s="13">
        <v>252399</v>
      </c>
      <c r="O29" s="13">
        <v>254054</v>
      </c>
    </row>
    <row r="31" spans="2:40">
      <c r="B31" s="13" t="s">
        <v>4</v>
      </c>
      <c r="C31" s="13">
        <v>3862</v>
      </c>
      <c r="D31" s="13">
        <v>2288</v>
      </c>
      <c r="E31" s="13">
        <v>2022</v>
      </c>
      <c r="F31" s="13">
        <v>3213</v>
      </c>
      <c r="G31" s="13">
        <v>15012</v>
      </c>
      <c r="H31" s="13">
        <v>15950</v>
      </c>
      <c r="I31" s="13">
        <v>12269</v>
      </c>
      <c r="J31" s="13">
        <v>4563</v>
      </c>
      <c r="K31" s="13">
        <v>5686</v>
      </c>
      <c r="L31" s="13">
        <v>7443</v>
      </c>
      <c r="M31" s="13">
        <v>12748</v>
      </c>
      <c r="N31" s="13">
        <v>4325</v>
      </c>
      <c r="O31" s="13">
        <v>5457</v>
      </c>
    </row>
    <row r="32" spans="2:40">
      <c r="B32" s="13" t="s">
        <v>25</v>
      </c>
      <c r="C32" s="13">
        <v>48151</v>
      </c>
      <c r="D32" s="13">
        <v>49601</v>
      </c>
      <c r="E32" s="13">
        <v>57156</v>
      </c>
      <c r="F32" s="13">
        <v>55261</v>
      </c>
      <c r="G32" s="13">
        <v>52926</v>
      </c>
      <c r="H32" s="13">
        <v>54191</v>
      </c>
      <c r="I32" s="13">
        <v>57263</v>
      </c>
      <c r="J32" s="13">
        <v>53742</v>
      </c>
      <c r="K32" s="13">
        <v>54268</v>
      </c>
      <c r="L32" s="13">
        <v>56576</v>
      </c>
      <c r="M32" s="13">
        <v>61049</v>
      </c>
      <c r="N32" s="13">
        <v>56812</v>
      </c>
      <c r="O32" s="13">
        <v>56071</v>
      </c>
    </row>
    <row r="33" spans="2:15">
      <c r="B33" s="13" t="s">
        <v>49</v>
      </c>
      <c r="C33" s="13">
        <v>40273</v>
      </c>
      <c r="D33" s="13">
        <v>39581</v>
      </c>
      <c r="E33" s="13">
        <v>36425</v>
      </c>
      <c r="F33" s="13">
        <v>34864</v>
      </c>
      <c r="G33" s="13">
        <v>32174</v>
      </c>
      <c r="H33" s="13">
        <v>29801</v>
      </c>
      <c r="I33" s="13">
        <v>33935</v>
      </c>
      <c r="J33" s="13">
        <v>34649</v>
      </c>
      <c r="K33" s="13">
        <v>38120</v>
      </c>
      <c r="L33" s="13">
        <v>36806</v>
      </c>
      <c r="M33" s="13">
        <v>36342</v>
      </c>
      <c r="N33" s="13">
        <v>36132</v>
      </c>
      <c r="O33" s="13">
        <v>35928</v>
      </c>
    </row>
    <row r="34" spans="2:15">
      <c r="B34" s="13" t="s">
        <v>52</v>
      </c>
      <c r="C34" s="13">
        <f t="shared" ref="C34:L34" si="39">+C35-SUM(C31:C33)</f>
        <v>59703</v>
      </c>
      <c r="D34" s="13">
        <f t="shared" si="39"/>
        <v>62624</v>
      </c>
      <c r="E34" s="13">
        <f t="shared" si="39"/>
        <v>58491</v>
      </c>
      <c r="F34" s="13">
        <f t="shared" si="39"/>
        <v>59631</v>
      </c>
      <c r="G34" s="13">
        <f t="shared" si="39"/>
        <v>60170</v>
      </c>
      <c r="H34" s="13">
        <f t="shared" si="39"/>
        <v>61410</v>
      </c>
      <c r="I34" s="13">
        <f t="shared" si="39"/>
        <v>63806</v>
      </c>
      <c r="J34" s="13">
        <f t="shared" si="39"/>
        <v>66252</v>
      </c>
      <c r="K34" s="13">
        <f t="shared" si="39"/>
        <v>67514</v>
      </c>
      <c r="L34" s="13">
        <f t="shared" si="39"/>
        <v>68737</v>
      </c>
      <c r="M34" s="13">
        <f>+M35-SUM(M31:M33)</f>
        <v>63224</v>
      </c>
      <c r="N34" s="13">
        <f>+N35-SUM(N31:N33)</f>
        <v>64559</v>
      </c>
      <c r="O34" s="13">
        <f>5013+24092+1276+1865+1482+844+12840+6047+14849</f>
        <v>68308</v>
      </c>
    </row>
    <row r="35" spans="2:15" s="19" customFormat="1">
      <c r="B35" s="19" t="s">
        <v>50</v>
      </c>
      <c r="C35" s="19">
        <v>151989</v>
      </c>
      <c r="D35" s="19">
        <v>154094</v>
      </c>
      <c r="E35" s="19">
        <v>154094</v>
      </c>
      <c r="F35" s="19">
        <v>152969</v>
      </c>
      <c r="G35" s="19">
        <v>160282</v>
      </c>
      <c r="H35" s="19">
        <v>161352</v>
      </c>
      <c r="I35" s="19">
        <v>167273</v>
      </c>
      <c r="J35" s="19">
        <v>159206</v>
      </c>
      <c r="K35" s="19">
        <v>165588</v>
      </c>
      <c r="L35" s="19">
        <v>169562</v>
      </c>
      <c r="M35" s="19">
        <v>173363</v>
      </c>
      <c r="N35" s="19">
        <v>161828</v>
      </c>
      <c r="O35" s="19">
        <f>SUM(O31:O34)</f>
        <v>165764</v>
      </c>
    </row>
    <row r="36" spans="2:15">
      <c r="B36" s="13" t="s">
        <v>26</v>
      </c>
      <c r="C36" s="13">
        <v>82577</v>
      </c>
      <c r="D36" s="13">
        <v>54572</v>
      </c>
      <c r="E36" s="13">
        <v>90757</v>
      </c>
      <c r="F36" s="13">
        <f>91891</f>
        <v>91891</v>
      </c>
      <c r="G36" s="13">
        <f>260+85600</f>
        <v>85860</v>
      </c>
      <c r="H36" s="13">
        <f>260+85587</f>
        <v>85847</v>
      </c>
      <c r="I36" s="13">
        <f>260+80123</f>
        <v>80383</v>
      </c>
      <c r="J36" s="13">
        <f>237+83754</f>
        <v>83991</v>
      </c>
      <c r="K36" s="13">
        <f>234+79231</f>
        <v>79465</v>
      </c>
      <c r="L36" s="13">
        <f>232+85327</f>
        <v>85559</v>
      </c>
      <c r="M36" s="13">
        <v>85811</v>
      </c>
      <c r="N36" s="13">
        <f>222+90349</f>
        <v>90571</v>
      </c>
      <c r="O36" s="13">
        <f>217+88073</f>
        <v>88290</v>
      </c>
    </row>
    <row r="37" spans="2:15">
      <c r="B37" s="13" t="s">
        <v>55</v>
      </c>
      <c r="C37" s="13">
        <f t="shared" ref="C37:L37" si="40">+C35+C36</f>
        <v>234566</v>
      </c>
      <c r="D37" s="13">
        <f t="shared" si="40"/>
        <v>208666</v>
      </c>
      <c r="E37" s="13">
        <f t="shared" si="40"/>
        <v>244851</v>
      </c>
      <c r="F37" s="13">
        <f t="shared" si="40"/>
        <v>244860</v>
      </c>
      <c r="G37" s="13">
        <f t="shared" si="40"/>
        <v>246142</v>
      </c>
      <c r="H37" s="13">
        <f t="shared" si="40"/>
        <v>247199</v>
      </c>
      <c r="I37" s="13">
        <f t="shared" si="40"/>
        <v>247656</v>
      </c>
      <c r="J37" s="13">
        <f t="shared" si="40"/>
        <v>243197</v>
      </c>
      <c r="K37" s="13">
        <f t="shared" si="40"/>
        <v>245053</v>
      </c>
      <c r="L37" s="13">
        <f t="shared" si="40"/>
        <v>255121</v>
      </c>
      <c r="M37" s="13">
        <f>+M35+M36</f>
        <v>259174</v>
      </c>
      <c r="N37" s="13">
        <f>+N35+N36</f>
        <v>252399</v>
      </c>
      <c r="O37" s="13">
        <f>+O35+O36</f>
        <v>254054</v>
      </c>
    </row>
    <row r="38" spans="2:15">
      <c r="E38" s="13" t="b">
        <f>E37=E29</f>
        <v>1</v>
      </c>
      <c r="F38" s="13" t="b">
        <f>F37=F29</f>
        <v>1</v>
      </c>
      <c r="G38" s="13" t="b">
        <f>G37=G29</f>
        <v>1</v>
      </c>
      <c r="H38" s="13" t="b">
        <f>H37=H29</f>
        <v>1</v>
      </c>
      <c r="I38" s="13" t="b">
        <f>I37=I29</f>
        <v>1</v>
      </c>
      <c r="J38" s="13" t="b">
        <f>J37=J29</f>
        <v>1</v>
      </c>
      <c r="K38" s="13" t="b">
        <f>K37=K29</f>
        <v>1</v>
      </c>
      <c r="L38" s="13" t="b">
        <f>L37=L29</f>
        <v>1</v>
      </c>
      <c r="M38" s="13" t="b">
        <f>M37=M29</f>
        <v>1</v>
      </c>
      <c r="N38" s="13" t="b">
        <f>N37=N29</f>
        <v>1</v>
      </c>
      <c r="O38" s="13" t="b">
        <f>O37=O29</f>
        <v>1</v>
      </c>
    </row>
    <row r="40" spans="2:15">
      <c r="B40" s="13" t="s">
        <v>69</v>
      </c>
      <c r="D40" s="24">
        <f>+IFERROR(D25/C25-1,0)</f>
        <v>2.9558243321906819E-2</v>
      </c>
      <c r="E40" s="24">
        <f>+IFERROR(E25/D25-1,0)</f>
        <v>0.20375256523013774</v>
      </c>
      <c r="F40" s="24">
        <f>+IFERROR(F25/E25-1,0)</f>
        <v>-1.6926449098879637E-2</v>
      </c>
      <c r="G40" s="24">
        <f>+IFERROR(G25/F25-1,0)</f>
        <v>8.3488170444692145E-2</v>
      </c>
      <c r="H40" s="24">
        <f>+IFERROR(H25/G25-1,0)</f>
        <v>-2.1362426301262505E-2</v>
      </c>
      <c r="I40" s="24">
        <f>+IFERROR(I25/H25-1,0)</f>
        <v>7.9855142604429163E-2</v>
      </c>
      <c r="J40" s="24">
        <f>+IFERROR(J25/I25-1,0)</f>
        <v>-0.12564522609958895</v>
      </c>
      <c r="K40" s="24">
        <f>+IFERROR(K25/J25-1,0)</f>
        <v>6.2924208144796712E-3</v>
      </c>
      <c r="L40" s="24">
        <f>+IFERROR(L25/K25-1,0)</f>
        <v>-3.6886109744959095E-3</v>
      </c>
      <c r="M40" s="24">
        <f>+IFERROR(M25/L25-1,0)</f>
        <v>0.1274461408271923</v>
      </c>
      <c r="N40" s="24">
        <f>+IFERROR(N25/M25-1,0)</f>
        <v>-0.14165532986192553</v>
      </c>
      <c r="O40" s="24">
        <f>+IFERROR(O25/N25-1,0)</f>
        <v>8.9266195438315599E-3</v>
      </c>
    </row>
    <row r="41" spans="2:15">
      <c r="B41" s="13" t="s">
        <v>70</v>
      </c>
      <c r="C41" s="13">
        <f>+C23</f>
        <v>22846</v>
      </c>
      <c r="D41" s="13">
        <f>+D23</f>
        <v>22831</v>
      </c>
      <c r="E41" s="13">
        <f>+E23</f>
        <v>16111</v>
      </c>
      <c r="F41" s="13">
        <f>+F23</f>
        <v>14760</v>
      </c>
      <c r="G41" s="13">
        <f>+G23</f>
        <v>11817</v>
      </c>
      <c r="H41" s="13">
        <f>+H23</f>
        <v>13923</v>
      </c>
      <c r="I41" s="13">
        <f>+I23</f>
        <v>11587</v>
      </c>
      <c r="J41" s="13">
        <f>+J23</f>
        <v>8625</v>
      </c>
      <c r="K41" s="13">
        <f>+K23</f>
        <v>10575</v>
      </c>
      <c r="L41" s="13">
        <f>+L23</f>
        <v>13888</v>
      </c>
      <c r="M41" s="13">
        <f>+M23</f>
        <v>12154</v>
      </c>
      <c r="N41" s="13">
        <f>+N23</f>
        <v>9867</v>
      </c>
      <c r="O41" s="13">
        <f>+O23</f>
        <v>9405</v>
      </c>
    </row>
    <row r="42" spans="2:15">
      <c r="B42" s="13" t="s">
        <v>71</v>
      </c>
      <c r="C42" s="13">
        <f>+C33+C31</f>
        <v>44135</v>
      </c>
      <c r="D42" s="13">
        <f t="shared" ref="D42:N42" si="41">+D33+D31</f>
        <v>41869</v>
      </c>
      <c r="E42" s="13">
        <f t="shared" si="41"/>
        <v>38447</v>
      </c>
      <c r="F42" s="13">
        <f t="shared" si="41"/>
        <v>38077</v>
      </c>
      <c r="G42" s="13">
        <f t="shared" si="41"/>
        <v>47186</v>
      </c>
      <c r="H42" s="13">
        <f t="shared" si="41"/>
        <v>45751</v>
      </c>
      <c r="I42" s="13">
        <f t="shared" si="41"/>
        <v>46204</v>
      </c>
      <c r="J42" s="13">
        <f t="shared" si="41"/>
        <v>39212</v>
      </c>
      <c r="K42" s="13">
        <f t="shared" si="41"/>
        <v>43806</v>
      </c>
      <c r="L42" s="13">
        <f t="shared" si="41"/>
        <v>44249</v>
      </c>
      <c r="M42" s="13">
        <f t="shared" si="41"/>
        <v>49090</v>
      </c>
      <c r="N42" s="13">
        <f t="shared" si="41"/>
        <v>40457</v>
      </c>
      <c r="O42" s="13">
        <f t="shared" ref="O42" si="42">+O33+O31</f>
        <v>41385</v>
      </c>
    </row>
    <row r="43" spans="2:15">
      <c r="B43" s="13" t="s">
        <v>72</v>
      </c>
      <c r="C43" s="13">
        <f>+C41-C42</f>
        <v>-21289</v>
      </c>
      <c r="D43" s="13">
        <f t="shared" ref="D43:O43" si="43">+D41-D42</f>
        <v>-19038</v>
      </c>
      <c r="E43" s="13">
        <f t="shared" si="43"/>
        <v>-22336</v>
      </c>
      <c r="F43" s="13">
        <f t="shared" si="43"/>
        <v>-23317</v>
      </c>
      <c r="G43" s="13">
        <f t="shared" si="43"/>
        <v>-35369</v>
      </c>
      <c r="H43" s="13">
        <f t="shared" si="43"/>
        <v>-31828</v>
      </c>
      <c r="I43" s="13">
        <f t="shared" si="43"/>
        <v>-34617</v>
      </c>
      <c r="J43" s="13">
        <f t="shared" si="43"/>
        <v>-30587</v>
      </c>
      <c r="K43" s="13">
        <f t="shared" si="43"/>
        <v>-33231</v>
      </c>
      <c r="L43" s="13">
        <f t="shared" si="43"/>
        <v>-30361</v>
      </c>
      <c r="M43" s="13">
        <f t="shared" si="43"/>
        <v>-36936</v>
      </c>
      <c r="N43" s="13">
        <f t="shared" si="43"/>
        <v>-30590</v>
      </c>
      <c r="O43" s="13">
        <f t="shared" si="43"/>
        <v>-31980</v>
      </c>
    </row>
    <row r="45" spans="2:15">
      <c r="B45" s="13" t="s">
        <v>73</v>
      </c>
      <c r="C45" s="13">
        <f>+SUM(C23:C25)-SUM(C31:C32)</f>
        <v>23013</v>
      </c>
      <c r="D45" s="13">
        <f>+SUM(D23:D25)-SUM(D31:D32)</f>
        <v>24799</v>
      </c>
      <c r="E45" s="13">
        <f>+SUM(E23:E25)-SUM(E31:E32)</f>
        <v>21766</v>
      </c>
      <c r="F45" s="13">
        <f>+SUM(F23:F25)-SUM(F31:F32)</f>
        <v>21077</v>
      </c>
      <c r="G45" s="13">
        <f>+SUM(G23:G25)-SUM(G31:G32)</f>
        <v>12782</v>
      </c>
      <c r="H45" s="13">
        <f>+SUM(H23:H25)-SUM(H31:H32)</f>
        <v>11225</v>
      </c>
      <c r="I45" s="13">
        <f>+SUM(I23:I25)-SUM(I31:I32)</f>
        <v>14979</v>
      </c>
      <c r="J45" s="13">
        <f>+SUM(J23:J25)-SUM(J31:J32)</f>
        <v>14829</v>
      </c>
      <c r="K45" s="13">
        <f>+SUM(K23:K25)-SUM(K31:K32)</f>
        <v>15200</v>
      </c>
      <c r="L45" s="13">
        <f>+SUM(L23:L25)-SUM(L31:L32)</f>
        <v>14482</v>
      </c>
      <c r="M45" s="13">
        <f>+SUM(M23:M25)-SUM(M31:M32)</f>
        <v>10933</v>
      </c>
      <c r="N45" s="13">
        <f>+SUM(N23:N25)-SUM(N31:N32)</f>
        <v>12418</v>
      </c>
      <c r="O45" s="13">
        <f>+SUM(O23:O25)-SUM(O31:O32)</f>
        <v>12334</v>
      </c>
    </row>
    <row r="48" spans="2:15">
      <c r="B48" s="13" t="s">
        <v>75</v>
      </c>
      <c r="C48" s="13">
        <v>2858</v>
      </c>
      <c r="D48" s="13">
        <v>9565</v>
      </c>
      <c r="E48" s="13">
        <v>3868</v>
      </c>
      <c r="F48" s="13">
        <v>7890</v>
      </c>
      <c r="G48" s="13">
        <v>3758</v>
      </c>
      <c r="H48" s="13">
        <v>12998</v>
      </c>
      <c r="I48" s="13">
        <v>6458</v>
      </c>
      <c r="J48" s="13">
        <v>13143</v>
      </c>
      <c r="K48" s="13">
        <v>4633</v>
      </c>
      <c r="L48" s="13">
        <v>13568</v>
      </c>
      <c r="M48" s="13">
        <v>813</v>
      </c>
      <c r="N48" s="13">
        <v>16712</v>
      </c>
    </row>
    <row r="49" spans="2:31">
      <c r="B49" s="13" t="s">
        <v>76</v>
      </c>
    </row>
    <row r="50" spans="2:31" s="19" customFormat="1">
      <c r="B50" s="19" t="s">
        <v>77</v>
      </c>
    </row>
    <row r="57" spans="2:31" s="19" customFormat="1">
      <c r="AE57" s="13"/>
    </row>
    <row r="59" spans="2:31">
      <c r="T59" s="19"/>
    </row>
    <row r="60" spans="2:31" s="19" customFormat="1">
      <c r="F60" s="13"/>
      <c r="J60" s="13"/>
      <c r="AE60" s="13"/>
    </row>
    <row r="63" spans="2:31" s="19" customFormat="1"/>
    <row r="67" spans="6:31" s="19" customFormat="1">
      <c r="F67" s="13"/>
      <c r="J67" s="13"/>
      <c r="AE67" s="13"/>
    </row>
    <row r="69" spans="6:31" s="19" customFormat="1">
      <c r="F69" s="13"/>
      <c r="J69" s="13"/>
      <c r="AE69" s="13"/>
    </row>
    <row r="73" spans="6:31" s="19" customFormat="1" ht="15"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</row>
    <row r="76" spans="6:31">
      <c r="AD76" s="19"/>
    </row>
    <row r="79" spans="6:31" s="19" customFormat="1"/>
    <row r="85" spans="2:44">
      <c r="AQ85" s="19"/>
      <c r="AR85" s="19"/>
    </row>
    <row r="86" spans="2:44">
      <c r="AR86" s="19"/>
    </row>
    <row r="87" spans="2:44">
      <c r="AQ87" s="19"/>
      <c r="AR87" s="19"/>
    </row>
    <row r="92" spans="2:44" hidden="1" outlineLevel="1"/>
    <row r="93" spans="2:44" hidden="1" outlineLevel="1"/>
    <row r="94" spans="2:44" hidden="1" outlineLevel="1">
      <c r="B94" s="19"/>
    </row>
    <row r="95" spans="2:44" hidden="1" outlineLevel="1"/>
    <row r="96" spans="2:44" hidden="1" outlineLevel="1"/>
    <row r="97" spans="2:44" hidden="1" outlineLevel="1">
      <c r="B97" s="19"/>
    </row>
    <row r="98" spans="2:44" hidden="1" outlineLevel="1"/>
    <row r="99" spans="2:44" hidden="1" outlineLevel="1"/>
    <row r="100" spans="2:44" hidden="1" outlineLevel="1">
      <c r="B100" s="19"/>
    </row>
    <row r="101" spans="2:44" hidden="1" outlineLevel="1"/>
    <row r="102" spans="2:44" hidden="1" outlineLevel="1"/>
    <row r="103" spans="2:44" hidden="1" outlineLevel="1"/>
    <row r="104" spans="2:44" hidden="1" outlineLevel="1">
      <c r="B104" s="19"/>
    </row>
    <row r="105" spans="2:44" hidden="1" outlineLevel="1"/>
    <row r="106" spans="2:44" hidden="1" outlineLevel="1">
      <c r="B106" s="19"/>
    </row>
    <row r="107" spans="2:44" collapsed="1"/>
    <row r="108" spans="2:44">
      <c r="AR108" s="19"/>
    </row>
    <row r="109" spans="2:44" s="19" customFormat="1"/>
    <row r="113" spans="44:44">
      <c r="AR113" s="19"/>
    </row>
    <row r="114" spans="44:44" s="19" customFormat="1"/>
    <row r="120" spans="44:44" s="19" customFormat="1"/>
    <row r="130" s="19" customFormat="1"/>
    <row r="136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pans="2:13" s="19" customFormat="1"/>
    <row r="146" spans="2:13" s="19" customFormat="1" hidden="1" outlineLevel="1">
      <c r="B146" s="13"/>
      <c r="J146" s="13"/>
      <c r="K146" s="13"/>
      <c r="L146" s="13"/>
    </row>
    <row r="147" spans="2:13" s="19" customFormat="1" hidden="1" outlineLevel="1">
      <c r="B147" s="13"/>
      <c r="J147" s="13"/>
      <c r="K147" s="13"/>
      <c r="L147" s="13"/>
    </row>
    <row r="148" spans="2:13" s="19" customFormat="1" hidden="1" outlineLevel="1">
      <c r="B148" s="13"/>
      <c r="J148" s="13"/>
      <c r="K148" s="13"/>
      <c r="L148" s="13"/>
    </row>
    <row r="149" spans="2:13" s="19" customFormat="1" hidden="1" outlineLevel="1">
      <c r="B149" s="13"/>
      <c r="J149" s="13"/>
      <c r="K149" s="13"/>
      <c r="L149" s="13"/>
    </row>
    <row r="150" spans="2:13" s="19" customFormat="1" hidden="1" outlineLevel="1"/>
    <row r="151" spans="2:13" s="19" customFormat="1" hidden="1" outlineLevel="1">
      <c r="B151" s="13"/>
      <c r="J151" s="13"/>
      <c r="K151" s="13"/>
      <c r="L151" s="13"/>
    </row>
    <row r="152" spans="2:13" s="19" customFormat="1" hidden="1" outlineLevel="1">
      <c r="B152" s="13"/>
      <c r="J152" s="13"/>
      <c r="K152" s="13"/>
      <c r="L152" s="13"/>
    </row>
    <row r="153" spans="2:13" s="19" customFormat="1" hidden="1" outlineLevel="1">
      <c r="B153" s="13"/>
      <c r="J153" s="13"/>
      <c r="K153" s="13"/>
      <c r="L153" s="13"/>
    </row>
    <row r="154" spans="2:13" s="19" customFormat="1" hidden="1" outlineLevel="1">
      <c r="B154" s="13"/>
      <c r="J154" s="13"/>
      <c r="K154" s="13"/>
      <c r="L154" s="13"/>
    </row>
    <row r="155" spans="2:13" s="19" customFormat="1" hidden="1" outlineLevel="1">
      <c r="B155" s="13"/>
      <c r="J155" s="13"/>
      <c r="K155" s="13"/>
      <c r="L155" s="13"/>
    </row>
    <row r="156" spans="2:13" s="19" customFormat="1" hidden="1" outlineLevel="1"/>
    <row r="157" spans="2:13" s="19" customFormat="1" hidden="1" outlineLevel="1"/>
    <row r="158" spans="2:13" s="19" customFormat="1" hidden="1" outlineLevel="1">
      <c r="B158" s="13"/>
      <c r="J158" s="13"/>
      <c r="K158" s="13"/>
      <c r="L158" s="13"/>
      <c r="M158" s="13"/>
    </row>
    <row r="159" spans="2:13" s="19" customFormat="1" hidden="1" outlineLevel="1">
      <c r="B159" s="13"/>
      <c r="J159" s="13"/>
      <c r="K159" s="13"/>
      <c r="L159" s="13"/>
    </row>
    <row r="160" spans="2:13" s="19" customFormat="1" hidden="1" outlineLevel="1">
      <c r="B160" s="13"/>
      <c r="J160" s="13"/>
      <c r="K160" s="13"/>
      <c r="L160" s="13"/>
      <c r="M160" s="13"/>
    </row>
    <row r="161" spans="2:13" s="19" customFormat="1" hidden="1" outlineLevel="1">
      <c r="B161" s="13"/>
      <c r="J161" s="13"/>
      <c r="K161" s="13"/>
      <c r="L161" s="13"/>
    </row>
    <row r="162" spans="2:13" s="19" customFormat="1" hidden="1" outlineLevel="1">
      <c r="B162" s="13"/>
      <c r="J162" s="13"/>
      <c r="K162" s="13"/>
      <c r="L162" s="13"/>
    </row>
    <row r="163" spans="2:13" s="19" customFormat="1" hidden="1" outlineLevel="1">
      <c r="B163" s="13"/>
      <c r="J163" s="13"/>
      <c r="K163" s="13"/>
      <c r="L163" s="13"/>
    </row>
    <row r="164" spans="2:13" s="19" customFormat="1" hidden="1" outlineLevel="1">
      <c r="B164" s="13"/>
      <c r="J164" s="13"/>
      <c r="K164" s="13"/>
      <c r="L164" s="13"/>
    </row>
    <row r="165" spans="2:13" s="19" customFormat="1" hidden="1" outlineLevel="1">
      <c r="B165" s="13"/>
      <c r="J165" s="13"/>
      <c r="K165" s="13"/>
      <c r="L165" s="13"/>
    </row>
    <row r="166" spans="2:13" s="19" customFormat="1" hidden="1" outlineLevel="1">
      <c r="J166" s="13"/>
      <c r="K166" s="13"/>
      <c r="L166" s="13"/>
    </row>
    <row r="167" spans="2:13" s="19" customFormat="1" hidden="1" outlineLevel="1">
      <c r="B167" s="13"/>
      <c r="J167" s="13"/>
      <c r="K167" s="13"/>
      <c r="L167" s="13"/>
      <c r="M167" s="13"/>
    </row>
    <row r="168" spans="2:13" s="19" customFormat="1" hidden="1" outlineLevel="1">
      <c r="B168" s="13"/>
      <c r="J168" s="13"/>
      <c r="K168" s="13"/>
      <c r="L168" s="13"/>
      <c r="M168" s="13"/>
    </row>
    <row r="169" spans="2:13" s="19" customFormat="1" hidden="1" outlineLevel="1">
      <c r="B169" s="13"/>
      <c r="J169" s="13"/>
      <c r="K169" s="13"/>
      <c r="L169" s="13"/>
    </row>
    <row r="170" spans="2:13" s="19" customFormat="1" hidden="1" outlineLevel="1">
      <c r="B170" s="13"/>
      <c r="J170" s="13"/>
      <c r="K170" s="13"/>
      <c r="L170" s="13"/>
    </row>
    <row r="171" spans="2:13" s="19" customFormat="1" hidden="1" outlineLevel="1">
      <c r="B171" s="13"/>
      <c r="J171" s="13"/>
      <c r="K171" s="13"/>
      <c r="L171" s="13"/>
    </row>
    <row r="172" spans="2:13" s="19" customFormat="1" hidden="1" outlineLevel="1">
      <c r="J172" s="13"/>
      <c r="K172" s="13"/>
      <c r="L172" s="13"/>
    </row>
    <row r="173" spans="2:13" s="19" customFormat="1" hidden="1" outlineLevel="1">
      <c r="B173" s="13"/>
      <c r="J173" s="13"/>
      <c r="K173" s="13"/>
      <c r="L173" s="13"/>
    </row>
    <row r="174" spans="2:13" s="19" customFormat="1" hidden="1" outlineLevel="1">
      <c r="J174" s="13"/>
      <c r="K174" s="13"/>
      <c r="L174" s="13"/>
    </row>
    <row r="175" spans="2:13" s="19" customFormat="1" collapsed="1"/>
    <row r="176" spans="2:13" s="19" customFormat="1"/>
    <row r="177" s="19" customFormat="1"/>
    <row r="178" s="19" customFormat="1"/>
    <row r="190" s="19" customFormat="1"/>
    <row r="197" spans="14:19" s="19" customFormat="1">
      <c r="N197" s="13"/>
      <c r="O197" s="13"/>
      <c r="P197" s="13"/>
      <c r="Q197" s="13"/>
      <c r="R197" s="13"/>
      <c r="S197" s="13"/>
    </row>
    <row r="205" spans="14:19" s="19" customFormat="1">
      <c r="N205" s="13"/>
      <c r="O205" s="13"/>
      <c r="P205" s="13"/>
      <c r="Q205" s="13"/>
      <c r="R205" s="13"/>
      <c r="S205" s="13"/>
    </row>
    <row r="207" spans="14:19" s="19" customFormat="1">
      <c r="N207" s="13"/>
      <c r="O207" s="13"/>
      <c r="P207" s="13"/>
      <c r="Q207" s="13"/>
      <c r="R207" s="13"/>
      <c r="S207" s="13"/>
    </row>
    <row r="209" spans="14:19" s="19" customFormat="1">
      <c r="N209" s="13"/>
      <c r="O209" s="13"/>
      <c r="P209" s="13"/>
      <c r="Q209" s="13"/>
      <c r="R209" s="13"/>
      <c r="S209" s="13"/>
    </row>
    <row r="212" spans="14:19" s="19" customFormat="1"/>
    <row r="217" spans="14:19" s="19" customFormat="1"/>
  </sheetData>
  <pageMargins left="0.7" right="0.7" top="0.75" bottom="0.75" header="0.3" footer="0.3"/>
  <ignoredErrors>
    <ignoredError sqref="Y13:AI13" formula="1"/>
    <ignoredError sqref="V7:W10 X7:X10 V11:W14 X11:X14 C45:O45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2022-10-29T18:29:25Z</dcterms:created>
  <dcterms:modified xsi:type="dcterms:W3CDTF">2024-05-17T04:33:06Z</dcterms:modified>
</cp:coreProperties>
</file>