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0D9153E-D989-704E-93E0-C793FCE82A23}" xr6:coauthVersionLast="47" xr6:coauthVersionMax="47" xr10:uidLastSave="{00000000-0000-0000-0000-000000000000}"/>
  <bookViews>
    <workbookView xWindow="3560" yWindow="500" windowWidth="39340" windowHeight="24700" activeTab="1" xr2:uid="{A1CDA05E-DA15-E24B-9995-BEC497EC30CF}"/>
  </bookViews>
  <sheets>
    <sheet name="equity" sheetId="1" r:id="rId1"/>
    <sheet name="overview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G4" i="1" s="1"/>
  <c r="AH4" i="1" s="1"/>
  <c r="AI4" i="1" s="1"/>
  <c r="AJ4" i="1" s="1"/>
  <c r="AK4" i="1" s="1"/>
  <c r="AL4" i="1" s="1"/>
  <c r="AM4" i="1" s="1"/>
  <c r="AE4" i="1"/>
  <c r="AD4" i="1"/>
  <c r="AE10" i="1"/>
  <c r="AD10" i="1"/>
  <c r="AY34" i="1"/>
  <c r="AY32" i="1"/>
  <c r="AY30" i="1"/>
  <c r="AY29" i="1"/>
  <c r="AY27" i="1"/>
  <c r="AY26" i="1"/>
  <c r="AY28" i="1" s="1"/>
  <c r="AY31" i="1" s="1"/>
  <c r="AY33" i="1" s="1"/>
  <c r="AY35" i="1" s="1"/>
  <c r="AX34" i="1"/>
  <c r="AX32" i="1"/>
  <c r="AX30" i="1"/>
  <c r="AX29" i="1"/>
  <c r="AX31" i="1" s="1"/>
  <c r="AX33" i="1" s="1"/>
  <c r="AX35" i="1" s="1"/>
  <c r="AX28" i="1"/>
  <c r="AX27" i="1"/>
  <c r="AX26" i="1"/>
  <c r="AW34" i="1"/>
  <c r="AW32" i="1"/>
  <c r="AW30" i="1"/>
  <c r="AW29" i="1"/>
  <c r="AW27" i="1"/>
  <c r="AW26" i="1"/>
  <c r="AW28" i="1" s="1"/>
  <c r="AW31" i="1" s="1"/>
  <c r="AW33" i="1" s="1"/>
  <c r="AW35" i="1" s="1"/>
  <c r="AV34" i="1"/>
  <c r="AV32" i="1"/>
  <c r="AV30" i="1"/>
  <c r="AV29" i="1"/>
  <c r="AV31" i="1" s="1"/>
  <c r="AV33" i="1" s="1"/>
  <c r="AV35" i="1" s="1"/>
  <c r="AV28" i="1"/>
  <c r="AV27" i="1"/>
  <c r="AV26" i="1"/>
  <c r="AU34" i="1"/>
  <c r="AU32" i="1"/>
  <c r="AU30" i="1"/>
  <c r="AU29" i="1"/>
  <c r="AU31" i="1" s="1"/>
  <c r="AU33" i="1" s="1"/>
  <c r="AU35" i="1" s="1"/>
  <c r="AU28" i="1"/>
  <c r="AU27" i="1"/>
  <c r="AU26" i="1"/>
  <c r="AT34" i="1"/>
  <c r="AT32" i="1"/>
  <c r="AT30" i="1"/>
  <c r="AT29" i="1"/>
  <c r="AT27" i="1"/>
  <c r="AT26" i="1"/>
  <c r="AT28" i="1" s="1"/>
  <c r="AT31" i="1" s="1"/>
  <c r="AT33" i="1" s="1"/>
  <c r="AT35" i="1" s="1"/>
  <c r="AS34" i="1"/>
  <c r="AS32" i="1"/>
  <c r="AS30" i="1"/>
  <c r="AS29" i="1"/>
  <c r="AS27" i="1"/>
  <c r="AS26" i="1"/>
  <c r="AS28" i="1" s="1"/>
  <c r="AS31" i="1" s="1"/>
  <c r="AS33" i="1" s="1"/>
  <c r="AS35" i="1" s="1"/>
  <c r="AR27" i="1"/>
  <c r="AR34" i="1"/>
  <c r="AQ34" i="1"/>
  <c r="AR32" i="1"/>
  <c r="AR30" i="1"/>
  <c r="AR29" i="1"/>
  <c r="AR28" i="1"/>
  <c r="AR26" i="1"/>
  <c r="AQ32" i="1"/>
  <c r="AQ30" i="1"/>
  <c r="AQ29" i="1"/>
  <c r="AQ26" i="1"/>
  <c r="AD9" i="1"/>
  <c r="AC9" i="1"/>
  <c r="AC8" i="1"/>
  <c r="W10" i="1"/>
  <c r="W8" i="1"/>
  <c r="V115" i="1"/>
  <c r="V93" i="1"/>
  <c r="V108" i="1"/>
  <c r="V100" i="1"/>
  <c r="V91" i="1"/>
  <c r="U115" i="1"/>
  <c r="G115" i="1"/>
  <c r="F115" i="1"/>
  <c r="E115" i="1"/>
  <c r="D115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U113" i="1"/>
  <c r="U111" i="1"/>
  <c r="U108" i="1"/>
  <c r="U100" i="1"/>
  <c r="U93" i="1"/>
  <c r="U91" i="1"/>
  <c r="U75" i="1"/>
  <c r="U65" i="1"/>
  <c r="U69" i="1" s="1"/>
  <c r="U71" i="1" s="1"/>
  <c r="U72" i="1" s="1"/>
  <c r="U51" i="1"/>
  <c r="U59" i="1" s="1"/>
  <c r="U43" i="1"/>
  <c r="U42" i="1"/>
  <c r="U41" i="1"/>
  <c r="U40" i="1"/>
  <c r="V65" i="1"/>
  <c r="V69" i="1" s="1"/>
  <c r="V71" i="1" s="1"/>
  <c r="V72" i="1" s="1"/>
  <c r="V51" i="1"/>
  <c r="V59" i="1" s="1"/>
  <c r="AD5" i="1"/>
  <c r="AC5" i="1"/>
  <c r="AB5" i="1"/>
  <c r="AC4" i="1"/>
  <c r="AB4" i="1"/>
  <c r="AA4" i="1"/>
  <c r="Q4" i="1"/>
  <c r="R4" i="1"/>
  <c r="S4" i="1"/>
  <c r="U4" i="1"/>
  <c r="T4" i="1"/>
  <c r="U36" i="1"/>
  <c r="U35" i="1"/>
  <c r="U34" i="1"/>
  <c r="U32" i="1"/>
  <c r="U31" i="1"/>
  <c r="U26" i="1"/>
  <c r="U16" i="1"/>
  <c r="U37" i="1" s="1"/>
  <c r="U12" i="1"/>
  <c r="V21" i="1"/>
  <c r="V19" i="1"/>
  <c r="V18" i="1"/>
  <c r="V15" i="1"/>
  <c r="V14" i="1"/>
  <c r="V13" i="1"/>
  <c r="V11" i="1"/>
  <c r="K26" i="1"/>
  <c r="H26" i="1"/>
  <c r="G26" i="1"/>
  <c r="D26" i="1"/>
  <c r="AC43" i="1"/>
  <c r="AC42" i="1"/>
  <c r="AC40" i="1"/>
  <c r="AD31" i="1"/>
  <c r="AC36" i="1"/>
  <c r="AC35" i="1"/>
  <c r="AC34" i="1"/>
  <c r="AC32" i="1"/>
  <c r="AC16" i="1"/>
  <c r="AC12" i="1"/>
  <c r="F8" i="2"/>
  <c r="G1" i="2"/>
  <c r="AB30" i="1"/>
  <c r="AB29" i="1"/>
  <c r="AA10" i="1"/>
  <c r="AA40" i="1" s="1"/>
  <c r="AB10" i="1"/>
  <c r="AB42" i="1" s="1"/>
  <c r="S30" i="1"/>
  <c r="S29" i="1"/>
  <c r="S10" i="1"/>
  <c r="S42" i="1" s="1"/>
  <c r="Q108" i="1"/>
  <c r="N108" i="1"/>
  <c r="S108" i="1"/>
  <c r="R108" i="1"/>
  <c r="P108" i="1"/>
  <c r="O108" i="1"/>
  <c r="M108" i="1"/>
  <c r="L108" i="1"/>
  <c r="K108" i="1"/>
  <c r="J108" i="1"/>
  <c r="I108" i="1"/>
  <c r="H108" i="1"/>
  <c r="G108" i="1"/>
  <c r="F108" i="1"/>
  <c r="E108" i="1"/>
  <c r="D108" i="1"/>
  <c r="C108" i="1"/>
  <c r="T108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T100" i="1"/>
  <c r="I65" i="1"/>
  <c r="I69" i="1" s="1"/>
  <c r="I71" i="1" s="1"/>
  <c r="I51" i="1"/>
  <c r="I59" i="1" s="1"/>
  <c r="F70" i="1"/>
  <c r="F65" i="1"/>
  <c r="F69" i="1" s="1"/>
  <c r="F51" i="1"/>
  <c r="F59" i="1" s="1"/>
  <c r="K65" i="1"/>
  <c r="K69" i="1" s="1"/>
  <c r="K71" i="1" s="1"/>
  <c r="K51" i="1"/>
  <c r="K59" i="1" s="1"/>
  <c r="L65" i="1"/>
  <c r="L69" i="1" s="1"/>
  <c r="L71" i="1" s="1"/>
  <c r="L51" i="1"/>
  <c r="L59" i="1" s="1"/>
  <c r="M65" i="1"/>
  <c r="M69" i="1" s="1"/>
  <c r="M71" i="1" s="1"/>
  <c r="M51" i="1"/>
  <c r="M59" i="1" s="1"/>
  <c r="J65" i="1"/>
  <c r="J69" i="1" s="1"/>
  <c r="J71" i="1" s="1"/>
  <c r="J51" i="1"/>
  <c r="J59" i="1" s="1"/>
  <c r="O65" i="1"/>
  <c r="O69" i="1" s="1"/>
  <c r="O71" i="1" s="1"/>
  <c r="O51" i="1"/>
  <c r="O59" i="1" s="1"/>
  <c r="P65" i="1"/>
  <c r="P69" i="1" s="1"/>
  <c r="P71" i="1" s="1"/>
  <c r="P51" i="1"/>
  <c r="P59" i="1" s="1"/>
  <c r="Q65" i="1"/>
  <c r="Q69" i="1" s="1"/>
  <c r="Q71" i="1" s="1"/>
  <c r="Q51" i="1"/>
  <c r="Q59" i="1" s="1"/>
  <c r="N65" i="1"/>
  <c r="N69" i="1" s="1"/>
  <c r="N71" i="1" s="1"/>
  <c r="N51" i="1"/>
  <c r="N59" i="1" s="1"/>
  <c r="R65" i="1"/>
  <c r="R69" i="1" s="1"/>
  <c r="R71" i="1" s="1"/>
  <c r="R51" i="1"/>
  <c r="R59" i="1" s="1"/>
  <c r="S65" i="1"/>
  <c r="S69" i="1" s="1"/>
  <c r="S71" i="1" s="1"/>
  <c r="S51" i="1"/>
  <c r="S59" i="1" s="1"/>
  <c r="T30" i="1"/>
  <c r="T29" i="1"/>
  <c r="P10" i="1"/>
  <c r="P40" i="1" s="1"/>
  <c r="T10" i="1"/>
  <c r="T43" i="1" s="1"/>
  <c r="T65" i="1"/>
  <c r="T69" i="1" s="1"/>
  <c r="T71" i="1" s="1"/>
  <c r="T51" i="1"/>
  <c r="T59" i="1" s="1"/>
  <c r="AB40" i="1"/>
  <c r="Z43" i="1"/>
  <c r="Z42" i="1"/>
  <c r="Z40" i="1"/>
  <c r="Y43" i="1"/>
  <c r="Y42" i="1"/>
  <c r="Y40" i="1"/>
  <c r="Q43" i="1"/>
  <c r="O43" i="1"/>
  <c r="M43" i="1"/>
  <c r="L43" i="1"/>
  <c r="K43" i="1"/>
  <c r="I43" i="1"/>
  <c r="H43" i="1"/>
  <c r="G43" i="1"/>
  <c r="Q42" i="1"/>
  <c r="O42" i="1"/>
  <c r="M42" i="1"/>
  <c r="L42" i="1"/>
  <c r="K42" i="1"/>
  <c r="I42" i="1"/>
  <c r="H42" i="1"/>
  <c r="G42" i="1"/>
  <c r="Q40" i="1"/>
  <c r="O40" i="1"/>
  <c r="M40" i="1"/>
  <c r="L40" i="1"/>
  <c r="K40" i="1"/>
  <c r="I40" i="1"/>
  <c r="H40" i="1"/>
  <c r="G40" i="1"/>
  <c r="P5" i="1"/>
  <c r="Q5" i="1"/>
  <c r="Q6" i="1" s="1"/>
  <c r="R5" i="1"/>
  <c r="S5" i="1"/>
  <c r="T5" i="1"/>
  <c r="G36" i="1"/>
  <c r="G35" i="1"/>
  <c r="G34" i="1"/>
  <c r="G32" i="1"/>
  <c r="G31" i="1"/>
  <c r="H36" i="1"/>
  <c r="H35" i="1"/>
  <c r="H34" i="1"/>
  <c r="H32" i="1"/>
  <c r="H31" i="1"/>
  <c r="I36" i="1"/>
  <c r="I35" i="1"/>
  <c r="I34" i="1"/>
  <c r="I32" i="1"/>
  <c r="I31" i="1"/>
  <c r="C16" i="1"/>
  <c r="C12" i="1"/>
  <c r="C26" i="1" s="1"/>
  <c r="D16" i="1"/>
  <c r="D12" i="1"/>
  <c r="E16" i="1"/>
  <c r="E12" i="1"/>
  <c r="E26" i="1" s="1"/>
  <c r="F16" i="1"/>
  <c r="F12" i="1"/>
  <c r="F26" i="1" s="1"/>
  <c r="K36" i="1"/>
  <c r="K35" i="1"/>
  <c r="K34" i="1"/>
  <c r="K32" i="1"/>
  <c r="K31" i="1"/>
  <c r="L36" i="1"/>
  <c r="L35" i="1"/>
  <c r="L34" i="1"/>
  <c r="L32" i="1"/>
  <c r="L31" i="1"/>
  <c r="M36" i="1"/>
  <c r="M35" i="1"/>
  <c r="M34" i="1"/>
  <c r="M32" i="1"/>
  <c r="M31" i="1"/>
  <c r="J21" i="1"/>
  <c r="J19" i="1"/>
  <c r="J18" i="1"/>
  <c r="J15" i="1"/>
  <c r="J36" i="1" s="1"/>
  <c r="J14" i="1"/>
  <c r="J35" i="1" s="1"/>
  <c r="J13" i="1"/>
  <c r="J34" i="1" s="1"/>
  <c r="J11" i="1"/>
  <c r="J32" i="1" s="1"/>
  <c r="J10" i="1"/>
  <c r="J31" i="1" s="1"/>
  <c r="G16" i="1"/>
  <c r="G12" i="1"/>
  <c r="G41" i="1" s="1"/>
  <c r="J2" i="1"/>
  <c r="H16" i="1"/>
  <c r="H37" i="1" s="1"/>
  <c r="H12" i="1"/>
  <c r="H41" i="1" s="1"/>
  <c r="I16" i="1"/>
  <c r="I12" i="1"/>
  <c r="I41" i="1" s="1"/>
  <c r="Z36" i="1"/>
  <c r="Z35" i="1"/>
  <c r="Z34" i="1"/>
  <c r="Z32" i="1"/>
  <c r="Z31" i="1"/>
  <c r="Y16" i="1"/>
  <c r="Y12" i="1"/>
  <c r="Y41" i="1" s="1"/>
  <c r="Q36" i="1"/>
  <c r="P36" i="1"/>
  <c r="O36" i="1"/>
  <c r="Q35" i="1"/>
  <c r="P35" i="1"/>
  <c r="O35" i="1"/>
  <c r="Q34" i="1"/>
  <c r="P34" i="1"/>
  <c r="O34" i="1"/>
  <c r="Q32" i="1"/>
  <c r="P32" i="1"/>
  <c r="O32" i="1"/>
  <c r="Q31" i="1"/>
  <c r="O31" i="1"/>
  <c r="K16" i="1"/>
  <c r="K12" i="1"/>
  <c r="K41" i="1" s="1"/>
  <c r="L16" i="1"/>
  <c r="L12" i="1"/>
  <c r="L41" i="1" s="1"/>
  <c r="N2" i="1"/>
  <c r="N21" i="1"/>
  <c r="N19" i="1"/>
  <c r="N18" i="1"/>
  <c r="N15" i="1"/>
  <c r="N14" i="1"/>
  <c r="N13" i="1"/>
  <c r="N11" i="1"/>
  <c r="N10" i="1"/>
  <c r="M16" i="1"/>
  <c r="M12" i="1"/>
  <c r="M41" i="1" s="1"/>
  <c r="Q16" i="1"/>
  <c r="Q12" i="1"/>
  <c r="Q41" i="1" s="1"/>
  <c r="R2" i="1"/>
  <c r="R21" i="1"/>
  <c r="R19" i="1"/>
  <c r="R18" i="1"/>
  <c r="R15" i="1"/>
  <c r="R14" i="1"/>
  <c r="R13" i="1"/>
  <c r="R11" i="1"/>
  <c r="AA36" i="1"/>
  <c r="AA35" i="1"/>
  <c r="AA34" i="1"/>
  <c r="AA32" i="1"/>
  <c r="AA31" i="1"/>
  <c r="AB36" i="1"/>
  <c r="AB35" i="1"/>
  <c r="AB34" i="1"/>
  <c r="AB32" i="1"/>
  <c r="Z16" i="1"/>
  <c r="Z12" i="1"/>
  <c r="Z41" i="1" s="1"/>
  <c r="AA16" i="1"/>
  <c r="AA12" i="1"/>
  <c r="AA41" i="1" s="1"/>
  <c r="AB16" i="1"/>
  <c r="Z3" i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S36" i="1"/>
  <c r="S35" i="1"/>
  <c r="S34" i="1"/>
  <c r="S32" i="1"/>
  <c r="S31" i="1"/>
  <c r="O16" i="1"/>
  <c r="O12" i="1"/>
  <c r="O26" i="1" s="1"/>
  <c r="S16" i="1"/>
  <c r="T36" i="1"/>
  <c r="T35" i="1"/>
  <c r="T34" i="1"/>
  <c r="T32" i="1"/>
  <c r="P16" i="1"/>
  <c r="T16" i="1"/>
  <c r="F7" i="2"/>
  <c r="F10" i="2" s="1"/>
  <c r="AE5" i="1" l="1"/>
  <c r="AR31" i="1"/>
  <c r="AR33" i="1" s="1"/>
  <c r="AR35" i="1" s="1"/>
  <c r="AE31" i="1"/>
  <c r="V35" i="1"/>
  <c r="L26" i="1"/>
  <c r="V36" i="1"/>
  <c r="AC26" i="1"/>
  <c r="M26" i="1"/>
  <c r="Y26" i="1"/>
  <c r="U33" i="1"/>
  <c r="V10" i="1"/>
  <c r="Z26" i="1"/>
  <c r="AA26" i="1"/>
  <c r="V40" i="1"/>
  <c r="AB43" i="1"/>
  <c r="I26" i="1"/>
  <c r="Q26" i="1"/>
  <c r="V34" i="1"/>
  <c r="V32" i="1"/>
  <c r="V42" i="1"/>
  <c r="U17" i="1"/>
  <c r="V43" i="1"/>
  <c r="V16" i="1"/>
  <c r="AA42" i="1"/>
  <c r="S43" i="1"/>
  <c r="AA43" i="1"/>
  <c r="S72" i="1"/>
  <c r="AC31" i="1"/>
  <c r="S40" i="1"/>
  <c r="AC41" i="1"/>
  <c r="S6" i="1"/>
  <c r="S12" i="1"/>
  <c r="P31" i="1"/>
  <c r="P43" i="1"/>
  <c r="AC17" i="1"/>
  <c r="AC20" i="1" s="1"/>
  <c r="AC22" i="1" s="1"/>
  <c r="AC24" i="1" s="1"/>
  <c r="AB12" i="1"/>
  <c r="AB31" i="1"/>
  <c r="T12" i="1"/>
  <c r="T72" i="1"/>
  <c r="R72" i="1"/>
  <c r="O33" i="1"/>
  <c r="R10" i="1"/>
  <c r="R42" i="1" s="1"/>
  <c r="P12" i="1"/>
  <c r="T31" i="1"/>
  <c r="T42" i="1"/>
  <c r="I72" i="1"/>
  <c r="F71" i="1"/>
  <c r="F72" i="1" s="1"/>
  <c r="K72" i="1"/>
  <c r="L72" i="1"/>
  <c r="M72" i="1"/>
  <c r="J72" i="1"/>
  <c r="O72" i="1"/>
  <c r="P72" i="1"/>
  <c r="Q72" i="1"/>
  <c r="N72" i="1"/>
  <c r="P42" i="1"/>
  <c r="T6" i="1"/>
  <c r="T40" i="1"/>
  <c r="N42" i="1"/>
  <c r="P6" i="1"/>
  <c r="N40" i="1"/>
  <c r="N43" i="1"/>
  <c r="J43" i="1"/>
  <c r="N35" i="1"/>
  <c r="J40" i="1"/>
  <c r="K37" i="1"/>
  <c r="O41" i="1"/>
  <c r="J42" i="1"/>
  <c r="N31" i="1"/>
  <c r="L17" i="1"/>
  <c r="G37" i="1"/>
  <c r="P37" i="1"/>
  <c r="M33" i="1"/>
  <c r="Z33" i="1"/>
  <c r="Q33" i="1"/>
  <c r="R36" i="1"/>
  <c r="M37" i="1"/>
  <c r="J16" i="1"/>
  <c r="G33" i="1"/>
  <c r="Q37" i="1"/>
  <c r="H33" i="1"/>
  <c r="R32" i="1"/>
  <c r="I37" i="1"/>
  <c r="S37" i="1"/>
  <c r="N34" i="1"/>
  <c r="L37" i="1"/>
  <c r="K33" i="1"/>
  <c r="I33" i="1"/>
  <c r="T37" i="1"/>
  <c r="Y3" i="1"/>
  <c r="N32" i="1"/>
  <c r="J12" i="1"/>
  <c r="J26" i="1" s="1"/>
  <c r="N36" i="1"/>
  <c r="AA17" i="1"/>
  <c r="AA20" i="1" s="1"/>
  <c r="AA22" i="1" s="1"/>
  <c r="AA24" i="1" s="1"/>
  <c r="R34" i="1"/>
  <c r="R16" i="1"/>
  <c r="N16" i="1"/>
  <c r="R35" i="1"/>
  <c r="O37" i="1"/>
  <c r="L33" i="1"/>
  <c r="C17" i="1"/>
  <c r="C20" i="1" s="1"/>
  <c r="C22" i="1" s="1"/>
  <c r="D17" i="1"/>
  <c r="D20" i="1" s="1"/>
  <c r="D22" i="1" s="1"/>
  <c r="E17" i="1"/>
  <c r="E20" i="1" s="1"/>
  <c r="E22" i="1" s="1"/>
  <c r="F17" i="1"/>
  <c r="F20" i="1" s="1"/>
  <c r="F22" i="1" s="1"/>
  <c r="G17" i="1"/>
  <c r="H17" i="1"/>
  <c r="I17" i="1"/>
  <c r="Y17" i="1"/>
  <c r="Y20" i="1" s="1"/>
  <c r="Y22" i="1" s="1"/>
  <c r="Y24" i="1" s="1"/>
  <c r="Z17" i="1"/>
  <c r="AA33" i="1"/>
  <c r="K17" i="1"/>
  <c r="N12" i="1"/>
  <c r="M17" i="1"/>
  <c r="Q17" i="1"/>
  <c r="O17" i="1"/>
  <c r="S17" i="1"/>
  <c r="AF10" i="1" l="1"/>
  <c r="AF31" i="1" s="1"/>
  <c r="S41" i="1"/>
  <c r="S26" i="1"/>
  <c r="V37" i="1"/>
  <c r="AB41" i="1"/>
  <c r="AB26" i="1"/>
  <c r="T41" i="1"/>
  <c r="T26" i="1"/>
  <c r="P41" i="1"/>
  <c r="P26" i="1"/>
  <c r="T17" i="1"/>
  <c r="V17" i="1"/>
  <c r="N41" i="1"/>
  <c r="N26" i="1"/>
  <c r="V31" i="1"/>
  <c r="V12" i="1"/>
  <c r="U20" i="1"/>
  <c r="U22" i="1" s="1"/>
  <c r="AB33" i="1"/>
  <c r="AB17" i="1"/>
  <c r="AB20" i="1" s="1"/>
  <c r="AB22" i="1" s="1"/>
  <c r="AB24" i="1" s="1"/>
  <c r="S33" i="1"/>
  <c r="AC33" i="1"/>
  <c r="R6" i="1"/>
  <c r="T33" i="1"/>
  <c r="R40" i="1"/>
  <c r="R12" i="1"/>
  <c r="R43" i="1"/>
  <c r="P17" i="1"/>
  <c r="P20" i="1" s="1"/>
  <c r="P22" i="1" s="1"/>
  <c r="P33" i="1"/>
  <c r="R31" i="1"/>
  <c r="E23" i="1"/>
  <c r="E75" i="1"/>
  <c r="E91" i="1" s="1"/>
  <c r="D23" i="1"/>
  <c r="D75" i="1"/>
  <c r="D91" i="1" s="1"/>
  <c r="C23" i="1"/>
  <c r="C75" i="1"/>
  <c r="C91" i="1" s="1"/>
  <c r="C115" i="1" s="1"/>
  <c r="F23" i="1"/>
  <c r="F75" i="1"/>
  <c r="F91" i="1" s="1"/>
  <c r="M20" i="1"/>
  <c r="M22" i="1" s="1"/>
  <c r="T20" i="1"/>
  <c r="T22" i="1" s="1"/>
  <c r="S20" i="1"/>
  <c r="S22" i="1" s="1"/>
  <c r="O20" i="1"/>
  <c r="O22" i="1" s="1"/>
  <c r="I20" i="1"/>
  <c r="I22" i="1" s="1"/>
  <c r="J33" i="1"/>
  <c r="J41" i="1"/>
  <c r="J37" i="1"/>
  <c r="L20" i="1"/>
  <c r="L22" i="1" s="1"/>
  <c r="H20" i="1"/>
  <c r="H22" i="1" s="1"/>
  <c r="K20" i="1"/>
  <c r="K22" i="1" s="1"/>
  <c r="G20" i="1"/>
  <c r="G22" i="1" s="1"/>
  <c r="N37" i="1"/>
  <c r="R37" i="1"/>
  <c r="N17" i="1"/>
  <c r="N33" i="1"/>
  <c r="Z20" i="1"/>
  <c r="J17" i="1"/>
  <c r="Q20" i="1"/>
  <c r="Q22" i="1" s="1"/>
  <c r="Q75" i="1" s="1"/>
  <c r="Q91" i="1" s="1"/>
  <c r="AF5" i="1" l="1"/>
  <c r="AG10" i="1" s="1"/>
  <c r="V26" i="1"/>
  <c r="V41" i="1"/>
  <c r="V33" i="1"/>
  <c r="R41" i="1"/>
  <c r="R26" i="1"/>
  <c r="V20" i="1"/>
  <c r="U24" i="1"/>
  <c r="V24" i="1" s="1"/>
  <c r="V22" i="1"/>
  <c r="Q115" i="1"/>
  <c r="Q111" i="1"/>
  <c r="Q113" i="1" s="1"/>
  <c r="R33" i="1"/>
  <c r="R17" i="1"/>
  <c r="G24" i="1"/>
  <c r="G75" i="1"/>
  <c r="G91" i="1" s="1"/>
  <c r="O24" i="1"/>
  <c r="O75" i="1"/>
  <c r="O91" i="1" s="1"/>
  <c r="S24" i="1"/>
  <c r="S75" i="1"/>
  <c r="S91" i="1" s="1"/>
  <c r="I24" i="1"/>
  <c r="I75" i="1"/>
  <c r="I91" i="1" s="1"/>
  <c r="I115" i="1" s="1"/>
  <c r="H24" i="1"/>
  <c r="H75" i="1"/>
  <c r="H91" i="1" s="1"/>
  <c r="H115" i="1" s="1"/>
  <c r="K24" i="1"/>
  <c r="K75" i="1"/>
  <c r="K91" i="1" s="1"/>
  <c r="K115" i="1" s="1"/>
  <c r="P24" i="1"/>
  <c r="P75" i="1"/>
  <c r="P91" i="1" s="1"/>
  <c r="T24" i="1"/>
  <c r="T75" i="1"/>
  <c r="T91" i="1" s="1"/>
  <c r="L24" i="1"/>
  <c r="L75" i="1"/>
  <c r="L91" i="1" s="1"/>
  <c r="L115" i="1" s="1"/>
  <c r="M24" i="1"/>
  <c r="M75" i="1"/>
  <c r="M91" i="1" s="1"/>
  <c r="M115" i="1" s="1"/>
  <c r="N22" i="1"/>
  <c r="N75" i="1" s="1"/>
  <c r="N91" i="1" s="1"/>
  <c r="N20" i="1"/>
  <c r="R20" i="1"/>
  <c r="Z22" i="1"/>
  <c r="J20" i="1"/>
  <c r="Q24" i="1"/>
  <c r="R22" i="1"/>
  <c r="R75" i="1" s="1"/>
  <c r="R91" i="1" s="1"/>
  <c r="AG5" i="1" l="1"/>
  <c r="AH10" i="1" s="1"/>
  <c r="AG31" i="1"/>
  <c r="V75" i="1"/>
  <c r="V116" i="1"/>
  <c r="V23" i="1"/>
  <c r="N24" i="1"/>
  <c r="N115" i="1"/>
  <c r="N111" i="1"/>
  <c r="N113" i="1" s="1"/>
  <c r="R115" i="1"/>
  <c r="R111" i="1"/>
  <c r="R113" i="1" s="1"/>
  <c r="N23" i="1"/>
  <c r="S115" i="1"/>
  <c r="S111" i="1"/>
  <c r="S113" i="1" s="1"/>
  <c r="R24" i="1"/>
  <c r="R23" i="1" s="1"/>
  <c r="T115" i="1"/>
  <c r="T111" i="1"/>
  <c r="T113" i="1" s="1"/>
  <c r="P111" i="1"/>
  <c r="P113" i="1" s="1"/>
  <c r="P115" i="1"/>
  <c r="O111" i="1"/>
  <c r="O113" i="1" s="1"/>
  <c r="O115" i="1"/>
  <c r="Z24" i="1"/>
  <c r="J24" i="1" s="1"/>
  <c r="J22" i="1"/>
  <c r="J75" i="1" s="1"/>
  <c r="J91" i="1" s="1"/>
  <c r="J115" i="1" s="1"/>
  <c r="AH5" i="1" l="1"/>
  <c r="AI10" i="1" s="1"/>
  <c r="AH31" i="1"/>
  <c r="J23" i="1"/>
  <c r="AI5" i="1" l="1"/>
  <c r="AJ10" i="1" s="1"/>
  <c r="AI31" i="1"/>
  <c r="AQ28" i="1"/>
  <c r="AQ31" i="1" s="1"/>
  <c r="AQ33" i="1" s="1"/>
  <c r="AQ35" i="1" s="1"/>
  <c r="AJ5" i="1" l="1"/>
  <c r="AK10" i="1" s="1"/>
  <c r="AJ31" i="1"/>
  <c r="AK5" i="1" l="1"/>
  <c r="AL10" i="1" s="1"/>
  <c r="AK31" i="1"/>
  <c r="AL5" i="1" l="1"/>
  <c r="AM10" i="1" s="1"/>
  <c r="AL31" i="1"/>
  <c r="AM5" i="1" l="1"/>
  <c r="AM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 work</author>
    <author>jameel</author>
  </authors>
  <commentList>
    <comment ref="T5" authorId="0" shapeId="0" xr:uid="{EE68F6C8-5880-0949-BE9C-A517D1447058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producing 64% of product revenue</t>
        </r>
      </text>
    </comment>
    <comment ref="W8" authorId="1" shapeId="0" xr:uid="{7EDC25D4-D0C2-C148-90A0-34B67EB8E982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guidance</t>
        </r>
      </text>
    </comment>
    <comment ref="T18" authorId="0" shapeId="0" xr:uid="{E1805887-2C0C-BA4F-A487-9AAD41F6865C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higher primarily due to higher yields on our investments in available-for-sale marketable debt securities as a result of increased interest rates.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29" authorId="0" shapeId="0" xr:uid="{6A7B5CDD-BB1C-DD4A-93AD-8E0422BFC1B5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driven by increase in consumption by existing customers </t>
        </r>
      </text>
    </comment>
    <comment ref="T29" authorId="0" shapeId="0" xr:uid="{A4B79B8F-E53C-C343-B4B1-38B6923BCD13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icnrease in consumption by existing customers &amp; higher prices</t>
        </r>
      </text>
    </comment>
    <comment ref="AB29" authorId="0" shapeId="0" xr:uid="{2A857C78-DF84-8440-8CB5-3363282DE68A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primarily due to increased consumption of our platform by existing net revenue retention rate of 158% as of January 31, 2023.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56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customers, 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S30" authorId="0" shapeId="0" xr:uid="{DF1AF7A7-BAB6-0D48-AD0C-7F5C313859E8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expanding prof org to help customers learn/use  product</t>
        </r>
      </text>
    </comment>
    <comment ref="T30" authorId="0" shapeId="0" xr:uid="{8E30FFFE-9438-4C4A-92EA-402BB1DE0756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expanding prof org to help customers learn/use  product</t>
        </r>
      </text>
    </comment>
    <comment ref="AB30" authorId="0" shapeId="0" xr:uid="{69F4C2EB-C086-3F49-A6D0-D2DF48A2E7E7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expansion, 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T31" authorId="0" shapeId="0" xr:uid="{A5A29770-D0C8-2F4F-8D05-BB4A06B0E770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driven by icnrease in consumption by existing customers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32" authorId="0" shapeId="0" xr:uid="{5B9828D0-AA2B-7E42-BADB-1B232087C1D2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1. third-party cloud infrastructure expenses</t>
        </r>
        <r>
          <rPr>
            <sz val="10"/>
            <color rgb="FF000000"/>
            <rFont val="Calibri"/>
            <family val="2"/>
            <scheme val="minor"/>
          </rPr>
          <t xml:space="preserve"> went up </t>
        </r>
        <r>
          <rPr>
            <sz val="10"/>
            <color rgb="FF000000"/>
            <rFont val="Calibri"/>
            <family val="2"/>
            <scheme val="minor"/>
          </rPr>
          <t xml:space="preserve"> as a result of increased customer consumption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Personnel-related costs and allocated overhead costs increased due to increased headcount and voerall costs to support ther growht in biz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>3. SBC given to existing/new employees</t>
        </r>
      </text>
    </comment>
    <comment ref="T34" authorId="0" shapeId="0" xr:uid="{C4F0A0B1-7C93-3E41-8629-9DB2A3FBD534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1. increaase</t>
        </r>
        <r>
          <rPr>
            <sz val="10"/>
            <color rgb="FF000000"/>
            <rFont val="Calibri"/>
            <family val="2"/>
            <scheme val="minor"/>
          </rPr>
          <t xml:space="preserve"> driven by </t>
        </r>
        <r>
          <rPr>
            <sz val="10"/>
            <color rgb="FF000000"/>
            <rFont val="Calibri"/>
            <family val="2"/>
            <scheme val="minor"/>
          </rPr>
          <t xml:space="preserve">personnel-related costs (excluding commission expenses) and allocated overhead costs 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2. advertising costs and other expenses associated with our sales, marketing and business development programs (%/8m)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35" authorId="0" shapeId="0" xr:uid="{032CDC83-889D-F549-9798-D3F4EEB509DC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</t>
        </r>
        <r>
          <rPr>
            <sz val="10"/>
            <color rgb="FF000000"/>
            <rFont val="Calibri"/>
            <family val="2"/>
            <scheme val="minor"/>
          </rPr>
          <t xml:space="preserve">personnel-related costs and allocated overhead costs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36" authorId="0" shapeId="0" xr:uid="{FBF38509-B2CA-BF44-A6C1-415DDC4EE765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</t>
        </r>
        <r>
          <rPr>
            <sz val="10"/>
            <color rgb="FF000000"/>
            <rFont val="Calibri"/>
            <family val="2"/>
            <scheme val="minor"/>
          </rPr>
          <t xml:space="preserve">in personnel-related costs and allocated overhead costs, as a result of increased headcount and overall costs to support the growth in our business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42" authorId="0" shapeId="0" xr:uid="{86664D35-ED37-7E47-9380-DE88F98891F1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</t>
        </r>
        <r>
          <rPr>
            <sz val="10"/>
            <color rgb="FF000000"/>
            <rFont val="Calibri"/>
            <family val="2"/>
            <scheme val="minor"/>
          </rPr>
          <t xml:space="preserve">increased stock-based compensation, headcount, and overall costs to support the growth in our business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70" authorId="0" shapeId="0" xr:uid="{C1700D64-D6D9-C342-9D1A-9356EB3C9E3B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preferred stock</t>
        </r>
      </text>
    </comment>
  </commentList>
</comments>
</file>

<file path=xl/sharedStrings.xml><?xml version="1.0" encoding="utf-8"?>
<sst xmlns="http://schemas.openxmlformats.org/spreadsheetml/2006/main" count="148" uniqueCount="126">
  <si>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</si>
  <si>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</si>
  <si>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</si>
  <si>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</si>
  <si>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</si>
  <si>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</si>
  <si>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</si>
  <si>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</si>
  <si>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</si>
  <si>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</si>
  <si>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</si>
  <si>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</si>
  <si>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</si>
  <si>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</si>
  <si>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</si>
  <si>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</si>
  <si>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price</t>
  </si>
  <si>
    <t>s</t>
  </si>
  <si>
    <t>mc</t>
  </si>
  <si>
    <t>c</t>
  </si>
  <si>
    <t>d</t>
  </si>
  <si>
    <t>ev</t>
  </si>
  <si>
    <t>q124</t>
  </si>
  <si>
    <t>q224</t>
  </si>
  <si>
    <t>q324</t>
  </si>
  <si>
    <t>q424</t>
  </si>
  <si>
    <t>op loss</t>
  </si>
  <si>
    <t xml:space="preserve">revenue </t>
  </si>
  <si>
    <t xml:space="preserve">gross profit </t>
  </si>
  <si>
    <t>s&amp;m</t>
  </si>
  <si>
    <t>r&amp;d</t>
  </si>
  <si>
    <t>g&amp;a</t>
  </si>
  <si>
    <t>opex</t>
  </si>
  <si>
    <t>interest income</t>
  </si>
  <si>
    <t>other income</t>
  </si>
  <si>
    <t>income before taxes</t>
  </si>
  <si>
    <t>taxes</t>
  </si>
  <si>
    <t xml:space="preserve">net income </t>
  </si>
  <si>
    <t>EPS</t>
  </si>
  <si>
    <t>diluted</t>
  </si>
  <si>
    <t xml:space="preserve">growth analysis </t>
  </si>
  <si>
    <t>$m</t>
  </si>
  <si>
    <t>acqusitions</t>
  </si>
  <si>
    <t xml:space="preserve">Neeva Inc </t>
  </si>
  <si>
    <t xml:space="preserve">Mountain US Corporation (formerly known as Mobilize.Net Corporation </t>
  </si>
  <si>
    <t>customers &gt; $1m</t>
  </si>
  <si>
    <t>arpu</t>
  </si>
  <si>
    <t xml:space="preserve">research </t>
  </si>
  <si>
    <t>article 1</t>
  </si>
  <si>
    <t>article 2</t>
  </si>
  <si>
    <t xml:space="preserve">vocabulary </t>
  </si>
  <si>
    <t xml:space="preserve">massively parallel </t>
  </si>
  <si>
    <t>% rev</t>
  </si>
  <si>
    <t xml:space="preserve">cash </t>
  </si>
  <si>
    <t>investments</t>
  </si>
  <si>
    <t>a/r</t>
  </si>
  <si>
    <t>deferred coms</t>
  </si>
  <si>
    <t>prepaid e</t>
  </si>
  <si>
    <t xml:space="preserve">current assets </t>
  </si>
  <si>
    <t>long term investments</t>
  </si>
  <si>
    <t>ppe</t>
  </si>
  <si>
    <t>op lease</t>
  </si>
  <si>
    <t>goodwill</t>
  </si>
  <si>
    <t>intangibles</t>
  </si>
  <si>
    <t>oa</t>
  </si>
  <si>
    <t xml:space="preserve">total assets </t>
  </si>
  <si>
    <t>a/p</t>
  </si>
  <si>
    <t>accrued e</t>
  </si>
  <si>
    <t>op lease liab</t>
  </si>
  <si>
    <t>deferred revenue</t>
  </si>
  <si>
    <t xml:space="preserve">current liabilities </t>
  </si>
  <si>
    <t>other liabilities</t>
  </si>
  <si>
    <t>total liabilities</t>
  </si>
  <si>
    <t>equity</t>
  </si>
  <si>
    <t>total liabilities + equity</t>
  </si>
  <si>
    <t>product revenue</t>
  </si>
  <si>
    <t>prof services</t>
  </si>
  <si>
    <t>d&amp;a</t>
  </si>
  <si>
    <t>noncash op lease</t>
  </si>
  <si>
    <t>amortization deferred com</t>
  </si>
  <si>
    <t>sbc</t>
  </si>
  <si>
    <t>net amort</t>
  </si>
  <si>
    <t>net unrealized losses</t>
  </si>
  <si>
    <t>deferred income tx</t>
  </si>
  <si>
    <t>other</t>
  </si>
  <si>
    <t>deferred comms</t>
  </si>
  <si>
    <t>prepaid exp</t>
  </si>
  <si>
    <t>accrued exp</t>
  </si>
  <si>
    <t>deferred rev</t>
  </si>
  <si>
    <t>cffo</t>
  </si>
  <si>
    <t>capex</t>
  </si>
  <si>
    <t>capitalized software</t>
  </si>
  <si>
    <t>cash paid of businesses</t>
  </si>
  <si>
    <t xml:space="preserve">intangible asset buys </t>
  </si>
  <si>
    <t>investment buys</t>
  </si>
  <si>
    <t>investment sales</t>
  </si>
  <si>
    <t>maturities/redemp inv</t>
  </si>
  <si>
    <t>cffi</t>
  </si>
  <si>
    <t>stock option proceeds</t>
  </si>
  <si>
    <t>proceeds from spp</t>
  </si>
  <si>
    <t>taxes paid equity awards</t>
  </si>
  <si>
    <t>buybacks</t>
  </si>
  <si>
    <t>cfff</t>
  </si>
  <si>
    <t>forex</t>
  </si>
  <si>
    <t>net increase</t>
  </si>
  <si>
    <t xml:space="preserve">cash @ begin </t>
  </si>
  <si>
    <t xml:space="preserve">cash @ end </t>
  </si>
  <si>
    <t>deferred purchases</t>
  </si>
  <si>
    <t>cash contribution nc</t>
  </si>
  <si>
    <t>GM%</t>
  </si>
  <si>
    <t>RPO</t>
  </si>
  <si>
    <t>Free Cash Flow</t>
  </si>
  <si>
    <t xml:space="preserve">Net Income </t>
  </si>
  <si>
    <t>press releases</t>
  </si>
  <si>
    <t>q125</t>
  </si>
  <si>
    <t>EV</t>
  </si>
  <si>
    <t>2025R</t>
  </si>
  <si>
    <t>EV Multiple</t>
  </si>
  <si>
    <t>Cash</t>
  </si>
  <si>
    <t>Debt</t>
  </si>
  <si>
    <t>Market Cap</t>
  </si>
  <si>
    <t>Shares</t>
  </si>
  <si>
    <t>Estimate</t>
  </si>
  <si>
    <t>Current</t>
  </si>
  <si>
    <t xml:space="preserve">Upside </t>
  </si>
  <si>
    <t>still think databricks is a better tool with better focus on datascience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</si>
</sst>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,"/>
    <numFmt numFmtId="165" formatCode="#,##0.0"/>
    <numFmt numFmtId="166" formatCode="m/d;@"/>
    <numFmt numFmtId="167" formatCode="0.0"/>
    <numFmt numFmtId="168" formatCode="#,##0,"/>
    <numFmt numFmtId="169" formatCode="#,##0.0,"/>
    <numFmt numFmtId="170" formatCode="[$-F400]h:mm:ss\ AM/PM"/>
    <numFmt numFmtId="173" formatCode="#,#00,"/>
    <numFmt numFmtId="175" formatCode="0.0\x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7" fontId="0" fillId="0" borderId="0" xfId="0" applyNumberFormat="1"/>
    <xf numFmtId="9" fontId="0" fillId="0" borderId="0" xfId="0" applyNumberFormat="1"/>
    <xf numFmtId="164" fontId="2" fillId="0" borderId="0" xfId="0" applyNumberFormat="1" applyFont="1"/>
    <xf numFmtId="168" fontId="0" fillId="0" borderId="0" xfId="0" applyNumberFormat="1"/>
    <xf numFmtId="168" fontId="1" fillId="0" borderId="0" xfId="0" applyNumberFormat="1" applyFont="1"/>
    <xf numFmtId="165" fontId="3" fillId="0" borderId="0" xfId="0" applyNumberFormat="1" applyFont="1"/>
    <xf numFmtId="169" fontId="0" fillId="0" borderId="0" xfId="0" applyNumberFormat="1"/>
    <xf numFmtId="165" fontId="4" fillId="0" borderId="0" xfId="1" applyNumberFormat="1"/>
    <xf numFmtId="9" fontId="1" fillId="0" borderId="0" xfId="0" applyNumberFormat="1" applyFont="1"/>
    <xf numFmtId="170" fontId="0" fillId="0" borderId="0" xfId="0" applyNumberFormat="1"/>
    <xf numFmtId="168" fontId="0" fillId="0" borderId="0" xfId="0" applyNumberFormat="1" applyFont="1"/>
    <xf numFmtId="173" fontId="0" fillId="0" borderId="0" xfId="0" applyNumberFormat="1"/>
    <xf numFmtId="173" fontId="0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164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9" fontId="0" fillId="0" borderId="4" xfId="0" applyNumberFormat="1" applyBorder="1"/>
    <xf numFmtId="164" fontId="1" fillId="0" borderId="6" xfId="0" applyNumberFormat="1" applyFont="1" applyBorder="1"/>
    <xf numFmtId="9" fontId="1" fillId="0" borderId="7" xfId="0" applyNumberFormat="1" applyFont="1" applyBorder="1"/>
    <xf numFmtId="9" fontId="1" fillId="0" borderId="8" xfId="0" applyNumberFormat="1" applyFont="1" applyBorder="1"/>
    <xf numFmtId="164" fontId="0" fillId="2" borderId="4" xfId="0" applyNumberFormat="1" applyFill="1" applyBorder="1"/>
    <xf numFmtId="175" fontId="0" fillId="2" borderId="0" xfId="0" applyNumberFormat="1" applyFill="1" applyBorder="1"/>
    <xf numFmtId="175" fontId="0" fillId="2" borderId="5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469900</xdr:colOff>
      <xdr:row>0</xdr:row>
      <xdr:rowOff>76200</xdr:rowOff>
    </xdr:from>
    <xdr:to>
      <xdr:col>29</xdr:col>
      <xdr:colOff>76200</xdr:colOff>
      <xdr:row>133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CCF4B6A-9132-330F-5766-2F1B94FAC430}"/>
            </a:ext>
          </a:extLst>
        </xdr:cNvPr>
        <xdr:cNvCxnSpPr/>
      </xdr:nvCxnSpPr>
      <xdr:spPr>
        <a:xfrm>
          <a:off x="14960600" y="76200"/>
          <a:ext cx="88900" cy="27063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25400</xdr:colOff>
      <xdr:row>0</xdr:row>
      <xdr:rowOff>25400</xdr:rowOff>
    </xdr:from>
    <xdr:to>
      <xdr:col>22</xdr:col>
      <xdr:colOff>38100</xdr:colOff>
      <xdr:row>131</xdr:row>
      <xdr:rowOff>101600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EB87D14-B5BF-E042-AA83-F58BB70EC4E4}"/>
            </a:ext>
          </a:extLst>
        </xdr:cNvPr>
        <xdr:cNvCxnSpPr/>
      </xdr:nvCxnSpPr>
      <xdr:spPr>
        <a:xfrm>
          <a:off x="11112500" y="25400"/>
          <a:ext cx="12700" cy="2669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ssively_parallel" TargetMode="External"/><Relationship Id="rId2" Type="http://schemas.openxmlformats.org/officeDocument/2006/relationships/hyperlink" Target="https://docs.snowflake.com/en/user-guide/intro-key-concepts" TargetMode="External"/><Relationship Id="rId1" Type="http://schemas.openxmlformats.org/officeDocument/2006/relationships/hyperlink" Target="https://www.mparticle.com/blog/how-does-snowflake-work/" TargetMode="External"/><Relationship Id="rId4" Type="http://schemas.openxmlformats.org/officeDocument/2006/relationships/hyperlink" Target="https://investors.snowflake.com/news/news-details/2024/Snowflake-Reports-Financial-Results-for-the-Fourth-Quarter-and-Full-Year-of-Fiscal-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8766-39A6-CE47-BA08-937F2D952D60}">
  <dimension ref="B2:CH580"/>
  <sheetViews>
    <sheetView zoomScaleNormal="100" workbookViewId="0">
      <pane xSplit="2" ySplit="3" topLeftCell="U4" activePane="bottomRight" state="frozen"/>
      <selection pane="topRight" activeCell="C1" sqref="C1"/>
      <selection pane="bottomLeft" activeCell="A2" sqref="A2"/>
      <selection pane="bottomRight" activeCell="AB21" sqref="AB21"/>
    </sheetView>
  </sheetViews>
  <sheetFormatPr baseColWidth="10" defaultRowHeight="16" x14ac:dyDescent="0.2"/>
  <cols>
    <col min="1" max="1" width="3.5" style="1" customWidth="1"/>
    <col min="2" max="2" width="23.6640625" style="1" bestFit="1" customWidth="1"/>
    <col min="3" max="3" width="5.1640625" style="1" customWidth="1"/>
    <col min="4" max="4" width="5.1640625" style="1" bestFit="1" customWidth="1"/>
    <col min="5" max="5" width="6" style="1" bestFit="1" customWidth="1"/>
    <col min="6" max="6" width="6.1640625" style="1" bestFit="1" customWidth="1"/>
    <col min="7" max="8" width="5.6640625" style="1" bestFit="1" customWidth="1"/>
    <col min="9" max="9" width="6" style="1" bestFit="1" customWidth="1"/>
    <col min="10" max="12" width="5.6640625" style="1" bestFit="1" customWidth="1"/>
    <col min="13" max="13" width="6" style="1" bestFit="1" customWidth="1"/>
    <col min="14" max="14" width="6.5" style="1" bestFit="1" customWidth="1"/>
    <col min="15" max="15" width="5.6640625" style="1" bestFit="1" customWidth="1"/>
    <col min="16" max="16" width="6.33203125" style="1" bestFit="1" customWidth="1"/>
    <col min="17" max="17" width="6.1640625" style="1" bestFit="1" customWidth="1"/>
    <col min="18" max="18" width="6.6640625" style="1" bestFit="1" customWidth="1"/>
    <col min="19" max="19" width="6.5" style="1" bestFit="1" customWidth="1"/>
    <col min="20" max="21" width="6" style="1" bestFit="1" customWidth="1"/>
    <col min="22" max="22" width="5.6640625" style="1" bestFit="1" customWidth="1"/>
    <col min="23" max="23" width="5.1640625" style="1" bestFit="1" customWidth="1"/>
    <col min="24" max="24" width="10.83203125" style="1"/>
    <col min="25" max="25" width="5.1640625" style="1" bestFit="1" customWidth="1"/>
    <col min="26" max="27" width="5.6640625" style="1" bestFit="1" customWidth="1"/>
    <col min="28" max="28" width="6.5" style="1" bestFit="1" customWidth="1"/>
    <col min="29" max="30" width="6.33203125" style="1" bestFit="1" customWidth="1"/>
    <col min="31" max="32" width="6.6640625" style="1" bestFit="1" customWidth="1"/>
    <col min="33" max="37" width="7.33203125" style="1" bestFit="1" customWidth="1"/>
    <col min="38" max="39" width="7.6640625" style="1" bestFit="1" customWidth="1"/>
    <col min="40" max="41" width="5.1640625" style="1" bestFit="1" customWidth="1"/>
    <col min="42" max="42" width="10.6640625" style="1" bestFit="1" customWidth="1"/>
    <col min="43" max="43" width="10.83203125" style="18"/>
    <col min="44" max="16384" width="10.83203125" style="1"/>
  </cols>
  <sheetData>
    <row r="2" spans="2:43" s="3" customFormat="1" x14ac:dyDescent="0.2">
      <c r="C2" s="3">
        <v>43585</v>
      </c>
      <c r="D2" s="3">
        <v>43677</v>
      </c>
      <c r="E2" s="3">
        <v>43769</v>
      </c>
      <c r="F2" s="3">
        <v>43861</v>
      </c>
      <c r="G2" s="3">
        <v>43951</v>
      </c>
      <c r="H2" s="3">
        <v>44043</v>
      </c>
      <c r="I2" s="3">
        <v>44135</v>
      </c>
      <c r="J2" s="3">
        <f>+Z2</f>
        <v>44227</v>
      </c>
      <c r="K2" s="3">
        <v>44316</v>
      </c>
      <c r="L2" s="3">
        <v>44408</v>
      </c>
      <c r="M2" s="3">
        <v>44500</v>
      </c>
      <c r="N2" s="3">
        <f>+AA2</f>
        <v>44592</v>
      </c>
      <c r="O2" s="3">
        <v>44681</v>
      </c>
      <c r="P2" s="3">
        <v>44773</v>
      </c>
      <c r="Q2" s="3">
        <v>44865</v>
      </c>
      <c r="R2" s="3">
        <f>+AB2</f>
        <v>44957</v>
      </c>
      <c r="S2" s="3">
        <v>45046</v>
      </c>
      <c r="T2" s="3">
        <v>45138</v>
      </c>
      <c r="U2" s="3">
        <v>45230</v>
      </c>
      <c r="Y2" s="3">
        <v>43861</v>
      </c>
      <c r="Z2" s="3">
        <v>44227</v>
      </c>
      <c r="AA2" s="3">
        <v>44592</v>
      </c>
      <c r="AB2" s="3">
        <v>44957</v>
      </c>
      <c r="AC2" s="3">
        <v>45322</v>
      </c>
      <c r="AQ2" s="18"/>
    </row>
    <row r="3" spans="2:43" x14ac:dyDescent="0.2">
      <c r="B3" s="1" t="s">
        <v>41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114</v>
      </c>
      <c r="Y3" s="1">
        <f>+Z3-1000</f>
        <v>2020000</v>
      </c>
      <c r="Z3" s="1">
        <f>2021*1000</f>
        <v>2021000</v>
      </c>
      <c r="AA3" s="1">
        <f>+Z3+1000</f>
        <v>2022000</v>
      </c>
      <c r="AB3" s="1">
        <f t="shared" ref="AB3:AM3" si="0">+AA3+1000</f>
        <v>2023000</v>
      </c>
      <c r="AC3" s="1">
        <f t="shared" si="0"/>
        <v>2024000</v>
      </c>
      <c r="AD3" s="1">
        <f t="shared" si="0"/>
        <v>2025000</v>
      </c>
      <c r="AE3" s="1">
        <f t="shared" si="0"/>
        <v>2026000</v>
      </c>
      <c r="AF3" s="1">
        <f t="shared" si="0"/>
        <v>2027000</v>
      </c>
      <c r="AG3" s="1">
        <f t="shared" si="0"/>
        <v>2028000</v>
      </c>
      <c r="AH3" s="1">
        <f t="shared" si="0"/>
        <v>2029000</v>
      </c>
      <c r="AI3" s="1">
        <f t="shared" si="0"/>
        <v>2030000</v>
      </c>
      <c r="AJ3" s="1">
        <f t="shared" si="0"/>
        <v>2031000</v>
      </c>
      <c r="AK3" s="1">
        <f t="shared" si="0"/>
        <v>2032000</v>
      </c>
      <c r="AL3" s="1">
        <f t="shared" si="0"/>
        <v>2033000</v>
      </c>
      <c r="AM3" s="1">
        <f t="shared" si="0"/>
        <v>2034000</v>
      </c>
    </row>
    <row r="4" spans="2:43" s="16" customFormat="1" x14ac:dyDescent="0.2">
      <c r="B4" s="16" t="s">
        <v>110</v>
      </c>
      <c r="Q4" s="16">
        <f>3003.1*1000</f>
        <v>3003100</v>
      </c>
      <c r="R4" s="16">
        <f>3660.5*1000</f>
        <v>3660500</v>
      </c>
      <c r="S4" s="16">
        <f>3409*1000</f>
        <v>3409000</v>
      </c>
      <c r="T4" s="16">
        <f>3540.2*1000</f>
        <v>3540200</v>
      </c>
      <c r="U4" s="17">
        <f>3698.7*1000</f>
        <v>3698700</v>
      </c>
      <c r="AA4" s="16">
        <f>2646.5*1000</f>
        <v>2646500</v>
      </c>
      <c r="AB4" s="16">
        <f>3660*1000</f>
        <v>3660000</v>
      </c>
      <c r="AC4" s="16">
        <f>5174.7*1000</f>
        <v>5174700</v>
      </c>
      <c r="AD4" s="16">
        <f>+AC4*1.3</f>
        <v>6727110</v>
      </c>
      <c r="AE4" s="16">
        <f t="shared" ref="AE4:AM4" si="1">+AD4*1.3</f>
        <v>8745243</v>
      </c>
      <c r="AF4" s="16">
        <f t="shared" si="1"/>
        <v>11368815.9</v>
      </c>
      <c r="AG4" s="16">
        <f t="shared" si="1"/>
        <v>14779460.670000002</v>
      </c>
      <c r="AH4" s="16">
        <f t="shared" si="1"/>
        <v>19213298.871000003</v>
      </c>
      <c r="AI4" s="16">
        <f t="shared" si="1"/>
        <v>24977288.532300007</v>
      </c>
      <c r="AJ4" s="16">
        <f t="shared" si="1"/>
        <v>32470475.091990009</v>
      </c>
      <c r="AK4" s="16">
        <f t="shared" si="1"/>
        <v>42211617.619587012</v>
      </c>
      <c r="AL4" s="16">
        <f t="shared" si="1"/>
        <v>54875102.905463114</v>
      </c>
      <c r="AM4" s="16">
        <f t="shared" si="1"/>
        <v>71337633.777102053</v>
      </c>
      <c r="AQ4" s="18"/>
    </row>
    <row r="5" spans="2:43" x14ac:dyDescent="0.2">
      <c r="B5" s="1" t="s">
        <v>45</v>
      </c>
      <c r="P5" s="1">
        <f>466.3*1000</f>
        <v>466300</v>
      </c>
      <c r="Q5" s="1">
        <f>522.8*1000</f>
        <v>522799.99999999994</v>
      </c>
      <c r="R5" s="1">
        <f>555.3*1000</f>
        <v>555300</v>
      </c>
      <c r="S5" s="1">
        <f>590.1*1000</f>
        <v>590100</v>
      </c>
      <c r="T5" s="1">
        <f>402*1000</f>
        <v>402000</v>
      </c>
      <c r="AB5" s="6">
        <f>+AB10/AA4</f>
        <v>0.78052484413376155</v>
      </c>
      <c r="AC5" s="6">
        <f>+AC10/AB4</f>
        <v>0.76680027322404376</v>
      </c>
      <c r="AD5" s="6">
        <f>+AD10/AC4</f>
        <v>0.76680027322404376</v>
      </c>
      <c r="AE5" s="6">
        <f>+AE10/AD4</f>
        <v>0.76680027322404376</v>
      </c>
      <c r="AF5" s="6">
        <f>+AF10/AE4</f>
        <v>0.76680027322404376</v>
      </c>
      <c r="AG5" s="6">
        <f t="shared" ref="AG5:AM5" si="2">+AG10/AF4</f>
        <v>0.76680027322404365</v>
      </c>
      <c r="AH5" s="6">
        <f t="shared" si="2"/>
        <v>0.76680027322404365</v>
      </c>
      <c r="AI5" s="6">
        <f t="shared" si="2"/>
        <v>0.76680027322404365</v>
      </c>
      <c r="AJ5" s="6">
        <f t="shared" si="2"/>
        <v>0.76680027322404365</v>
      </c>
      <c r="AK5" s="6">
        <f t="shared" si="2"/>
        <v>0.76680027322404365</v>
      </c>
      <c r="AL5" s="6">
        <f t="shared" si="2"/>
        <v>0.76680027322404365</v>
      </c>
      <c r="AM5" s="6">
        <f t="shared" si="2"/>
        <v>0.76680027322404365</v>
      </c>
    </row>
    <row r="6" spans="2:43" s="11" customFormat="1" x14ac:dyDescent="0.2">
      <c r="B6" s="11" t="s">
        <v>46</v>
      </c>
      <c r="P6" s="11">
        <f>+P10/P5*1000</f>
        <v>1066.3692901565516</v>
      </c>
      <c r="Q6" s="11">
        <f t="shared" ref="Q6:T6" si="3">+Q10/Q5*1000</f>
        <v>1065.4705432287683</v>
      </c>
      <c r="R6" s="11">
        <f t="shared" si="3"/>
        <v>1060.7095263821359</v>
      </c>
      <c r="S6" s="11">
        <f t="shared" si="3"/>
        <v>1056.7683443484154</v>
      </c>
      <c r="T6" s="11">
        <f t="shared" si="3"/>
        <v>1676.6616915422885</v>
      </c>
      <c r="AB6" s="6"/>
      <c r="AC6" s="6"/>
      <c r="AQ6" s="18"/>
    </row>
    <row r="8" spans="2:43" x14ac:dyDescent="0.2">
      <c r="B8" s="1" t="s">
        <v>75</v>
      </c>
      <c r="O8" s="1">
        <v>394434</v>
      </c>
      <c r="P8" s="1">
        <v>466268</v>
      </c>
      <c r="S8" s="1">
        <v>590072</v>
      </c>
      <c r="T8" s="1">
        <v>640209</v>
      </c>
      <c r="W8" s="1">
        <f>+AVERAGE(740000,750000)</f>
        <v>745000</v>
      </c>
      <c r="AA8" s="1">
        <v>1140469</v>
      </c>
      <c r="AB8" s="1">
        <v>1938783</v>
      </c>
      <c r="AC8" s="1">
        <f>2666.8*1000</f>
        <v>2666800</v>
      </c>
      <c r="AD8" s="1">
        <v>3250000</v>
      </c>
    </row>
    <row r="9" spans="2:43" x14ac:dyDescent="0.2">
      <c r="B9" s="1" t="s">
        <v>76</v>
      </c>
      <c r="O9" s="1">
        <v>27937</v>
      </c>
      <c r="P9" s="1">
        <v>30980</v>
      </c>
      <c r="S9" s="1">
        <v>33527</v>
      </c>
      <c r="T9" s="1">
        <v>33809</v>
      </c>
      <c r="W9" s="1">
        <v>34000</v>
      </c>
      <c r="AA9" s="1">
        <v>78858</v>
      </c>
      <c r="AB9" s="1">
        <v>126876</v>
      </c>
      <c r="AC9" s="1">
        <f>+AC10-AC8</f>
        <v>139689</v>
      </c>
      <c r="AD9" s="1">
        <f>+AD10-AD8</f>
        <v>717961.37385245925</v>
      </c>
    </row>
    <row r="10" spans="2:43" s="9" customFormat="1" x14ac:dyDescent="0.2">
      <c r="B10" s="9" t="s">
        <v>27</v>
      </c>
      <c r="C10" s="9">
        <v>43705</v>
      </c>
      <c r="D10" s="9">
        <v>60339</v>
      </c>
      <c r="E10" s="9">
        <v>73012</v>
      </c>
      <c r="F10" s="9">
        <v>87692</v>
      </c>
      <c r="G10" s="9">
        <v>108815</v>
      </c>
      <c r="H10" s="9">
        <v>133145</v>
      </c>
      <c r="I10" s="9">
        <v>159624</v>
      </c>
      <c r="J10" s="9">
        <f>+Z10-SUM(G10:I10)</f>
        <v>190465</v>
      </c>
      <c r="K10" s="9">
        <v>228914</v>
      </c>
      <c r="L10" s="9">
        <v>272198</v>
      </c>
      <c r="M10" s="9">
        <v>334441</v>
      </c>
      <c r="N10" s="9">
        <f t="shared" ref="N10:N22" si="4">+AA10-SUM(K10:M10)</f>
        <v>383774</v>
      </c>
      <c r="O10" s="9">
        <v>422371</v>
      </c>
      <c r="P10" s="9">
        <f>SUM(P8:P9)</f>
        <v>497248</v>
      </c>
      <c r="Q10" s="9">
        <v>557028</v>
      </c>
      <c r="R10" s="9">
        <f t="shared" ref="R10:R22" si="5">+AB10-SUM(O10:Q10)</f>
        <v>589012</v>
      </c>
      <c r="S10" s="9">
        <f>SUM(S8:S9)</f>
        <v>623599</v>
      </c>
      <c r="T10" s="9">
        <f>SUM(T8:T9)</f>
        <v>674018</v>
      </c>
      <c r="U10" s="9">
        <v>734173</v>
      </c>
      <c r="V10" s="9">
        <f>+AC10-SUM(S10:U10)</f>
        <v>774699</v>
      </c>
      <c r="W10" s="9">
        <f>+SUM(W8:W9)</f>
        <v>779000</v>
      </c>
      <c r="Y10" s="9">
        <v>264748</v>
      </c>
      <c r="Z10" s="9">
        <v>592049</v>
      </c>
      <c r="AA10" s="9">
        <f>SUM(AA8:AA9)</f>
        <v>1219327</v>
      </c>
      <c r="AB10" s="9">
        <f>SUM(AB8:AB9)</f>
        <v>2065659</v>
      </c>
      <c r="AC10" s="9">
        <v>2806489</v>
      </c>
      <c r="AD10" s="9">
        <f>+AC4*AC5</f>
        <v>3967961.3738524592</v>
      </c>
      <c r="AE10" s="9">
        <f>+AD4*AD5</f>
        <v>5158349.7860081969</v>
      </c>
      <c r="AF10" s="9">
        <f>+AE4*AE5</f>
        <v>6705854.7218106557</v>
      </c>
      <c r="AG10" s="9">
        <f>+AF4*AF5</f>
        <v>8717611.1383538526</v>
      </c>
      <c r="AH10" s="9">
        <f t="shared" ref="AE10:AM10" si="6">+AG4*AG5</f>
        <v>11332894.479860008</v>
      </c>
      <c r="AI10" s="9">
        <f t="shared" si="6"/>
        <v>14732762.823818011</v>
      </c>
      <c r="AJ10" s="9">
        <f t="shared" si="6"/>
        <v>19152591.670963418</v>
      </c>
      <c r="AK10" s="9">
        <f t="shared" si="6"/>
        <v>24898369.172252443</v>
      </c>
      <c r="AL10" s="9">
        <f t="shared" si="6"/>
        <v>32367879.923928175</v>
      </c>
      <c r="AM10" s="9">
        <f t="shared" si="6"/>
        <v>42078243.901106626</v>
      </c>
      <c r="AQ10" s="19"/>
    </row>
    <row r="11" spans="2:43" s="8" customFormat="1" x14ac:dyDescent="0.2">
      <c r="B11" s="8" t="s">
        <v>19</v>
      </c>
      <c r="C11" s="8">
        <v>24038</v>
      </c>
      <c r="D11" s="8">
        <v>28508</v>
      </c>
      <c r="E11" s="8">
        <v>29489</v>
      </c>
      <c r="F11" s="8">
        <v>34522</v>
      </c>
      <c r="G11" s="8">
        <v>42557</v>
      </c>
      <c r="H11" s="8">
        <v>50446</v>
      </c>
      <c r="I11" s="8">
        <v>66681</v>
      </c>
      <c r="J11" s="8">
        <f t="shared" ref="J11:J24" si="7">+Z11-SUM(G11:I11)</f>
        <v>82904</v>
      </c>
      <c r="K11" s="8">
        <v>97346</v>
      </c>
      <c r="L11" s="8">
        <v>106121</v>
      </c>
      <c r="M11" s="8">
        <v>120786</v>
      </c>
      <c r="N11" s="8">
        <f t="shared" si="4"/>
        <v>134180</v>
      </c>
      <c r="O11" s="8">
        <v>147930</v>
      </c>
      <c r="P11" s="8">
        <v>173232</v>
      </c>
      <c r="Q11" s="8">
        <v>190721</v>
      </c>
      <c r="R11" s="8">
        <f t="shared" si="5"/>
        <v>205657</v>
      </c>
      <c r="S11" s="8">
        <v>209414</v>
      </c>
      <c r="T11" s="8">
        <v>218392</v>
      </c>
      <c r="U11" s="8">
        <v>228948</v>
      </c>
      <c r="V11" s="15">
        <f>+AC11-SUM(S11:U11)</f>
        <v>241804</v>
      </c>
      <c r="Y11" s="8">
        <v>116557</v>
      </c>
      <c r="Z11" s="8">
        <v>242588</v>
      </c>
      <c r="AA11" s="8">
        <v>458433</v>
      </c>
      <c r="AB11" s="8">
        <v>717540</v>
      </c>
      <c r="AC11" s="8">
        <v>898558</v>
      </c>
      <c r="AQ11" s="18"/>
    </row>
    <row r="12" spans="2:43" s="8" customFormat="1" x14ac:dyDescent="0.2">
      <c r="B12" s="8" t="s">
        <v>28</v>
      </c>
      <c r="C12" s="8">
        <f t="shared" ref="C12:I12" si="8">+C10-C11</f>
        <v>19667</v>
      </c>
      <c r="D12" s="8">
        <f t="shared" si="8"/>
        <v>31831</v>
      </c>
      <c r="E12" s="8">
        <f t="shared" si="8"/>
        <v>43523</v>
      </c>
      <c r="F12" s="8">
        <f t="shared" si="8"/>
        <v>53170</v>
      </c>
      <c r="G12" s="8">
        <f t="shared" si="8"/>
        <v>66258</v>
      </c>
      <c r="H12" s="8">
        <f t="shared" si="8"/>
        <v>82699</v>
      </c>
      <c r="I12" s="8">
        <f t="shared" si="8"/>
        <v>92943</v>
      </c>
      <c r="J12" s="8">
        <f t="shared" si="7"/>
        <v>107561</v>
      </c>
      <c r="K12" s="8">
        <f>+K10-K11</f>
        <v>131568</v>
      </c>
      <c r="L12" s="8">
        <f>+L10-L11</f>
        <v>166077</v>
      </c>
      <c r="M12" s="8">
        <f>+M10-M11</f>
        <v>213655</v>
      </c>
      <c r="N12" s="8">
        <f t="shared" si="4"/>
        <v>249594</v>
      </c>
      <c r="O12" s="8">
        <f>+O10-O11</f>
        <v>274441</v>
      </c>
      <c r="P12" s="8">
        <f>+P10-P11</f>
        <v>324016</v>
      </c>
      <c r="Q12" s="8">
        <f>+Q10-Q11</f>
        <v>366307</v>
      </c>
      <c r="R12" s="8">
        <f t="shared" si="5"/>
        <v>383355</v>
      </c>
      <c r="S12" s="8">
        <f>+S10-S11</f>
        <v>414185</v>
      </c>
      <c r="T12" s="8">
        <f>+T10-T11</f>
        <v>455626</v>
      </c>
      <c r="U12" s="8">
        <f>+U10-U11</f>
        <v>505225</v>
      </c>
      <c r="V12" s="15">
        <f t="shared" ref="V12:V24" si="9">+AC12-SUM(S12:U12)</f>
        <v>532895</v>
      </c>
      <c r="Y12" s="8">
        <f>+Y10-Y11</f>
        <v>148191</v>
      </c>
      <c r="Z12" s="8">
        <f>+Z10-Z11</f>
        <v>349461</v>
      </c>
      <c r="AA12" s="8">
        <f>+AA10-AA11</f>
        <v>760894</v>
      </c>
      <c r="AB12" s="8">
        <f>+AB10-AB11</f>
        <v>1348119</v>
      </c>
      <c r="AC12" s="8">
        <f>+AC10-AC11</f>
        <v>1907931</v>
      </c>
      <c r="AQ12" s="18"/>
    </row>
    <row r="13" spans="2:43" s="8" customFormat="1" x14ac:dyDescent="0.2">
      <c r="B13" s="8" t="s">
        <v>29</v>
      </c>
      <c r="C13" s="8">
        <v>64052</v>
      </c>
      <c r="D13" s="8">
        <v>73413</v>
      </c>
      <c r="E13" s="8">
        <v>75668</v>
      </c>
      <c r="F13" s="8">
        <v>80444</v>
      </c>
      <c r="G13" s="8">
        <v>97877</v>
      </c>
      <c r="H13" s="8">
        <v>92663</v>
      </c>
      <c r="I13" s="8">
        <v>134727</v>
      </c>
      <c r="J13" s="8">
        <f t="shared" si="7"/>
        <v>154050</v>
      </c>
      <c r="K13" s="8">
        <v>166804</v>
      </c>
      <c r="L13" s="8">
        <v>182903</v>
      </c>
      <c r="M13" s="8">
        <v>190971</v>
      </c>
      <c r="N13" s="8">
        <f t="shared" si="4"/>
        <v>203287</v>
      </c>
      <c r="O13" s="8">
        <v>243912</v>
      </c>
      <c r="P13" s="8">
        <v>274645</v>
      </c>
      <c r="Q13" s="8">
        <v>284477</v>
      </c>
      <c r="R13" s="8">
        <f t="shared" si="5"/>
        <v>303473</v>
      </c>
      <c r="S13" s="8">
        <v>331558</v>
      </c>
      <c r="T13" s="8">
        <v>343288</v>
      </c>
      <c r="U13" s="8">
        <v>355079</v>
      </c>
      <c r="V13" s="15">
        <f t="shared" si="9"/>
        <v>361822</v>
      </c>
      <c r="Y13" s="8">
        <v>293577</v>
      </c>
      <c r="Z13" s="8">
        <v>479317</v>
      </c>
      <c r="AA13" s="8">
        <v>743965</v>
      </c>
      <c r="AB13" s="8">
        <v>1106507</v>
      </c>
      <c r="AC13" s="8">
        <v>1391747</v>
      </c>
      <c r="AQ13" s="18"/>
    </row>
    <row r="14" spans="2:43" s="8" customFormat="1" x14ac:dyDescent="0.2">
      <c r="B14" s="8" t="s">
        <v>30</v>
      </c>
      <c r="C14" s="8">
        <v>21618</v>
      </c>
      <c r="D14" s="8">
        <v>26164</v>
      </c>
      <c r="E14" s="8">
        <v>27669</v>
      </c>
      <c r="F14" s="8">
        <v>29709</v>
      </c>
      <c r="G14" s="8">
        <v>33278</v>
      </c>
      <c r="H14" s="8">
        <v>36533</v>
      </c>
      <c r="I14" s="8">
        <v>74138</v>
      </c>
      <c r="J14" s="8">
        <f t="shared" si="7"/>
        <v>93997</v>
      </c>
      <c r="K14" s="8">
        <v>109796</v>
      </c>
      <c r="L14" s="8">
        <v>118087</v>
      </c>
      <c r="M14" s="8">
        <v>115900</v>
      </c>
      <c r="N14" s="8">
        <f t="shared" si="4"/>
        <v>123149</v>
      </c>
      <c r="O14" s="8">
        <v>150798</v>
      </c>
      <c r="P14" s="8">
        <v>183748</v>
      </c>
      <c r="Q14" s="8">
        <v>211387</v>
      </c>
      <c r="R14" s="8">
        <f t="shared" si="5"/>
        <v>242125</v>
      </c>
      <c r="S14" s="8">
        <v>277412</v>
      </c>
      <c r="T14" s="8">
        <v>313996</v>
      </c>
      <c r="U14" s="8">
        <v>332065</v>
      </c>
      <c r="V14" s="15">
        <f t="shared" si="9"/>
        <v>364476</v>
      </c>
      <c r="Y14" s="8">
        <v>105160</v>
      </c>
      <c r="Z14" s="8">
        <v>237946</v>
      </c>
      <c r="AA14" s="8">
        <v>466932</v>
      </c>
      <c r="AB14" s="8">
        <v>788058</v>
      </c>
      <c r="AC14" s="8">
        <v>1287949</v>
      </c>
      <c r="AQ14" s="18"/>
    </row>
    <row r="15" spans="2:43" s="8" customFormat="1" x14ac:dyDescent="0.2">
      <c r="B15" s="8" t="s">
        <v>31</v>
      </c>
      <c r="C15" s="8">
        <v>21272</v>
      </c>
      <c r="D15" s="8">
        <v>27823</v>
      </c>
      <c r="E15" s="8">
        <v>30318</v>
      </c>
      <c r="F15" s="8">
        <v>28129</v>
      </c>
      <c r="G15" s="8">
        <v>31506</v>
      </c>
      <c r="H15" s="8">
        <v>31186</v>
      </c>
      <c r="I15" s="8">
        <v>53532</v>
      </c>
      <c r="J15" s="8">
        <f t="shared" si="7"/>
        <v>59911</v>
      </c>
      <c r="K15" s="8">
        <v>60563</v>
      </c>
      <c r="L15" s="8">
        <v>65228</v>
      </c>
      <c r="M15" s="8">
        <v>64055</v>
      </c>
      <c r="N15" s="8">
        <f t="shared" si="4"/>
        <v>75187</v>
      </c>
      <c r="O15" s="8">
        <v>68497</v>
      </c>
      <c r="P15" s="8">
        <v>73355</v>
      </c>
      <c r="Q15" s="8">
        <v>76462</v>
      </c>
      <c r="R15" s="8">
        <f t="shared" si="5"/>
        <v>77507</v>
      </c>
      <c r="S15" s="8">
        <v>78453</v>
      </c>
      <c r="T15" s="8">
        <v>83749</v>
      </c>
      <c r="U15" s="8">
        <v>78704</v>
      </c>
      <c r="V15" s="15">
        <f t="shared" si="9"/>
        <v>82102</v>
      </c>
      <c r="Y15" s="8">
        <v>107542</v>
      </c>
      <c r="Z15" s="8">
        <v>176135</v>
      </c>
      <c r="AA15" s="8">
        <v>265033</v>
      </c>
      <c r="AB15" s="8">
        <v>295821</v>
      </c>
      <c r="AC15" s="8">
        <v>323008</v>
      </c>
      <c r="AQ15" s="18"/>
    </row>
    <row r="16" spans="2:43" s="8" customFormat="1" x14ac:dyDescent="0.2">
      <c r="B16" s="8" t="s">
        <v>32</v>
      </c>
      <c r="C16" s="8">
        <f t="shared" ref="C16:I16" si="10">+SUM(C13:C15)</f>
        <v>106942</v>
      </c>
      <c r="D16" s="8">
        <f t="shared" si="10"/>
        <v>127400</v>
      </c>
      <c r="E16" s="8">
        <f t="shared" si="10"/>
        <v>133655</v>
      </c>
      <c r="F16" s="8">
        <f t="shared" si="10"/>
        <v>138282</v>
      </c>
      <c r="G16" s="8">
        <f t="shared" si="10"/>
        <v>162661</v>
      </c>
      <c r="H16" s="8">
        <f t="shared" si="10"/>
        <v>160382</v>
      </c>
      <c r="I16" s="8">
        <f t="shared" si="10"/>
        <v>262397</v>
      </c>
      <c r="J16" s="8">
        <f t="shared" si="7"/>
        <v>307958</v>
      </c>
      <c r="K16" s="8">
        <f>+SUM(K13:K15)</f>
        <v>337163</v>
      </c>
      <c r="L16" s="8">
        <f>+SUM(L13:L15)</f>
        <v>366218</v>
      </c>
      <c r="M16" s="8">
        <f>+SUM(M13:M15)</f>
        <v>370926</v>
      </c>
      <c r="N16" s="8">
        <f t="shared" si="4"/>
        <v>401623</v>
      </c>
      <c r="O16" s="8">
        <f>+SUM(O13:O15)</f>
        <v>463207</v>
      </c>
      <c r="P16" s="8">
        <f>+SUM(P13:P15)</f>
        <v>531748</v>
      </c>
      <c r="Q16" s="8">
        <f>+SUM(Q13:Q15)</f>
        <v>572326</v>
      </c>
      <c r="R16" s="8">
        <f t="shared" si="5"/>
        <v>623105</v>
      </c>
      <c r="S16" s="8">
        <f>+SUM(S13:S15)</f>
        <v>687423</v>
      </c>
      <c r="T16" s="8">
        <f>+SUM(T13:T15)</f>
        <v>741033</v>
      </c>
      <c r="U16" s="8">
        <f>+SUM(U13:U15)</f>
        <v>765848</v>
      </c>
      <c r="V16" s="15">
        <f t="shared" si="9"/>
        <v>808400</v>
      </c>
      <c r="Y16" s="8">
        <f>+SUM(Y13:Y15)</f>
        <v>506279</v>
      </c>
      <c r="Z16" s="8">
        <f>+SUM(Z13:Z15)</f>
        <v>893398</v>
      </c>
      <c r="AA16" s="8">
        <f>+SUM(AA13:AA15)</f>
        <v>1475930</v>
      </c>
      <c r="AB16" s="8">
        <f>+SUM(AB13:AB15)</f>
        <v>2190386</v>
      </c>
      <c r="AC16" s="8">
        <f>+SUM(AC13:AC15)</f>
        <v>3002704</v>
      </c>
      <c r="AQ16" s="18"/>
    </row>
    <row r="17" spans="2:51" s="8" customFormat="1" x14ac:dyDescent="0.2">
      <c r="B17" s="8" t="s">
        <v>26</v>
      </c>
      <c r="C17" s="8">
        <f t="shared" ref="C17:I17" si="11">+C12-C16</f>
        <v>-87275</v>
      </c>
      <c r="D17" s="8">
        <f t="shared" si="11"/>
        <v>-95569</v>
      </c>
      <c r="E17" s="8">
        <f t="shared" si="11"/>
        <v>-90132</v>
      </c>
      <c r="F17" s="8">
        <f t="shared" si="11"/>
        <v>-85112</v>
      </c>
      <c r="G17" s="8">
        <f t="shared" si="11"/>
        <v>-96403</v>
      </c>
      <c r="H17" s="8">
        <f t="shared" si="11"/>
        <v>-77683</v>
      </c>
      <c r="I17" s="8">
        <f t="shared" si="11"/>
        <v>-169454</v>
      </c>
      <c r="J17" s="8">
        <f t="shared" si="7"/>
        <v>-200397</v>
      </c>
      <c r="K17" s="8">
        <f>+K12-K16</f>
        <v>-205595</v>
      </c>
      <c r="L17" s="8">
        <f>+L12-L16</f>
        <v>-200141</v>
      </c>
      <c r="M17" s="8">
        <f>+M12-M16</f>
        <v>-157271</v>
      </c>
      <c r="N17" s="8">
        <f t="shared" si="4"/>
        <v>-152029</v>
      </c>
      <c r="O17" s="8">
        <f>+O12-O16</f>
        <v>-188766</v>
      </c>
      <c r="P17" s="8">
        <f>+P12-P16</f>
        <v>-207732</v>
      </c>
      <c r="Q17" s="8">
        <f>+Q12-Q16</f>
        <v>-206019</v>
      </c>
      <c r="R17" s="8">
        <f t="shared" si="5"/>
        <v>-239750</v>
      </c>
      <c r="S17" s="8">
        <f>+S12-S16</f>
        <v>-273238</v>
      </c>
      <c r="T17" s="8">
        <f>+T12-T16</f>
        <v>-285407</v>
      </c>
      <c r="U17" s="8">
        <f>+U12-U16</f>
        <v>-260623</v>
      </c>
      <c r="V17" s="15">
        <f t="shared" si="9"/>
        <v>-275505</v>
      </c>
      <c r="Y17" s="8">
        <f>+Y12-Y16</f>
        <v>-358088</v>
      </c>
      <c r="Z17" s="8">
        <f>+Z12-Z16</f>
        <v>-543937</v>
      </c>
      <c r="AA17" s="8">
        <f>+AA12-AA16</f>
        <v>-715036</v>
      </c>
      <c r="AB17" s="8">
        <f>+AB12-AB16</f>
        <v>-842267</v>
      </c>
      <c r="AC17" s="8">
        <f>+AC12-AC16</f>
        <v>-1094773</v>
      </c>
      <c r="AQ17" s="18"/>
    </row>
    <row r="18" spans="2:51" s="8" customFormat="1" x14ac:dyDescent="0.2">
      <c r="B18" s="8" t="s">
        <v>33</v>
      </c>
      <c r="C18" s="8">
        <v>3594</v>
      </c>
      <c r="D18" s="8">
        <v>3167</v>
      </c>
      <c r="E18" s="8">
        <v>2491</v>
      </c>
      <c r="F18" s="8">
        <v>2299</v>
      </c>
      <c r="G18" s="8">
        <v>2448</v>
      </c>
      <c r="H18" s="8">
        <v>1689</v>
      </c>
      <c r="I18" s="8">
        <v>1517</v>
      </c>
      <c r="J18" s="8">
        <f t="shared" si="7"/>
        <v>1853</v>
      </c>
      <c r="K18" s="8">
        <v>2612</v>
      </c>
      <c r="L18" s="8">
        <v>2190</v>
      </c>
      <c r="M18" s="8">
        <v>1985</v>
      </c>
      <c r="N18" s="8">
        <f t="shared" si="4"/>
        <v>2342</v>
      </c>
      <c r="O18" s="8">
        <v>4759</v>
      </c>
      <c r="P18" s="8">
        <v>11692</v>
      </c>
      <c r="Q18" s="8">
        <v>21857</v>
      </c>
      <c r="R18" s="8">
        <f t="shared" si="5"/>
        <v>35531</v>
      </c>
      <c r="S18" s="8">
        <v>43131</v>
      </c>
      <c r="T18" s="8">
        <v>50280</v>
      </c>
      <c r="U18" s="8">
        <v>53491</v>
      </c>
      <c r="V18" s="15">
        <f t="shared" si="9"/>
        <v>53761</v>
      </c>
      <c r="Y18" s="8">
        <v>11551</v>
      </c>
      <c r="Z18" s="8">
        <v>7507</v>
      </c>
      <c r="AA18" s="8">
        <v>9129</v>
      </c>
      <c r="AB18" s="8">
        <v>73839</v>
      </c>
      <c r="AC18" s="8">
        <v>200663</v>
      </c>
      <c r="AQ18" s="18"/>
    </row>
    <row r="19" spans="2:51" s="8" customFormat="1" x14ac:dyDescent="0.2">
      <c r="B19" s="8" t="s">
        <v>34</v>
      </c>
      <c r="C19" s="8">
        <v>-287</v>
      </c>
      <c r="D19" s="8">
        <v>-492</v>
      </c>
      <c r="E19" s="8">
        <v>-40</v>
      </c>
      <c r="F19" s="8">
        <v>-186</v>
      </c>
      <c r="G19" s="8">
        <v>67</v>
      </c>
      <c r="H19" s="8">
        <v>-1109</v>
      </c>
      <c r="I19" s="8">
        <v>-519</v>
      </c>
      <c r="J19" s="8">
        <f t="shared" si="7"/>
        <v>951</v>
      </c>
      <c r="K19" s="8">
        <v>-488</v>
      </c>
      <c r="L19" s="8">
        <v>8746</v>
      </c>
      <c r="M19" s="8">
        <v>1609</v>
      </c>
      <c r="N19" s="8">
        <f t="shared" si="4"/>
        <v>19080</v>
      </c>
      <c r="O19" s="8">
        <v>-8481</v>
      </c>
      <c r="P19" s="8">
        <v>-22920</v>
      </c>
      <c r="Q19" s="8">
        <v>-13271</v>
      </c>
      <c r="R19" s="8">
        <f t="shared" si="5"/>
        <v>-2893</v>
      </c>
      <c r="S19" s="8">
        <v>-2562</v>
      </c>
      <c r="T19" s="8">
        <v>4086</v>
      </c>
      <c r="U19" s="8">
        <v>-4170</v>
      </c>
      <c r="V19" s="15">
        <f t="shared" si="9"/>
        <v>47533</v>
      </c>
      <c r="Y19" s="8">
        <v>-1005</v>
      </c>
      <c r="Z19" s="8">
        <v>-610</v>
      </c>
      <c r="AA19" s="8">
        <v>28947</v>
      </c>
      <c r="AB19" s="8">
        <v>-47565</v>
      </c>
      <c r="AC19" s="8">
        <v>44887</v>
      </c>
      <c r="AQ19" s="18"/>
    </row>
    <row r="20" spans="2:51" s="8" customFormat="1" x14ac:dyDescent="0.2">
      <c r="B20" s="8" t="s">
        <v>35</v>
      </c>
      <c r="C20" s="8">
        <f t="shared" ref="C20:I20" si="12">+SUM(C17:C19)</f>
        <v>-83968</v>
      </c>
      <c r="D20" s="8">
        <f t="shared" si="12"/>
        <v>-92894</v>
      </c>
      <c r="E20" s="8">
        <f t="shared" si="12"/>
        <v>-87681</v>
      </c>
      <c r="F20" s="8">
        <f t="shared" si="12"/>
        <v>-82999</v>
      </c>
      <c r="G20" s="8">
        <f t="shared" si="12"/>
        <v>-93888</v>
      </c>
      <c r="H20" s="8">
        <f t="shared" si="12"/>
        <v>-77103</v>
      </c>
      <c r="I20" s="8">
        <f t="shared" si="12"/>
        <v>-168456</v>
      </c>
      <c r="J20" s="8">
        <f t="shared" si="7"/>
        <v>-197593</v>
      </c>
      <c r="K20" s="8">
        <f>+SUM(K17:K19)</f>
        <v>-203471</v>
      </c>
      <c r="L20" s="8">
        <f>+SUM(L17:L19)</f>
        <v>-189205</v>
      </c>
      <c r="M20" s="8">
        <f>+SUM(M17:M19)</f>
        <v>-153677</v>
      </c>
      <c r="N20" s="8">
        <f t="shared" si="4"/>
        <v>-130607</v>
      </c>
      <c r="O20" s="8">
        <f>+SUM(O17:O19)</f>
        <v>-192488</v>
      </c>
      <c r="P20" s="8">
        <f>+SUM(P17:P19)</f>
        <v>-218960</v>
      </c>
      <c r="Q20" s="8">
        <f>+SUM(Q17:Q19)</f>
        <v>-197433</v>
      </c>
      <c r="R20" s="8">
        <f t="shared" si="5"/>
        <v>-207112</v>
      </c>
      <c r="S20" s="8">
        <f>+SUM(S17:S19)</f>
        <v>-232669</v>
      </c>
      <c r="T20" s="8">
        <f>+SUM(T17:T19)</f>
        <v>-231041</v>
      </c>
      <c r="U20" s="8">
        <f>+SUM(U17:U19)</f>
        <v>-211302</v>
      </c>
      <c r="V20" s="15">
        <f t="shared" si="9"/>
        <v>-174211</v>
      </c>
      <c r="Y20" s="8">
        <f>+SUM(Y17:Y19)</f>
        <v>-347542</v>
      </c>
      <c r="Z20" s="8">
        <f>+SUM(Z17:Z19)</f>
        <v>-537040</v>
      </c>
      <c r="AA20" s="8">
        <f>+SUM(AA17:AA19)</f>
        <v>-676960</v>
      </c>
      <c r="AB20" s="8">
        <f>+SUM(AB17:AB19)</f>
        <v>-815993</v>
      </c>
      <c r="AC20" s="8">
        <f>+SUM(AC17:AC19)</f>
        <v>-849223</v>
      </c>
      <c r="AQ20" s="18"/>
    </row>
    <row r="21" spans="2:51" s="8" customFormat="1" x14ac:dyDescent="0.2">
      <c r="B21" s="8" t="s">
        <v>36</v>
      </c>
      <c r="C21" s="8">
        <v>-159</v>
      </c>
      <c r="D21" s="8">
        <v>521</v>
      </c>
      <c r="E21" s="8">
        <v>376</v>
      </c>
      <c r="F21" s="8">
        <v>255</v>
      </c>
      <c r="G21" s="8">
        <v>-244</v>
      </c>
      <c r="H21" s="8">
        <v>531</v>
      </c>
      <c r="I21" s="8">
        <v>433</v>
      </c>
      <c r="J21" s="8">
        <f t="shared" si="7"/>
        <v>1342</v>
      </c>
      <c r="K21" s="8">
        <v>-251</v>
      </c>
      <c r="L21" s="8">
        <v>514</v>
      </c>
      <c r="M21" s="8">
        <v>1179</v>
      </c>
      <c r="N21" s="8">
        <f t="shared" si="4"/>
        <v>1546</v>
      </c>
      <c r="O21" s="8">
        <v>-26694</v>
      </c>
      <c r="P21" s="8">
        <v>3846</v>
      </c>
      <c r="Q21" s="8">
        <v>4009</v>
      </c>
      <c r="R21" s="8">
        <f t="shared" si="5"/>
        <v>372</v>
      </c>
      <c r="S21" s="8">
        <v>-6605</v>
      </c>
      <c r="T21" s="8">
        <v>-3721</v>
      </c>
      <c r="U21" s="8">
        <v>3391</v>
      </c>
      <c r="V21" s="15">
        <f t="shared" si="9"/>
        <v>-4298</v>
      </c>
      <c r="Y21" s="8">
        <v>993</v>
      </c>
      <c r="Z21" s="8">
        <v>2062</v>
      </c>
      <c r="AA21" s="8">
        <v>2988</v>
      </c>
      <c r="AB21" s="8">
        <v>-18467</v>
      </c>
      <c r="AC21" s="8">
        <v>-11233</v>
      </c>
      <c r="AQ21" s="18"/>
    </row>
    <row r="22" spans="2:51" s="9" customFormat="1" x14ac:dyDescent="0.2">
      <c r="B22" s="9" t="s">
        <v>37</v>
      </c>
      <c r="C22" s="9">
        <f t="shared" ref="C22:I22" si="13">+C20-C21</f>
        <v>-83809</v>
      </c>
      <c r="D22" s="9">
        <f t="shared" si="13"/>
        <v>-93415</v>
      </c>
      <c r="E22" s="9">
        <f t="shared" si="13"/>
        <v>-88057</v>
      </c>
      <c r="F22" s="9">
        <f t="shared" si="13"/>
        <v>-83254</v>
      </c>
      <c r="G22" s="9">
        <f t="shared" si="13"/>
        <v>-93644</v>
      </c>
      <c r="H22" s="9">
        <f t="shared" si="13"/>
        <v>-77634</v>
      </c>
      <c r="I22" s="9">
        <f t="shared" si="13"/>
        <v>-168889</v>
      </c>
      <c r="J22" s="9">
        <f t="shared" si="7"/>
        <v>-198935</v>
      </c>
      <c r="K22" s="9">
        <f>+K20-K21</f>
        <v>-203220</v>
      </c>
      <c r="L22" s="9">
        <f>+L20-L21</f>
        <v>-189719</v>
      </c>
      <c r="M22" s="9">
        <f>+M20-M21</f>
        <v>-154856</v>
      </c>
      <c r="N22" s="9">
        <f t="shared" si="4"/>
        <v>-132153</v>
      </c>
      <c r="O22" s="9">
        <f>+O20-O21</f>
        <v>-165794</v>
      </c>
      <c r="P22" s="9">
        <f>+P20-P21</f>
        <v>-222806</v>
      </c>
      <c r="Q22" s="9">
        <f>+Q20-Q21</f>
        <v>-201442</v>
      </c>
      <c r="R22" s="9">
        <f t="shared" si="5"/>
        <v>-207484</v>
      </c>
      <c r="S22" s="9">
        <f>+S20-S21</f>
        <v>-226064</v>
      </c>
      <c r="T22" s="9">
        <f>+T20-T21</f>
        <v>-227320</v>
      </c>
      <c r="U22" s="9">
        <f>+U20-U21</f>
        <v>-214693</v>
      </c>
      <c r="V22" s="15">
        <f t="shared" si="9"/>
        <v>-169913</v>
      </c>
      <c r="X22" s="8"/>
      <c r="Y22" s="9">
        <f>+Y20-Y21</f>
        <v>-348535</v>
      </c>
      <c r="Z22" s="9">
        <f>+Z20-Z21</f>
        <v>-539102</v>
      </c>
      <c r="AA22" s="9">
        <f>+AA20-AA21</f>
        <v>-679948</v>
      </c>
      <c r="AB22" s="9">
        <f>+AB20-AB21</f>
        <v>-797526</v>
      </c>
      <c r="AC22" s="9">
        <f>+AC20-AC21</f>
        <v>-837990</v>
      </c>
      <c r="AQ22" s="19"/>
    </row>
    <row r="23" spans="2:51" s="8" customFormat="1" x14ac:dyDescent="0.2">
      <c r="B23" s="8" t="s">
        <v>39</v>
      </c>
      <c r="C23" s="8">
        <f>+C22/C24</f>
        <v>40487.439613526571</v>
      </c>
      <c r="D23" s="8">
        <f>+D22/D24</f>
        <v>42850.917431192654</v>
      </c>
      <c r="E23" s="8">
        <f>+E22/E24</f>
        <v>45863.020833333336</v>
      </c>
      <c r="F23" s="8">
        <f>+F22/F24</f>
        <v>49852.694610778446</v>
      </c>
      <c r="G23" s="8">
        <v>54304.137999999999</v>
      </c>
      <c r="H23" s="8">
        <v>59260.644999999997</v>
      </c>
      <c r="I23" s="8">
        <v>166868.20000000001</v>
      </c>
      <c r="J23" s="8">
        <f>+J22/J24</f>
        <v>-829860.32232308632</v>
      </c>
      <c r="K23" s="8">
        <v>291386</v>
      </c>
      <c r="L23" s="8">
        <v>297717</v>
      </c>
      <c r="M23" s="8">
        <v>303007</v>
      </c>
      <c r="N23" s="8">
        <f>+N22/N24</f>
        <v>315629.14098958013</v>
      </c>
      <c r="O23" s="8">
        <v>314361</v>
      </c>
      <c r="P23" s="8">
        <v>18356</v>
      </c>
      <c r="Q23" s="8">
        <v>320135</v>
      </c>
      <c r="R23" s="8">
        <f>+R22/R24</f>
        <v>-19224.851711459014</v>
      </c>
      <c r="S23" s="8">
        <v>324157</v>
      </c>
      <c r="T23" s="8">
        <v>327335</v>
      </c>
      <c r="U23" s="8">
        <v>329310</v>
      </c>
      <c r="V23" s="15">
        <f>+V22/V24</f>
        <v>332481.77802845102</v>
      </c>
      <c r="Y23" s="8">
        <v>44847.442000000003</v>
      </c>
      <c r="Z23" s="8">
        <v>141613</v>
      </c>
      <c r="AA23" s="8">
        <v>300273</v>
      </c>
      <c r="AB23" s="8">
        <v>318730</v>
      </c>
      <c r="AC23" s="8">
        <v>328001</v>
      </c>
      <c r="AQ23" s="18"/>
    </row>
    <row r="24" spans="2:51" s="5" customFormat="1" x14ac:dyDescent="0.2">
      <c r="B24" s="5" t="s">
        <v>38</v>
      </c>
      <c r="C24" s="5">
        <v>-2.0699999999999998</v>
      </c>
      <c r="D24" s="5">
        <v>-2.1800000000000002</v>
      </c>
      <c r="E24" s="5">
        <v>-1.92</v>
      </c>
      <c r="F24" s="5">
        <v>-1.67</v>
      </c>
      <c r="G24" s="5">
        <f>+G22/G23</f>
        <v>-1.7244358063468386</v>
      </c>
      <c r="H24" s="5">
        <f>+H22/H23</f>
        <v>-1.3100431154605219</v>
      </c>
      <c r="I24" s="5">
        <f>+I22/I23</f>
        <v>-1.0121101563988824</v>
      </c>
      <c r="J24" s="5">
        <f t="shared" si="7"/>
        <v>0.23972106467641119</v>
      </c>
      <c r="K24" s="5">
        <f>+K22/K23</f>
        <v>-0.69742540822139709</v>
      </c>
      <c r="L24" s="5">
        <f>+L22/L23</f>
        <v>-0.63724610956042149</v>
      </c>
      <c r="M24" s="5">
        <f>+M22/M23</f>
        <v>-0.51106410082935383</v>
      </c>
      <c r="N24" s="5">
        <f>+AA24-SUM(K24:M24)</f>
        <v>-0.41869708096554614</v>
      </c>
      <c r="O24" s="5">
        <f>+O22/O23</f>
        <v>-0.52740002735708313</v>
      </c>
      <c r="P24" s="5">
        <f>+P22/P23</f>
        <v>-12.13804750490303</v>
      </c>
      <c r="Q24" s="5">
        <f>+Q22/Q23</f>
        <v>-0.62924078904212288</v>
      </c>
      <c r="R24" s="5">
        <f>+AB24-SUM(O24:Q24)</f>
        <v>10.792488967617301</v>
      </c>
      <c r="S24" s="5">
        <f>+S22/S23</f>
        <v>-0.69739046202920185</v>
      </c>
      <c r="T24" s="5">
        <f>+T22/T23</f>
        <v>-0.69445674920188794</v>
      </c>
      <c r="U24" s="5">
        <f>+U22/U23</f>
        <v>-0.65194801251100787</v>
      </c>
      <c r="V24" s="15">
        <f t="shared" si="9"/>
        <v>-0.51104454808786626</v>
      </c>
      <c r="X24" s="8"/>
      <c r="Y24" s="5">
        <f>+Y22/Y23</f>
        <v>-7.7715692235022003</v>
      </c>
      <c r="Z24" s="5">
        <f>+Z22/Z23</f>
        <v>-3.8068680135298312</v>
      </c>
      <c r="AA24" s="5">
        <f>+AA22/AA23</f>
        <v>-2.2644326995767186</v>
      </c>
      <c r="AB24" s="5">
        <f>+AB22/AB23</f>
        <v>-2.502199353684937</v>
      </c>
      <c r="AC24" s="5">
        <f>+AC22/AC23</f>
        <v>-2.5548397718299638</v>
      </c>
      <c r="AQ24" s="18"/>
    </row>
    <row r="26" spans="2:51" x14ac:dyDescent="0.2">
      <c r="B26" s="1" t="s">
        <v>109</v>
      </c>
      <c r="C26" s="6">
        <f t="shared" ref="C26:T26" si="14">+C12/C10</f>
        <v>0.44999427983068296</v>
      </c>
      <c r="D26" s="6">
        <f t="shared" si="14"/>
        <v>0.52753608777076189</v>
      </c>
      <c r="E26" s="6">
        <f t="shared" si="14"/>
        <v>0.59610748917986089</v>
      </c>
      <c r="F26" s="6">
        <f t="shared" si="14"/>
        <v>0.60632668886557495</v>
      </c>
      <c r="G26" s="6">
        <f t="shared" si="14"/>
        <v>0.60890502228553045</v>
      </c>
      <c r="H26" s="6">
        <f t="shared" si="14"/>
        <v>0.62111983176236429</v>
      </c>
      <c r="I26" s="6">
        <f t="shared" si="14"/>
        <v>0.5822620658547587</v>
      </c>
      <c r="J26" s="6">
        <f t="shared" si="14"/>
        <v>0.56472842779513299</v>
      </c>
      <c r="K26" s="6">
        <f t="shared" si="14"/>
        <v>0.57474859554243074</v>
      </c>
      <c r="L26" s="6">
        <f t="shared" si="14"/>
        <v>0.61013306490128505</v>
      </c>
      <c r="M26" s="6">
        <f t="shared" si="14"/>
        <v>0.63884212760995218</v>
      </c>
      <c r="N26" s="6">
        <f t="shared" si="14"/>
        <v>0.65036714316238198</v>
      </c>
      <c r="O26" s="6">
        <f t="shared" si="14"/>
        <v>0.64976288618300027</v>
      </c>
      <c r="P26" s="6">
        <f t="shared" si="14"/>
        <v>0.6516185082695154</v>
      </c>
      <c r="Q26" s="6">
        <f t="shared" si="14"/>
        <v>0.65760967132711456</v>
      </c>
      <c r="R26" s="6">
        <f t="shared" si="14"/>
        <v>0.6508441254167997</v>
      </c>
      <c r="S26" s="6">
        <f t="shared" si="14"/>
        <v>0.66418483673001405</v>
      </c>
      <c r="T26" s="6">
        <f t="shared" ref="T26:V26" si="15">+T12/T10</f>
        <v>0.67598491434946839</v>
      </c>
      <c r="U26" s="6">
        <f t="shared" si="15"/>
        <v>0.68815524406372885</v>
      </c>
      <c r="V26" s="6">
        <f t="shared" si="15"/>
        <v>0.68787361284834492</v>
      </c>
      <c r="Y26" s="6">
        <f t="shared" ref="Y26:AC26" si="16">+Y12/Y10</f>
        <v>0.55974360523969968</v>
      </c>
      <c r="Z26" s="6">
        <f t="shared" si="16"/>
        <v>0.59025688752113425</v>
      </c>
      <c r="AA26" s="6">
        <f t="shared" si="16"/>
        <v>0.6240278448685217</v>
      </c>
      <c r="AB26" s="6">
        <f t="shared" si="16"/>
        <v>0.65263385679824215</v>
      </c>
      <c r="AC26" s="6">
        <f>+AC12/AC10</f>
        <v>0.67982842619372463</v>
      </c>
      <c r="AP26" s="20" t="s">
        <v>116</v>
      </c>
      <c r="AQ26" s="21">
        <f>+$AD$10/1000</f>
        <v>3967.9613738524595</v>
      </c>
      <c r="AR26" s="21">
        <f>+$AD$10/1000</f>
        <v>3967.9613738524595</v>
      </c>
      <c r="AS26" s="21">
        <f>+$AD$10/1000</f>
        <v>3967.9613738524595</v>
      </c>
      <c r="AT26" s="21">
        <f>+$AD$10/1000</f>
        <v>3967.9613738524595</v>
      </c>
      <c r="AU26" s="21">
        <f>+$AD$10/1000</f>
        <v>3967.9613738524595</v>
      </c>
      <c r="AV26" s="21">
        <f>+$AD$10/1000</f>
        <v>3967.9613738524595</v>
      </c>
      <c r="AW26" s="21">
        <f>+$AD$10/1000</f>
        <v>3967.9613738524595</v>
      </c>
      <c r="AX26" s="21">
        <f>+$AD$10/1000</f>
        <v>3967.9613738524595</v>
      </c>
      <c r="AY26" s="22">
        <f>+$AD$10/1000</f>
        <v>3967.9613738524595</v>
      </c>
    </row>
    <row r="27" spans="2:51" x14ac:dyDescent="0.2">
      <c r="AP27" s="30" t="s">
        <v>117</v>
      </c>
      <c r="AQ27" s="31">
        <v>12</v>
      </c>
      <c r="AR27" s="31">
        <f>+AQ27+0.5</f>
        <v>12.5</v>
      </c>
      <c r="AS27" s="31">
        <f>+AR27+0.5</f>
        <v>13</v>
      </c>
      <c r="AT27" s="31">
        <f>+AS27+0.5</f>
        <v>13.5</v>
      </c>
      <c r="AU27" s="31">
        <f>+AT27+0.5</f>
        <v>14</v>
      </c>
      <c r="AV27" s="31">
        <f>+AU27+0.5</f>
        <v>14.5</v>
      </c>
      <c r="AW27" s="31">
        <f>+AV27+0.5</f>
        <v>15</v>
      </c>
      <c r="AX27" s="31">
        <f>+AW27+0.5</f>
        <v>15.5</v>
      </c>
      <c r="AY27" s="32">
        <f>+AX27+0.5</f>
        <v>16</v>
      </c>
    </row>
    <row r="28" spans="2:51" x14ac:dyDescent="0.2">
      <c r="B28" s="7" t="s">
        <v>40</v>
      </c>
      <c r="AP28" s="23" t="s">
        <v>115</v>
      </c>
      <c r="AQ28" s="24">
        <f>+AQ26*AQ27</f>
        <v>47615.53648622951</v>
      </c>
      <c r="AR28" s="24">
        <f>+AR26*AR27</f>
        <v>49599.517173155742</v>
      </c>
      <c r="AS28" s="24">
        <f>+AS26*AS27</f>
        <v>51583.497860081974</v>
      </c>
      <c r="AT28" s="24">
        <f>+AT26*AT27</f>
        <v>53567.478547008206</v>
      </c>
      <c r="AU28" s="24">
        <f>+AU26*AU27</f>
        <v>55551.459233934431</v>
      </c>
      <c r="AV28" s="24">
        <f>+AV26*AV27</f>
        <v>57535.439920860663</v>
      </c>
      <c r="AW28" s="24">
        <f>+AW26*AW27</f>
        <v>59519.420607786895</v>
      </c>
      <c r="AX28" s="24">
        <f>+AX26*AX27</f>
        <v>61503.40129471312</v>
      </c>
      <c r="AY28" s="25">
        <f>+AY26*AY27</f>
        <v>63487.381981639352</v>
      </c>
    </row>
    <row r="29" spans="2:51" x14ac:dyDescent="0.2">
      <c r="B29" s="1" t="s">
        <v>75</v>
      </c>
      <c r="S29" s="6">
        <f>+S8/O8-1</f>
        <v>0.49599679540810371</v>
      </c>
      <c r="T29" s="6">
        <f>+T8/P8-1</f>
        <v>0.37304940506318252</v>
      </c>
      <c r="W29" s="6"/>
      <c r="AB29" s="6">
        <f>+AB8/AA8-1</f>
        <v>0.69998746129881662</v>
      </c>
      <c r="AP29" s="23" t="s">
        <v>118</v>
      </c>
      <c r="AQ29" s="24">
        <f>+overview!$F$8</f>
        <v>4762.5549999999994</v>
      </c>
      <c r="AR29" s="24">
        <f>+overview!$F$8</f>
        <v>4762.5549999999994</v>
      </c>
      <c r="AS29" s="24">
        <f>+overview!$F$8</f>
        <v>4762.5549999999994</v>
      </c>
      <c r="AT29" s="24">
        <f>+overview!$F$8</f>
        <v>4762.5549999999994</v>
      </c>
      <c r="AU29" s="24">
        <f>+overview!$F$8</f>
        <v>4762.5549999999994</v>
      </c>
      <c r="AV29" s="24">
        <f>+overview!$F$8</f>
        <v>4762.5549999999994</v>
      </c>
      <c r="AW29" s="24">
        <f>+overview!$F$8</f>
        <v>4762.5549999999994</v>
      </c>
      <c r="AX29" s="24">
        <f>+overview!$F$8</f>
        <v>4762.5549999999994</v>
      </c>
      <c r="AY29" s="25">
        <f>+overview!$F$8</f>
        <v>4762.5549999999994</v>
      </c>
    </row>
    <row r="30" spans="2:51" x14ac:dyDescent="0.2">
      <c r="B30" s="1" t="s">
        <v>76</v>
      </c>
      <c r="S30" s="6">
        <f>+S9/O9-1</f>
        <v>0.20009306654257797</v>
      </c>
      <c r="T30" s="6">
        <f>+T9/P9-1</f>
        <v>9.1316978695932915E-2</v>
      </c>
      <c r="AB30" s="6">
        <f>+AB9/AA9-1</f>
        <v>0.60891729437723496</v>
      </c>
      <c r="AP30" s="23" t="s">
        <v>119</v>
      </c>
      <c r="AQ30" s="24">
        <f>+overview!$F$9</f>
        <v>0</v>
      </c>
      <c r="AR30" s="24">
        <f>+overview!$F$9</f>
        <v>0</v>
      </c>
      <c r="AS30" s="24">
        <f>+overview!$F$9</f>
        <v>0</v>
      </c>
      <c r="AT30" s="24">
        <f>+overview!$F$9</f>
        <v>0</v>
      </c>
      <c r="AU30" s="24">
        <f>+overview!$F$9</f>
        <v>0</v>
      </c>
      <c r="AV30" s="24">
        <f>+overview!$F$9</f>
        <v>0</v>
      </c>
      <c r="AW30" s="24">
        <f>+overview!$F$9</f>
        <v>0</v>
      </c>
      <c r="AX30" s="24">
        <f>+overview!$F$9</f>
        <v>0</v>
      </c>
      <c r="AY30" s="25">
        <f>+overview!$F$9</f>
        <v>0</v>
      </c>
    </row>
    <row r="31" spans="2:51" s="6" customFormat="1" x14ac:dyDescent="0.2">
      <c r="B31" s="1" t="s">
        <v>27</v>
      </c>
      <c r="G31" s="6">
        <f>+G10/C10-1</f>
        <v>1.4897608969225491</v>
      </c>
      <c r="H31" s="6">
        <f>+H10/D10-1</f>
        <v>1.2066159531977658</v>
      </c>
      <c r="I31" s="6">
        <f>+I10/E10-1</f>
        <v>1.1862707500136964</v>
      </c>
      <c r="J31" s="13">
        <f>+J10/F10-1</f>
        <v>1.1719769192172604</v>
      </c>
      <c r="K31" s="6">
        <f>+K10/G10-1</f>
        <v>1.1036989385654552</v>
      </c>
      <c r="L31" s="6">
        <f>+L10/H10-1</f>
        <v>1.0443726764054229</v>
      </c>
      <c r="M31" s="6">
        <f>+M10/I10-1</f>
        <v>1.0951799228186236</v>
      </c>
      <c r="N31" s="13">
        <f>+N10/J10-1</f>
        <v>1.0149318772477884</v>
      </c>
      <c r="O31" s="6">
        <f>+O10/K10-1</f>
        <v>0.84510776973011703</v>
      </c>
      <c r="P31" s="6">
        <f>+P10/L10-1</f>
        <v>0.8267878529599777</v>
      </c>
      <c r="Q31" s="6">
        <f>+Q10/M10-1</f>
        <v>0.66554937941221315</v>
      </c>
      <c r="R31" s="13">
        <f>+R10/N10-1</f>
        <v>0.53478870376836363</v>
      </c>
      <c r="S31" s="6">
        <f>+S10/O10-1</f>
        <v>0.47642475454043964</v>
      </c>
      <c r="T31" s="6">
        <f>+T10/P10-1</f>
        <v>0.35549665358131155</v>
      </c>
      <c r="U31" s="13">
        <f>+U10/Q10-1</f>
        <v>0.31801812476213054</v>
      </c>
      <c r="V31" s="13">
        <f>+V10/R10-1</f>
        <v>0.31525164173225684</v>
      </c>
      <c r="Z31" s="6">
        <f t="shared" ref="Z31" si="17">+Z10/Y10-1</f>
        <v>1.2362737395561063</v>
      </c>
      <c r="AA31" s="6">
        <f t="shared" ref="AA31" si="18">+AA10/Z10-1</f>
        <v>1.0595035208234456</v>
      </c>
      <c r="AB31" s="6">
        <f>+AB10/AA10-1</f>
        <v>0.69409764566847132</v>
      </c>
      <c r="AC31" s="6">
        <f>+AC10/AB10-1</f>
        <v>0.35864099544019612</v>
      </c>
      <c r="AD31" s="6">
        <f>+AD10/AC10-1</f>
        <v>0.41385245901639345</v>
      </c>
      <c r="AE31" s="6">
        <f>+AE10/AD10-1</f>
        <v>0.30000000000000004</v>
      </c>
      <c r="AF31" s="6">
        <f>+AF10/AE10-1</f>
        <v>0.30000000000000004</v>
      </c>
      <c r="AG31" s="6">
        <f>+AG10/AF10-1</f>
        <v>0.30000000000000004</v>
      </c>
      <c r="AH31" s="6">
        <f>+AH10/AG10-1</f>
        <v>0.30000000000000004</v>
      </c>
      <c r="AI31" s="6">
        <f>+AI10/AH10-1</f>
        <v>0.30000000000000004</v>
      </c>
      <c r="AJ31" s="6">
        <f>+AJ10/AI10-1</f>
        <v>0.30000000000000027</v>
      </c>
      <c r="AK31" s="6">
        <f t="shared" ref="AK31:AM31" si="19">+AK10/AJ10-1</f>
        <v>0.30000000000000004</v>
      </c>
      <c r="AL31" s="6">
        <f t="shared" si="19"/>
        <v>0.30000000000000004</v>
      </c>
      <c r="AM31" s="6">
        <f t="shared" si="19"/>
        <v>0.30000000000000004</v>
      </c>
      <c r="AP31" s="26" t="s">
        <v>120</v>
      </c>
      <c r="AQ31" s="24">
        <f>+AQ28+AQ29-AQ30</f>
        <v>52378.09148622951</v>
      </c>
      <c r="AR31" s="24">
        <f>+AR28+AR29-AR30</f>
        <v>54362.072173155742</v>
      </c>
      <c r="AS31" s="24">
        <f>+AS28+AS29-AS30</f>
        <v>56346.052860081974</v>
      </c>
      <c r="AT31" s="24">
        <f>+AT28+AT29-AT30</f>
        <v>58330.033547008206</v>
      </c>
      <c r="AU31" s="24">
        <f>+AU28+AU29-AU30</f>
        <v>60314.014233934431</v>
      </c>
      <c r="AV31" s="24">
        <f>+AV28+AV29-AV30</f>
        <v>62297.994920860663</v>
      </c>
      <c r="AW31" s="24">
        <f>+AW28+AW29-AW30</f>
        <v>64281.975607786895</v>
      </c>
      <c r="AX31" s="24">
        <f>+AX28+AX29-AX30</f>
        <v>66265.95629471312</v>
      </c>
      <c r="AY31" s="25">
        <f>+AY28+AY29-AY30</f>
        <v>68249.936981639345</v>
      </c>
    </row>
    <row r="32" spans="2:51" x14ac:dyDescent="0.2">
      <c r="B32" s="1" t="s">
        <v>19</v>
      </c>
      <c r="G32" s="6">
        <f>+G11/C11-1</f>
        <v>0.77040519177968214</v>
      </c>
      <c r="H32" s="6">
        <f>+H11/D11-1</f>
        <v>0.76953837519292834</v>
      </c>
      <c r="I32" s="6">
        <f>+I11/E11-1</f>
        <v>1.2612160466614668</v>
      </c>
      <c r="J32" s="6">
        <f>+J11/F11-1</f>
        <v>1.4014831122182958</v>
      </c>
      <c r="K32" s="6">
        <f>+K11/G11-1</f>
        <v>1.2874262753483565</v>
      </c>
      <c r="L32" s="6">
        <f>+L11/H11-1</f>
        <v>1.1036553938865321</v>
      </c>
      <c r="M32" s="6">
        <f>+M11/I11-1</f>
        <v>0.81140054888199042</v>
      </c>
      <c r="N32" s="6">
        <f>+N11/J11-1</f>
        <v>0.61849850429412334</v>
      </c>
      <c r="O32" s="6">
        <f>+O11/K11-1</f>
        <v>0.51963100692375641</v>
      </c>
      <c r="P32" s="6">
        <f>+P11/L11-1</f>
        <v>0.63240075008716468</v>
      </c>
      <c r="Q32" s="6">
        <f>+Q11/M11-1</f>
        <v>0.57899922176411178</v>
      </c>
      <c r="R32" s="6">
        <f>+R11/N11-1</f>
        <v>0.53269488746459981</v>
      </c>
      <c r="S32" s="6">
        <f>+S11/O11-1</f>
        <v>0.41562901372270677</v>
      </c>
      <c r="T32" s="6">
        <f>+T11/P11-1</f>
        <v>0.26069086542902009</v>
      </c>
      <c r="U32" s="6">
        <f>+U11/Q11-1</f>
        <v>0.20043414201897014</v>
      </c>
      <c r="V32" s="6">
        <f>+V11/R11-1</f>
        <v>0.17576352859372646</v>
      </c>
      <c r="Z32" s="6">
        <f t="shared" ref="Z32" si="20">+Z11/Y11-1</f>
        <v>1.0812821194780238</v>
      </c>
      <c r="AA32" s="6">
        <f>+AA11/Z11-1</f>
        <v>0.88975959239533697</v>
      </c>
      <c r="AB32" s="6">
        <f>+AB11/AA11-1</f>
        <v>0.56520145801022181</v>
      </c>
      <c r="AC32" s="6">
        <f>+AC11/AB11-1</f>
        <v>0.25227583131254017</v>
      </c>
      <c r="AD32" s="6"/>
      <c r="AE32" s="6"/>
      <c r="AF32" s="6"/>
      <c r="AG32" s="6"/>
      <c r="AH32" s="6"/>
      <c r="AI32" s="6"/>
      <c r="AJ32" s="6"/>
      <c r="AP32" s="23" t="s">
        <v>121</v>
      </c>
      <c r="AQ32" s="24">
        <f>+overview!$F$6</f>
        <v>334.2</v>
      </c>
      <c r="AR32" s="24">
        <f>+overview!$F$6</f>
        <v>334.2</v>
      </c>
      <c r="AS32" s="24">
        <f>+overview!$F$6</f>
        <v>334.2</v>
      </c>
      <c r="AT32" s="24">
        <f>+overview!$F$6</f>
        <v>334.2</v>
      </c>
      <c r="AU32" s="24">
        <f>+overview!$F$6</f>
        <v>334.2</v>
      </c>
      <c r="AV32" s="24">
        <f>+overview!$F$6</f>
        <v>334.2</v>
      </c>
      <c r="AW32" s="24">
        <f>+overview!$F$6</f>
        <v>334.2</v>
      </c>
      <c r="AX32" s="24">
        <f>+overview!$F$6</f>
        <v>334.2</v>
      </c>
      <c r="AY32" s="25">
        <f>+overview!$F$6</f>
        <v>334.2</v>
      </c>
    </row>
    <row r="33" spans="2:86" x14ac:dyDescent="0.2">
      <c r="B33" s="1" t="s">
        <v>28</v>
      </c>
      <c r="G33" s="6">
        <f>+G12/C12-1</f>
        <v>2.368993745868714</v>
      </c>
      <c r="H33" s="6">
        <f>+H12/D12-1</f>
        <v>1.5980647796173542</v>
      </c>
      <c r="I33" s="6">
        <f>+I12/E12-1</f>
        <v>1.1354915791650391</v>
      </c>
      <c r="J33" s="6">
        <f>+J12/F12-1</f>
        <v>1.022964077487305</v>
      </c>
      <c r="K33" s="6">
        <f>+K12/G12-1</f>
        <v>0.98569229376075351</v>
      </c>
      <c r="L33" s="6">
        <f>+L12/H12-1</f>
        <v>1.0082104983131597</v>
      </c>
      <c r="M33" s="6">
        <f>+M12/I12-1</f>
        <v>1.2987745177151586</v>
      </c>
      <c r="N33" s="6">
        <f>+N12/J12-1</f>
        <v>1.320487909186415</v>
      </c>
      <c r="O33" s="6">
        <f>+O12/K12-1</f>
        <v>1.0859251489723944</v>
      </c>
      <c r="P33" s="6">
        <f>+P12/L12-1</f>
        <v>0.95099863316413469</v>
      </c>
      <c r="Q33" s="6">
        <f>+Q12/M12-1</f>
        <v>0.71447894970864234</v>
      </c>
      <c r="R33" s="6">
        <f>+R12/N12-1</f>
        <v>0.53591432486357848</v>
      </c>
      <c r="S33" s="6">
        <f>+S12/O12-1</f>
        <v>0.50919505467477522</v>
      </c>
      <c r="T33" s="6">
        <f>+T12/P12-1</f>
        <v>0.40618364525208639</v>
      </c>
      <c r="U33" s="6">
        <f>+U12/Q12-1</f>
        <v>0.37923927197678453</v>
      </c>
      <c r="V33" s="6">
        <f>+V12/R12-1</f>
        <v>0.3900822996961042</v>
      </c>
      <c r="Z33" s="6">
        <f t="shared" ref="Z33" si="21">+Z12/Y12-1</f>
        <v>1.3581796465372391</v>
      </c>
      <c r="AA33" s="6">
        <f>+AA12/Z12-1</f>
        <v>1.1773359545128068</v>
      </c>
      <c r="AB33" s="6">
        <f>+AB12/AA12-1</f>
        <v>0.77175664415805612</v>
      </c>
      <c r="AC33" s="6">
        <f>+AC12/AB12-1</f>
        <v>0.41525414299479491</v>
      </c>
      <c r="AD33" s="6"/>
      <c r="AE33" s="6"/>
      <c r="AF33" s="6"/>
      <c r="AG33" s="6"/>
      <c r="AH33" s="6"/>
      <c r="AI33" s="6"/>
      <c r="AJ33" s="6"/>
      <c r="AP33" s="23" t="s">
        <v>122</v>
      </c>
      <c r="AQ33" s="24">
        <f>+AQ31/AQ32</f>
        <v>156.72678481816132</v>
      </c>
      <c r="AR33" s="24">
        <f>+AR31/AR32</f>
        <v>162.66329196037026</v>
      </c>
      <c r="AS33" s="24">
        <f>+AS31/AS32</f>
        <v>168.59979910257923</v>
      </c>
      <c r="AT33" s="24">
        <f>+AT31/AT32</f>
        <v>174.53630624478816</v>
      </c>
      <c r="AU33" s="24">
        <f>+AU31/AU32</f>
        <v>180.4728133869971</v>
      </c>
      <c r="AV33" s="24">
        <f>+AV31/AV32</f>
        <v>186.40932052920607</v>
      </c>
      <c r="AW33" s="24">
        <f>+AW31/AW32</f>
        <v>192.34582767141501</v>
      </c>
      <c r="AX33" s="24">
        <f>+AX31/AX32</f>
        <v>198.28233481362395</v>
      </c>
      <c r="AY33" s="25">
        <f>+AY31/AY32</f>
        <v>204.21884195583289</v>
      </c>
    </row>
    <row r="34" spans="2:86" x14ac:dyDescent="0.2">
      <c r="B34" s="1" t="s">
        <v>29</v>
      </c>
      <c r="G34" s="6">
        <f>+G13/C13-1</f>
        <v>0.52808655467432719</v>
      </c>
      <c r="H34" s="6">
        <f>+H13/D13-1</f>
        <v>0.26221513900807758</v>
      </c>
      <c r="I34" s="6">
        <f>+I13/E13-1</f>
        <v>0.78050166516889563</v>
      </c>
      <c r="J34" s="6">
        <f>+J13/F13-1</f>
        <v>0.91499676793794449</v>
      </c>
      <c r="K34" s="6">
        <f>+K13/G13-1</f>
        <v>0.70422060341040282</v>
      </c>
      <c r="L34" s="6">
        <f>+L13/H13-1</f>
        <v>0.97385148333207439</v>
      </c>
      <c r="M34" s="6">
        <f>+M13/I13-1</f>
        <v>0.41746643211828371</v>
      </c>
      <c r="N34" s="6">
        <f>+N13/J13-1</f>
        <v>0.31961700746510879</v>
      </c>
      <c r="O34" s="6">
        <f>+O13/K13-1</f>
        <v>0.46226709191626103</v>
      </c>
      <c r="P34" s="6">
        <f>+P13/L13-1</f>
        <v>0.50158827356576974</v>
      </c>
      <c r="Q34" s="6">
        <f>+Q13/M13-1</f>
        <v>0.48963455184294991</v>
      </c>
      <c r="R34" s="6">
        <f>+R13/N13-1</f>
        <v>0.49283033346942995</v>
      </c>
      <c r="S34" s="6">
        <f>+S13/O13-1</f>
        <v>0.35933451408704786</v>
      </c>
      <c r="T34" s="6">
        <f>+T13/P13-1</f>
        <v>0.24993355058348055</v>
      </c>
      <c r="U34" s="6">
        <f>+U13/Q13-1</f>
        <v>0.24818175107302176</v>
      </c>
      <c r="V34" s="6">
        <f>+V13/R13-1</f>
        <v>0.19227081157137538</v>
      </c>
      <c r="Z34" s="6">
        <f t="shared" ref="Z34" si="22">+Z13/Y13-1</f>
        <v>0.63267899052037446</v>
      </c>
      <c r="AA34" s="6">
        <f>+AA13/Z13-1</f>
        <v>0.55213564300869789</v>
      </c>
      <c r="AB34" s="6">
        <f>+AB13/AA13-1</f>
        <v>0.48731055896446751</v>
      </c>
      <c r="AC34" s="6">
        <f>+AC13/AB13-1</f>
        <v>0.25778418030794192</v>
      </c>
      <c r="AD34" s="6"/>
      <c r="AE34" s="6"/>
      <c r="AF34" s="6"/>
      <c r="AG34" s="6"/>
      <c r="AH34" s="6"/>
      <c r="AI34" s="6"/>
      <c r="AJ34" s="6"/>
      <c r="AP34" s="23" t="s">
        <v>123</v>
      </c>
      <c r="AQ34" s="24">
        <f>+overview!$F$5</f>
        <v>161.86000000000001</v>
      </c>
      <c r="AR34" s="24">
        <f>+overview!$F$5</f>
        <v>161.86000000000001</v>
      </c>
      <c r="AS34" s="24">
        <f>+overview!$F$5</f>
        <v>161.86000000000001</v>
      </c>
      <c r="AT34" s="24">
        <f>+overview!$F$5</f>
        <v>161.86000000000001</v>
      </c>
      <c r="AU34" s="24">
        <f>+overview!$F$5</f>
        <v>161.86000000000001</v>
      </c>
      <c r="AV34" s="24">
        <f>+overview!$F$5</f>
        <v>161.86000000000001</v>
      </c>
      <c r="AW34" s="24">
        <f>+overview!$F$5</f>
        <v>161.86000000000001</v>
      </c>
      <c r="AX34" s="24">
        <f>+overview!$F$5</f>
        <v>161.86000000000001</v>
      </c>
      <c r="AY34" s="25">
        <f>+overview!$F$5</f>
        <v>161.86000000000001</v>
      </c>
    </row>
    <row r="35" spans="2:86" x14ac:dyDescent="0.2">
      <c r="B35" s="1" t="s">
        <v>30</v>
      </c>
      <c r="G35" s="6">
        <f>+G14/C14-1</f>
        <v>0.53936534369506894</v>
      </c>
      <c r="H35" s="6">
        <f>+H14/D14-1</f>
        <v>0.39630790399021554</v>
      </c>
      <c r="I35" s="6">
        <f>+I14/E14-1</f>
        <v>1.6794607683689327</v>
      </c>
      <c r="J35" s="6">
        <f>+J14/F14-1</f>
        <v>2.1639233902184523</v>
      </c>
      <c r="K35" s="6">
        <f>+K14/G14-1</f>
        <v>2.2993569325079632</v>
      </c>
      <c r="L35" s="6">
        <f>+L14/H14-1</f>
        <v>2.2323378862945829</v>
      </c>
      <c r="M35" s="6">
        <f>+M14/I14-1</f>
        <v>0.56330087134802675</v>
      </c>
      <c r="N35" s="6">
        <f>+N14/J14-1</f>
        <v>0.31013755758162498</v>
      </c>
      <c r="O35" s="6">
        <f>+O14/K14-1</f>
        <v>0.37343801231374552</v>
      </c>
      <c r="P35" s="6">
        <f>+P14/L14-1</f>
        <v>0.5560391914435967</v>
      </c>
      <c r="Q35" s="6">
        <f>+Q14/M14-1</f>
        <v>0.82387402933563414</v>
      </c>
      <c r="R35" s="6">
        <f>+R14/N14-1</f>
        <v>0.96611421936028719</v>
      </c>
      <c r="S35" s="6">
        <f>+S14/O14-1</f>
        <v>0.83962652024562656</v>
      </c>
      <c r="T35" s="6">
        <f>+T14/P14-1</f>
        <v>0.70884036833053976</v>
      </c>
      <c r="U35" s="6">
        <f>+U14/Q14-1</f>
        <v>0.57088657296806322</v>
      </c>
      <c r="V35" s="6">
        <f>+V14/R14-1</f>
        <v>0.50532163138874542</v>
      </c>
      <c r="Z35" s="6">
        <f t="shared" ref="Z35" si="23">+Z14/Y14-1</f>
        <v>1.2627044503613543</v>
      </c>
      <c r="AA35" s="6">
        <f>+AA14/Z14-1</f>
        <v>0.96234439746833322</v>
      </c>
      <c r="AB35" s="6">
        <f>+AB14/AA14-1</f>
        <v>0.68773611575132998</v>
      </c>
      <c r="AC35" s="6">
        <f>+AC14/AB14-1</f>
        <v>0.63433275215783613</v>
      </c>
      <c r="AD35" s="6"/>
      <c r="AE35" s="6"/>
      <c r="AF35" s="6"/>
      <c r="AG35" s="6"/>
      <c r="AH35" s="6"/>
      <c r="AI35" s="6"/>
      <c r="AJ35" s="6"/>
      <c r="AP35" s="27" t="s">
        <v>124</v>
      </c>
      <c r="AQ35" s="28">
        <f>+AQ33/AQ34-1</f>
        <v>-3.1713920559982012E-2</v>
      </c>
      <c r="AR35" s="28">
        <f>+AR33/AR34-1</f>
        <v>4.9628812576933967E-3</v>
      </c>
      <c r="AS35" s="28">
        <f>+AS33/AS34-1</f>
        <v>4.1639683075368916E-2</v>
      </c>
      <c r="AT35" s="28">
        <f>+AT33/AT34-1</f>
        <v>7.8316484893044214E-2</v>
      </c>
      <c r="AU35" s="28">
        <f>+AU33/AU34-1</f>
        <v>0.11499328671071973</v>
      </c>
      <c r="AV35" s="28">
        <f>+AV33/AV34-1</f>
        <v>0.15167008852839525</v>
      </c>
      <c r="AW35" s="28">
        <f>+AW33/AW34-1</f>
        <v>0.18834689034607055</v>
      </c>
      <c r="AX35" s="28">
        <f>+AX33/AX34-1</f>
        <v>0.22502369216374607</v>
      </c>
      <c r="AY35" s="29">
        <f>+AY33/AY34-1</f>
        <v>0.26170049398142137</v>
      </c>
    </row>
    <row r="36" spans="2:86" x14ac:dyDescent="0.2">
      <c r="B36" s="1" t="s">
        <v>31</v>
      </c>
      <c r="G36" s="6">
        <f>+G15/C15-1</f>
        <v>0.48110191801429103</v>
      </c>
      <c r="H36" s="6">
        <f>+H15/D15-1</f>
        <v>0.12087122165115183</v>
      </c>
      <c r="I36" s="6">
        <f>+I15/E15-1</f>
        <v>0.76568375222640017</v>
      </c>
      <c r="J36" s="6">
        <f>+J15/F15-1</f>
        <v>1.1298659746169433</v>
      </c>
      <c r="K36" s="6">
        <f>+K15/G15-1</f>
        <v>0.92226877420173925</v>
      </c>
      <c r="L36" s="6">
        <f>+L15/H15-1</f>
        <v>1.0915795549284937</v>
      </c>
      <c r="M36" s="6">
        <f>+M15/I15-1</f>
        <v>0.19657401180602263</v>
      </c>
      <c r="N36" s="6">
        <f>+N15/J15-1</f>
        <v>0.25497821768957296</v>
      </c>
      <c r="O36" s="6">
        <f>+O15/K15-1</f>
        <v>0.13100407839770156</v>
      </c>
      <c r="P36" s="6">
        <f>+P15/L15-1</f>
        <v>0.1245937327528055</v>
      </c>
      <c r="Q36" s="6">
        <f>+Q15/M15-1</f>
        <v>0.19369292014674899</v>
      </c>
      <c r="R36" s="6">
        <f>+R15/N15-1</f>
        <v>3.0856398047534705E-2</v>
      </c>
      <c r="S36" s="6">
        <f>+S15/O15-1</f>
        <v>0.14534943136195744</v>
      </c>
      <c r="T36" s="6">
        <f>+T15/P15-1</f>
        <v>0.14169449935246403</v>
      </c>
      <c r="U36" s="6">
        <f>+U15/Q15-1</f>
        <v>2.9321754597054772E-2</v>
      </c>
      <c r="V36" s="6">
        <f>+V15/R15-1</f>
        <v>5.9284967809359213E-2</v>
      </c>
      <c r="Z36" s="6">
        <f t="shared" ref="Z36" si="24">+Z15/Y15-1</f>
        <v>0.63782522177381851</v>
      </c>
      <c r="AA36" s="6">
        <f>+AA15/Z15-1</f>
        <v>0.50471513327845119</v>
      </c>
      <c r="AB36" s="6">
        <f>+AB15/AA15-1</f>
        <v>0.11616666603781423</v>
      </c>
      <c r="AC36" s="6">
        <f>+AC15/AB15-1</f>
        <v>9.1903549781793714E-2</v>
      </c>
      <c r="AD36" s="6"/>
      <c r="AE36" s="6"/>
      <c r="AF36" s="6"/>
      <c r="AG36" s="6"/>
      <c r="AH36" s="6"/>
      <c r="AI36" s="6"/>
      <c r="AJ36" s="6"/>
    </row>
    <row r="37" spans="2:86" x14ac:dyDescent="0.2">
      <c r="B37" s="1" t="s">
        <v>32</v>
      </c>
      <c r="G37" s="6">
        <f>+G16/C16-1</f>
        <v>0.52102074021432188</v>
      </c>
      <c r="H37" s="6">
        <f>+H16/D16-1</f>
        <v>0.25888540031397178</v>
      </c>
      <c r="I37" s="6">
        <f>+I16/E16-1</f>
        <v>0.96324118065167785</v>
      </c>
      <c r="J37" s="6">
        <f>+J16/F16-1</f>
        <v>1.2270288251543948</v>
      </c>
      <c r="K37" s="6">
        <f>+K16/G16-1</f>
        <v>1.0727955686980897</v>
      </c>
      <c r="L37" s="6">
        <f>+L16/H16-1</f>
        <v>1.2834108565799154</v>
      </c>
      <c r="M37" s="6">
        <f>+M16/I16-1</f>
        <v>0.41360610067950465</v>
      </c>
      <c r="N37" s="6">
        <f>+N16/J16-1</f>
        <v>0.30414861766864321</v>
      </c>
      <c r="O37" s="6">
        <f>+O16/K16-1</f>
        <v>0.3738369868579885</v>
      </c>
      <c r="P37" s="6">
        <f>+P16/L16-1</f>
        <v>0.45199853639089294</v>
      </c>
      <c r="Q37" s="6">
        <f>+Q16/M16-1</f>
        <v>0.54296544324204832</v>
      </c>
      <c r="R37" s="6">
        <f>+R16/N16-1</f>
        <v>0.55146742093953782</v>
      </c>
      <c r="S37" s="6">
        <f>+S16/O16-1</f>
        <v>0.48405140682243575</v>
      </c>
      <c r="T37" s="6">
        <f>+T16/P16-1</f>
        <v>0.39357928943785403</v>
      </c>
      <c r="U37" s="6">
        <f>+U16/Q16-1</f>
        <v>0.33813246296691046</v>
      </c>
      <c r="V37" s="6">
        <f>+V16/R16-1</f>
        <v>0.2973736368669806</v>
      </c>
    </row>
    <row r="39" spans="2:86" x14ac:dyDescent="0.2">
      <c r="B39" s="1" t="s">
        <v>52</v>
      </c>
    </row>
    <row r="40" spans="2:86" s="6" customFormat="1" x14ac:dyDescent="0.2">
      <c r="B40" s="6" t="s">
        <v>19</v>
      </c>
      <c r="G40" s="6">
        <f t="shared" ref="G40:T40" si="25">+G11/G$10</f>
        <v>0.39109497771446949</v>
      </c>
      <c r="H40" s="6">
        <f t="shared" si="25"/>
        <v>0.37888016823763565</v>
      </c>
      <c r="I40" s="6">
        <f t="shared" si="25"/>
        <v>0.4177379341452413</v>
      </c>
      <c r="J40" s="6">
        <f t="shared" si="25"/>
        <v>0.43527157220486706</v>
      </c>
      <c r="K40" s="6">
        <f t="shared" si="25"/>
        <v>0.4252514044575692</v>
      </c>
      <c r="L40" s="6">
        <f t="shared" si="25"/>
        <v>0.3898669350987149</v>
      </c>
      <c r="M40" s="6">
        <f t="shared" si="25"/>
        <v>0.36115787239004787</v>
      </c>
      <c r="N40" s="6">
        <f t="shared" si="25"/>
        <v>0.34963285683761797</v>
      </c>
      <c r="O40" s="6">
        <f t="shared" si="25"/>
        <v>0.35023711381699973</v>
      </c>
      <c r="P40" s="6">
        <f t="shared" si="25"/>
        <v>0.3483814917304846</v>
      </c>
      <c r="Q40" s="6">
        <f t="shared" si="25"/>
        <v>0.34239032867288538</v>
      </c>
      <c r="R40" s="6">
        <f t="shared" si="25"/>
        <v>0.34915587458320035</v>
      </c>
      <c r="S40" s="6">
        <f t="shared" si="25"/>
        <v>0.33581516326998601</v>
      </c>
      <c r="T40" s="6">
        <f t="shared" si="25"/>
        <v>0.32401508565053161</v>
      </c>
      <c r="U40" s="6">
        <f>+U11/U$10</f>
        <v>0.31184475593627115</v>
      </c>
      <c r="V40" s="6">
        <f>+V11/V$10</f>
        <v>0.31212638715165503</v>
      </c>
      <c r="Y40" s="6">
        <f>+Y11/Y$10</f>
        <v>0.44025639476030037</v>
      </c>
      <c r="Z40" s="6">
        <f t="shared" ref="Z40:AA40" si="26">+Z11/Z$10</f>
        <v>0.40974311247886575</v>
      </c>
      <c r="AA40" s="6">
        <f t="shared" si="26"/>
        <v>0.37597215513147825</v>
      </c>
      <c r="AB40" s="6">
        <f t="shared" ref="AB40:AC40" si="27">+AB11/AB$10</f>
        <v>0.3473661432017579</v>
      </c>
      <c r="AC40" s="6">
        <f t="shared" si="27"/>
        <v>0.32017157380627537</v>
      </c>
      <c r="AQ40" s="18"/>
    </row>
    <row r="41" spans="2:86" s="6" customFormat="1" x14ac:dyDescent="0.2">
      <c r="B41" s="6" t="s">
        <v>29</v>
      </c>
      <c r="G41" s="6">
        <f t="shared" ref="G41:T41" si="28">+G12/G$10</f>
        <v>0.60890502228553045</v>
      </c>
      <c r="H41" s="6">
        <f t="shared" si="28"/>
        <v>0.62111983176236429</v>
      </c>
      <c r="I41" s="6">
        <f t="shared" si="28"/>
        <v>0.5822620658547587</v>
      </c>
      <c r="J41" s="6">
        <f t="shared" si="28"/>
        <v>0.56472842779513299</v>
      </c>
      <c r="K41" s="6">
        <f t="shared" si="28"/>
        <v>0.57474859554243074</v>
      </c>
      <c r="L41" s="6">
        <f t="shared" si="28"/>
        <v>0.61013306490128505</v>
      </c>
      <c r="M41" s="6">
        <f t="shared" si="28"/>
        <v>0.63884212760995218</v>
      </c>
      <c r="N41" s="6">
        <f t="shared" si="28"/>
        <v>0.65036714316238198</v>
      </c>
      <c r="O41" s="6">
        <f t="shared" si="28"/>
        <v>0.64976288618300027</v>
      </c>
      <c r="P41" s="6">
        <f t="shared" si="28"/>
        <v>0.6516185082695154</v>
      </c>
      <c r="Q41" s="6">
        <f t="shared" si="28"/>
        <v>0.65760967132711456</v>
      </c>
      <c r="R41" s="6">
        <f t="shared" si="28"/>
        <v>0.6508441254167997</v>
      </c>
      <c r="S41" s="6">
        <f t="shared" si="28"/>
        <v>0.66418483673001405</v>
      </c>
      <c r="T41" s="6">
        <f t="shared" si="28"/>
        <v>0.67598491434946839</v>
      </c>
      <c r="U41" s="6">
        <f>+U12/U$10</f>
        <v>0.68815524406372885</v>
      </c>
      <c r="V41" s="6">
        <f>+V12/V$10</f>
        <v>0.68787361284834492</v>
      </c>
      <c r="Y41" s="6">
        <f t="shared" ref="Y41:AA41" si="29">+Y12/Y$10</f>
        <v>0.55974360523969968</v>
      </c>
      <c r="Z41" s="6">
        <f t="shared" si="29"/>
        <v>0.59025688752113425</v>
      </c>
      <c r="AA41" s="6">
        <f t="shared" si="29"/>
        <v>0.6240278448685217</v>
      </c>
      <c r="AB41" s="6">
        <f t="shared" ref="AB41:AC41" si="30">+AB12/AB$10</f>
        <v>0.65263385679824215</v>
      </c>
      <c r="AC41" s="6">
        <f t="shared" si="30"/>
        <v>0.67982842619372463</v>
      </c>
      <c r="AQ41" s="18"/>
    </row>
    <row r="42" spans="2:86" s="6" customFormat="1" x14ac:dyDescent="0.2">
      <c r="B42" s="6" t="s">
        <v>30</v>
      </c>
      <c r="G42" s="6">
        <f t="shared" ref="G42:T42" si="31">+G14/G$10</f>
        <v>0.30582180765519462</v>
      </c>
      <c r="H42" s="6">
        <f t="shared" si="31"/>
        <v>0.27438506890983516</v>
      </c>
      <c r="I42" s="6">
        <f t="shared" si="31"/>
        <v>0.46445396682203177</v>
      </c>
      <c r="J42" s="6">
        <f t="shared" si="31"/>
        <v>0.49351324390307932</v>
      </c>
      <c r="K42" s="6">
        <f t="shared" si="31"/>
        <v>0.47963864158592312</v>
      </c>
      <c r="L42" s="6">
        <f t="shared" si="31"/>
        <v>0.43382758139295657</v>
      </c>
      <c r="M42" s="6">
        <f t="shared" si="31"/>
        <v>0.34654841960166366</v>
      </c>
      <c r="N42" s="6">
        <f t="shared" si="31"/>
        <v>0.32088937760244313</v>
      </c>
      <c r="O42" s="6">
        <f t="shared" si="31"/>
        <v>0.35702735273018271</v>
      </c>
      <c r="P42" s="6">
        <f t="shared" si="31"/>
        <v>0.36952989252847673</v>
      </c>
      <c r="Q42" s="6">
        <f t="shared" si="31"/>
        <v>0.37949079759006726</v>
      </c>
      <c r="R42" s="6">
        <f t="shared" si="31"/>
        <v>0.41106972353704169</v>
      </c>
      <c r="S42" s="6">
        <f t="shared" si="31"/>
        <v>0.44485639008401234</v>
      </c>
      <c r="T42" s="6">
        <f t="shared" si="31"/>
        <v>0.46585699491704968</v>
      </c>
      <c r="U42" s="6">
        <f>+U14/U$10</f>
        <v>0.45229802784902196</v>
      </c>
      <c r="V42" s="6">
        <f>+V14/V$10</f>
        <v>0.47047433906588237</v>
      </c>
      <c r="Y42" s="6">
        <f>+Y14/Y$10</f>
        <v>0.39720791091906266</v>
      </c>
      <c r="Z42" s="6">
        <f t="shared" ref="Z42:AA42" si="32">+Z14/Z$10</f>
        <v>0.40190254522851993</v>
      </c>
      <c r="AA42" s="6">
        <f t="shared" si="32"/>
        <v>0.38294239363189692</v>
      </c>
      <c r="AB42" s="6">
        <f t="shared" ref="AB42:AC42" si="33">+AB14/AB$10</f>
        <v>0.38150440125887186</v>
      </c>
      <c r="AC42" s="6">
        <f t="shared" si="33"/>
        <v>0.45891824268685893</v>
      </c>
      <c r="AQ42" s="18"/>
    </row>
    <row r="43" spans="2:86" s="6" customFormat="1" x14ac:dyDescent="0.2">
      <c r="B43" s="6" t="s">
        <v>31</v>
      </c>
      <c r="G43" s="6">
        <f t="shared" ref="G43:T43" si="34">+G15/G$10</f>
        <v>0.28953728805771262</v>
      </c>
      <c r="H43" s="6">
        <f t="shared" si="34"/>
        <v>0.23422584400465657</v>
      </c>
      <c r="I43" s="6">
        <f t="shared" si="34"/>
        <v>0.33536310329273794</v>
      </c>
      <c r="J43" s="6">
        <f t="shared" si="34"/>
        <v>0.31455122988475576</v>
      </c>
      <c r="K43" s="6">
        <f t="shared" si="34"/>
        <v>0.26456660579955793</v>
      </c>
      <c r="L43" s="6">
        <f t="shared" si="34"/>
        <v>0.23963438379414984</v>
      </c>
      <c r="M43" s="6">
        <f t="shared" si="34"/>
        <v>0.19152855062626892</v>
      </c>
      <c r="N43" s="6">
        <f t="shared" si="34"/>
        <v>0.19591478317968389</v>
      </c>
      <c r="O43" s="6">
        <f t="shared" si="34"/>
        <v>0.16217259234180376</v>
      </c>
      <c r="P43" s="6">
        <f t="shared" si="34"/>
        <v>0.14752196087264302</v>
      </c>
      <c r="Q43" s="6">
        <f t="shared" si="34"/>
        <v>0.13726778546141308</v>
      </c>
      <c r="R43" s="6">
        <f t="shared" si="34"/>
        <v>0.13158815100541246</v>
      </c>
      <c r="S43" s="6">
        <f t="shared" si="34"/>
        <v>0.1258068085420278</v>
      </c>
      <c r="T43" s="6">
        <f t="shared" si="34"/>
        <v>0.12425335821891997</v>
      </c>
      <c r="U43" s="6">
        <f>+U15/U$10</f>
        <v>0.10720089134304857</v>
      </c>
      <c r="V43" s="6">
        <f>+V15/V$10</f>
        <v>0.10597922547983152</v>
      </c>
      <c r="Y43" s="6">
        <f>+Y15/Y$10</f>
        <v>0.40620514602565461</v>
      </c>
      <c r="Z43" s="6">
        <f t="shared" ref="Z43:AA43" si="35">+Z15/Z$10</f>
        <v>0.29750071362336561</v>
      </c>
      <c r="AA43" s="6">
        <f t="shared" si="35"/>
        <v>0.21736006829997204</v>
      </c>
      <c r="AB43" s="6">
        <f t="shared" ref="AB43:AC43" si="36">+AB15/AB$10</f>
        <v>0.14320901949450515</v>
      </c>
      <c r="AC43" s="6">
        <f t="shared" si="36"/>
        <v>0.11509327134366107</v>
      </c>
      <c r="AQ43" s="18"/>
    </row>
    <row r="44" spans="2:86" s="6" customFormat="1" x14ac:dyDescent="0.2">
      <c r="AQ44" s="18"/>
    </row>
    <row r="45" spans="2:86" s="6" customFormat="1" x14ac:dyDescent="0.2">
      <c r="AQ45" s="18"/>
    </row>
    <row r="46" spans="2:86" x14ac:dyDescent="0.2">
      <c r="B46" s="1" t="s">
        <v>53</v>
      </c>
      <c r="C46" s="8"/>
      <c r="D46" s="8"/>
      <c r="E46" s="8"/>
      <c r="F46" s="8">
        <v>127206</v>
      </c>
      <c r="G46" s="8"/>
      <c r="H46" s="8"/>
      <c r="I46" s="8">
        <v>3939925</v>
      </c>
      <c r="J46" s="8">
        <v>820177</v>
      </c>
      <c r="K46" s="8">
        <v>644674</v>
      </c>
      <c r="L46" s="8">
        <v>698548</v>
      </c>
      <c r="M46" s="8">
        <v>935217</v>
      </c>
      <c r="N46" s="8">
        <v>1085729</v>
      </c>
      <c r="O46" s="8">
        <v>1063401</v>
      </c>
      <c r="P46" s="8">
        <v>906663</v>
      </c>
      <c r="Q46" s="8">
        <v>819003</v>
      </c>
      <c r="R46" s="8">
        <v>939902</v>
      </c>
      <c r="S46" s="8">
        <v>653014</v>
      </c>
      <c r="T46" s="8">
        <v>755192</v>
      </c>
      <c r="U46" s="8">
        <v>982182</v>
      </c>
      <c r="V46" s="8">
        <v>1762749</v>
      </c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</row>
    <row r="47" spans="2:86" x14ac:dyDescent="0.2">
      <c r="B47" s="1" t="s">
        <v>54</v>
      </c>
      <c r="C47" s="8"/>
      <c r="D47" s="8"/>
      <c r="E47" s="8"/>
      <c r="F47" s="8">
        <v>306844</v>
      </c>
      <c r="G47" s="8"/>
      <c r="H47" s="8"/>
      <c r="I47" s="8">
        <v>814123</v>
      </c>
      <c r="J47" s="8">
        <v>3087887</v>
      </c>
      <c r="K47" s="8">
        <v>3285751</v>
      </c>
      <c r="L47" s="8">
        <v>3436941</v>
      </c>
      <c r="M47" s="8">
        <v>2955613</v>
      </c>
      <c r="N47" s="8">
        <v>2766364</v>
      </c>
      <c r="O47" s="8">
        <v>2751679</v>
      </c>
      <c r="P47" s="8">
        <v>3046477</v>
      </c>
      <c r="Q47" s="8">
        <v>3123879</v>
      </c>
      <c r="R47" s="8">
        <v>3067966</v>
      </c>
      <c r="S47" s="8">
        <v>3292514</v>
      </c>
      <c r="T47" s="8">
        <v>2996941</v>
      </c>
      <c r="U47" s="8">
        <v>2566357</v>
      </c>
      <c r="V47" s="8">
        <v>2083499</v>
      </c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</row>
    <row r="48" spans="2:86" x14ac:dyDescent="0.2">
      <c r="B48" s="1" t="s">
        <v>55</v>
      </c>
      <c r="C48" s="8"/>
      <c r="D48" s="8"/>
      <c r="E48" s="8"/>
      <c r="F48" s="8">
        <v>179459</v>
      </c>
      <c r="G48" s="8"/>
      <c r="H48" s="8"/>
      <c r="I48" s="8">
        <v>168982</v>
      </c>
      <c r="J48" s="8">
        <v>294017</v>
      </c>
      <c r="K48" s="8">
        <v>166337</v>
      </c>
      <c r="L48" s="8">
        <v>237457</v>
      </c>
      <c r="M48" s="8">
        <v>254243</v>
      </c>
      <c r="N48" s="8">
        <v>545629</v>
      </c>
      <c r="O48" s="8">
        <v>277559</v>
      </c>
      <c r="P48" s="8">
        <v>304964</v>
      </c>
      <c r="Q48" s="8">
        <v>394063</v>
      </c>
      <c r="R48" s="8">
        <v>715821</v>
      </c>
      <c r="S48" s="8">
        <v>352993</v>
      </c>
      <c r="T48" s="8">
        <v>406404</v>
      </c>
      <c r="U48" s="8">
        <v>511034</v>
      </c>
      <c r="V48" s="8">
        <v>926902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</row>
    <row r="49" spans="2:86" x14ac:dyDescent="0.2">
      <c r="B49" s="1" t="s">
        <v>56</v>
      </c>
      <c r="C49" s="8"/>
      <c r="D49" s="8"/>
      <c r="E49" s="8"/>
      <c r="F49" s="8">
        <v>26358</v>
      </c>
      <c r="G49" s="8"/>
      <c r="H49" s="8"/>
      <c r="I49" s="8">
        <v>28063</v>
      </c>
      <c r="J49" s="8">
        <v>32371</v>
      </c>
      <c r="K49" s="8">
        <v>35448</v>
      </c>
      <c r="L49" s="8">
        <v>39265</v>
      </c>
      <c r="M49" s="8">
        <v>42896</v>
      </c>
      <c r="N49" s="8">
        <v>51398</v>
      </c>
      <c r="O49" s="8">
        <v>53943</v>
      </c>
      <c r="P49" s="8">
        <v>57908</v>
      </c>
      <c r="Q49" s="8">
        <v>61738</v>
      </c>
      <c r="R49" s="8">
        <v>67901</v>
      </c>
      <c r="S49" s="8">
        <v>69205</v>
      </c>
      <c r="T49" s="8">
        <v>71969</v>
      </c>
      <c r="U49" s="8">
        <v>74574</v>
      </c>
      <c r="V49" s="8">
        <v>86096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</row>
    <row r="50" spans="2:86" x14ac:dyDescent="0.2">
      <c r="B50" s="1" t="s">
        <v>57</v>
      </c>
      <c r="C50" s="8"/>
      <c r="D50" s="8"/>
      <c r="E50" s="8"/>
      <c r="F50" s="8">
        <v>25327</v>
      </c>
      <c r="G50" s="8"/>
      <c r="H50" s="8"/>
      <c r="I50" s="8">
        <v>35678</v>
      </c>
      <c r="J50" s="8">
        <v>66200</v>
      </c>
      <c r="K50" s="8">
        <v>89126</v>
      </c>
      <c r="L50" s="8">
        <v>95891</v>
      </c>
      <c r="M50" s="8">
        <v>120288</v>
      </c>
      <c r="N50" s="8">
        <v>149523</v>
      </c>
      <c r="O50" s="8">
        <v>195151</v>
      </c>
      <c r="P50" s="8">
        <v>187685</v>
      </c>
      <c r="Q50" s="8">
        <v>160221</v>
      </c>
      <c r="R50" s="8">
        <v>193100</v>
      </c>
      <c r="S50" s="8">
        <v>201821</v>
      </c>
      <c r="T50" s="8">
        <v>174445</v>
      </c>
      <c r="U50" s="8">
        <v>178136</v>
      </c>
      <c r="V50" s="8">
        <v>180018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</row>
    <row r="51" spans="2:86" s="4" customFormat="1" x14ac:dyDescent="0.2">
      <c r="B51" s="4" t="s">
        <v>58</v>
      </c>
      <c r="C51" s="9"/>
      <c r="D51" s="9"/>
      <c r="E51" s="9"/>
      <c r="F51" s="9">
        <f>+SUM(F46:F50)</f>
        <v>665194</v>
      </c>
      <c r="G51" s="9"/>
      <c r="H51" s="9"/>
      <c r="I51" s="9">
        <f t="shared" ref="I51:T51" si="37">+SUM(I46:I50)</f>
        <v>4986771</v>
      </c>
      <c r="J51" s="9">
        <f t="shared" si="37"/>
        <v>4300652</v>
      </c>
      <c r="K51" s="9">
        <f t="shared" si="37"/>
        <v>4221336</v>
      </c>
      <c r="L51" s="9">
        <f t="shared" si="37"/>
        <v>4508102</v>
      </c>
      <c r="M51" s="9">
        <f t="shared" si="37"/>
        <v>4308257</v>
      </c>
      <c r="N51" s="9">
        <f t="shared" si="37"/>
        <v>4598643</v>
      </c>
      <c r="O51" s="9">
        <f t="shared" si="37"/>
        <v>4341733</v>
      </c>
      <c r="P51" s="9">
        <f t="shared" si="37"/>
        <v>4503697</v>
      </c>
      <c r="Q51" s="9">
        <f t="shared" si="37"/>
        <v>4558904</v>
      </c>
      <c r="R51" s="9">
        <f t="shared" si="37"/>
        <v>4984690</v>
      </c>
      <c r="S51" s="9">
        <f t="shared" si="37"/>
        <v>4569547</v>
      </c>
      <c r="T51" s="9">
        <f t="shared" si="37"/>
        <v>4404951</v>
      </c>
      <c r="U51" s="9">
        <f t="shared" ref="U51:V51" si="38">+SUM(U46:U50)</f>
        <v>4312283</v>
      </c>
      <c r="V51" s="9">
        <f t="shared" si="38"/>
        <v>5039264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1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</row>
    <row r="52" spans="2:86" x14ac:dyDescent="0.2">
      <c r="B52" s="1" t="s">
        <v>59</v>
      </c>
      <c r="C52" s="8"/>
      <c r="D52" s="8"/>
      <c r="E52" s="8"/>
      <c r="F52" s="8">
        <v>23532</v>
      </c>
      <c r="G52" s="8"/>
      <c r="H52" s="8"/>
      <c r="I52" s="8">
        <v>347403</v>
      </c>
      <c r="J52" s="8">
        <v>1165275</v>
      </c>
      <c r="K52" s="8">
        <v>1177675</v>
      </c>
      <c r="L52" s="8">
        <v>956011</v>
      </c>
      <c r="M52" s="8">
        <v>1211858</v>
      </c>
      <c r="N52" s="8">
        <v>1256207</v>
      </c>
      <c r="O52" s="8">
        <v>1212378</v>
      </c>
      <c r="P52" s="8">
        <v>1086684</v>
      </c>
      <c r="Q52" s="8">
        <v>943081</v>
      </c>
      <c r="R52" s="8">
        <v>1073023</v>
      </c>
      <c r="S52" s="8">
        <v>1090715</v>
      </c>
      <c r="T52" s="8">
        <v>1100748</v>
      </c>
      <c r="U52" s="8">
        <v>947829</v>
      </c>
      <c r="V52" s="8">
        <v>916307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</row>
    <row r="53" spans="2:86" x14ac:dyDescent="0.2">
      <c r="B53" s="1" t="s">
        <v>60</v>
      </c>
      <c r="C53" s="8"/>
      <c r="D53" s="8"/>
      <c r="E53" s="8"/>
      <c r="F53" s="8">
        <v>27136</v>
      </c>
      <c r="G53" s="8"/>
      <c r="H53" s="8"/>
      <c r="I53" s="8">
        <v>53650</v>
      </c>
      <c r="J53" s="8">
        <v>68968</v>
      </c>
      <c r="K53" s="8">
        <v>77075</v>
      </c>
      <c r="L53" s="8">
        <v>83643</v>
      </c>
      <c r="M53" s="8">
        <v>94377</v>
      </c>
      <c r="N53" s="8">
        <v>105079</v>
      </c>
      <c r="O53" s="8">
        <v>118611</v>
      </c>
      <c r="P53" s="8">
        <v>130082</v>
      </c>
      <c r="Q53" s="8">
        <v>145974</v>
      </c>
      <c r="R53" s="8">
        <v>160823</v>
      </c>
      <c r="S53" s="8">
        <v>176433</v>
      </c>
      <c r="T53" s="8">
        <v>193823</v>
      </c>
      <c r="U53" s="8">
        <v>216380</v>
      </c>
      <c r="V53" s="8">
        <v>247464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</row>
    <row r="54" spans="2:86" x14ac:dyDescent="0.2">
      <c r="B54" s="1" t="s">
        <v>61</v>
      </c>
      <c r="C54" s="8"/>
      <c r="D54" s="8"/>
      <c r="E54" s="8"/>
      <c r="F54" s="8">
        <v>195976</v>
      </c>
      <c r="G54" s="8"/>
      <c r="H54" s="8"/>
      <c r="I54" s="8">
        <v>189255</v>
      </c>
      <c r="J54" s="8">
        <v>186818</v>
      </c>
      <c r="K54" s="8">
        <v>182057</v>
      </c>
      <c r="L54" s="8">
        <v>174974</v>
      </c>
      <c r="M54" s="8">
        <v>184057</v>
      </c>
      <c r="N54" s="8">
        <v>190356</v>
      </c>
      <c r="O54" s="8">
        <v>188946</v>
      </c>
      <c r="P54" s="8">
        <v>222240</v>
      </c>
      <c r="Q54" s="8">
        <v>234678</v>
      </c>
      <c r="R54" s="8">
        <v>231266</v>
      </c>
      <c r="S54" s="8">
        <v>229394</v>
      </c>
      <c r="T54" s="8">
        <v>262229</v>
      </c>
      <c r="U54" s="8">
        <v>254236</v>
      </c>
      <c r="V54" s="8">
        <v>252128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</row>
    <row r="55" spans="2:86" x14ac:dyDescent="0.2">
      <c r="B55" s="1" t="s">
        <v>62</v>
      </c>
      <c r="C55" s="8"/>
      <c r="D55" s="8"/>
      <c r="E55" s="8"/>
      <c r="F55" s="8">
        <v>7049</v>
      </c>
      <c r="G55" s="8"/>
      <c r="H55" s="8"/>
      <c r="I55" s="8">
        <v>8449</v>
      </c>
      <c r="J55" s="8">
        <v>8449</v>
      </c>
      <c r="K55" s="8">
        <v>8449</v>
      </c>
      <c r="L55" s="8">
        <v>8449</v>
      </c>
      <c r="M55" s="8">
        <v>8449</v>
      </c>
      <c r="N55" s="8">
        <v>8449</v>
      </c>
      <c r="O55" s="8">
        <v>502614</v>
      </c>
      <c r="P55" s="8">
        <v>502614</v>
      </c>
      <c r="Q55" s="8">
        <v>649092</v>
      </c>
      <c r="R55" s="8">
        <v>657370</v>
      </c>
      <c r="S55" s="8">
        <v>711251</v>
      </c>
      <c r="T55" s="8">
        <v>774300</v>
      </c>
      <c r="U55" s="8">
        <v>784405</v>
      </c>
      <c r="V55" s="8">
        <v>975906</v>
      </c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</row>
    <row r="56" spans="2:86" x14ac:dyDescent="0.2">
      <c r="B56" s="1" t="s">
        <v>63</v>
      </c>
      <c r="C56" s="8"/>
      <c r="D56" s="8"/>
      <c r="E56" s="8"/>
      <c r="F56" s="8">
        <v>4795</v>
      </c>
      <c r="G56" s="8"/>
      <c r="H56" s="8"/>
      <c r="I56" s="8">
        <v>14820</v>
      </c>
      <c r="J56" s="8">
        <v>16091</v>
      </c>
      <c r="K56" s="8">
        <v>29772</v>
      </c>
      <c r="L56" s="8">
        <v>28089</v>
      </c>
      <c r="M56" s="8">
        <v>26167</v>
      </c>
      <c r="N56" s="8">
        <v>37141</v>
      </c>
      <c r="O56" s="8">
        <v>181851</v>
      </c>
      <c r="P56" s="8">
        <v>172254</v>
      </c>
      <c r="Q56" s="8">
        <v>196165</v>
      </c>
      <c r="R56" s="8">
        <v>186013</v>
      </c>
      <c r="S56" s="8">
        <v>256419</v>
      </c>
      <c r="T56" s="8">
        <v>346101</v>
      </c>
      <c r="U56" s="8">
        <v>329767</v>
      </c>
      <c r="V56" s="8">
        <v>331411</v>
      </c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</row>
    <row r="57" spans="2:86" x14ac:dyDescent="0.2">
      <c r="B57" s="1" t="s">
        <v>56</v>
      </c>
      <c r="C57" s="8"/>
      <c r="D57" s="8"/>
      <c r="E57" s="8"/>
      <c r="F57" s="8">
        <v>69516</v>
      </c>
      <c r="G57" s="8"/>
      <c r="H57" s="8"/>
      <c r="I57" s="8">
        <v>73839</v>
      </c>
      <c r="J57" s="8">
        <v>86164</v>
      </c>
      <c r="K57" s="8">
        <v>89858</v>
      </c>
      <c r="L57" s="8">
        <v>96174</v>
      </c>
      <c r="M57" s="8">
        <v>101551</v>
      </c>
      <c r="N57" s="8">
        <v>124517</v>
      </c>
      <c r="O57" s="8">
        <v>124340</v>
      </c>
      <c r="P57" s="8">
        <v>129222</v>
      </c>
      <c r="Q57" s="8">
        <v>133939</v>
      </c>
      <c r="R57" s="8">
        <v>145286</v>
      </c>
      <c r="S57" s="8">
        <v>142751</v>
      </c>
      <c r="T57" s="8">
        <v>146358</v>
      </c>
      <c r="U57" s="8">
        <v>150362</v>
      </c>
      <c r="V57" s="8">
        <v>187093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</row>
    <row r="58" spans="2:86" x14ac:dyDescent="0.2">
      <c r="B58" s="1" t="s">
        <v>64</v>
      </c>
      <c r="C58" s="8"/>
      <c r="D58" s="8"/>
      <c r="E58" s="8"/>
      <c r="F58" s="8">
        <v>19522</v>
      </c>
      <c r="G58" s="8"/>
      <c r="H58" s="8"/>
      <c r="I58" s="8">
        <v>38702</v>
      </c>
      <c r="J58" s="8">
        <v>89322</v>
      </c>
      <c r="K58" s="8">
        <v>142788</v>
      </c>
      <c r="L58" s="8">
        <v>176974</v>
      </c>
      <c r="M58" s="8">
        <v>228755</v>
      </c>
      <c r="N58" s="8">
        <v>329306</v>
      </c>
      <c r="O58" s="8">
        <v>352226</v>
      </c>
      <c r="P58" s="8">
        <v>317322</v>
      </c>
      <c r="Q58" s="8">
        <v>293855</v>
      </c>
      <c r="R58" s="8">
        <v>283851</v>
      </c>
      <c r="S58" s="8">
        <v>270264</v>
      </c>
      <c r="T58" s="8">
        <v>281306</v>
      </c>
      <c r="U58" s="8">
        <v>269117</v>
      </c>
      <c r="V58" s="8">
        <v>273810</v>
      </c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</row>
    <row r="59" spans="2:86" s="4" customFormat="1" x14ac:dyDescent="0.2">
      <c r="B59" s="4" t="s">
        <v>65</v>
      </c>
      <c r="C59" s="9"/>
      <c r="D59" s="9"/>
      <c r="E59" s="9"/>
      <c r="F59" s="9">
        <f>+SUM(F51:F58)</f>
        <v>1012720</v>
      </c>
      <c r="G59" s="9"/>
      <c r="H59" s="9"/>
      <c r="I59" s="9">
        <f t="shared" ref="I59:T59" si="39">+SUM(I51:I58)</f>
        <v>5712889</v>
      </c>
      <c r="J59" s="9">
        <f t="shared" si="39"/>
        <v>5921739</v>
      </c>
      <c r="K59" s="9">
        <f t="shared" si="39"/>
        <v>5929010</v>
      </c>
      <c r="L59" s="9">
        <f t="shared" si="39"/>
        <v>6032416</v>
      </c>
      <c r="M59" s="9">
        <f t="shared" si="39"/>
        <v>6163471</v>
      </c>
      <c r="N59" s="9">
        <f t="shared" si="39"/>
        <v>6649698</v>
      </c>
      <c r="O59" s="9">
        <f t="shared" si="39"/>
        <v>7022699</v>
      </c>
      <c r="P59" s="9">
        <f t="shared" si="39"/>
        <v>7064115</v>
      </c>
      <c r="Q59" s="9">
        <f t="shared" si="39"/>
        <v>7155688</v>
      </c>
      <c r="R59" s="9">
        <f t="shared" si="39"/>
        <v>7722322</v>
      </c>
      <c r="S59" s="9">
        <f t="shared" si="39"/>
        <v>7446774</v>
      </c>
      <c r="T59" s="9">
        <f t="shared" si="39"/>
        <v>7509816</v>
      </c>
      <c r="U59" s="9">
        <f t="shared" ref="U59:V59" si="40">+SUM(U51:U58)</f>
        <v>7264379</v>
      </c>
      <c r="V59" s="9">
        <f t="shared" si="40"/>
        <v>8223383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1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</row>
    <row r="60" spans="2:86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</row>
    <row r="61" spans="2:86" x14ac:dyDescent="0.2">
      <c r="B61" s="1" t="s">
        <v>66</v>
      </c>
      <c r="C61" s="8"/>
      <c r="D61" s="8"/>
      <c r="E61" s="8"/>
      <c r="F61" s="8">
        <v>8488</v>
      </c>
      <c r="G61" s="8"/>
      <c r="H61" s="8"/>
      <c r="I61" s="8">
        <v>5061</v>
      </c>
      <c r="J61" s="8">
        <v>5647</v>
      </c>
      <c r="K61" s="8">
        <v>4371</v>
      </c>
      <c r="L61" s="8">
        <v>9475</v>
      </c>
      <c r="M61" s="8">
        <v>10559</v>
      </c>
      <c r="N61" s="8">
        <v>13441</v>
      </c>
      <c r="O61" s="8">
        <v>18442</v>
      </c>
      <c r="P61" s="8">
        <v>20286</v>
      </c>
      <c r="Q61" s="8">
        <v>24757</v>
      </c>
      <c r="R61" s="8">
        <v>23672</v>
      </c>
      <c r="S61" s="8">
        <v>22221</v>
      </c>
      <c r="T61" s="8">
        <v>41248</v>
      </c>
      <c r="U61" s="8">
        <v>75456</v>
      </c>
      <c r="V61" s="8">
        <v>51721</v>
      </c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</row>
    <row r="62" spans="2:86" x14ac:dyDescent="0.2">
      <c r="B62" s="1" t="s">
        <v>67</v>
      </c>
      <c r="C62" s="8"/>
      <c r="D62" s="8"/>
      <c r="E62" s="8"/>
      <c r="F62" s="8">
        <v>62817</v>
      </c>
      <c r="G62" s="8"/>
      <c r="H62" s="8"/>
      <c r="I62" s="8">
        <v>85038</v>
      </c>
      <c r="J62" s="8">
        <v>125315</v>
      </c>
      <c r="K62" s="8">
        <v>116807</v>
      </c>
      <c r="L62" s="8">
        <v>143864</v>
      </c>
      <c r="M62" s="8">
        <v>163238</v>
      </c>
      <c r="N62" s="8">
        <v>200664</v>
      </c>
      <c r="O62" s="8">
        <v>185281</v>
      </c>
      <c r="P62" s="8">
        <v>209772</v>
      </c>
      <c r="Q62" s="8">
        <v>225321</v>
      </c>
      <c r="R62" s="8">
        <v>269069</v>
      </c>
      <c r="S62" s="8">
        <v>275685</v>
      </c>
      <c r="T62" s="8">
        <v>315133</v>
      </c>
      <c r="U62" s="8">
        <v>318281</v>
      </c>
      <c r="V62" s="8">
        <v>446860</v>
      </c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</row>
    <row r="63" spans="2:86" x14ac:dyDescent="0.2">
      <c r="B63" s="1" t="s">
        <v>68</v>
      </c>
      <c r="C63" s="8"/>
      <c r="D63" s="8"/>
      <c r="E63" s="8"/>
      <c r="F63" s="8">
        <v>18092</v>
      </c>
      <c r="G63" s="8"/>
      <c r="H63" s="8"/>
      <c r="I63" s="8">
        <v>19333</v>
      </c>
      <c r="J63" s="8">
        <v>19650</v>
      </c>
      <c r="K63" s="8">
        <v>20734</v>
      </c>
      <c r="L63" s="8">
        <v>20641</v>
      </c>
      <c r="M63" s="8">
        <v>25194</v>
      </c>
      <c r="N63" s="8">
        <v>25101</v>
      </c>
      <c r="O63" s="8">
        <v>27298</v>
      </c>
      <c r="P63" s="8">
        <v>26605</v>
      </c>
      <c r="Q63" s="8">
        <v>29263</v>
      </c>
      <c r="R63" s="8">
        <v>27301</v>
      </c>
      <c r="S63" s="8">
        <v>29190</v>
      </c>
      <c r="T63" s="8">
        <v>33846</v>
      </c>
      <c r="U63" s="8">
        <v>33348</v>
      </c>
      <c r="V63" s="8">
        <v>33944</v>
      </c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</row>
    <row r="64" spans="2:86" x14ac:dyDescent="0.2">
      <c r="B64" s="1" t="s">
        <v>69</v>
      </c>
      <c r="C64" s="8"/>
      <c r="D64" s="8"/>
      <c r="E64" s="8"/>
      <c r="F64" s="8">
        <v>327058</v>
      </c>
      <c r="G64" s="8"/>
      <c r="H64" s="8"/>
      <c r="I64" s="8">
        <v>438227</v>
      </c>
      <c r="J64" s="8">
        <v>638652</v>
      </c>
      <c r="K64" s="8">
        <v>635086</v>
      </c>
      <c r="L64" s="8">
        <v>701758</v>
      </c>
      <c r="M64" s="8">
        <v>759744</v>
      </c>
      <c r="N64" s="8">
        <v>1157887</v>
      </c>
      <c r="O64" s="8">
        <v>1132697</v>
      </c>
      <c r="P64" s="8">
        <v>1144773</v>
      </c>
      <c r="Q64" s="8">
        <v>1199701</v>
      </c>
      <c r="R64" s="8">
        <v>1673475</v>
      </c>
      <c r="S64" s="8">
        <v>1560445</v>
      </c>
      <c r="T64" s="8">
        <v>1523085</v>
      </c>
      <c r="U64" s="8">
        <v>1605587</v>
      </c>
      <c r="V64" s="8">
        <v>2198705</v>
      </c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</row>
    <row r="65" spans="2:86" s="4" customFormat="1" x14ac:dyDescent="0.2">
      <c r="B65" s="4" t="s">
        <v>70</v>
      </c>
      <c r="C65" s="9"/>
      <c r="D65" s="9"/>
      <c r="E65" s="9"/>
      <c r="F65" s="9">
        <f>+SUM(F61:F64)</f>
        <v>416455</v>
      </c>
      <c r="G65" s="9"/>
      <c r="H65" s="9"/>
      <c r="I65" s="9">
        <f t="shared" ref="I65:T65" si="41">+SUM(I61:I64)</f>
        <v>547659</v>
      </c>
      <c r="J65" s="9">
        <f t="shared" si="41"/>
        <v>789264</v>
      </c>
      <c r="K65" s="9">
        <f t="shared" si="41"/>
        <v>776998</v>
      </c>
      <c r="L65" s="9">
        <f t="shared" si="41"/>
        <v>875738</v>
      </c>
      <c r="M65" s="9">
        <f t="shared" si="41"/>
        <v>958735</v>
      </c>
      <c r="N65" s="9">
        <f t="shared" si="41"/>
        <v>1397093</v>
      </c>
      <c r="O65" s="9">
        <f t="shared" si="41"/>
        <v>1363718</v>
      </c>
      <c r="P65" s="9">
        <f t="shared" si="41"/>
        <v>1401436</v>
      </c>
      <c r="Q65" s="9">
        <f t="shared" si="41"/>
        <v>1479042</v>
      </c>
      <c r="R65" s="9">
        <f t="shared" si="41"/>
        <v>1993517</v>
      </c>
      <c r="S65" s="9">
        <f t="shared" si="41"/>
        <v>1887541</v>
      </c>
      <c r="T65" s="9">
        <f t="shared" si="41"/>
        <v>1913312</v>
      </c>
      <c r="U65" s="9">
        <f t="shared" ref="U65:V65" si="42">+SUM(U61:U64)</f>
        <v>2032672</v>
      </c>
      <c r="V65" s="9">
        <f t="shared" si="42"/>
        <v>2731230</v>
      </c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1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</row>
    <row r="66" spans="2:86" x14ac:dyDescent="0.2">
      <c r="B66" s="1" t="s">
        <v>61</v>
      </c>
      <c r="C66" s="8"/>
      <c r="D66" s="8"/>
      <c r="E66" s="8"/>
      <c r="F66" s="8">
        <v>193175</v>
      </c>
      <c r="G66" s="8"/>
      <c r="H66" s="8"/>
      <c r="I66" s="8">
        <v>186718</v>
      </c>
      <c r="J66" s="8">
        <v>184887</v>
      </c>
      <c r="K66" s="8">
        <v>179796</v>
      </c>
      <c r="L66" s="8">
        <v>174256</v>
      </c>
      <c r="M66" s="8">
        <v>178697</v>
      </c>
      <c r="N66" s="8">
        <v>181196</v>
      </c>
      <c r="O66" s="8">
        <v>179251</v>
      </c>
      <c r="P66" s="8">
        <v>215152</v>
      </c>
      <c r="Q66" s="8">
        <v>225013</v>
      </c>
      <c r="R66" s="8">
        <v>224357</v>
      </c>
      <c r="S66" s="8">
        <v>225653</v>
      </c>
      <c r="T66" s="8">
        <v>263006</v>
      </c>
      <c r="U66" s="8">
        <v>253029</v>
      </c>
      <c r="V66" s="8">
        <v>254037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</row>
    <row r="67" spans="2:86" x14ac:dyDescent="0.2">
      <c r="B67" s="1" t="s">
        <v>69</v>
      </c>
      <c r="C67" s="8"/>
      <c r="D67" s="8"/>
      <c r="E67" s="8"/>
      <c r="F67" s="8">
        <v>2907</v>
      </c>
      <c r="G67" s="8"/>
      <c r="H67" s="8"/>
      <c r="I67" s="8">
        <v>3477</v>
      </c>
      <c r="J67" s="8">
        <v>4194</v>
      </c>
      <c r="K67" s="8">
        <v>3650</v>
      </c>
      <c r="L67" s="8">
        <v>7100</v>
      </c>
      <c r="M67" s="8">
        <v>7132</v>
      </c>
      <c r="N67" s="8">
        <v>11180</v>
      </c>
      <c r="O67" s="8">
        <v>10434</v>
      </c>
      <c r="P67" s="8">
        <v>8793</v>
      </c>
      <c r="Q67" s="8">
        <v>7333</v>
      </c>
      <c r="R67" s="8">
        <v>11463</v>
      </c>
      <c r="S67" s="8">
        <v>14152</v>
      </c>
      <c r="T67" s="8">
        <v>12477</v>
      </c>
      <c r="U67" s="8">
        <v>12082</v>
      </c>
      <c r="V67" s="8">
        <v>14402</v>
      </c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</row>
    <row r="68" spans="2:86" x14ac:dyDescent="0.2">
      <c r="B68" s="1" t="s">
        <v>71</v>
      </c>
      <c r="C68" s="8"/>
      <c r="D68" s="8"/>
      <c r="E68" s="8"/>
      <c r="F68" s="8">
        <v>8466</v>
      </c>
      <c r="G68" s="8"/>
      <c r="H68" s="8"/>
      <c r="I68" s="8">
        <v>7220</v>
      </c>
      <c r="J68" s="8">
        <v>6923</v>
      </c>
      <c r="K68" s="8">
        <v>10245</v>
      </c>
      <c r="L68" s="8">
        <v>10357</v>
      </c>
      <c r="M68" s="8">
        <v>12225</v>
      </c>
      <c r="N68" s="8">
        <v>11184</v>
      </c>
      <c r="O68" s="8">
        <v>11302</v>
      </c>
      <c r="P68" s="8">
        <v>12411</v>
      </c>
      <c r="Q68" s="8">
        <v>21029</v>
      </c>
      <c r="R68" s="8">
        <v>24370</v>
      </c>
      <c r="S68" s="8">
        <v>21443</v>
      </c>
      <c r="T68" s="8">
        <v>22794</v>
      </c>
      <c r="U68" s="8">
        <v>25829</v>
      </c>
      <c r="V68" s="8">
        <v>33120</v>
      </c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</row>
    <row r="69" spans="2:86" s="4" customFormat="1" x14ac:dyDescent="0.2">
      <c r="B69" s="4" t="s">
        <v>72</v>
      </c>
      <c r="C69" s="9"/>
      <c r="D69" s="9"/>
      <c r="E69" s="9"/>
      <c r="F69" s="9">
        <f>+SUM(F65:F68)</f>
        <v>621003</v>
      </c>
      <c r="G69" s="9"/>
      <c r="H69" s="9"/>
      <c r="I69" s="9">
        <f t="shared" ref="I69:T69" si="43">+SUM(I65:I68)</f>
        <v>745074</v>
      </c>
      <c r="J69" s="9">
        <f t="shared" si="43"/>
        <v>985268</v>
      </c>
      <c r="K69" s="9">
        <f t="shared" si="43"/>
        <v>970689</v>
      </c>
      <c r="L69" s="9">
        <f t="shared" si="43"/>
        <v>1067451</v>
      </c>
      <c r="M69" s="9">
        <f t="shared" si="43"/>
        <v>1156789</v>
      </c>
      <c r="N69" s="9">
        <f t="shared" si="43"/>
        <v>1600653</v>
      </c>
      <c r="O69" s="9">
        <f t="shared" si="43"/>
        <v>1564705</v>
      </c>
      <c r="P69" s="9">
        <f t="shared" si="43"/>
        <v>1637792</v>
      </c>
      <c r="Q69" s="9">
        <f t="shared" si="43"/>
        <v>1732417</v>
      </c>
      <c r="R69" s="9">
        <f t="shared" si="43"/>
        <v>2253707</v>
      </c>
      <c r="S69" s="9">
        <f t="shared" si="43"/>
        <v>2148789</v>
      </c>
      <c r="T69" s="9">
        <f t="shared" si="43"/>
        <v>2211589</v>
      </c>
      <c r="U69" s="9">
        <f t="shared" ref="U69:V69" si="44">+SUM(U65:U68)</f>
        <v>2323612</v>
      </c>
      <c r="V69" s="9">
        <f t="shared" si="44"/>
        <v>3032789</v>
      </c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1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</row>
    <row r="70" spans="2:86" x14ac:dyDescent="0.2">
      <c r="B70" s="1" t="s">
        <v>73</v>
      </c>
      <c r="C70" s="8"/>
      <c r="D70" s="8"/>
      <c r="E70" s="8"/>
      <c r="F70" s="8">
        <f>+-544757+936474</f>
        <v>391717</v>
      </c>
      <c r="G70" s="8"/>
      <c r="H70" s="8"/>
      <c r="I70" s="8">
        <v>4967815</v>
      </c>
      <c r="J70" s="8">
        <v>4936471</v>
      </c>
      <c r="K70" s="8">
        <v>4958321</v>
      </c>
      <c r="L70" s="8">
        <v>4964965</v>
      </c>
      <c r="M70" s="8">
        <v>5006682</v>
      </c>
      <c r="N70" s="8">
        <v>5049045</v>
      </c>
      <c r="O70" s="8">
        <v>5457994</v>
      </c>
      <c r="P70" s="8">
        <v>5426323</v>
      </c>
      <c r="Q70" s="8">
        <v>5423271</v>
      </c>
      <c r="R70" s="8">
        <v>5468615</v>
      </c>
      <c r="S70" s="8">
        <v>5297985</v>
      </c>
      <c r="T70" s="8">
        <v>5298227</v>
      </c>
      <c r="U70" s="8">
        <v>4940767</v>
      </c>
      <c r="V70" s="8">
        <v>5190594</v>
      </c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</row>
    <row r="71" spans="2:86" s="4" customFormat="1" x14ac:dyDescent="0.2">
      <c r="B71" s="4" t="s">
        <v>74</v>
      </c>
      <c r="C71" s="9"/>
      <c r="D71" s="9"/>
      <c r="E71" s="9"/>
      <c r="F71" s="9">
        <f>+SUM(F69:F70)</f>
        <v>1012720</v>
      </c>
      <c r="G71" s="9"/>
      <c r="H71" s="9"/>
      <c r="I71" s="9">
        <f t="shared" ref="I71:T71" si="45">+SUM(I69:I70)</f>
        <v>5712889</v>
      </c>
      <c r="J71" s="9">
        <f t="shared" si="45"/>
        <v>5921739</v>
      </c>
      <c r="K71" s="9">
        <f t="shared" si="45"/>
        <v>5929010</v>
      </c>
      <c r="L71" s="9">
        <f t="shared" si="45"/>
        <v>6032416</v>
      </c>
      <c r="M71" s="9">
        <f t="shared" si="45"/>
        <v>6163471</v>
      </c>
      <c r="N71" s="9">
        <f t="shared" si="45"/>
        <v>6649698</v>
      </c>
      <c r="O71" s="9">
        <f t="shared" si="45"/>
        <v>7022699</v>
      </c>
      <c r="P71" s="9">
        <f t="shared" si="45"/>
        <v>7064115</v>
      </c>
      <c r="Q71" s="9">
        <f t="shared" si="45"/>
        <v>7155688</v>
      </c>
      <c r="R71" s="9">
        <f t="shared" si="45"/>
        <v>7722322</v>
      </c>
      <c r="S71" s="9">
        <f t="shared" si="45"/>
        <v>7446774</v>
      </c>
      <c r="T71" s="9">
        <f t="shared" si="45"/>
        <v>7509816</v>
      </c>
      <c r="U71" s="9">
        <f t="shared" ref="U71:V71" si="46">+SUM(U69:U70)</f>
        <v>7264379</v>
      </c>
      <c r="V71" s="9">
        <f t="shared" si="46"/>
        <v>8223383</v>
      </c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1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</row>
    <row r="72" spans="2:86" x14ac:dyDescent="0.2">
      <c r="C72" s="8"/>
      <c r="D72" s="8"/>
      <c r="E72" s="8"/>
      <c r="F72" s="8" t="b">
        <f t="shared" ref="F72" si="47">+F59=F71</f>
        <v>1</v>
      </c>
      <c r="G72" s="8"/>
      <c r="H72" s="8"/>
      <c r="I72" s="8" t="b">
        <f t="shared" ref="I72:J72" si="48">+I59=I71</f>
        <v>1</v>
      </c>
      <c r="J72" s="8" t="b">
        <f t="shared" si="48"/>
        <v>1</v>
      </c>
      <c r="K72" s="8" t="b">
        <f t="shared" ref="K72:N72" si="49">+K59=K71</f>
        <v>1</v>
      </c>
      <c r="L72" s="8" t="b">
        <f t="shared" si="49"/>
        <v>1</v>
      </c>
      <c r="M72" s="8" t="b">
        <f t="shared" si="49"/>
        <v>1</v>
      </c>
      <c r="N72" s="8" t="b">
        <f t="shared" si="49"/>
        <v>1</v>
      </c>
      <c r="O72" s="8" t="b">
        <f t="shared" ref="O72:S72" si="50">+O59=O71</f>
        <v>1</v>
      </c>
      <c r="P72" s="8" t="b">
        <f t="shared" si="50"/>
        <v>1</v>
      </c>
      <c r="Q72" s="8" t="b">
        <f t="shared" si="50"/>
        <v>1</v>
      </c>
      <c r="R72" s="8" t="b">
        <f t="shared" si="50"/>
        <v>1</v>
      </c>
      <c r="S72" s="8" t="b">
        <f t="shared" si="50"/>
        <v>1</v>
      </c>
      <c r="T72" s="8" t="b">
        <f>+T59=T71</f>
        <v>1</v>
      </c>
      <c r="U72" s="8" t="b">
        <f>+U59=U71</f>
        <v>1</v>
      </c>
      <c r="V72" s="8" t="b">
        <f>+V59=V71</f>
        <v>1</v>
      </c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</row>
    <row r="73" spans="2:86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</row>
    <row r="74" spans="2:86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</row>
    <row r="75" spans="2:86" x14ac:dyDescent="0.2">
      <c r="B75" s="1" t="s">
        <v>37</v>
      </c>
      <c r="C75" s="8">
        <f t="shared" ref="C75:S75" si="51">+C22</f>
        <v>-83809</v>
      </c>
      <c r="D75" s="8">
        <f t="shared" si="51"/>
        <v>-93415</v>
      </c>
      <c r="E75" s="8">
        <f t="shared" si="51"/>
        <v>-88057</v>
      </c>
      <c r="F75" s="8">
        <f t="shared" si="51"/>
        <v>-83254</v>
      </c>
      <c r="G75" s="8">
        <f t="shared" si="51"/>
        <v>-93644</v>
      </c>
      <c r="H75" s="8">
        <f t="shared" si="51"/>
        <v>-77634</v>
      </c>
      <c r="I75" s="8">
        <f t="shared" si="51"/>
        <v>-168889</v>
      </c>
      <c r="J75" s="8">
        <f t="shared" si="51"/>
        <v>-198935</v>
      </c>
      <c r="K75" s="8">
        <f t="shared" si="51"/>
        <v>-203220</v>
      </c>
      <c r="L75" s="8">
        <f t="shared" si="51"/>
        <v>-189719</v>
      </c>
      <c r="M75" s="8">
        <f t="shared" si="51"/>
        <v>-154856</v>
      </c>
      <c r="N75" s="8">
        <f t="shared" si="51"/>
        <v>-132153</v>
      </c>
      <c r="O75" s="8">
        <f t="shared" si="51"/>
        <v>-165794</v>
      </c>
      <c r="P75" s="8">
        <f t="shared" si="51"/>
        <v>-222806</v>
      </c>
      <c r="Q75" s="8">
        <f t="shared" si="51"/>
        <v>-201442</v>
      </c>
      <c r="R75" s="8">
        <f t="shared" si="51"/>
        <v>-207484</v>
      </c>
      <c r="S75" s="8">
        <f t="shared" si="51"/>
        <v>-226064</v>
      </c>
      <c r="T75" s="8">
        <f>+T22</f>
        <v>-227320</v>
      </c>
      <c r="U75" s="8">
        <f>+U22</f>
        <v>-214693</v>
      </c>
      <c r="V75" s="8">
        <f>+V22</f>
        <v>-169913</v>
      </c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</row>
    <row r="76" spans="2:86" x14ac:dyDescent="0.2">
      <c r="B76" s="1" t="s">
        <v>77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>
        <v>5912</v>
      </c>
      <c r="O76" s="8">
        <v>9941</v>
      </c>
      <c r="P76" s="8">
        <v>16172</v>
      </c>
      <c r="Q76" s="8">
        <v>17696</v>
      </c>
      <c r="R76" s="8">
        <v>19726</v>
      </c>
      <c r="S76" s="8">
        <v>23163</v>
      </c>
      <c r="T76" s="8">
        <v>29284</v>
      </c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</row>
    <row r="77" spans="2:86" x14ac:dyDescent="0.2">
      <c r="B77" s="1" t="s">
        <v>78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9658</v>
      </c>
      <c r="O77" s="8">
        <v>10091</v>
      </c>
      <c r="P77" s="8">
        <v>11148</v>
      </c>
      <c r="Q77" s="8">
        <v>12340</v>
      </c>
      <c r="R77" s="8">
        <v>12661</v>
      </c>
      <c r="S77" s="8">
        <v>12869</v>
      </c>
      <c r="T77" s="8">
        <v>12784</v>
      </c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</row>
    <row r="78" spans="2:86" x14ac:dyDescent="0.2">
      <c r="B78" s="1" t="s">
        <v>79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>
        <v>11052</v>
      </c>
      <c r="O78" s="8">
        <v>13201</v>
      </c>
      <c r="P78" s="8">
        <v>13770</v>
      </c>
      <c r="Q78" s="8">
        <v>14554</v>
      </c>
      <c r="R78" s="8">
        <v>15920</v>
      </c>
      <c r="S78" s="8">
        <v>17672</v>
      </c>
      <c r="T78" s="8">
        <v>18181</v>
      </c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</row>
    <row r="79" spans="2:86" x14ac:dyDescent="0.2">
      <c r="B79" s="1" t="s">
        <v>80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>
        <v>145703</v>
      </c>
      <c r="O79" s="8">
        <v>172493</v>
      </c>
      <c r="P79" s="8">
        <v>209181</v>
      </c>
      <c r="Q79" s="8">
        <v>229163</v>
      </c>
      <c r="R79" s="8">
        <v>250696</v>
      </c>
      <c r="S79" s="8">
        <v>264509</v>
      </c>
      <c r="T79" s="8">
        <v>299722</v>
      </c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</row>
    <row r="80" spans="2:86" x14ac:dyDescent="0.2">
      <c r="B80" s="1" t="s">
        <v>81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>
        <v>11064</v>
      </c>
      <c r="O80" s="8">
        <v>8198</v>
      </c>
      <c r="P80" s="8">
        <v>4678</v>
      </c>
      <c r="Q80" s="8">
        <v>-545</v>
      </c>
      <c r="R80" s="8">
        <v>-8834</v>
      </c>
      <c r="S80" s="8">
        <v>-15331</v>
      </c>
      <c r="T80" s="8">
        <v>-17661</v>
      </c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</row>
    <row r="81" spans="2:86" x14ac:dyDescent="0.2">
      <c r="B81" s="1" t="s">
        <v>82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>
        <v>-19106</v>
      </c>
      <c r="O81" s="8">
        <v>8859</v>
      </c>
      <c r="P81" s="8">
        <v>23173</v>
      </c>
      <c r="Q81" s="8">
        <v>13064</v>
      </c>
      <c r="R81" s="8">
        <v>1339</v>
      </c>
      <c r="S81" s="8">
        <v>2414</v>
      </c>
      <c r="T81" s="8">
        <v>-5309</v>
      </c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</row>
    <row r="82" spans="2:86" x14ac:dyDescent="0.2">
      <c r="B82" s="1" t="s">
        <v>83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>
        <v>0</v>
      </c>
      <c r="O82" s="8">
        <v>-26664</v>
      </c>
      <c r="P82" s="8">
        <v>0</v>
      </c>
      <c r="Q82" s="8">
        <v>1387</v>
      </c>
      <c r="R82" s="8">
        <v>-1148</v>
      </c>
      <c r="S82" s="8">
        <v>-8868</v>
      </c>
      <c r="T82" s="8">
        <v>-4026</v>
      </c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</row>
    <row r="83" spans="2:86" x14ac:dyDescent="0.2">
      <c r="B83" s="1" t="s">
        <v>84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>
        <v>-1238</v>
      </c>
      <c r="O83" s="8">
        <v>1761</v>
      </c>
      <c r="P83" s="8">
        <v>313</v>
      </c>
      <c r="Q83" s="8">
        <v>-1396</v>
      </c>
      <c r="R83" s="8">
        <v>940</v>
      </c>
      <c r="S83" s="8">
        <v>9978</v>
      </c>
      <c r="T83" s="8">
        <v>1834</v>
      </c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</row>
    <row r="84" spans="2:86" x14ac:dyDescent="0.2">
      <c r="B84" s="1" t="s">
        <v>55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>
        <v>-290794</v>
      </c>
      <c r="O84" s="8">
        <v>266656</v>
      </c>
      <c r="P84" s="8">
        <v>-27087</v>
      </c>
      <c r="Q84" s="8">
        <v>-88846</v>
      </c>
      <c r="R84" s="8">
        <v>-317688</v>
      </c>
      <c r="S84" s="8">
        <v>362893</v>
      </c>
      <c r="T84" s="8">
        <v>-53050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</row>
    <row r="85" spans="2:86" x14ac:dyDescent="0.2">
      <c r="B85" s="1" t="s">
        <v>85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>
        <v>-42985</v>
      </c>
      <c r="O85" s="8">
        <v>-16718</v>
      </c>
      <c r="P85" s="8">
        <v>-23188</v>
      </c>
      <c r="Q85" s="8">
        <v>-23721</v>
      </c>
      <c r="R85" s="8">
        <v>-31480</v>
      </c>
      <c r="S85" s="8">
        <v>-16440</v>
      </c>
      <c r="T85" s="8">
        <v>-24552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</row>
    <row r="86" spans="2:86" x14ac:dyDescent="0.2">
      <c r="B86" s="1" t="s">
        <v>86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>
        <v>-46361</v>
      </c>
      <c r="O86" s="8">
        <v>-57535</v>
      </c>
      <c r="P86" s="8">
        <v>29358</v>
      </c>
      <c r="Q86" s="8">
        <v>41346</v>
      </c>
      <c r="R86" s="8">
        <v>-16073</v>
      </c>
      <c r="S86" s="8">
        <v>5527</v>
      </c>
      <c r="T86" s="8">
        <v>41389</v>
      </c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</row>
    <row r="87" spans="2:86" x14ac:dyDescent="0.2">
      <c r="B87" s="1" t="s">
        <v>66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>
        <v>2780</v>
      </c>
      <c r="O87" s="8">
        <v>4158</v>
      </c>
      <c r="P87" s="8">
        <v>2067</v>
      </c>
      <c r="Q87" s="8">
        <v>4079</v>
      </c>
      <c r="R87" s="8">
        <v>-2280</v>
      </c>
      <c r="S87" s="8">
        <v>-3093</v>
      </c>
      <c r="T87" s="8">
        <v>20562</v>
      </c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</row>
    <row r="88" spans="2:86" x14ac:dyDescent="0.2">
      <c r="B88" s="1" t="s">
        <v>87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>
        <v>36666</v>
      </c>
      <c r="O88" s="8">
        <v>-14217</v>
      </c>
      <c r="P88" s="8">
        <v>24672</v>
      </c>
      <c r="Q88" s="8">
        <v>17272</v>
      </c>
      <c r="R88" s="8">
        <v>46553</v>
      </c>
      <c r="S88" s="8">
        <v>-8542</v>
      </c>
      <c r="T88" s="8">
        <v>35648</v>
      </c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</row>
    <row r="89" spans="2:86" x14ac:dyDescent="0.2">
      <c r="B89" s="1" t="s">
        <v>68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>
        <v>-13491</v>
      </c>
      <c r="O89" s="8">
        <v>-8376</v>
      </c>
      <c r="P89" s="8">
        <v>-9810</v>
      </c>
      <c r="Q89" s="8">
        <v>-10990</v>
      </c>
      <c r="R89" s="8">
        <v>-13166</v>
      </c>
      <c r="S89" s="8">
        <v>-10763</v>
      </c>
      <c r="T89" s="8">
        <v>-5260</v>
      </c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</row>
    <row r="90" spans="2:86" x14ac:dyDescent="0.2">
      <c r="B90" s="1" t="s">
        <v>88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>
        <v>402191</v>
      </c>
      <c r="O90" s="8">
        <v>-21441</v>
      </c>
      <c r="P90" s="8">
        <v>12792</v>
      </c>
      <c r="Q90" s="8">
        <v>55316</v>
      </c>
      <c r="R90" s="8">
        <v>467634</v>
      </c>
      <c r="S90" s="8">
        <v>-110480</v>
      </c>
      <c r="T90" s="8">
        <v>-39035</v>
      </c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</row>
    <row r="91" spans="2:86" s="4" customFormat="1" x14ac:dyDescent="0.2">
      <c r="B91" s="4" t="s">
        <v>89</v>
      </c>
      <c r="C91" s="9">
        <f t="shared" ref="C91:S91" si="52">SUM(C75:C90)</f>
        <v>-83809</v>
      </c>
      <c r="D91" s="9">
        <f t="shared" si="52"/>
        <v>-93415</v>
      </c>
      <c r="E91" s="9">
        <f t="shared" si="52"/>
        <v>-88057</v>
      </c>
      <c r="F91" s="9">
        <f t="shared" si="52"/>
        <v>-83254</v>
      </c>
      <c r="G91" s="9">
        <f t="shared" si="52"/>
        <v>-93644</v>
      </c>
      <c r="H91" s="9">
        <f t="shared" si="52"/>
        <v>-77634</v>
      </c>
      <c r="I91" s="9">
        <f t="shared" si="52"/>
        <v>-168889</v>
      </c>
      <c r="J91" s="9">
        <f t="shared" si="52"/>
        <v>-198935</v>
      </c>
      <c r="K91" s="9">
        <f t="shared" si="52"/>
        <v>-203220</v>
      </c>
      <c r="L91" s="9">
        <f t="shared" si="52"/>
        <v>-189719</v>
      </c>
      <c r="M91" s="9">
        <f t="shared" si="52"/>
        <v>-154856</v>
      </c>
      <c r="N91" s="9">
        <f t="shared" si="52"/>
        <v>78898</v>
      </c>
      <c r="O91" s="9">
        <f t="shared" si="52"/>
        <v>184613</v>
      </c>
      <c r="P91" s="9">
        <f t="shared" si="52"/>
        <v>64433</v>
      </c>
      <c r="Q91" s="9">
        <f t="shared" si="52"/>
        <v>79277</v>
      </c>
      <c r="R91" s="9">
        <f t="shared" si="52"/>
        <v>217316</v>
      </c>
      <c r="S91" s="9">
        <f t="shared" si="52"/>
        <v>299444</v>
      </c>
      <c r="T91" s="9">
        <f>SUM(T75:T90)</f>
        <v>83191</v>
      </c>
      <c r="U91" s="9">
        <f>503542-SUM(S91:T91)</f>
        <v>120907</v>
      </c>
      <c r="V91" s="9">
        <f>848122-SUM(S91:U91)</f>
        <v>344580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1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</row>
    <row r="92" spans="2:86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</row>
    <row r="93" spans="2:86" x14ac:dyDescent="0.2">
      <c r="B93" s="1" t="s">
        <v>90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>
        <v>-4012</v>
      </c>
      <c r="O93" s="8">
        <v>-7413</v>
      </c>
      <c r="P93" s="8">
        <v>-3848</v>
      </c>
      <c r="Q93" s="8">
        <v>-8505</v>
      </c>
      <c r="R93" s="8">
        <v>-5362</v>
      </c>
      <c r="S93" s="8">
        <v>-6970</v>
      </c>
      <c r="T93" s="8">
        <v>-6298</v>
      </c>
      <c r="U93" s="8">
        <f>+-22014-SUM(S93:T93)</f>
        <v>-8746</v>
      </c>
      <c r="V93" s="8">
        <f>+-35086-SUM(S93:U93)</f>
        <v>-13072</v>
      </c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</row>
    <row r="94" spans="2:86" x14ac:dyDescent="0.2">
      <c r="B94" s="1" t="s">
        <v>91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>
        <v>-4160</v>
      </c>
      <c r="O94" s="8">
        <v>-4804</v>
      </c>
      <c r="P94" s="1">
        <v>-6736</v>
      </c>
      <c r="Q94" s="1">
        <v>-5779</v>
      </c>
      <c r="R94" s="8">
        <v>-6693</v>
      </c>
      <c r="S94" s="8">
        <v>-9341</v>
      </c>
      <c r="T94" s="8">
        <v>-7874</v>
      </c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</row>
    <row r="95" spans="2:86" x14ac:dyDescent="0.2">
      <c r="B95" s="1" t="s">
        <v>92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>
        <v>0</v>
      </c>
      <c r="O95" s="8">
        <v>-177925</v>
      </c>
      <c r="P95" s="8">
        <v>0</v>
      </c>
      <c r="Q95" s="8">
        <v>-174630</v>
      </c>
      <c r="R95" s="8">
        <v>-10054</v>
      </c>
      <c r="S95" s="8">
        <v>-123112</v>
      </c>
      <c r="T95" s="8">
        <v>-141459</v>
      </c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</row>
    <row r="96" spans="2:86" x14ac:dyDescent="0.2">
      <c r="B96" s="1" t="s">
        <v>93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>
        <v>-13152</v>
      </c>
      <c r="O96" s="8">
        <v>0</v>
      </c>
      <c r="P96" s="8">
        <v>-700</v>
      </c>
      <c r="Q96" s="8">
        <v>0</v>
      </c>
      <c r="R96" s="8">
        <v>0</v>
      </c>
      <c r="S96" s="8">
        <v>0</v>
      </c>
      <c r="T96" s="8">
        <v>-27480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</row>
    <row r="97" spans="2:86" x14ac:dyDescent="0.2">
      <c r="B97" s="1" t="s">
        <v>94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>
        <v>-1207942</v>
      </c>
      <c r="O97" s="8">
        <v>-897291</v>
      </c>
      <c r="P97" s="8">
        <v>-1027966</v>
      </c>
      <c r="Q97" s="8">
        <v>-870910</v>
      </c>
      <c r="R97" s="8">
        <v>-1105154</v>
      </c>
      <c r="S97" s="8">
        <v>-1037286</v>
      </c>
      <c r="T97" s="8">
        <v>-688678</v>
      </c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</row>
    <row r="98" spans="2:86" x14ac:dyDescent="0.2">
      <c r="B98" s="1" t="s">
        <v>95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>
        <v>33066</v>
      </c>
      <c r="O98" s="8">
        <v>10974</v>
      </c>
      <c r="P98" s="8">
        <v>32958</v>
      </c>
      <c r="Q98" s="8">
        <v>14881</v>
      </c>
      <c r="R98" s="8">
        <v>0</v>
      </c>
      <c r="S98" s="8">
        <v>5652</v>
      </c>
      <c r="T98" s="8">
        <v>1614</v>
      </c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</row>
    <row r="99" spans="2:86" x14ac:dyDescent="0.2">
      <c r="B99" s="1" t="s">
        <v>96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>
        <v>1232367</v>
      </c>
      <c r="O99" s="8">
        <v>886667</v>
      </c>
      <c r="P99" s="8">
        <v>809845</v>
      </c>
      <c r="Q99" s="8">
        <v>898081</v>
      </c>
      <c r="R99" s="8">
        <v>1062479</v>
      </c>
      <c r="S99" s="8">
        <v>808844</v>
      </c>
      <c r="T99" s="8">
        <v>971217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</row>
    <row r="100" spans="2:86" s="4" customFormat="1" x14ac:dyDescent="0.2">
      <c r="B100" s="4" t="s">
        <v>97</v>
      </c>
      <c r="C100" s="9">
        <f t="shared" ref="C100:T100" si="53">+SUM(C93:C99)</f>
        <v>0</v>
      </c>
      <c r="D100" s="9">
        <f t="shared" si="53"/>
        <v>0</v>
      </c>
      <c r="E100" s="9">
        <f t="shared" si="53"/>
        <v>0</v>
      </c>
      <c r="F100" s="9">
        <f t="shared" si="53"/>
        <v>0</v>
      </c>
      <c r="G100" s="9">
        <f t="shared" si="53"/>
        <v>0</v>
      </c>
      <c r="H100" s="9">
        <f t="shared" si="53"/>
        <v>0</v>
      </c>
      <c r="I100" s="9">
        <f t="shared" si="53"/>
        <v>0</v>
      </c>
      <c r="J100" s="9">
        <f t="shared" si="53"/>
        <v>0</v>
      </c>
      <c r="K100" s="9">
        <f t="shared" si="53"/>
        <v>0</v>
      </c>
      <c r="L100" s="9">
        <f t="shared" si="53"/>
        <v>0</v>
      </c>
      <c r="M100" s="9">
        <f t="shared" si="53"/>
        <v>0</v>
      </c>
      <c r="N100" s="9">
        <f t="shared" si="53"/>
        <v>36167</v>
      </c>
      <c r="O100" s="9">
        <f t="shared" si="53"/>
        <v>-189792</v>
      </c>
      <c r="P100" s="9">
        <f t="shared" si="53"/>
        <v>-196447</v>
      </c>
      <c r="Q100" s="9">
        <f t="shared" si="53"/>
        <v>-146862</v>
      </c>
      <c r="R100" s="9">
        <f t="shared" si="53"/>
        <v>-64784</v>
      </c>
      <c r="S100" s="9">
        <f t="shared" si="53"/>
        <v>-362213</v>
      </c>
      <c r="T100" s="9">
        <f t="shared" si="53"/>
        <v>101042</v>
      </c>
      <c r="U100" s="9">
        <f>309689-SUM(S100:T100)</f>
        <v>570860</v>
      </c>
      <c r="V100" s="9">
        <f>832258-SUM(S100:U100)</f>
        <v>522569</v>
      </c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</row>
    <row r="101" spans="2:86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</row>
    <row r="102" spans="2:86" x14ac:dyDescent="0.2">
      <c r="B102" s="1" t="s">
        <v>98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>
        <v>36592</v>
      </c>
      <c r="O102" s="8">
        <v>15276</v>
      </c>
      <c r="P102" s="8">
        <v>8520</v>
      </c>
      <c r="Q102" s="8">
        <v>7299</v>
      </c>
      <c r="R102" s="8">
        <v>8798</v>
      </c>
      <c r="S102" s="8">
        <v>15370</v>
      </c>
      <c r="T102" s="8">
        <v>16149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</row>
    <row r="103" spans="2:86" x14ac:dyDescent="0.2">
      <c r="B103" s="1" t="s">
        <v>99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>
        <v>0</v>
      </c>
      <c r="O103" s="8">
        <v>26094</v>
      </c>
      <c r="P103" s="8">
        <v>0</v>
      </c>
      <c r="Q103" s="8">
        <v>14837</v>
      </c>
      <c r="R103" s="8">
        <v>0</v>
      </c>
      <c r="S103" s="8">
        <v>37065</v>
      </c>
      <c r="T103" s="8">
        <v>0</v>
      </c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</row>
    <row r="104" spans="2:86" x14ac:dyDescent="0.2">
      <c r="B104" s="1" t="s">
        <v>100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>
        <v>0</v>
      </c>
      <c r="O104" s="8">
        <v>-53216</v>
      </c>
      <c r="P104" s="8">
        <v>-30893</v>
      </c>
      <c r="Q104" s="8">
        <v>-51657</v>
      </c>
      <c r="R104" s="8">
        <v>-48882</v>
      </c>
      <c r="S104" s="8">
        <v>-84399</v>
      </c>
      <c r="T104" s="8">
        <v>-98311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</row>
    <row r="105" spans="2:86" x14ac:dyDescent="0.2">
      <c r="B105" s="1" t="s">
        <v>101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-191694</v>
      </c>
      <c r="T105" s="8">
        <v>0</v>
      </c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</row>
    <row r="106" spans="2:86" x14ac:dyDescent="0.2">
      <c r="B106" s="1" t="s">
        <v>107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>
        <v>-1065</v>
      </c>
      <c r="O106" s="8"/>
      <c r="P106" s="8"/>
      <c r="Q106" s="8">
        <v>-1800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</row>
    <row r="107" spans="2:86" x14ac:dyDescent="0.2">
      <c r="B107" s="1" t="s">
        <v>108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>
        <v>13000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</row>
    <row r="108" spans="2:86" s="4" customFormat="1" x14ac:dyDescent="0.2">
      <c r="B108" s="4" t="s">
        <v>102</v>
      </c>
      <c r="C108" s="9">
        <f t="shared" ref="C108:M108" si="54">+SUM(C102:C105)</f>
        <v>0</v>
      </c>
      <c r="D108" s="9">
        <f t="shared" si="54"/>
        <v>0</v>
      </c>
      <c r="E108" s="9">
        <f t="shared" si="54"/>
        <v>0</v>
      </c>
      <c r="F108" s="9">
        <f t="shared" si="54"/>
        <v>0</v>
      </c>
      <c r="G108" s="9">
        <f t="shared" si="54"/>
        <v>0</v>
      </c>
      <c r="H108" s="9">
        <f t="shared" si="54"/>
        <v>0</v>
      </c>
      <c r="I108" s="9">
        <f t="shared" si="54"/>
        <v>0</v>
      </c>
      <c r="J108" s="9">
        <f t="shared" si="54"/>
        <v>0</v>
      </c>
      <c r="K108" s="9">
        <f t="shared" si="54"/>
        <v>0</v>
      </c>
      <c r="L108" s="9">
        <f t="shared" si="54"/>
        <v>0</v>
      </c>
      <c r="M108" s="9">
        <f t="shared" si="54"/>
        <v>0</v>
      </c>
      <c r="N108" s="9">
        <f>+SUM(N102:N106)</f>
        <v>35527</v>
      </c>
      <c r="O108" s="9">
        <f>+SUM(O102:O105)</f>
        <v>-11846</v>
      </c>
      <c r="P108" s="9">
        <f>+SUM(P102:P105)</f>
        <v>-22373</v>
      </c>
      <c r="Q108" s="9">
        <f>+SUM(Q102:Q107)</f>
        <v>-18321</v>
      </c>
      <c r="R108" s="9">
        <f>+SUM(R102:R105)</f>
        <v>-40084</v>
      </c>
      <c r="S108" s="9">
        <f>+SUM(S102:S105)</f>
        <v>-223658</v>
      </c>
      <c r="T108" s="9">
        <f>+SUM(T102:T105)</f>
        <v>-82162</v>
      </c>
      <c r="U108" s="9">
        <f>+-765472-SUM(S108:T108)</f>
        <v>-459652</v>
      </c>
      <c r="V108" s="9">
        <f>1780977-SUM(S108:U108)</f>
        <v>2546449</v>
      </c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1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</row>
    <row r="109" spans="2:86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</row>
    <row r="110" spans="2:86" x14ac:dyDescent="0.2">
      <c r="B110" s="1" t="s">
        <v>103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>
        <v>-257</v>
      </c>
      <c r="O110" s="8">
        <v>-5098</v>
      </c>
      <c r="P110" s="8">
        <v>-2290</v>
      </c>
      <c r="Q110" s="8">
        <v>-2002</v>
      </c>
      <c r="R110" s="8">
        <v>8457</v>
      </c>
      <c r="S110" s="8">
        <v>535</v>
      </c>
      <c r="T110" s="8">
        <v>470</v>
      </c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</row>
    <row r="111" spans="2:86" s="4" customFormat="1" x14ac:dyDescent="0.2">
      <c r="B111" s="4" t="s">
        <v>104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>
        <f t="shared" ref="N111:U111" si="55">+N91+N100+N108+N110</f>
        <v>150335</v>
      </c>
      <c r="O111" s="9">
        <f t="shared" si="55"/>
        <v>-22123</v>
      </c>
      <c r="P111" s="9">
        <f t="shared" si="55"/>
        <v>-156677</v>
      </c>
      <c r="Q111" s="9">
        <f t="shared" si="55"/>
        <v>-87908</v>
      </c>
      <c r="R111" s="9">
        <f t="shared" si="55"/>
        <v>120905</v>
      </c>
      <c r="S111" s="9">
        <f t="shared" si="55"/>
        <v>-285892</v>
      </c>
      <c r="T111" s="9">
        <f t="shared" si="55"/>
        <v>102541</v>
      </c>
      <c r="U111" s="9">
        <f t="shared" si="55"/>
        <v>232115</v>
      </c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1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</row>
    <row r="112" spans="2:86" x14ac:dyDescent="0.2">
      <c r="B112" s="1" t="s">
        <v>105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>
        <v>952199</v>
      </c>
      <c r="O112" s="8">
        <v>1102534</v>
      </c>
      <c r="P112" s="8">
        <v>1080411</v>
      </c>
      <c r="Q112" s="8">
        <v>923734</v>
      </c>
      <c r="R112" s="8">
        <v>835826</v>
      </c>
      <c r="S112" s="8">
        <v>956731</v>
      </c>
      <c r="T112" s="8">
        <v>670839</v>
      </c>
      <c r="U112" s="8">
        <v>670839</v>
      </c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</row>
    <row r="113" spans="2:86" s="4" customFormat="1" x14ac:dyDescent="0.2">
      <c r="B113" s="4" t="s">
        <v>106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>
        <f t="shared" ref="N113:T113" si="56">+SUM(N111:N112)</f>
        <v>1102534</v>
      </c>
      <c r="O113" s="9">
        <f t="shared" si="56"/>
        <v>1080411</v>
      </c>
      <c r="P113" s="9">
        <f t="shared" si="56"/>
        <v>923734</v>
      </c>
      <c r="Q113" s="9">
        <f t="shared" si="56"/>
        <v>835826</v>
      </c>
      <c r="R113" s="9">
        <f t="shared" si="56"/>
        <v>956731</v>
      </c>
      <c r="S113" s="9">
        <f t="shared" si="56"/>
        <v>670839</v>
      </c>
      <c r="T113" s="9">
        <f t="shared" si="56"/>
        <v>773380</v>
      </c>
      <c r="U113" s="9">
        <f t="shared" ref="U113" si="57">+SUM(U111:U112)</f>
        <v>902954</v>
      </c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1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</row>
    <row r="114" spans="2:86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</row>
    <row r="115" spans="2:86" s="4" customFormat="1" x14ac:dyDescent="0.2">
      <c r="B115" s="1" t="s">
        <v>111</v>
      </c>
      <c r="C115" s="9">
        <f t="shared" ref="C115:S115" si="58">+C91+C93</f>
        <v>-83809</v>
      </c>
      <c r="D115" s="9">
        <f>+D91+D93</f>
        <v>-93415</v>
      </c>
      <c r="E115" s="9">
        <f>+E91+E93</f>
        <v>-88057</v>
      </c>
      <c r="F115" s="9">
        <f>+F91+F93</f>
        <v>-83254</v>
      </c>
      <c r="G115" s="9">
        <f>+G91+G93</f>
        <v>-93644</v>
      </c>
      <c r="H115" s="9">
        <f t="shared" si="58"/>
        <v>-77634</v>
      </c>
      <c r="I115" s="9">
        <f t="shared" si="58"/>
        <v>-168889</v>
      </c>
      <c r="J115" s="9">
        <f t="shared" si="58"/>
        <v>-198935</v>
      </c>
      <c r="K115" s="9">
        <f t="shared" si="58"/>
        <v>-203220</v>
      </c>
      <c r="L115" s="9">
        <f t="shared" si="58"/>
        <v>-189719</v>
      </c>
      <c r="M115" s="9">
        <f t="shared" si="58"/>
        <v>-154856</v>
      </c>
      <c r="N115" s="9">
        <f t="shared" si="58"/>
        <v>74886</v>
      </c>
      <c r="O115" s="9">
        <f t="shared" si="58"/>
        <v>177200</v>
      </c>
      <c r="P115" s="9">
        <f t="shared" si="58"/>
        <v>60585</v>
      </c>
      <c r="Q115" s="9">
        <f t="shared" si="58"/>
        <v>70772</v>
      </c>
      <c r="R115" s="9">
        <f t="shared" si="58"/>
        <v>211954</v>
      </c>
      <c r="S115" s="9">
        <f t="shared" si="58"/>
        <v>292474</v>
      </c>
      <c r="T115" s="9">
        <f>+T91+T93</f>
        <v>76893</v>
      </c>
      <c r="U115" s="9">
        <f>+U91+U93</f>
        <v>112161</v>
      </c>
      <c r="V115" s="9">
        <f>+V91+V93</f>
        <v>331508</v>
      </c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1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</row>
    <row r="116" spans="2:86" x14ac:dyDescent="0.2">
      <c r="B116" s="1" t="s">
        <v>112</v>
      </c>
      <c r="C116" s="8">
        <f>+C22</f>
        <v>-83809</v>
      </c>
      <c r="D116" s="8">
        <f t="shared" ref="D116:U116" si="59">+D22</f>
        <v>-93415</v>
      </c>
      <c r="E116" s="8">
        <f t="shared" si="59"/>
        <v>-88057</v>
      </c>
      <c r="F116" s="8">
        <f t="shared" si="59"/>
        <v>-83254</v>
      </c>
      <c r="G116" s="8">
        <f t="shared" si="59"/>
        <v>-93644</v>
      </c>
      <c r="H116" s="8">
        <f t="shared" si="59"/>
        <v>-77634</v>
      </c>
      <c r="I116" s="8">
        <f t="shared" si="59"/>
        <v>-168889</v>
      </c>
      <c r="J116" s="8">
        <f t="shared" si="59"/>
        <v>-198935</v>
      </c>
      <c r="K116" s="8">
        <f t="shared" si="59"/>
        <v>-203220</v>
      </c>
      <c r="L116" s="8">
        <f t="shared" si="59"/>
        <v>-189719</v>
      </c>
      <c r="M116" s="8">
        <f t="shared" si="59"/>
        <v>-154856</v>
      </c>
      <c r="N116" s="8">
        <f t="shared" si="59"/>
        <v>-132153</v>
      </c>
      <c r="O116" s="8">
        <f t="shared" si="59"/>
        <v>-165794</v>
      </c>
      <c r="P116" s="8">
        <f t="shared" si="59"/>
        <v>-222806</v>
      </c>
      <c r="Q116" s="8">
        <f t="shared" si="59"/>
        <v>-201442</v>
      </c>
      <c r="R116" s="8">
        <f t="shared" si="59"/>
        <v>-207484</v>
      </c>
      <c r="S116" s="8">
        <f t="shared" si="59"/>
        <v>-226064</v>
      </c>
      <c r="T116" s="8">
        <f t="shared" si="59"/>
        <v>-227320</v>
      </c>
      <c r="U116" s="8">
        <f t="shared" si="59"/>
        <v>-214693</v>
      </c>
      <c r="V116" s="8">
        <f t="shared" ref="V116" si="60">+V22</f>
        <v>-169913</v>
      </c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</row>
    <row r="117" spans="2:86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</row>
    <row r="118" spans="2:86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</row>
    <row r="119" spans="2:86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</row>
    <row r="120" spans="2:86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</row>
    <row r="121" spans="2:86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</row>
    <row r="122" spans="2:86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</row>
    <row r="123" spans="2:86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</row>
    <row r="124" spans="2:86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</row>
    <row r="125" spans="2:86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</row>
    <row r="126" spans="2:86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</row>
    <row r="127" spans="2:86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</row>
    <row r="128" spans="2:8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</row>
    <row r="129" spans="3:86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</row>
    <row r="130" spans="3:86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</row>
    <row r="131" spans="3:86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</row>
    <row r="132" spans="3:86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</row>
    <row r="133" spans="3:86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</row>
    <row r="134" spans="3:86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</row>
    <row r="135" spans="3:86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</row>
    <row r="136" spans="3:86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</row>
    <row r="137" spans="3:86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</row>
    <row r="138" spans="3:86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</row>
    <row r="139" spans="3:86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</row>
    <row r="140" spans="3:86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</row>
    <row r="141" spans="3:86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</row>
    <row r="142" spans="3:86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</row>
    <row r="143" spans="3:86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</row>
    <row r="144" spans="3:86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</row>
    <row r="145" spans="3:86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</row>
    <row r="146" spans="3:86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</row>
    <row r="147" spans="3:86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</row>
    <row r="148" spans="3:86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</row>
    <row r="149" spans="3:86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</row>
    <row r="150" spans="3:86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</row>
    <row r="151" spans="3:86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</row>
    <row r="152" spans="3:86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</row>
    <row r="153" spans="3:86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</row>
    <row r="154" spans="3:86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</row>
    <row r="155" spans="3:86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</row>
    <row r="156" spans="3:86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</row>
    <row r="157" spans="3:86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</row>
    <row r="158" spans="3:86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</row>
    <row r="159" spans="3:86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</row>
    <row r="160" spans="3:86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</row>
    <row r="161" spans="3:86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</row>
    <row r="162" spans="3:86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</row>
    <row r="163" spans="3:86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</row>
    <row r="164" spans="3:86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</row>
    <row r="165" spans="3:86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</row>
    <row r="166" spans="3:86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</row>
    <row r="167" spans="3:86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</row>
    <row r="168" spans="3:86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</row>
    <row r="169" spans="3:86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</row>
    <row r="170" spans="3:86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</row>
    <row r="171" spans="3:86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</row>
    <row r="172" spans="3:86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</row>
    <row r="173" spans="3:86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</row>
    <row r="174" spans="3:86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</row>
    <row r="175" spans="3:86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</row>
    <row r="176" spans="3:86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</row>
    <row r="177" spans="3:86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</row>
    <row r="178" spans="3:86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</row>
    <row r="179" spans="3:86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</row>
    <row r="180" spans="3:86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</row>
    <row r="181" spans="3:86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</row>
    <row r="182" spans="3:86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</row>
    <row r="183" spans="3:86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</row>
    <row r="184" spans="3:86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</row>
    <row r="185" spans="3:86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</row>
    <row r="186" spans="3:86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</row>
    <row r="187" spans="3:86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</row>
    <row r="188" spans="3:86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</row>
    <row r="189" spans="3:86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</row>
    <row r="190" spans="3:86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</row>
    <row r="191" spans="3:86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</row>
    <row r="192" spans="3:86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</row>
    <row r="193" spans="3:86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</row>
    <row r="194" spans="3:86" x14ac:dyDescent="0.2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</row>
    <row r="195" spans="3:86" x14ac:dyDescent="0.2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</row>
    <row r="196" spans="3:86" x14ac:dyDescent="0.2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</row>
    <row r="197" spans="3:86" x14ac:dyDescent="0.2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</row>
    <row r="198" spans="3:86" x14ac:dyDescent="0.2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</row>
    <row r="199" spans="3:86" x14ac:dyDescent="0.2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</row>
    <row r="200" spans="3:86" x14ac:dyDescent="0.2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</row>
    <row r="201" spans="3:86" x14ac:dyDescent="0.2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</row>
    <row r="202" spans="3:86" x14ac:dyDescent="0.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</row>
    <row r="203" spans="3:86" x14ac:dyDescent="0.2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</row>
    <row r="204" spans="3:86" x14ac:dyDescent="0.2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</row>
    <row r="205" spans="3:86" x14ac:dyDescent="0.2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</row>
    <row r="206" spans="3:86" x14ac:dyDescent="0.2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</row>
    <row r="207" spans="3:86" x14ac:dyDescent="0.2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</row>
    <row r="208" spans="3:86" x14ac:dyDescent="0.2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</row>
    <row r="209" spans="3:86" x14ac:dyDescent="0.2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</row>
    <row r="210" spans="3:86" x14ac:dyDescent="0.2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</row>
    <row r="211" spans="3:86" x14ac:dyDescent="0.2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</row>
    <row r="212" spans="3:86" x14ac:dyDescent="0.2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</row>
    <row r="213" spans="3:86" x14ac:dyDescent="0.2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</row>
    <row r="214" spans="3:86" x14ac:dyDescent="0.2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</row>
    <row r="215" spans="3:86" x14ac:dyDescent="0.2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</row>
    <row r="216" spans="3:86" x14ac:dyDescent="0.2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</row>
    <row r="217" spans="3:86" x14ac:dyDescent="0.2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</row>
    <row r="218" spans="3:86" x14ac:dyDescent="0.2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</row>
    <row r="219" spans="3:86" x14ac:dyDescent="0.2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</row>
    <row r="220" spans="3:86" x14ac:dyDescent="0.2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</row>
    <row r="221" spans="3:86" x14ac:dyDescent="0.2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</row>
    <row r="222" spans="3:86" x14ac:dyDescent="0.2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</row>
    <row r="223" spans="3:86" x14ac:dyDescent="0.2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</row>
    <row r="224" spans="3:86" x14ac:dyDescent="0.2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</row>
    <row r="225" spans="3:86" x14ac:dyDescent="0.2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</row>
    <row r="226" spans="3:86" x14ac:dyDescent="0.2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</row>
    <row r="227" spans="3:86" x14ac:dyDescent="0.2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</row>
    <row r="228" spans="3:86" x14ac:dyDescent="0.2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</row>
    <row r="229" spans="3:86" x14ac:dyDescent="0.2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</row>
    <row r="230" spans="3:86" x14ac:dyDescent="0.2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</row>
    <row r="231" spans="3:86" x14ac:dyDescent="0.2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</row>
    <row r="232" spans="3:86" x14ac:dyDescent="0.2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</row>
    <row r="233" spans="3:86" x14ac:dyDescent="0.2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</row>
    <row r="234" spans="3:86" x14ac:dyDescent="0.2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</row>
    <row r="235" spans="3:86" x14ac:dyDescent="0.2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</row>
    <row r="236" spans="3:86" x14ac:dyDescent="0.2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</row>
    <row r="237" spans="3:86" x14ac:dyDescent="0.2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</row>
    <row r="238" spans="3:86" x14ac:dyDescent="0.2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</row>
    <row r="239" spans="3:86" x14ac:dyDescent="0.2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</row>
    <row r="240" spans="3:86" x14ac:dyDescent="0.2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</row>
    <row r="241" spans="3:86" x14ac:dyDescent="0.2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</row>
    <row r="242" spans="3:86" x14ac:dyDescent="0.2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</row>
    <row r="243" spans="3:86" x14ac:dyDescent="0.2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</row>
    <row r="244" spans="3:86" x14ac:dyDescent="0.2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</row>
    <row r="245" spans="3:86" x14ac:dyDescent="0.2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</row>
    <row r="246" spans="3:86" x14ac:dyDescent="0.2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</row>
    <row r="247" spans="3:86" x14ac:dyDescent="0.2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</row>
    <row r="248" spans="3:86" x14ac:dyDescent="0.2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</row>
    <row r="249" spans="3:86" x14ac:dyDescent="0.2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</row>
    <row r="250" spans="3:86" x14ac:dyDescent="0.2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</row>
    <row r="251" spans="3:86" x14ac:dyDescent="0.2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</row>
    <row r="252" spans="3:86" x14ac:dyDescent="0.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</row>
    <row r="253" spans="3:86" x14ac:dyDescent="0.2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</row>
    <row r="254" spans="3:86" x14ac:dyDescent="0.2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</row>
    <row r="255" spans="3:86" x14ac:dyDescent="0.2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</row>
    <row r="256" spans="3:86" x14ac:dyDescent="0.2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</row>
    <row r="257" spans="3:86" x14ac:dyDescent="0.2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</row>
    <row r="258" spans="3:86" x14ac:dyDescent="0.2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</row>
    <row r="259" spans="3:86" x14ac:dyDescent="0.2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</row>
    <row r="260" spans="3:86" x14ac:dyDescent="0.2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</row>
    <row r="261" spans="3:86" x14ac:dyDescent="0.2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</row>
    <row r="262" spans="3:86" x14ac:dyDescent="0.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</row>
    <row r="263" spans="3:86" x14ac:dyDescent="0.2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</row>
    <row r="264" spans="3:86" x14ac:dyDescent="0.2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</row>
    <row r="265" spans="3:86" x14ac:dyDescent="0.2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</row>
    <row r="266" spans="3:86" x14ac:dyDescent="0.2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</row>
    <row r="267" spans="3:86" x14ac:dyDescent="0.2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</row>
    <row r="268" spans="3:86" x14ac:dyDescent="0.2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</row>
    <row r="269" spans="3:86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</row>
    <row r="270" spans="3:86" x14ac:dyDescent="0.2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</row>
    <row r="271" spans="3:86" x14ac:dyDescent="0.2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</row>
    <row r="272" spans="3:86" x14ac:dyDescent="0.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</row>
    <row r="273" spans="3:86" x14ac:dyDescent="0.2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</row>
    <row r="274" spans="3:86" x14ac:dyDescent="0.2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</row>
    <row r="275" spans="3:86" x14ac:dyDescent="0.2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</row>
    <row r="276" spans="3:86" x14ac:dyDescent="0.2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</row>
    <row r="277" spans="3:86" x14ac:dyDescent="0.2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</row>
    <row r="278" spans="3:86" x14ac:dyDescent="0.2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</row>
    <row r="279" spans="3:86" x14ac:dyDescent="0.2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</row>
    <row r="280" spans="3:86" x14ac:dyDescent="0.2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</row>
    <row r="281" spans="3:86" x14ac:dyDescent="0.2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</row>
    <row r="282" spans="3:86" x14ac:dyDescent="0.2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</row>
    <row r="283" spans="3:86" x14ac:dyDescent="0.2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</row>
    <row r="284" spans="3:86" x14ac:dyDescent="0.2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</row>
    <row r="285" spans="3:86" x14ac:dyDescent="0.2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</row>
    <row r="286" spans="3:86" x14ac:dyDescent="0.2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</row>
    <row r="287" spans="3:86" x14ac:dyDescent="0.2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</row>
    <row r="288" spans="3:86" x14ac:dyDescent="0.2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</row>
    <row r="289" spans="3:86" x14ac:dyDescent="0.2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</row>
    <row r="290" spans="3:86" x14ac:dyDescent="0.2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</row>
    <row r="291" spans="3:86" x14ac:dyDescent="0.2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</row>
    <row r="292" spans="3:86" x14ac:dyDescent="0.2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</row>
    <row r="293" spans="3:86" x14ac:dyDescent="0.2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</row>
    <row r="294" spans="3:86" x14ac:dyDescent="0.2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</row>
    <row r="295" spans="3:86" x14ac:dyDescent="0.2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</row>
    <row r="296" spans="3:86" x14ac:dyDescent="0.2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</row>
    <row r="297" spans="3:86" x14ac:dyDescent="0.2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</row>
    <row r="298" spans="3:86" x14ac:dyDescent="0.2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</row>
    <row r="299" spans="3:86" x14ac:dyDescent="0.2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</row>
    <row r="300" spans="3:86" x14ac:dyDescent="0.2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</row>
    <row r="301" spans="3:86" x14ac:dyDescent="0.2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</row>
    <row r="302" spans="3:86" x14ac:dyDescent="0.2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</row>
    <row r="303" spans="3:86" x14ac:dyDescent="0.2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</row>
    <row r="304" spans="3:86" x14ac:dyDescent="0.2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</row>
    <row r="305" spans="3:86" x14ac:dyDescent="0.2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</row>
    <row r="306" spans="3:86" x14ac:dyDescent="0.2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</row>
    <row r="307" spans="3:86" x14ac:dyDescent="0.2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</row>
    <row r="308" spans="3:86" x14ac:dyDescent="0.2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</row>
    <row r="309" spans="3:86" x14ac:dyDescent="0.2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</row>
    <row r="310" spans="3:86" x14ac:dyDescent="0.2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</row>
    <row r="311" spans="3:86" x14ac:dyDescent="0.2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</row>
    <row r="312" spans="3:86" x14ac:dyDescent="0.2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</row>
    <row r="313" spans="3:86" x14ac:dyDescent="0.2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</row>
    <row r="314" spans="3:86" x14ac:dyDescent="0.2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</row>
    <row r="315" spans="3:86" x14ac:dyDescent="0.2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</row>
    <row r="316" spans="3:86" x14ac:dyDescent="0.2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</row>
    <row r="317" spans="3:86" x14ac:dyDescent="0.2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</row>
    <row r="318" spans="3:86" x14ac:dyDescent="0.2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</row>
    <row r="319" spans="3:86" x14ac:dyDescent="0.2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</row>
    <row r="320" spans="3:86" x14ac:dyDescent="0.2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</row>
    <row r="321" spans="3:86" x14ac:dyDescent="0.2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</row>
    <row r="322" spans="3:86" x14ac:dyDescent="0.2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</row>
    <row r="323" spans="3:86" x14ac:dyDescent="0.2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</row>
    <row r="324" spans="3:86" x14ac:dyDescent="0.2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</row>
    <row r="325" spans="3:86" x14ac:dyDescent="0.2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</row>
    <row r="326" spans="3:86" x14ac:dyDescent="0.2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</row>
    <row r="327" spans="3:86" x14ac:dyDescent="0.2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</row>
    <row r="328" spans="3:86" x14ac:dyDescent="0.2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</row>
    <row r="329" spans="3:86" x14ac:dyDescent="0.2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</row>
    <row r="330" spans="3:86" x14ac:dyDescent="0.2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</row>
    <row r="331" spans="3:86" x14ac:dyDescent="0.2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</row>
    <row r="332" spans="3:86" x14ac:dyDescent="0.2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</row>
    <row r="333" spans="3:86" x14ac:dyDescent="0.2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</row>
    <row r="334" spans="3:86" x14ac:dyDescent="0.2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</row>
    <row r="335" spans="3:86" x14ac:dyDescent="0.2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</row>
    <row r="336" spans="3:86" x14ac:dyDescent="0.2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</row>
    <row r="337" spans="3:86" x14ac:dyDescent="0.2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</row>
    <row r="338" spans="3:86" x14ac:dyDescent="0.2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</row>
    <row r="339" spans="3:86" x14ac:dyDescent="0.2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</row>
    <row r="340" spans="3:86" x14ac:dyDescent="0.2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</row>
    <row r="341" spans="3:86" x14ac:dyDescent="0.2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</row>
    <row r="342" spans="3:86" x14ac:dyDescent="0.2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</row>
    <row r="343" spans="3:86" x14ac:dyDescent="0.2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</row>
    <row r="344" spans="3:86" x14ac:dyDescent="0.2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</row>
    <row r="345" spans="3:86" x14ac:dyDescent="0.2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</row>
    <row r="346" spans="3:86" x14ac:dyDescent="0.2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</row>
    <row r="347" spans="3:86" x14ac:dyDescent="0.2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</row>
    <row r="348" spans="3:86" x14ac:dyDescent="0.2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</row>
    <row r="349" spans="3:86" x14ac:dyDescent="0.2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</row>
    <row r="350" spans="3:86" x14ac:dyDescent="0.2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</row>
    <row r="351" spans="3:86" x14ac:dyDescent="0.2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</row>
    <row r="352" spans="3:86" x14ac:dyDescent="0.2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</row>
    <row r="353" spans="3:86" x14ac:dyDescent="0.2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</row>
    <row r="354" spans="3:86" x14ac:dyDescent="0.2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</row>
    <row r="355" spans="3:86" x14ac:dyDescent="0.2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</row>
    <row r="356" spans="3:86" x14ac:dyDescent="0.2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</row>
    <row r="357" spans="3:86" x14ac:dyDescent="0.2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</row>
    <row r="358" spans="3:86" x14ac:dyDescent="0.2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</row>
    <row r="359" spans="3:86" x14ac:dyDescent="0.2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</row>
    <row r="360" spans="3:86" x14ac:dyDescent="0.2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</row>
    <row r="361" spans="3:86" x14ac:dyDescent="0.2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</row>
    <row r="362" spans="3:86" x14ac:dyDescent="0.2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</row>
    <row r="363" spans="3:86" x14ac:dyDescent="0.2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</row>
    <row r="364" spans="3:86" x14ac:dyDescent="0.2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</row>
    <row r="365" spans="3:86" x14ac:dyDescent="0.2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</row>
    <row r="366" spans="3:86" x14ac:dyDescent="0.2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</row>
    <row r="367" spans="3:86" x14ac:dyDescent="0.2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</row>
    <row r="368" spans="3:86" x14ac:dyDescent="0.2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</row>
    <row r="369" spans="3:86" x14ac:dyDescent="0.2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</row>
    <row r="370" spans="3:86" x14ac:dyDescent="0.2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</row>
    <row r="371" spans="3:86" x14ac:dyDescent="0.2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</row>
    <row r="372" spans="3:86" x14ac:dyDescent="0.2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</row>
    <row r="373" spans="3:86" x14ac:dyDescent="0.2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</row>
    <row r="374" spans="3:86" x14ac:dyDescent="0.2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</row>
    <row r="375" spans="3:86" x14ac:dyDescent="0.2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</row>
    <row r="376" spans="3:86" x14ac:dyDescent="0.2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</row>
    <row r="377" spans="3:86" x14ac:dyDescent="0.2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</row>
    <row r="378" spans="3:86" x14ac:dyDescent="0.2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</row>
    <row r="379" spans="3:86" x14ac:dyDescent="0.2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</row>
    <row r="380" spans="3:86" x14ac:dyDescent="0.2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</row>
    <row r="381" spans="3:86" x14ac:dyDescent="0.2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</row>
    <row r="382" spans="3:86" x14ac:dyDescent="0.2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</row>
    <row r="383" spans="3:86" x14ac:dyDescent="0.2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</row>
    <row r="384" spans="3:86" x14ac:dyDescent="0.2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</row>
    <row r="385" spans="3:86" x14ac:dyDescent="0.2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</row>
    <row r="386" spans="3:86" x14ac:dyDescent="0.2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</row>
    <row r="387" spans="3:86" x14ac:dyDescent="0.2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</row>
    <row r="388" spans="3:86" x14ac:dyDescent="0.2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</row>
    <row r="389" spans="3:86" x14ac:dyDescent="0.2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</row>
    <row r="390" spans="3:86" x14ac:dyDescent="0.2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</row>
    <row r="391" spans="3:86" x14ac:dyDescent="0.2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</row>
    <row r="392" spans="3:86" x14ac:dyDescent="0.2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</row>
    <row r="393" spans="3:86" x14ac:dyDescent="0.2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</row>
    <row r="394" spans="3:86" x14ac:dyDescent="0.2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</row>
    <row r="395" spans="3:86" x14ac:dyDescent="0.2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</row>
    <row r="396" spans="3:86" x14ac:dyDescent="0.2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</row>
    <row r="397" spans="3:86" x14ac:dyDescent="0.2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</row>
    <row r="398" spans="3:86" x14ac:dyDescent="0.2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</row>
    <row r="399" spans="3:86" x14ac:dyDescent="0.2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</row>
    <row r="400" spans="3:86" x14ac:dyDescent="0.2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</row>
    <row r="401" spans="3:86" x14ac:dyDescent="0.2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</row>
    <row r="402" spans="3:86" x14ac:dyDescent="0.2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</row>
    <row r="403" spans="3:86" x14ac:dyDescent="0.2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</row>
    <row r="404" spans="3:86" x14ac:dyDescent="0.2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</row>
    <row r="405" spans="3:86" x14ac:dyDescent="0.2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</row>
    <row r="406" spans="3:86" x14ac:dyDescent="0.2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</row>
    <row r="407" spans="3:86" x14ac:dyDescent="0.2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</row>
    <row r="408" spans="3:86" x14ac:dyDescent="0.2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</row>
    <row r="409" spans="3:86" x14ac:dyDescent="0.2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</row>
    <row r="410" spans="3:86" x14ac:dyDescent="0.2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</row>
    <row r="411" spans="3:86" x14ac:dyDescent="0.2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</row>
    <row r="412" spans="3:86" x14ac:dyDescent="0.2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</row>
    <row r="413" spans="3:86" x14ac:dyDescent="0.2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</row>
    <row r="414" spans="3:86" x14ac:dyDescent="0.2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</row>
    <row r="415" spans="3:86" x14ac:dyDescent="0.2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</row>
    <row r="416" spans="3:86" x14ac:dyDescent="0.2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</row>
    <row r="417" spans="3:86" x14ac:dyDescent="0.2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</row>
    <row r="418" spans="3:86" x14ac:dyDescent="0.2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</row>
    <row r="419" spans="3:86" x14ac:dyDescent="0.2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</row>
    <row r="420" spans="3:86" x14ac:dyDescent="0.2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</row>
    <row r="421" spans="3:86" x14ac:dyDescent="0.2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</row>
    <row r="422" spans="3:86" x14ac:dyDescent="0.2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</row>
    <row r="423" spans="3:86" x14ac:dyDescent="0.2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</row>
    <row r="424" spans="3:86" x14ac:dyDescent="0.2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</row>
    <row r="425" spans="3:86" x14ac:dyDescent="0.2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</row>
    <row r="426" spans="3:86" x14ac:dyDescent="0.2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</row>
    <row r="427" spans="3:86" x14ac:dyDescent="0.2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</row>
    <row r="428" spans="3:86" x14ac:dyDescent="0.2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</row>
    <row r="429" spans="3:86" x14ac:dyDescent="0.2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</row>
    <row r="430" spans="3:86" x14ac:dyDescent="0.2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</row>
    <row r="431" spans="3:86" x14ac:dyDescent="0.2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</row>
    <row r="432" spans="3:86" x14ac:dyDescent="0.2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</row>
    <row r="433" spans="3:86" x14ac:dyDescent="0.2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</row>
    <row r="434" spans="3:86" x14ac:dyDescent="0.2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</row>
    <row r="435" spans="3:86" x14ac:dyDescent="0.2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</row>
    <row r="436" spans="3:86" x14ac:dyDescent="0.2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</row>
    <row r="437" spans="3:86" x14ac:dyDescent="0.2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</row>
    <row r="438" spans="3:86" x14ac:dyDescent="0.2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</row>
    <row r="439" spans="3:86" x14ac:dyDescent="0.2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</row>
    <row r="440" spans="3:86" x14ac:dyDescent="0.2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</row>
    <row r="441" spans="3:86" x14ac:dyDescent="0.2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</row>
    <row r="442" spans="3:86" x14ac:dyDescent="0.2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</row>
    <row r="443" spans="3:86" x14ac:dyDescent="0.2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</row>
    <row r="444" spans="3:86" x14ac:dyDescent="0.2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</row>
    <row r="445" spans="3:86" x14ac:dyDescent="0.2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</row>
    <row r="446" spans="3:86" x14ac:dyDescent="0.2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</row>
    <row r="447" spans="3:86" x14ac:dyDescent="0.2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</row>
    <row r="448" spans="3:86" x14ac:dyDescent="0.2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</row>
    <row r="449" spans="3:86" x14ac:dyDescent="0.2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</row>
    <row r="450" spans="3:86" x14ac:dyDescent="0.2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</row>
    <row r="451" spans="3:86" x14ac:dyDescent="0.2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</row>
    <row r="452" spans="3:86" x14ac:dyDescent="0.2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</row>
    <row r="453" spans="3:86" x14ac:dyDescent="0.2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</row>
    <row r="454" spans="3:86" x14ac:dyDescent="0.2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</row>
    <row r="455" spans="3:86" x14ac:dyDescent="0.2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</row>
    <row r="456" spans="3:86" x14ac:dyDescent="0.2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</row>
    <row r="457" spans="3:86" x14ac:dyDescent="0.2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</row>
    <row r="458" spans="3:86" x14ac:dyDescent="0.2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</row>
    <row r="459" spans="3:86" x14ac:dyDescent="0.2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</row>
    <row r="460" spans="3:86" x14ac:dyDescent="0.2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</row>
    <row r="461" spans="3:86" x14ac:dyDescent="0.2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</row>
    <row r="462" spans="3:86" x14ac:dyDescent="0.2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</row>
    <row r="463" spans="3:86" x14ac:dyDescent="0.2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</row>
    <row r="464" spans="3:86" x14ac:dyDescent="0.2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</row>
    <row r="465" spans="3:86" x14ac:dyDescent="0.2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</row>
    <row r="466" spans="3:86" x14ac:dyDescent="0.2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</row>
    <row r="467" spans="3:86" x14ac:dyDescent="0.2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</row>
    <row r="468" spans="3:86" x14ac:dyDescent="0.2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</row>
    <row r="469" spans="3:86" x14ac:dyDescent="0.2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</row>
    <row r="470" spans="3:86" x14ac:dyDescent="0.2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</row>
    <row r="471" spans="3:86" x14ac:dyDescent="0.2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</row>
    <row r="472" spans="3:86" x14ac:dyDescent="0.2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</row>
    <row r="473" spans="3:86" x14ac:dyDescent="0.2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</row>
    <row r="474" spans="3:86" x14ac:dyDescent="0.2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</row>
    <row r="475" spans="3:86" x14ac:dyDescent="0.2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</row>
    <row r="476" spans="3:86" x14ac:dyDescent="0.2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</row>
    <row r="477" spans="3:86" x14ac:dyDescent="0.2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</row>
    <row r="478" spans="3:86" x14ac:dyDescent="0.2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</row>
    <row r="479" spans="3:86" x14ac:dyDescent="0.2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</row>
    <row r="480" spans="3:86" x14ac:dyDescent="0.2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</row>
    <row r="481" spans="3:86" x14ac:dyDescent="0.2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</row>
    <row r="482" spans="3:86" x14ac:dyDescent="0.2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</row>
    <row r="483" spans="3:86" x14ac:dyDescent="0.2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</row>
    <row r="484" spans="3:86" x14ac:dyDescent="0.2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</row>
    <row r="485" spans="3:86" x14ac:dyDescent="0.2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</row>
    <row r="486" spans="3:86" x14ac:dyDescent="0.2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</row>
    <row r="487" spans="3:86" x14ac:dyDescent="0.2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</row>
    <row r="488" spans="3:86" x14ac:dyDescent="0.2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</row>
    <row r="489" spans="3:86" x14ac:dyDescent="0.2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</row>
    <row r="490" spans="3:86" x14ac:dyDescent="0.2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</row>
    <row r="491" spans="3:86" x14ac:dyDescent="0.2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</row>
    <row r="492" spans="3:86" x14ac:dyDescent="0.2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</row>
    <row r="493" spans="3:86" x14ac:dyDescent="0.2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</row>
    <row r="494" spans="3:86" x14ac:dyDescent="0.2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</row>
    <row r="495" spans="3:86" x14ac:dyDescent="0.2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</row>
    <row r="496" spans="3:86" x14ac:dyDescent="0.2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</row>
    <row r="497" spans="3:86" x14ac:dyDescent="0.2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</row>
    <row r="498" spans="3:86" x14ac:dyDescent="0.2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</row>
    <row r="499" spans="3:86" x14ac:dyDescent="0.2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</row>
    <row r="500" spans="3:86" x14ac:dyDescent="0.2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</row>
    <row r="501" spans="3:86" x14ac:dyDescent="0.2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</row>
    <row r="502" spans="3:86" x14ac:dyDescent="0.2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</row>
    <row r="503" spans="3:86" x14ac:dyDescent="0.2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</row>
    <row r="504" spans="3:86" x14ac:dyDescent="0.2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</row>
    <row r="505" spans="3:86" x14ac:dyDescent="0.2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</row>
    <row r="506" spans="3:86" x14ac:dyDescent="0.2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</row>
    <row r="507" spans="3:86" x14ac:dyDescent="0.2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</row>
    <row r="508" spans="3:86" x14ac:dyDescent="0.2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</row>
    <row r="509" spans="3:86" x14ac:dyDescent="0.2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</row>
    <row r="510" spans="3:86" x14ac:dyDescent="0.2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</row>
    <row r="511" spans="3:86" x14ac:dyDescent="0.2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</row>
    <row r="512" spans="3:86" x14ac:dyDescent="0.2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</row>
    <row r="513" spans="3:86" x14ac:dyDescent="0.2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</row>
    <row r="514" spans="3:86" x14ac:dyDescent="0.2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</row>
    <row r="515" spans="3:86" x14ac:dyDescent="0.2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</row>
    <row r="516" spans="3:86" x14ac:dyDescent="0.2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</row>
    <row r="517" spans="3:86" x14ac:dyDescent="0.2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</row>
    <row r="518" spans="3:86" x14ac:dyDescent="0.2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</row>
    <row r="519" spans="3:86" x14ac:dyDescent="0.2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</row>
    <row r="520" spans="3:86" x14ac:dyDescent="0.2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</row>
    <row r="521" spans="3:86" x14ac:dyDescent="0.2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</row>
    <row r="522" spans="3:86" x14ac:dyDescent="0.2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</row>
    <row r="523" spans="3:86" x14ac:dyDescent="0.2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</row>
    <row r="524" spans="3:86" x14ac:dyDescent="0.2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</row>
    <row r="525" spans="3:86" x14ac:dyDescent="0.2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</row>
    <row r="526" spans="3:86" x14ac:dyDescent="0.2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</row>
    <row r="527" spans="3:86" x14ac:dyDescent="0.2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</row>
    <row r="528" spans="3:86" x14ac:dyDescent="0.2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</row>
    <row r="529" spans="3:86" x14ac:dyDescent="0.2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</row>
    <row r="530" spans="3:86" x14ac:dyDescent="0.2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</row>
    <row r="531" spans="3:86" x14ac:dyDescent="0.2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</row>
    <row r="532" spans="3:86" x14ac:dyDescent="0.2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</row>
    <row r="533" spans="3:86" x14ac:dyDescent="0.2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</row>
    <row r="534" spans="3:86" x14ac:dyDescent="0.2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</row>
    <row r="535" spans="3:86" x14ac:dyDescent="0.2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</row>
    <row r="536" spans="3:86" x14ac:dyDescent="0.2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</row>
    <row r="537" spans="3:86" x14ac:dyDescent="0.2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</row>
    <row r="538" spans="3:86" x14ac:dyDescent="0.2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</row>
    <row r="539" spans="3:86" x14ac:dyDescent="0.2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</row>
    <row r="540" spans="3:86" x14ac:dyDescent="0.2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</row>
    <row r="541" spans="3:86" x14ac:dyDescent="0.2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</row>
    <row r="542" spans="3:86" x14ac:dyDescent="0.2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</row>
    <row r="543" spans="3:86" x14ac:dyDescent="0.2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</row>
    <row r="544" spans="3:86" x14ac:dyDescent="0.2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</row>
    <row r="545" spans="3:86" x14ac:dyDescent="0.2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</row>
    <row r="546" spans="3:86" x14ac:dyDescent="0.2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</row>
    <row r="547" spans="3:86" x14ac:dyDescent="0.2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</row>
    <row r="548" spans="3:86" x14ac:dyDescent="0.2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</row>
    <row r="549" spans="3:86" x14ac:dyDescent="0.2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</row>
    <row r="550" spans="3:86" x14ac:dyDescent="0.2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</row>
    <row r="551" spans="3:86" x14ac:dyDescent="0.2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</row>
    <row r="552" spans="3:86" x14ac:dyDescent="0.2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</row>
    <row r="553" spans="3:86" x14ac:dyDescent="0.2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</row>
    <row r="554" spans="3:86" x14ac:dyDescent="0.2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</row>
    <row r="555" spans="3:86" x14ac:dyDescent="0.2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</row>
    <row r="556" spans="3:86" x14ac:dyDescent="0.2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</row>
    <row r="557" spans="3:86" x14ac:dyDescent="0.2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</row>
    <row r="558" spans="3:86" x14ac:dyDescent="0.2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</row>
    <row r="559" spans="3:86" x14ac:dyDescent="0.2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</row>
    <row r="560" spans="3:86" x14ac:dyDescent="0.2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</row>
    <row r="561" spans="3:86" x14ac:dyDescent="0.2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</row>
    <row r="562" spans="3:86" x14ac:dyDescent="0.2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</row>
    <row r="563" spans="3:86" x14ac:dyDescent="0.2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</row>
    <row r="564" spans="3:86" x14ac:dyDescent="0.2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</row>
    <row r="565" spans="3:86" x14ac:dyDescent="0.2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</row>
    <row r="566" spans="3:86" x14ac:dyDescent="0.2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</row>
    <row r="567" spans="3:86" x14ac:dyDescent="0.2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</row>
    <row r="568" spans="3:86" x14ac:dyDescent="0.2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</row>
    <row r="569" spans="3:86" x14ac:dyDescent="0.2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</row>
    <row r="570" spans="3:86" x14ac:dyDescent="0.2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</row>
    <row r="571" spans="3:86" x14ac:dyDescent="0.2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</row>
    <row r="572" spans="3:86" x14ac:dyDescent="0.2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</row>
    <row r="573" spans="3:86" x14ac:dyDescent="0.2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</row>
    <row r="574" spans="3:86" x14ac:dyDescent="0.2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</row>
    <row r="575" spans="3:86" x14ac:dyDescent="0.2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</row>
    <row r="576" spans="3:86" x14ac:dyDescent="0.2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</row>
    <row r="577" spans="3:86" x14ac:dyDescent="0.2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</row>
    <row r="578" spans="3:86" x14ac:dyDescent="0.2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</row>
    <row r="579" spans="3:86" x14ac:dyDescent="0.2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</row>
    <row r="580" spans="3:86" x14ac:dyDescent="0.2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</row>
  </sheetData>
  <pageMargins left="0.7" right="0.7" top="0.75" bottom="0.75" header="0.3" footer="0.3"/>
  <ignoredErrors>
    <ignoredError sqref="N12:T25 I22:J25 I12:I21 Q108" formula="1"/>
    <ignoredError sqref="J12:J21" formula="1" formulaRange="1"/>
    <ignoredError sqref="J10:J11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DE79-0476-5A46-85F9-90366CD17B69}">
  <dimension ref="B1:K14"/>
  <sheetViews>
    <sheetView tabSelected="1" zoomScale="158" workbookViewId="0">
      <selection activeCell="D27" sqref="D27"/>
    </sheetView>
  </sheetViews>
  <sheetFormatPr baseColWidth="10" defaultRowHeight="16" x14ac:dyDescent="0.2"/>
  <cols>
    <col min="1" max="4" width="10.83203125" style="2"/>
    <col min="5" max="5" width="5.1640625" style="2" bestFit="1" customWidth="1"/>
    <col min="6" max="6" width="8.33203125" style="2" bestFit="1" customWidth="1"/>
    <col min="7" max="7" width="11.6640625" style="2" bestFit="1" customWidth="1"/>
    <col min="8" max="10" width="10.83203125" style="2"/>
    <col min="11" max="11" width="16.5" style="2" bestFit="1" customWidth="1"/>
    <col min="12" max="16384" width="10.83203125" style="2"/>
  </cols>
  <sheetData>
    <row r="1" spans="2:11" x14ac:dyDescent="0.2">
      <c r="G1" s="14">
        <f ca="1">NOW()</f>
        <v>45430.271702546299</v>
      </c>
    </row>
    <row r="3" spans="2:11" x14ac:dyDescent="0.2">
      <c r="J3" s="10" t="s">
        <v>47</v>
      </c>
      <c r="K3" s="2" t="s">
        <v>50</v>
      </c>
    </row>
    <row r="4" spans="2:11" x14ac:dyDescent="0.2">
      <c r="B4" s="10" t="s">
        <v>42</v>
      </c>
      <c r="J4" s="12" t="s">
        <v>48</v>
      </c>
      <c r="K4" s="12" t="s">
        <v>51</v>
      </c>
    </row>
    <row r="5" spans="2:11" x14ac:dyDescent="0.2">
      <c r="B5" s="2" t="s">
        <v>43</v>
      </c>
      <c r="E5" s="2" t="s">
        <v>16</v>
      </c>
      <c r="F5" s="2">
        <v>161.86000000000001</v>
      </c>
      <c r="J5" s="12" t="s">
        <v>49</v>
      </c>
    </row>
    <row r="6" spans="2:11" x14ac:dyDescent="0.2">
      <c r="B6" s="2" t="s">
        <v>44</v>
      </c>
      <c r="E6" s="2" t="s">
        <v>17</v>
      </c>
      <c r="F6" s="2">
        <v>334.2</v>
      </c>
    </row>
    <row r="7" spans="2:11" x14ac:dyDescent="0.2">
      <c r="E7" s="2" t="s">
        <v>18</v>
      </c>
      <c r="F7" s="2">
        <f>+F5*F6</f>
        <v>54093.612000000001</v>
      </c>
    </row>
    <row r="8" spans="2:11" x14ac:dyDescent="0.2">
      <c r="E8" s="2" t="s">
        <v>19</v>
      </c>
      <c r="F8" s="2">
        <f>1762.749+2083.499+916.307</f>
        <v>4762.5549999999994</v>
      </c>
    </row>
    <row r="9" spans="2:11" x14ac:dyDescent="0.2">
      <c r="E9" s="2" t="s">
        <v>20</v>
      </c>
      <c r="F9" s="2">
        <v>0</v>
      </c>
    </row>
    <row r="10" spans="2:11" x14ac:dyDescent="0.2">
      <c r="E10" s="2" t="s">
        <v>21</v>
      </c>
      <c r="F10" s="2">
        <f>+F7-F8+F9</f>
        <v>49331.057000000001</v>
      </c>
    </row>
    <row r="12" spans="2:11" x14ac:dyDescent="0.2">
      <c r="H12" s="2" t="s">
        <v>125</v>
      </c>
    </row>
    <row r="13" spans="2:11" x14ac:dyDescent="0.2">
      <c r="B13" s="10" t="s">
        <v>113</v>
      </c>
    </row>
    <row r="14" spans="2:11" x14ac:dyDescent="0.2">
      <c r="B14" s="12" t="s">
        <v>25</v>
      </c>
    </row>
  </sheetData>
  <hyperlinks>
    <hyperlink ref="J4" r:id="rId1" xr:uid="{3A70D6FA-4FFA-4C4E-B3FA-55219DAD0697}"/>
    <hyperlink ref="J5" r:id="rId2" xr:uid="{4C214568-B95F-7F4A-819C-20DA7AB46ADB}"/>
    <hyperlink ref="K4" r:id="rId3" xr:uid="{893C37D3-35D0-FD4A-A581-BB0DB39A75CA}"/>
    <hyperlink ref="B14" r:id="rId4" xr:uid="{91BD9D55-4A50-FF40-A61B-11C50C28EE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 work</dc:creator>
  <cp:lastModifiedBy>jameel</cp:lastModifiedBy>
  <dcterms:created xsi:type="dcterms:W3CDTF">2023-09-13T04:38:05Z</dcterms:created>
  <dcterms:modified xsi:type="dcterms:W3CDTF">2024-05-18T13:31:31Z</dcterms:modified>
</cp:coreProperties>
</file>