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B909E86B-DE91-9C49-8874-DBC356998655}" xr6:coauthVersionLast="47" xr6:coauthVersionMax="47" xr10:uidLastSave="{00000000-0000-0000-0000-000000000000}"/>
  <bookViews>
    <workbookView xWindow="19120" yWindow="500" windowWidth="48920" windowHeight="28280" activeTab="1" xr2:uid="{3991C303-FDF7-2343-B20E-E26B6CBB280D}"/>
  </bookViews>
  <sheets>
    <sheet name="Main" sheetId="1" r:id="rId1"/>
    <sheet name="Model" sheetId="2" r:id="rId2"/>
    <sheet name="Process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7" i="2" l="1"/>
  <c r="AF17" i="2" s="1"/>
  <c r="AG17" i="2" s="1"/>
  <c r="AH17" i="2" s="1"/>
  <c r="AI17" i="2" s="1"/>
  <c r="AJ17" i="2" s="1"/>
  <c r="AK17" i="2" s="1"/>
  <c r="AL17" i="2" s="1"/>
  <c r="AD17" i="2"/>
  <c r="AC17" i="2"/>
  <c r="AD15" i="2"/>
  <c r="AE15" i="2"/>
  <c r="AF15" i="2" s="1"/>
  <c r="AG15" i="2" s="1"/>
  <c r="AH15" i="2" s="1"/>
  <c r="AI15" i="2" s="1"/>
  <c r="AJ15" i="2" s="1"/>
  <c r="AK15" i="2" s="1"/>
  <c r="AL15" i="2" s="1"/>
  <c r="K39" i="2"/>
  <c r="L39" i="2"/>
  <c r="M39" i="2"/>
  <c r="N39" i="2"/>
  <c r="O39" i="2"/>
  <c r="AR43" i="2"/>
  <c r="R87" i="2"/>
  <c r="Q87" i="2"/>
  <c r="P87" i="2"/>
  <c r="O87" i="2"/>
  <c r="R86" i="2"/>
  <c r="Q86" i="2"/>
  <c r="P86" i="2"/>
  <c r="O86" i="2"/>
  <c r="S87" i="2"/>
  <c r="S86" i="2"/>
  <c r="L84" i="2"/>
  <c r="L83" i="2"/>
  <c r="P84" i="2"/>
  <c r="P83" i="2"/>
  <c r="Q84" i="2"/>
  <c r="Q83" i="2"/>
  <c r="M84" i="2"/>
  <c r="M83" i="2"/>
  <c r="N84" i="2"/>
  <c r="N83" i="2"/>
  <c r="R84" i="2"/>
  <c r="R83" i="2"/>
  <c r="O84" i="2"/>
  <c r="S84" i="2"/>
  <c r="O83" i="2"/>
  <c r="S83" i="2"/>
  <c r="AR34" i="2"/>
  <c r="T27" i="2"/>
  <c r="M4" i="1"/>
  <c r="T42" i="2"/>
  <c r="T41" i="2"/>
  <c r="T15" i="2"/>
  <c r="AA36" i="2"/>
  <c r="AA35" i="2"/>
  <c r="AA34" i="2"/>
  <c r="AA33" i="2"/>
  <c r="AA32" i="2"/>
  <c r="AB36" i="2"/>
  <c r="AB35" i="2"/>
  <c r="AB34" i="2"/>
  <c r="AB33" i="2"/>
  <c r="AB32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S2" i="2"/>
  <c r="S76" i="2"/>
  <c r="R76" i="2"/>
  <c r="Q76" i="2"/>
  <c r="P76" i="2"/>
  <c r="O76" i="2"/>
  <c r="N76" i="2"/>
  <c r="M76" i="2"/>
  <c r="S75" i="2"/>
  <c r="R75" i="2"/>
  <c r="Q75" i="2"/>
  <c r="P75" i="2"/>
  <c r="O75" i="2"/>
  <c r="N75" i="2"/>
  <c r="M75" i="2"/>
  <c r="L76" i="2"/>
  <c r="L75" i="2"/>
  <c r="L67" i="2"/>
  <c r="L71" i="2" s="1"/>
  <c r="L73" i="2" s="1"/>
  <c r="L55" i="2"/>
  <c r="L62" i="2" s="1"/>
  <c r="K74" i="2"/>
  <c r="J74" i="2"/>
  <c r="I74" i="2"/>
  <c r="M67" i="2"/>
  <c r="M71" i="2" s="1"/>
  <c r="M73" i="2" s="1"/>
  <c r="M55" i="2"/>
  <c r="M62" i="2" s="1"/>
  <c r="M49" i="2"/>
  <c r="K5" i="1"/>
  <c r="K8" i="1" s="1"/>
  <c r="O67" i="2"/>
  <c r="O71" i="2" s="1"/>
  <c r="O73" i="2" s="1"/>
  <c r="O55" i="2"/>
  <c r="O62" i="2" s="1"/>
  <c r="P67" i="2"/>
  <c r="P71" i="2" s="1"/>
  <c r="P73" i="2" s="1"/>
  <c r="P55" i="2"/>
  <c r="P62" i="2" s="1"/>
  <c r="P49" i="2"/>
  <c r="O49" i="2"/>
  <c r="N49" i="2"/>
  <c r="L49" i="2"/>
  <c r="K49" i="2"/>
  <c r="J49" i="2"/>
  <c r="I49" i="2"/>
  <c r="H49" i="2"/>
  <c r="G49" i="2"/>
  <c r="N67" i="2"/>
  <c r="N71" i="2" s="1"/>
  <c r="N73" i="2" s="1"/>
  <c r="N55" i="2"/>
  <c r="N62" i="2" s="1"/>
  <c r="Q67" i="2"/>
  <c r="Q71" i="2" s="1"/>
  <c r="Q73" i="2" s="1"/>
  <c r="Q55" i="2"/>
  <c r="Q62" i="2" s="1"/>
  <c r="Q49" i="2"/>
  <c r="R36" i="2"/>
  <c r="R35" i="2"/>
  <c r="R34" i="2"/>
  <c r="R33" i="2"/>
  <c r="R32" i="2"/>
  <c r="S36" i="2"/>
  <c r="S35" i="2"/>
  <c r="S34" i="2"/>
  <c r="S33" i="2"/>
  <c r="S32" i="2"/>
  <c r="F49" i="2"/>
  <c r="S67" i="2"/>
  <c r="S71" i="2" s="1"/>
  <c r="S73" i="2" s="1"/>
  <c r="S55" i="2"/>
  <c r="S62" i="2" s="1"/>
  <c r="S49" i="2"/>
  <c r="AB49" i="2" s="1"/>
  <c r="S41" i="2"/>
  <c r="S40" i="2"/>
  <c r="S38" i="2"/>
  <c r="S37" i="2"/>
  <c r="S15" i="2"/>
  <c r="S20" i="2" s="1"/>
  <c r="S24" i="2" s="1"/>
  <c r="S26" i="2" s="1"/>
  <c r="S28" i="2" s="1"/>
  <c r="AR38" i="2"/>
  <c r="AC22" i="2"/>
  <c r="AD22" i="2" s="1"/>
  <c r="AE22" i="2" s="1"/>
  <c r="AF22" i="2" s="1"/>
  <c r="AG22" i="2" s="1"/>
  <c r="AH22" i="2" s="1"/>
  <c r="AI22" i="2" s="1"/>
  <c r="AJ22" i="2" s="1"/>
  <c r="AK22" i="2" s="1"/>
  <c r="AL22" i="2" s="1"/>
  <c r="R49" i="2"/>
  <c r="R67" i="2"/>
  <c r="R71" i="2" s="1"/>
  <c r="R73" i="2" s="1"/>
  <c r="R55" i="2"/>
  <c r="R62" i="2" s="1"/>
  <c r="P42" i="2"/>
  <c r="O42" i="2"/>
  <c r="M42" i="2"/>
  <c r="L42" i="2"/>
  <c r="K42" i="2"/>
  <c r="I42" i="2"/>
  <c r="H42" i="2"/>
  <c r="G42" i="2"/>
  <c r="P41" i="2"/>
  <c r="O41" i="2"/>
  <c r="M41" i="2"/>
  <c r="L41" i="2"/>
  <c r="K41" i="2"/>
  <c r="I41" i="2"/>
  <c r="H41" i="2"/>
  <c r="G41" i="2"/>
  <c r="P40" i="2"/>
  <c r="O40" i="2"/>
  <c r="M40" i="2"/>
  <c r="L40" i="2"/>
  <c r="K40" i="2"/>
  <c r="I40" i="2"/>
  <c r="H40" i="2"/>
  <c r="G40" i="2"/>
  <c r="P38" i="2"/>
  <c r="O38" i="2"/>
  <c r="M38" i="2"/>
  <c r="L38" i="2"/>
  <c r="K38" i="2"/>
  <c r="I38" i="2"/>
  <c r="H38" i="2"/>
  <c r="G38" i="2"/>
  <c r="P37" i="2"/>
  <c r="O37" i="2"/>
  <c r="M37" i="2"/>
  <c r="L37" i="2"/>
  <c r="K37" i="2"/>
  <c r="I37" i="2"/>
  <c r="H37" i="2"/>
  <c r="G37" i="2"/>
  <c r="Q37" i="2"/>
  <c r="Q38" i="2"/>
  <c r="Z38" i="2"/>
  <c r="Z37" i="2"/>
  <c r="AA38" i="2"/>
  <c r="AA37" i="2"/>
  <c r="AB38" i="2"/>
  <c r="AB37" i="2"/>
  <c r="D13" i="1"/>
  <c r="E13" i="1" s="1"/>
  <c r="F13" i="1" s="1"/>
  <c r="G13" i="1" s="1"/>
  <c r="H13" i="1" s="1"/>
  <c r="Y42" i="2"/>
  <c r="Y41" i="2"/>
  <c r="Y40" i="2"/>
  <c r="X20" i="2"/>
  <c r="X24" i="2" s="1"/>
  <c r="X26" i="2" s="1"/>
  <c r="X28" i="2" s="1"/>
  <c r="Y15" i="2"/>
  <c r="Y20" i="2" s="1"/>
  <c r="Y24" i="2" s="1"/>
  <c r="Y26" i="2" s="1"/>
  <c r="Y28" i="2" s="1"/>
  <c r="J3" i="2"/>
  <c r="J2" i="2" s="1"/>
  <c r="J25" i="2"/>
  <c r="J23" i="2"/>
  <c r="J22" i="2"/>
  <c r="J21" i="2"/>
  <c r="J19" i="2"/>
  <c r="J18" i="2"/>
  <c r="J42" i="2" s="1"/>
  <c r="J17" i="2"/>
  <c r="J41" i="2" s="1"/>
  <c r="J16" i="2"/>
  <c r="J40" i="2" s="1"/>
  <c r="J14" i="2"/>
  <c r="J38" i="2" s="1"/>
  <c r="J13" i="2"/>
  <c r="J37" i="2" s="1"/>
  <c r="G15" i="2"/>
  <c r="G39" i="2" s="1"/>
  <c r="H15" i="2"/>
  <c r="H39" i="2" s="1"/>
  <c r="Q42" i="2"/>
  <c r="Q41" i="2"/>
  <c r="Q40" i="2"/>
  <c r="I15" i="2"/>
  <c r="I20" i="2" s="1"/>
  <c r="I24" i="2" s="1"/>
  <c r="I26" i="2" s="1"/>
  <c r="I28" i="2" s="1"/>
  <c r="AB2" i="2"/>
  <c r="AA2" i="2"/>
  <c r="Z2" i="2"/>
  <c r="Y2" i="2"/>
  <c r="X2" i="2"/>
  <c r="Z42" i="2"/>
  <c r="Z41" i="2"/>
  <c r="Z40" i="2"/>
  <c r="Z15" i="2"/>
  <c r="Z20" i="2" s="1"/>
  <c r="Z24" i="2" s="1"/>
  <c r="Z26" i="2" s="1"/>
  <c r="Z28" i="2" s="1"/>
  <c r="Q2" i="2"/>
  <c r="P2" i="2"/>
  <c r="O2" i="2"/>
  <c r="M2" i="2"/>
  <c r="L2" i="2"/>
  <c r="K2" i="2"/>
  <c r="I2" i="2"/>
  <c r="H2" i="2"/>
  <c r="G2" i="2"/>
  <c r="F2" i="2"/>
  <c r="E2" i="2"/>
  <c r="D2" i="2"/>
  <c r="C2" i="2"/>
  <c r="R3" i="2"/>
  <c r="R2" i="2" s="1"/>
  <c r="N3" i="2"/>
  <c r="N2" i="2" s="1"/>
  <c r="N25" i="2"/>
  <c r="N23" i="2"/>
  <c r="N22" i="2"/>
  <c r="N21" i="2"/>
  <c r="N19" i="2"/>
  <c r="N18" i="2"/>
  <c r="N17" i="2"/>
  <c r="N41" i="2" s="1"/>
  <c r="N16" i="2"/>
  <c r="N40" i="2" s="1"/>
  <c r="N14" i="2"/>
  <c r="N38" i="2" s="1"/>
  <c r="N13" i="2"/>
  <c r="N37" i="2" s="1"/>
  <c r="R25" i="2"/>
  <c r="R23" i="2"/>
  <c r="R22" i="2"/>
  <c r="R21" i="2"/>
  <c r="R19" i="2"/>
  <c r="R18" i="2"/>
  <c r="R17" i="2"/>
  <c r="R16" i="2"/>
  <c r="R14" i="2"/>
  <c r="R13" i="2"/>
  <c r="K15" i="2"/>
  <c r="K20" i="2" s="1"/>
  <c r="K24" i="2" s="1"/>
  <c r="K26" i="2" s="1"/>
  <c r="K28" i="2" s="1"/>
  <c r="L15" i="2"/>
  <c r="L20" i="2" s="1"/>
  <c r="L24" i="2" s="1"/>
  <c r="L26" i="2" s="1"/>
  <c r="L28" i="2" s="1"/>
  <c r="O15" i="2"/>
  <c r="O20" i="2" s="1"/>
  <c r="O24" i="2" s="1"/>
  <c r="O26" i="2" s="1"/>
  <c r="O28" i="2" s="1"/>
  <c r="P15" i="2"/>
  <c r="P20" i="2" s="1"/>
  <c r="P24" i="2" s="1"/>
  <c r="P26" i="2" s="1"/>
  <c r="P28" i="2" s="1"/>
  <c r="M15" i="2"/>
  <c r="M20" i="2" s="1"/>
  <c r="M24" i="2" s="1"/>
  <c r="M26" i="2" s="1"/>
  <c r="M28" i="2" s="1"/>
  <c r="Q15" i="2"/>
  <c r="AA15" i="2"/>
  <c r="AA44" i="2" s="1"/>
  <c r="AB15" i="2"/>
  <c r="AB20" i="2" s="1"/>
  <c r="AB24" i="2" s="1"/>
  <c r="AB26" i="2" s="1"/>
  <c r="AB28" i="2" s="1"/>
  <c r="AA42" i="2"/>
  <c r="AA41" i="2"/>
  <c r="AA40" i="2"/>
  <c r="AB42" i="2"/>
  <c r="AB41" i="2"/>
  <c r="AB40" i="2"/>
  <c r="AA4" i="2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X4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DO4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EF4" i="2" s="1"/>
  <c r="EG4" i="2" s="1"/>
  <c r="EH4" i="2" s="1"/>
  <c r="EI4" i="2" s="1"/>
  <c r="EJ4" i="2" s="1"/>
  <c r="EK4" i="2" s="1"/>
  <c r="EL4" i="2" s="1"/>
  <c r="EM4" i="2" s="1"/>
  <c r="EN4" i="2" s="1"/>
  <c r="EO4" i="2" s="1"/>
  <c r="EP4" i="2" s="1"/>
  <c r="EQ4" i="2" s="1"/>
  <c r="ER4" i="2" s="1"/>
  <c r="ES4" i="2" s="1"/>
  <c r="ET4" i="2" s="1"/>
  <c r="EU4" i="2" s="1"/>
  <c r="EV4" i="2" s="1"/>
  <c r="EW4" i="2" s="1"/>
  <c r="EX4" i="2" s="1"/>
  <c r="EY4" i="2" s="1"/>
  <c r="EZ4" i="2" s="1"/>
  <c r="FA4" i="2" s="1"/>
  <c r="FB4" i="2" s="1"/>
  <c r="FC4" i="2" s="1"/>
  <c r="FD4" i="2" s="1"/>
  <c r="FE4" i="2" s="1"/>
  <c r="FF4" i="2" s="1"/>
  <c r="FG4" i="2" s="1"/>
  <c r="FH4" i="2" s="1"/>
  <c r="FI4" i="2" s="1"/>
  <c r="FJ4" i="2" s="1"/>
  <c r="FK4" i="2" s="1"/>
  <c r="FL4" i="2" s="1"/>
  <c r="FM4" i="2" s="1"/>
  <c r="FN4" i="2" s="1"/>
  <c r="FO4" i="2" s="1"/>
  <c r="FP4" i="2" s="1"/>
  <c r="FQ4" i="2" s="1"/>
  <c r="FR4" i="2" s="1"/>
  <c r="FS4" i="2" s="1"/>
  <c r="FT4" i="2" s="1"/>
  <c r="FU4" i="2" s="1"/>
  <c r="FV4" i="2" s="1"/>
  <c r="FW4" i="2" s="1"/>
  <c r="FX4" i="2" s="1"/>
  <c r="FY4" i="2" s="1"/>
  <c r="FZ4" i="2" s="1"/>
  <c r="GA4" i="2" s="1"/>
  <c r="GB4" i="2" s="1"/>
  <c r="GC4" i="2" s="1"/>
  <c r="GD4" i="2" s="1"/>
  <c r="GE4" i="2" s="1"/>
  <c r="GF4" i="2" s="1"/>
  <c r="GG4" i="2" s="1"/>
  <c r="GH4" i="2" s="1"/>
  <c r="GI4" i="2" s="1"/>
  <c r="GJ4" i="2" s="1"/>
  <c r="GK4" i="2" s="1"/>
  <c r="GL4" i="2" s="1"/>
  <c r="GM4" i="2" s="1"/>
  <c r="GN4" i="2" s="1"/>
  <c r="GO4" i="2" s="1"/>
  <c r="GP4" i="2" s="1"/>
  <c r="GQ4" i="2" s="1"/>
  <c r="GR4" i="2" s="1"/>
  <c r="GS4" i="2" s="1"/>
  <c r="GT4" i="2" s="1"/>
  <c r="GU4" i="2" s="1"/>
  <c r="GV4" i="2" s="1"/>
  <c r="GW4" i="2" s="1"/>
  <c r="GX4" i="2" s="1"/>
  <c r="GY4" i="2" s="1"/>
  <c r="GZ4" i="2" s="1"/>
  <c r="HA4" i="2" s="1"/>
  <c r="HB4" i="2" s="1"/>
  <c r="HC4" i="2" s="1"/>
  <c r="HD4" i="2" s="1"/>
  <c r="HE4" i="2" s="1"/>
  <c r="HF4" i="2" s="1"/>
  <c r="HG4" i="2" s="1"/>
  <c r="HH4" i="2" s="1"/>
  <c r="HI4" i="2" s="1"/>
  <c r="HJ4" i="2" s="1"/>
  <c r="HK4" i="2" s="1"/>
  <c r="HL4" i="2" s="1"/>
  <c r="HM4" i="2" s="1"/>
  <c r="HN4" i="2" s="1"/>
  <c r="HO4" i="2" s="1"/>
  <c r="HP4" i="2" s="1"/>
  <c r="HQ4" i="2" s="1"/>
  <c r="HR4" i="2" s="1"/>
  <c r="HS4" i="2" s="1"/>
  <c r="HT4" i="2" s="1"/>
  <c r="HU4" i="2" s="1"/>
  <c r="HV4" i="2" s="1"/>
  <c r="HW4" i="2" s="1"/>
  <c r="HX4" i="2" s="1"/>
  <c r="HY4" i="2" s="1"/>
  <c r="HZ4" i="2" s="1"/>
  <c r="IA4" i="2" s="1"/>
  <c r="IB4" i="2" s="1"/>
  <c r="IC4" i="2" s="1"/>
  <c r="ID4" i="2" s="1"/>
  <c r="L6" i="1"/>
  <c r="L7" i="1" s="1"/>
  <c r="K7" i="1"/>
  <c r="K6" i="1"/>
  <c r="R78" i="2" l="1"/>
  <c r="N42" i="2"/>
  <c r="P74" i="2"/>
  <c r="T21" i="2"/>
  <c r="R74" i="2"/>
  <c r="Q74" i="2"/>
  <c r="Q77" i="2"/>
  <c r="L77" i="2"/>
  <c r="S77" i="2"/>
  <c r="N78" i="2"/>
  <c r="T22" i="2"/>
  <c r="S74" i="2"/>
  <c r="N74" i="2"/>
  <c r="M74" i="2"/>
  <c r="R77" i="2"/>
  <c r="S78" i="2"/>
  <c r="T23" i="2"/>
  <c r="T39" i="2"/>
  <c r="M78" i="2"/>
  <c r="M77" i="2"/>
  <c r="L78" i="2"/>
  <c r="N77" i="2"/>
  <c r="O78" i="2"/>
  <c r="T13" i="2"/>
  <c r="T37" i="2" s="1"/>
  <c r="O77" i="2"/>
  <c r="P78" i="2"/>
  <c r="T14" i="2"/>
  <c r="T38" i="2" s="1"/>
  <c r="AC21" i="2"/>
  <c r="P77" i="2"/>
  <c r="Q78" i="2"/>
  <c r="O74" i="2"/>
  <c r="L74" i="2"/>
  <c r="R41" i="2"/>
  <c r="S39" i="2"/>
  <c r="AA45" i="2"/>
  <c r="AB45" i="2"/>
  <c r="Z44" i="2"/>
  <c r="AA46" i="2"/>
  <c r="AR36" i="2"/>
  <c r="Z45" i="2"/>
  <c r="AB46" i="2"/>
  <c r="AB44" i="2"/>
  <c r="Z46" i="2"/>
  <c r="AC49" i="2"/>
  <c r="AD49" i="2" s="1"/>
  <c r="AE49" i="2" s="1"/>
  <c r="AF49" i="2" s="1"/>
  <c r="AG49" i="2" s="1"/>
  <c r="AH49" i="2" s="1"/>
  <c r="AI49" i="2" s="1"/>
  <c r="AJ49" i="2" s="1"/>
  <c r="AK49" i="2" s="1"/>
  <c r="AL49" i="2" s="1"/>
  <c r="R40" i="2"/>
  <c r="R42" i="2"/>
  <c r="R37" i="2"/>
  <c r="R38" i="2"/>
  <c r="I39" i="2"/>
  <c r="U15" i="2"/>
  <c r="T16" i="2"/>
  <c r="T40" i="2" s="1"/>
  <c r="P39" i="2"/>
  <c r="Q39" i="2"/>
  <c r="J15" i="2"/>
  <c r="J39" i="2" s="1"/>
  <c r="Y39" i="2"/>
  <c r="N15" i="2"/>
  <c r="H20" i="2"/>
  <c r="H24" i="2" s="1"/>
  <c r="H26" i="2" s="1"/>
  <c r="H28" i="2" s="1"/>
  <c r="G20" i="2"/>
  <c r="G24" i="2" s="1"/>
  <c r="G26" i="2" s="1"/>
  <c r="G28" i="2" s="1"/>
  <c r="Z39" i="2"/>
  <c r="R15" i="2"/>
  <c r="Q20" i="2"/>
  <c r="Q24" i="2" s="1"/>
  <c r="Q26" i="2" s="1"/>
  <c r="Q28" i="2" s="1"/>
  <c r="R28" i="2" s="1"/>
  <c r="AB39" i="2"/>
  <c r="AA20" i="2"/>
  <c r="AA24" i="2" s="1"/>
  <c r="AA26" i="2" s="1"/>
  <c r="AA28" i="2" s="1"/>
  <c r="N28" i="2" s="1"/>
  <c r="U39" i="2" l="1"/>
  <c r="U23" i="2"/>
  <c r="U22" i="2"/>
  <c r="U21" i="2"/>
  <c r="R20" i="2"/>
  <c r="R24" i="2" s="1"/>
  <c r="R26" i="2" s="1"/>
  <c r="R27" i="2" s="1"/>
  <c r="R39" i="2"/>
  <c r="T20" i="2"/>
  <c r="T24" i="2" s="1"/>
  <c r="U14" i="2"/>
  <c r="U38" i="2" s="1"/>
  <c r="U13" i="2"/>
  <c r="U37" i="2" s="1"/>
  <c r="V15" i="2"/>
  <c r="U18" i="2"/>
  <c r="U42" i="2" s="1"/>
  <c r="U16" i="2"/>
  <c r="U40" i="2" s="1"/>
  <c r="U17" i="2"/>
  <c r="U41" i="2" s="1"/>
  <c r="J28" i="2"/>
  <c r="J20" i="2"/>
  <c r="J24" i="2" s="1"/>
  <c r="J26" i="2" s="1"/>
  <c r="J27" i="2" s="1"/>
  <c r="N20" i="2"/>
  <c r="N24" i="2" s="1"/>
  <c r="N26" i="2" s="1"/>
  <c r="N27" i="2" s="1"/>
  <c r="V23" i="2" l="1"/>
  <c r="V39" i="2"/>
  <c r="V22" i="2"/>
  <c r="V21" i="2"/>
  <c r="T25" i="2"/>
  <c r="T26" i="2" s="1"/>
  <c r="U20" i="2"/>
  <c r="U24" i="2" s="1"/>
  <c r="AC15" i="2"/>
  <c r="V18" i="2"/>
  <c r="V42" i="2" s="1"/>
  <c r="V16" i="2"/>
  <c r="V17" i="2"/>
  <c r="V14" i="2"/>
  <c r="V13" i="2"/>
  <c r="U25" i="2" l="1"/>
  <c r="U26" i="2" s="1"/>
  <c r="AC13" i="2"/>
  <c r="AC37" i="2" s="1"/>
  <c r="V37" i="2"/>
  <c r="AC14" i="2"/>
  <c r="AC38" i="2" s="1"/>
  <c r="V38" i="2"/>
  <c r="AC41" i="2"/>
  <c r="V41" i="2"/>
  <c r="AC16" i="2"/>
  <c r="AC40" i="2" s="1"/>
  <c r="V40" i="2"/>
  <c r="V20" i="2"/>
  <c r="V24" i="2" s="1"/>
  <c r="AC39" i="2"/>
  <c r="AC45" i="2" l="1"/>
  <c r="AC44" i="2"/>
  <c r="V25" i="2"/>
  <c r="V26" i="2" s="1"/>
  <c r="AD45" i="2"/>
  <c r="AD41" i="2"/>
  <c r="AD16" i="2"/>
  <c r="AD39" i="2"/>
  <c r="AD44" i="2" l="1"/>
  <c r="AD40" i="2"/>
  <c r="AE16" i="2"/>
  <c r="AE40" i="2" s="1"/>
  <c r="AE39" i="2"/>
  <c r="AE45" i="2" l="1"/>
  <c r="AE41" i="2"/>
  <c r="AF41" i="2"/>
  <c r="AF16" i="2"/>
  <c r="AE44" i="2"/>
  <c r="AE21" i="2"/>
  <c r="AF21" i="2" s="1"/>
  <c r="AG21" i="2" s="1"/>
  <c r="AH21" i="2" s="1"/>
  <c r="AI21" i="2" s="1"/>
  <c r="AJ21" i="2" s="1"/>
  <c r="AK21" i="2" s="1"/>
  <c r="AL21" i="2" s="1"/>
  <c r="AF39" i="2"/>
  <c r="AF44" i="2" l="1"/>
  <c r="AF40" i="2"/>
  <c r="AF45" i="2"/>
  <c r="AG16" i="2"/>
  <c r="AG39" i="2"/>
  <c r="AG44" i="2" l="1"/>
  <c r="AG40" i="2"/>
  <c r="AG45" i="2"/>
  <c r="AG41" i="2"/>
  <c r="AH41" i="2"/>
  <c r="AH16" i="2"/>
  <c r="AH39" i="2"/>
  <c r="AH45" i="2" l="1"/>
  <c r="AH44" i="2"/>
  <c r="AH40" i="2"/>
  <c r="AI41" i="2"/>
  <c r="AI16" i="2"/>
  <c r="AI39" i="2"/>
  <c r="AI44" i="2" l="1"/>
  <c r="AI40" i="2"/>
  <c r="AJ41" i="2"/>
  <c r="AJ16" i="2"/>
  <c r="AI45" i="2"/>
  <c r="AJ39" i="2"/>
  <c r="AJ44" i="2" l="1"/>
  <c r="AJ40" i="2"/>
  <c r="AJ45" i="2"/>
  <c r="AK41" i="2"/>
  <c r="AK16" i="2"/>
  <c r="AK39" i="2"/>
  <c r="AK44" i="2" l="1"/>
  <c r="AK40" i="2"/>
  <c r="AL41" i="2"/>
  <c r="AL16" i="2"/>
  <c r="AL45" i="2"/>
  <c r="AK45" i="2"/>
  <c r="AL39" i="2"/>
  <c r="AL44" i="2" l="1"/>
  <c r="AL40" i="2"/>
  <c r="AD21" i="2" l="1"/>
  <c r="AC26" i="2"/>
  <c r="U27" i="2"/>
  <c r="AC25" i="2"/>
  <c r="AC24" i="2"/>
  <c r="AC20" i="2"/>
  <c r="AC19" i="2"/>
  <c r="AC18" i="2"/>
  <c r="S42" i="2"/>
  <c r="AC46" i="2" l="1"/>
  <c r="T28" i="2"/>
  <c r="V27" i="2"/>
  <c r="V28" i="2" s="1"/>
  <c r="U28" i="2"/>
  <c r="AC42" i="2"/>
  <c r="AD18" i="2"/>
  <c r="AC28" i="2" l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D42" i="2"/>
  <c r="AD46" i="2"/>
  <c r="AE18" i="2"/>
  <c r="AD20" i="2"/>
  <c r="AD24" i="2" s="1"/>
  <c r="AD25" i="2" l="1"/>
  <c r="AD26" i="2" s="1"/>
  <c r="AE42" i="2"/>
  <c r="AF18" i="2"/>
  <c r="AE20" i="2"/>
  <c r="AE24" i="2" s="1"/>
  <c r="AE46" i="2"/>
  <c r="AR44" i="2" l="1"/>
  <c r="AE25" i="2"/>
  <c r="AE26" i="2" s="1"/>
  <c r="AF42" i="2"/>
  <c r="AG18" i="2"/>
  <c r="AF20" i="2"/>
  <c r="AF24" i="2" s="1"/>
  <c r="AF46" i="2"/>
  <c r="AD28" i="2"/>
  <c r="AE28" i="2" l="1"/>
  <c r="AF25" i="2"/>
  <c r="AF26" i="2" s="1"/>
  <c r="AG46" i="2"/>
  <c r="AH18" i="2"/>
  <c r="AG20" i="2"/>
  <c r="AG24" i="2" s="1"/>
  <c r="AG42" i="2"/>
  <c r="AF28" i="2" l="1"/>
  <c r="AG25" i="2"/>
  <c r="AG26" i="2" s="1"/>
  <c r="AI18" i="2"/>
  <c r="AH20" i="2"/>
  <c r="AH24" i="2" s="1"/>
  <c r="AH46" i="2"/>
  <c r="AH42" i="2"/>
  <c r="AG28" i="2" l="1"/>
  <c r="AH25" i="2"/>
  <c r="AH26" i="2" s="1"/>
  <c r="AH28" i="2" s="1"/>
  <c r="AJ18" i="2"/>
  <c r="AI20" i="2"/>
  <c r="AI24" i="2" s="1"/>
  <c r="AI46" i="2"/>
  <c r="AI42" i="2"/>
  <c r="AI25" i="2" l="1"/>
  <c r="AI26" i="2" s="1"/>
  <c r="AK18" i="2"/>
  <c r="AJ20" i="2"/>
  <c r="AJ24" i="2" s="1"/>
  <c r="AJ42" i="2"/>
  <c r="AJ46" i="2"/>
  <c r="AJ25" i="2" l="1"/>
  <c r="AJ26" i="2" s="1"/>
  <c r="AJ28" i="2" s="1"/>
  <c r="AL18" i="2"/>
  <c r="AK42" i="2"/>
  <c r="AK20" i="2"/>
  <c r="AK24" i="2" s="1"/>
  <c r="AK46" i="2"/>
  <c r="AI28" i="2"/>
  <c r="AK25" i="2" l="1"/>
  <c r="AK26" i="2" s="1"/>
  <c r="AK28" i="2" s="1"/>
  <c r="AL20" i="2"/>
  <c r="AL24" i="2" s="1"/>
  <c r="AL46" i="2"/>
  <c r="AL42" i="2"/>
  <c r="AL25" i="2" l="1"/>
  <c r="AL26" i="2" s="1"/>
  <c r="AM26" i="2" l="1"/>
  <c r="AN26" i="2" s="1"/>
  <c r="AO26" i="2" s="1"/>
  <c r="AP26" i="2" s="1"/>
  <c r="AQ26" i="2" s="1"/>
  <c r="AR26" i="2" s="1"/>
  <c r="AS26" i="2" s="1"/>
  <c r="AT26" i="2" s="1"/>
  <c r="AL28" i="2"/>
  <c r="AU26" i="2" l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l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GS26" i="2" s="1"/>
  <c r="GT26" i="2" s="1"/>
  <c r="GU26" i="2" s="1"/>
  <c r="GV26" i="2" s="1"/>
  <c r="GW26" i="2" s="1"/>
  <c r="GX26" i="2" s="1"/>
  <c r="GY26" i="2" s="1"/>
  <c r="GZ26" i="2" s="1"/>
  <c r="HA26" i="2" s="1"/>
  <c r="HB26" i="2" s="1"/>
  <c r="HC26" i="2" s="1"/>
  <c r="HD26" i="2" s="1"/>
  <c r="HE26" i="2" s="1"/>
  <c r="HF26" i="2" s="1"/>
  <c r="HG26" i="2" s="1"/>
  <c r="HH26" i="2" s="1"/>
  <c r="HI26" i="2" s="1"/>
  <c r="HJ26" i="2" s="1"/>
  <c r="HK26" i="2" s="1"/>
  <c r="HL26" i="2" s="1"/>
  <c r="HM26" i="2" s="1"/>
  <c r="HN26" i="2" s="1"/>
  <c r="HO26" i="2" s="1"/>
  <c r="HP26" i="2" s="1"/>
  <c r="HQ26" i="2" s="1"/>
  <c r="HR26" i="2" s="1"/>
  <c r="HS26" i="2" s="1"/>
  <c r="HT26" i="2" s="1"/>
  <c r="HU26" i="2" s="1"/>
  <c r="HV26" i="2" s="1"/>
  <c r="HW26" i="2" s="1"/>
  <c r="HX26" i="2" s="1"/>
  <c r="HY26" i="2" s="1"/>
  <c r="HZ26" i="2" s="1"/>
  <c r="IA26" i="2" s="1"/>
  <c r="IB26" i="2" s="1"/>
  <c r="IC26" i="2" s="1"/>
  <c r="ID26" i="2" s="1"/>
  <c r="AR33" i="2" s="1"/>
  <c r="AR35" i="2" s="1"/>
  <c r="AR37" i="2" s="1"/>
  <c r="AR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  <author>tc={3EFDD74E-F096-D643-913B-73F9A609CCB1}</author>
  </authors>
  <commentList>
    <comment ref="AB5" authorId="0" shapeId="0" xr:uid="{53E2FC1C-BE63-4D41-B2B4-E34A189848BE}">
      <text>
        <r>
          <rPr>
            <b/>
            <sz val="10"/>
            <color rgb="FF000000"/>
            <rFont val="Tahoma"/>
            <family val="2"/>
          </rPr>
          <t xml:space="preserve">jameel: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- 40% of revenue is attrib to AI inference
</t>
        </r>
        <r>
          <rPr>
            <b/>
            <sz val="10"/>
            <color rgb="FF000000"/>
            <rFont val="Tahoma"/>
            <family val="2"/>
          </rPr>
          <t>- launched Spectrum X, platform designeds for AI</t>
        </r>
      </text>
    </comment>
    <comment ref="AB6" authorId="0" shapeId="0" xr:uid="{F8DB8C21-8A33-E842-AE9A-D7247421CC23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- introduced RTX 4060 &amp; 4070 GPUs based on Ada Lovelace arch.</t>
        </r>
      </text>
    </comment>
    <comment ref="AB13" authorId="1" shapeId="0" xr:uid="{3EFDD74E-F096-D643-913B-73F9A609CCB1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Higher shipments of Hopper GPU computing platform for training and inference of LLMs, reach engines, and gen AI apps.  Networking up 133% on shipments of InfiniBand</t>
      </text>
    </comment>
  </commentList>
</comments>
</file>

<file path=xl/sharedStrings.xml><?xml version="1.0" encoding="utf-8"?>
<sst xmlns="http://schemas.openxmlformats.org/spreadsheetml/2006/main" count="134" uniqueCount="119">
  <si>
    <t>MC</t>
  </si>
  <si>
    <t>Cash</t>
  </si>
  <si>
    <t>Debt</t>
  </si>
  <si>
    <t>EV</t>
  </si>
  <si>
    <t>Price</t>
  </si>
  <si>
    <t>in m, exepct p</t>
  </si>
  <si>
    <t>Q424</t>
  </si>
  <si>
    <t>Shares</t>
  </si>
  <si>
    <t>Q121</t>
  </si>
  <si>
    <t>Q221</t>
  </si>
  <si>
    <t>Q321</t>
  </si>
  <si>
    <t>Q421</t>
  </si>
  <si>
    <t>Q122</t>
  </si>
  <si>
    <t>Q222</t>
  </si>
  <si>
    <t>Q322</t>
  </si>
  <si>
    <t>Q422</t>
  </si>
  <si>
    <t>Q124</t>
  </si>
  <si>
    <t>Q123</t>
  </si>
  <si>
    <t>Q223</t>
  </si>
  <si>
    <t>Q323</t>
  </si>
  <si>
    <t>R</t>
  </si>
  <si>
    <t>C</t>
  </si>
  <si>
    <t>R&amp;D</t>
  </si>
  <si>
    <t>SG&amp;A</t>
  </si>
  <si>
    <t>Acq term cost</t>
  </si>
  <si>
    <t>Operating Income</t>
  </si>
  <si>
    <t>Interest I</t>
  </si>
  <si>
    <t>Interest E</t>
  </si>
  <si>
    <t>Other, net</t>
  </si>
  <si>
    <t>EBT</t>
  </si>
  <si>
    <t>T</t>
  </si>
  <si>
    <t xml:space="preserve">Net Income </t>
  </si>
  <si>
    <t>Diluted</t>
  </si>
  <si>
    <t>EPS</t>
  </si>
  <si>
    <t xml:space="preserve">Growth Analysis </t>
  </si>
  <si>
    <t>Compute &amp; networking</t>
  </si>
  <si>
    <t>Graphics</t>
  </si>
  <si>
    <t>Q423</t>
  </si>
  <si>
    <t>Q224</t>
  </si>
  <si>
    <t>Q324</t>
  </si>
  <si>
    <t>Founder</t>
  </si>
  <si>
    <t xml:space="preserve">CEO </t>
  </si>
  <si>
    <t>CFO</t>
  </si>
  <si>
    <t>Data Center</t>
  </si>
  <si>
    <t xml:space="preserve">products </t>
  </si>
  <si>
    <t>Ada</t>
  </si>
  <si>
    <t>Hopper</t>
  </si>
  <si>
    <t>Grace Hopper</t>
  </si>
  <si>
    <t>Gaming</t>
  </si>
  <si>
    <t>Professional Visualization</t>
  </si>
  <si>
    <t>Automotive</t>
  </si>
  <si>
    <t>Notes</t>
  </si>
  <si>
    <t xml:space="preserve">Supply </t>
  </si>
  <si>
    <t>TSMC/Samsung for wafers.  Micron, Sk Hynix, and Samsung for memory.</t>
  </si>
  <si>
    <t>OEM and other</t>
  </si>
  <si>
    <t>Q125</t>
  </si>
  <si>
    <t>Q225</t>
  </si>
  <si>
    <t>Q425</t>
  </si>
  <si>
    <t>Q325</t>
  </si>
  <si>
    <t>H100 Tensor Core GPU Arch</t>
  </si>
  <si>
    <t xml:space="preserve">Terminal </t>
  </si>
  <si>
    <t xml:space="preserve">Discount </t>
  </si>
  <si>
    <t>NPV</t>
  </si>
  <si>
    <t xml:space="preserve">Cash </t>
  </si>
  <si>
    <t>Securities</t>
  </si>
  <si>
    <t>A/R</t>
  </si>
  <si>
    <t>Inventories</t>
  </si>
  <si>
    <t>Prepaid E</t>
  </si>
  <si>
    <t>CA</t>
  </si>
  <si>
    <t>PPE</t>
  </si>
  <si>
    <t>Op Lease</t>
  </si>
  <si>
    <t>Goodwill</t>
  </si>
  <si>
    <t>Intangibles</t>
  </si>
  <si>
    <t>Deferred i/t</t>
  </si>
  <si>
    <t>OA</t>
  </si>
  <si>
    <t>TA</t>
  </si>
  <si>
    <t>TL</t>
  </si>
  <si>
    <t>A/P</t>
  </si>
  <si>
    <t>Accrued</t>
  </si>
  <si>
    <t>STD</t>
  </si>
  <si>
    <t>CL</t>
  </si>
  <si>
    <t>LTD</t>
  </si>
  <si>
    <t>Lease</t>
  </si>
  <si>
    <t>OLTL</t>
  </si>
  <si>
    <t xml:space="preserve">Net Cash </t>
  </si>
  <si>
    <t>ROIC</t>
  </si>
  <si>
    <t xml:space="preserve">RTX series </t>
  </si>
  <si>
    <t>Colette Kress</t>
  </si>
  <si>
    <t>Jen Huang</t>
  </si>
  <si>
    <t>Jensen, Chris, Curtis</t>
  </si>
  <si>
    <t>Founded</t>
  </si>
  <si>
    <t xml:space="preserve">Net cash </t>
  </si>
  <si>
    <t xml:space="preserve">Total Value </t>
  </si>
  <si>
    <t>Current</t>
  </si>
  <si>
    <t>Upside</t>
  </si>
  <si>
    <t>concerns</t>
  </si>
  <si>
    <t>AI bubble, sim to dotcom bubble when intel sky-rocketed</t>
  </si>
  <si>
    <t>good</t>
  </si>
  <si>
    <t>AI is here to stay and the infrastructure needs will remain</t>
  </si>
  <si>
    <t>Largest Shareholders</t>
  </si>
  <si>
    <t>founder</t>
  </si>
  <si>
    <t>Estimate</t>
  </si>
  <si>
    <t>Press Releases</t>
  </si>
  <si>
    <t>Equity</t>
  </si>
  <si>
    <t>TL + E</t>
  </si>
  <si>
    <t xml:space="preserve">Total Cash </t>
  </si>
  <si>
    <t xml:space="preserve">Working Capital </t>
  </si>
  <si>
    <t xml:space="preserve">Current Ratio </t>
  </si>
  <si>
    <t xml:space="preserve">Total Debt </t>
  </si>
  <si>
    <t>8-K</t>
  </si>
  <si>
    <t>stock split - 10 for 1</t>
  </si>
  <si>
    <t xml:space="preserve">CFFO </t>
  </si>
  <si>
    <t xml:space="preserve">Capex </t>
  </si>
  <si>
    <t xml:space="preserve">Free Cash Flow </t>
  </si>
  <si>
    <t>4Q FCF</t>
  </si>
  <si>
    <t xml:space="preserve">4Q NI </t>
  </si>
  <si>
    <t>EV/25E</t>
  </si>
  <si>
    <t>EV/26E</t>
  </si>
  <si>
    <t>Wstreet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</si>
</sst>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/d;@"/>
    <numFmt numFmtId="167" formatCode="0\x"/>
  </numFmts>
  <fonts count="7">
    <font>
      <sz val="10"/>
      <color theme="1"/>
      <name val="ArialMT"/>
      <family val="2"/>
    </font>
    <font>
      <u/>
      <sz val="10"/>
      <color theme="1"/>
      <name val="ArialMT"/>
      <family val="2"/>
    </font>
    <font>
      <b/>
      <sz val="10"/>
      <color theme="1"/>
      <name val="ArialMT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ArialMT"/>
      <family val="2"/>
    </font>
    <font>
      <b/>
      <u/>
      <sz val="10"/>
      <color theme="1"/>
      <name val="ArialM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2" fillId="0" borderId="0" xfId="0" applyNumberFormat="1" applyFont="1"/>
    <xf numFmtId="2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1" xfId="0" applyNumberFormat="1" applyFon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" fontId="0" fillId="0" borderId="4" xfId="0" applyNumberFormat="1" applyBorder="1"/>
    <xf numFmtId="0" fontId="1" fillId="0" borderId="0" xfId="0" applyFont="1"/>
    <xf numFmtId="3" fontId="5" fillId="0" borderId="0" xfId="1" applyNumberFormat="1"/>
    <xf numFmtId="3" fontId="6" fillId="0" borderId="0" xfId="0" applyNumberFormat="1" applyFont="1"/>
    <xf numFmtId="9" fontId="2" fillId="0" borderId="0" xfId="0" applyNumberFormat="1" applyFont="1"/>
    <xf numFmtId="3" fontId="1" fillId="0" borderId="0" xfId="0" applyNumberFormat="1" applyFont="1"/>
    <xf numFmtId="167" fontId="0" fillId="0" borderId="0" xfId="0" applyNumberFormat="1"/>
    <xf numFmtId="3" fontId="0" fillId="0" borderId="1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4" xfId="0" applyNumberFormat="1" applyBorder="1"/>
    <xf numFmtId="8" fontId="0" fillId="0" borderId="5" xfId="0" applyNumberFormat="1" applyBorder="1"/>
    <xf numFmtId="9" fontId="2" fillId="0" borderId="4" xfId="0" applyNumberFormat="1" applyFont="1" applyBorder="1"/>
    <xf numFmtId="3" fontId="2" fillId="0" borderId="5" xfId="0" applyNumberFormat="1" applyFont="1" applyBorder="1"/>
    <xf numFmtId="8" fontId="2" fillId="0" borderId="5" xfId="0" applyNumberFormat="1" applyFont="1" applyBorder="1"/>
    <xf numFmtId="1" fontId="0" fillId="0" borderId="5" xfId="0" applyNumberFormat="1" applyBorder="1"/>
    <xf numFmtId="9" fontId="2" fillId="0" borderId="6" xfId="0" applyNumberFormat="1" applyFont="1" applyBorder="1"/>
    <xf numFmtId="9" fontId="2" fillId="0" borderId="8" xfId="0" applyNumberFormat="1" applyFont="1" applyBorder="1"/>
    <xf numFmtId="10" fontId="0" fillId="0" borderId="5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5522</xdr:colOff>
      <xdr:row>0</xdr:row>
      <xdr:rowOff>0</xdr:rowOff>
    </xdr:from>
    <xdr:to>
      <xdr:col>19</xdr:col>
      <xdr:colOff>15488</xdr:colOff>
      <xdr:row>101</xdr:row>
      <xdr:rowOff>39864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7FDFE59-499A-741E-9DEB-A5ED713052D6}"/>
            </a:ext>
          </a:extLst>
        </xdr:cNvPr>
        <xdr:cNvCxnSpPr/>
      </xdr:nvCxnSpPr>
      <xdr:spPr>
        <a:xfrm>
          <a:off x="9406620" y="0"/>
          <a:ext cx="9966" cy="1646468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499533</xdr:colOff>
      <xdr:row>0</xdr:row>
      <xdr:rowOff>0</xdr:rowOff>
    </xdr:from>
    <xdr:to>
      <xdr:col>27</xdr:col>
      <xdr:colOff>504102</xdr:colOff>
      <xdr:row>102</xdr:row>
      <xdr:rowOff>76200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8744F4EB-84E9-DF4D-8AB8-8D2B8A7738E0}"/>
            </a:ext>
          </a:extLst>
        </xdr:cNvPr>
        <xdr:cNvCxnSpPr/>
      </xdr:nvCxnSpPr>
      <xdr:spPr>
        <a:xfrm flipH="1">
          <a:off x="14579600" y="0"/>
          <a:ext cx="4569" cy="17348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6BA2114F-119C-8D49-88D7-DC1E409F926D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13" dT="2024-03-17T17:30:15.39" personId="{6BA2114F-119C-8D49-88D7-DC1E409F926D}" id="{3EFDD74E-F096-D643-913B-73F9A609CCB1}">
    <text>Higher shipments of Hopper GPU computing platform for training and inference of LLMs, reach engines, and gen AI apps.  Networking up 133% on shipments of InfiniBand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c.gov/ix?doc=/Archives/edgar/data/0001045810/000104581024000144/nvda-20240607.htm" TargetMode="External"/><Relationship Id="rId1" Type="http://schemas.openxmlformats.org/officeDocument/2006/relationships/hyperlink" Target="https://resources.nvidia.com/en-us-tensor-cor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9843-BDE5-5E44-98C3-1A0D7B368C6B}">
  <dimension ref="A1:M35"/>
  <sheetViews>
    <sheetView zoomScale="170" zoomScaleNormal="170" workbookViewId="0">
      <selection activeCell="K6" sqref="K6"/>
    </sheetView>
  </sheetViews>
  <sheetFormatPr baseColWidth="10" defaultRowHeight="13"/>
  <cols>
    <col min="1" max="1" width="12" style="1" bestFit="1" customWidth="1"/>
    <col min="2" max="2" width="7.6640625" style="1" bestFit="1" customWidth="1"/>
    <col min="3" max="3" width="6.1640625" style="1" bestFit="1" customWidth="1"/>
    <col min="4" max="8" width="5.1640625" style="1" bestFit="1" customWidth="1"/>
    <col min="9" max="9" width="10.83203125" style="1"/>
    <col min="10" max="10" width="6.6640625" style="1" bestFit="1" customWidth="1"/>
    <col min="11" max="11" width="9.1640625" style="1" bestFit="1" customWidth="1"/>
    <col min="12" max="12" width="5.5" style="1" bestFit="1" customWidth="1"/>
    <col min="13" max="16384" width="10.83203125" style="1"/>
  </cols>
  <sheetData>
    <row r="1" spans="1:13">
      <c r="A1" s="1" t="s">
        <v>5</v>
      </c>
    </row>
    <row r="2" spans="1:13">
      <c r="B2" s="1" t="s">
        <v>90</v>
      </c>
      <c r="C2" s="2">
        <v>1993</v>
      </c>
    </row>
    <row r="3" spans="1:13">
      <c r="B3" s="1" t="s">
        <v>40</v>
      </c>
      <c r="C3" s="1" t="s">
        <v>89</v>
      </c>
      <c r="J3" s="1" t="s">
        <v>4</v>
      </c>
      <c r="K3" s="1">
        <v>135.58000000000001</v>
      </c>
    </row>
    <row r="4" spans="1:13">
      <c r="B4" s="1" t="s">
        <v>41</v>
      </c>
      <c r="C4" s="1" t="s">
        <v>88</v>
      </c>
      <c r="J4" s="1" t="s">
        <v>7</v>
      </c>
      <c r="K4" s="1">
        <v>24600</v>
      </c>
      <c r="L4" s="1" t="s">
        <v>55</v>
      </c>
      <c r="M4" s="1">
        <f>+K4*10</f>
        <v>246000</v>
      </c>
    </row>
    <row r="5" spans="1:13">
      <c r="B5" s="1" t="s">
        <v>42</v>
      </c>
      <c r="C5" s="1" t="s">
        <v>87</v>
      </c>
      <c r="J5" s="1" t="s">
        <v>0</v>
      </c>
      <c r="K5" s="1">
        <f>+K3*K4</f>
        <v>3335268.0000000005</v>
      </c>
    </row>
    <row r="6" spans="1:13">
      <c r="J6" s="1" t="s">
        <v>1</v>
      </c>
      <c r="K6" s="1">
        <f>7280+18704</f>
        <v>25984</v>
      </c>
      <c r="L6" s="1" t="str">
        <f>+L4</f>
        <v>Q125</v>
      </c>
    </row>
    <row r="7" spans="1:13">
      <c r="J7" s="1" t="s">
        <v>2</v>
      </c>
      <c r="K7" s="1">
        <f>1250+8459</f>
        <v>9709</v>
      </c>
      <c r="L7" s="1" t="str">
        <f>+L6</f>
        <v>Q125</v>
      </c>
    </row>
    <row r="8" spans="1:13">
      <c r="J8" s="1" t="s">
        <v>3</v>
      </c>
      <c r="K8" s="1">
        <f>+K5-K6+K7</f>
        <v>3318993.0000000005</v>
      </c>
    </row>
    <row r="12" spans="1:13">
      <c r="B12" s="8" t="s">
        <v>51</v>
      </c>
      <c r="C12" s="9"/>
      <c r="D12" s="9"/>
      <c r="E12" s="9"/>
      <c r="F12" s="9"/>
      <c r="G12" s="9"/>
      <c r="H12" s="10"/>
    </row>
    <row r="13" spans="1:13">
      <c r="B13" s="16"/>
      <c r="C13" s="2">
        <v>2019</v>
      </c>
      <c r="D13" s="2">
        <f t="shared" ref="D13:H13" si="0">+C13+1</f>
        <v>2020</v>
      </c>
      <c r="E13" s="2">
        <f t="shared" si="0"/>
        <v>2021</v>
      </c>
      <c r="F13" s="2">
        <f t="shared" si="0"/>
        <v>2022</v>
      </c>
      <c r="G13" s="2">
        <f t="shared" si="0"/>
        <v>2023</v>
      </c>
      <c r="H13" s="2">
        <f t="shared" si="0"/>
        <v>2024</v>
      </c>
    </row>
    <row r="14" spans="1:13">
      <c r="B14" s="11" t="s">
        <v>52</v>
      </c>
      <c r="H14" s="12" t="s">
        <v>53</v>
      </c>
    </row>
    <row r="15" spans="1:13">
      <c r="B15" s="11" t="s">
        <v>95</v>
      </c>
      <c r="H15" s="12" t="s">
        <v>96</v>
      </c>
    </row>
    <row r="16" spans="1:13">
      <c r="B16" s="11" t="s">
        <v>97</v>
      </c>
      <c r="H16" s="12" t="s">
        <v>98</v>
      </c>
    </row>
    <row r="17" spans="2:12">
      <c r="B17" s="11"/>
      <c r="H17" s="12"/>
    </row>
    <row r="18" spans="2:12">
      <c r="B18" s="11"/>
      <c r="H18" s="12"/>
    </row>
    <row r="19" spans="2:12">
      <c r="B19" s="11"/>
      <c r="H19" s="12"/>
    </row>
    <row r="20" spans="2:12">
      <c r="B20" s="11"/>
      <c r="H20" s="12"/>
    </row>
    <row r="21" spans="2:12">
      <c r="B21" s="11"/>
      <c r="H21" s="12"/>
      <c r="K21" s="19" t="s">
        <v>102</v>
      </c>
    </row>
    <row r="22" spans="2:12">
      <c r="B22" s="11"/>
      <c r="H22" s="12"/>
      <c r="K22" s="18" t="s">
        <v>109</v>
      </c>
      <c r="L22" s="1" t="s">
        <v>110</v>
      </c>
    </row>
    <row r="23" spans="2:12">
      <c r="B23" s="11"/>
      <c r="H23" s="12"/>
      <c r="K23" s="1" t="s">
        <v>55</v>
      </c>
    </row>
    <row r="24" spans="2:12">
      <c r="B24" s="11"/>
      <c r="H24" s="12"/>
    </row>
    <row r="25" spans="2:12">
      <c r="B25" s="11"/>
      <c r="H25" s="12"/>
    </row>
    <row r="26" spans="2:12">
      <c r="B26" s="13"/>
      <c r="C26" s="14"/>
      <c r="D26" s="14"/>
      <c r="E26" s="14"/>
      <c r="F26" s="14"/>
      <c r="G26" s="14"/>
      <c r="H26" s="15"/>
    </row>
    <row r="28" spans="2:12">
      <c r="B28" s="18" t="s">
        <v>59</v>
      </c>
    </row>
    <row r="34" spans="2:2">
      <c r="B34" s="21" t="s">
        <v>99</v>
      </c>
    </row>
    <row r="35" spans="2:2">
      <c r="B35" s="1" t="s">
        <v>100</v>
      </c>
    </row>
  </sheetData>
  <hyperlinks>
    <hyperlink ref="B28" r:id="rId1" xr:uid="{CA8870DA-CAEC-5A48-92F2-11FC797B3CD1}"/>
    <hyperlink ref="K22" r:id="rId2" xr:uid="{ED2EB0DD-4AF8-DE4D-B8E0-C401F05DD7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046E-F266-6848-AB04-142D610E732A}">
  <dimension ref="B2:ID87"/>
  <sheetViews>
    <sheetView tabSelected="1" zoomScale="120" zoomScaleNormal="12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AF8" sqref="AF8"/>
    </sheetView>
  </sheetViews>
  <sheetFormatPr baseColWidth="10" defaultRowHeight="13"/>
  <cols>
    <col min="1" max="1" width="2.33203125" style="1" customWidth="1"/>
    <col min="2" max="2" width="21" style="1" bestFit="1" customWidth="1"/>
    <col min="3" max="6" width="5.5" style="1" bestFit="1" customWidth="1"/>
    <col min="7" max="11" width="5.6640625" style="1" bestFit="1" customWidth="1"/>
    <col min="12" max="18" width="6.6640625" style="1" bestFit="1" customWidth="1"/>
    <col min="19" max="22" width="6.6640625" style="1" customWidth="1"/>
    <col min="23" max="23" width="10.83203125" style="1"/>
    <col min="24" max="28" width="6.6640625" style="1" bestFit="1" customWidth="1"/>
    <col min="29" max="42" width="7.6640625" style="1" bestFit="1" customWidth="1"/>
    <col min="43" max="43" width="10.83203125" style="1" bestFit="1" customWidth="1"/>
    <col min="44" max="44" width="13.1640625" style="1" bestFit="1" customWidth="1"/>
    <col min="45" max="148" width="7.6640625" style="1" bestFit="1" customWidth="1"/>
    <col min="149" max="238" width="9.1640625" style="1" bestFit="1" customWidth="1"/>
    <col min="239" max="16384" width="10.83203125" style="1"/>
  </cols>
  <sheetData>
    <row r="2" spans="2:238" s="6" customFormat="1">
      <c r="C2" s="6" t="str">
        <f>IF(C3="","",RIGHT(YEAR(C3),2))</f>
        <v/>
      </c>
      <c r="D2" s="6" t="str">
        <f t="shared" ref="D2:AB2" si="0">IF(D3="","",RIGHT(YEAR(D3),2))</f>
        <v/>
      </c>
      <c r="E2" s="6" t="str">
        <f t="shared" si="0"/>
        <v/>
      </c>
      <c r="F2" s="6" t="str">
        <f t="shared" si="0"/>
        <v/>
      </c>
      <c r="G2" s="6" t="str">
        <f t="shared" si="0"/>
        <v>21</v>
      </c>
      <c r="H2" s="6" t="str">
        <f t="shared" si="0"/>
        <v>21</v>
      </c>
      <c r="I2" s="6" t="str">
        <f t="shared" si="0"/>
        <v>21</v>
      </c>
      <c r="J2" s="6" t="str">
        <f t="shared" si="0"/>
        <v>22</v>
      </c>
      <c r="K2" s="6" t="str">
        <f t="shared" si="0"/>
        <v>22</v>
      </c>
      <c r="L2" s="6" t="str">
        <f t="shared" si="0"/>
        <v>22</v>
      </c>
      <c r="M2" s="6" t="str">
        <f t="shared" si="0"/>
        <v>22</v>
      </c>
      <c r="N2" s="6" t="str">
        <f t="shared" si="0"/>
        <v>23</v>
      </c>
      <c r="O2" s="6" t="str">
        <f t="shared" si="0"/>
        <v>23</v>
      </c>
      <c r="P2" s="6" t="str">
        <f t="shared" si="0"/>
        <v>23</v>
      </c>
      <c r="Q2" s="6" t="str">
        <f t="shared" si="0"/>
        <v>23</v>
      </c>
      <c r="R2" s="6" t="str">
        <f t="shared" si="0"/>
        <v>24</v>
      </c>
      <c r="S2" s="6" t="str">
        <f t="shared" si="0"/>
        <v>24</v>
      </c>
      <c r="X2" s="6" t="str">
        <f t="shared" si="0"/>
        <v/>
      </c>
      <c r="Y2" s="6" t="str">
        <f t="shared" si="0"/>
        <v>21</v>
      </c>
      <c r="Z2" s="6" t="str">
        <f t="shared" si="0"/>
        <v>22</v>
      </c>
      <c r="AA2" s="6" t="str">
        <f t="shared" si="0"/>
        <v>23</v>
      </c>
      <c r="AB2" s="6" t="str">
        <f t="shared" si="0"/>
        <v>24</v>
      </c>
    </row>
    <row r="3" spans="2:238" s="7" customFormat="1">
      <c r="G3" s="7">
        <v>44318</v>
      </c>
      <c r="H3" s="7">
        <v>44409</v>
      </c>
      <c r="I3" s="7">
        <v>44500</v>
      </c>
      <c r="J3" s="7">
        <f>+Z3</f>
        <v>44591</v>
      </c>
      <c r="K3" s="7">
        <v>44682</v>
      </c>
      <c r="L3" s="7">
        <v>44773</v>
      </c>
      <c r="M3" s="7">
        <v>44864</v>
      </c>
      <c r="N3" s="7">
        <f>+AA3</f>
        <v>44955</v>
      </c>
      <c r="O3" s="7">
        <v>45046</v>
      </c>
      <c r="P3" s="7">
        <v>45137</v>
      </c>
      <c r="Q3" s="7">
        <v>45228</v>
      </c>
      <c r="R3" s="7">
        <f>+AB3</f>
        <v>45319</v>
      </c>
      <c r="S3" s="7">
        <v>45410</v>
      </c>
      <c r="Y3" s="7">
        <v>44227</v>
      </c>
      <c r="Z3" s="7">
        <v>44591</v>
      </c>
      <c r="AA3" s="7">
        <v>44955</v>
      </c>
      <c r="AB3" s="7">
        <v>45319</v>
      </c>
    </row>
    <row r="4" spans="2:238"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17</v>
      </c>
      <c r="L4" s="1" t="s">
        <v>18</v>
      </c>
      <c r="M4" s="1" t="s">
        <v>19</v>
      </c>
      <c r="N4" s="1" t="s">
        <v>37</v>
      </c>
      <c r="O4" s="1" t="s">
        <v>16</v>
      </c>
      <c r="P4" s="1" t="s">
        <v>38</v>
      </c>
      <c r="Q4" s="1" t="s">
        <v>39</v>
      </c>
      <c r="R4" s="1" t="s">
        <v>6</v>
      </c>
      <c r="S4" s="1" t="s">
        <v>55</v>
      </c>
      <c r="T4" s="1" t="s">
        <v>56</v>
      </c>
      <c r="U4" s="1" t="s">
        <v>58</v>
      </c>
      <c r="V4" s="1" t="s">
        <v>57</v>
      </c>
      <c r="X4" s="2">
        <v>2020</v>
      </c>
      <c r="Y4" s="2">
        <v>2021</v>
      </c>
      <c r="Z4" s="2">
        <v>2022</v>
      </c>
      <c r="AA4" s="2">
        <f>+Z4+1</f>
        <v>2023</v>
      </c>
      <c r="AB4" s="2">
        <f t="shared" ref="AB4:AL4" si="1">+AA4+1</f>
        <v>2024</v>
      </c>
      <c r="AC4" s="2">
        <f t="shared" si="1"/>
        <v>2025</v>
      </c>
      <c r="AD4" s="2">
        <f t="shared" si="1"/>
        <v>2026</v>
      </c>
      <c r="AE4" s="2">
        <f t="shared" si="1"/>
        <v>2027</v>
      </c>
      <c r="AF4" s="2">
        <f t="shared" si="1"/>
        <v>2028</v>
      </c>
      <c r="AG4" s="2">
        <f t="shared" si="1"/>
        <v>2029</v>
      </c>
      <c r="AH4" s="2">
        <f t="shared" si="1"/>
        <v>2030</v>
      </c>
      <c r="AI4" s="2">
        <f t="shared" si="1"/>
        <v>2031</v>
      </c>
      <c r="AJ4" s="2">
        <f t="shared" si="1"/>
        <v>2032</v>
      </c>
      <c r="AK4" s="2">
        <f t="shared" si="1"/>
        <v>2033</v>
      </c>
      <c r="AL4" s="2">
        <f t="shared" si="1"/>
        <v>2034</v>
      </c>
      <c r="AM4" s="2">
        <f>+AL4+1</f>
        <v>2035</v>
      </c>
      <c r="AN4" s="2">
        <f t="shared" ref="AN4:AT4" si="2">+AM4+1</f>
        <v>2036</v>
      </c>
      <c r="AO4" s="2">
        <f t="shared" si="2"/>
        <v>2037</v>
      </c>
      <c r="AP4" s="2">
        <f t="shared" si="2"/>
        <v>2038</v>
      </c>
      <c r="AQ4" s="2">
        <f t="shared" si="2"/>
        <v>2039</v>
      </c>
      <c r="AR4" s="2">
        <f t="shared" si="2"/>
        <v>2040</v>
      </c>
      <c r="AS4" s="2">
        <f t="shared" si="2"/>
        <v>2041</v>
      </c>
      <c r="AT4" s="2">
        <f t="shared" si="2"/>
        <v>2042</v>
      </c>
      <c r="AU4" s="2">
        <f t="shared" ref="AU4:DF4" si="3">+AT4+1</f>
        <v>2043</v>
      </c>
      <c r="AV4" s="2">
        <f t="shared" si="3"/>
        <v>2044</v>
      </c>
      <c r="AW4" s="2">
        <f t="shared" si="3"/>
        <v>2045</v>
      </c>
      <c r="AX4" s="2">
        <f t="shared" si="3"/>
        <v>2046</v>
      </c>
      <c r="AY4" s="2">
        <f t="shared" si="3"/>
        <v>2047</v>
      </c>
      <c r="AZ4" s="2">
        <f t="shared" si="3"/>
        <v>2048</v>
      </c>
      <c r="BA4" s="2">
        <f t="shared" si="3"/>
        <v>2049</v>
      </c>
      <c r="BB4" s="2">
        <f t="shared" si="3"/>
        <v>2050</v>
      </c>
      <c r="BC4" s="2">
        <f t="shared" si="3"/>
        <v>2051</v>
      </c>
      <c r="BD4" s="2">
        <f t="shared" si="3"/>
        <v>2052</v>
      </c>
      <c r="BE4" s="2">
        <f t="shared" si="3"/>
        <v>2053</v>
      </c>
      <c r="BF4" s="2">
        <f t="shared" si="3"/>
        <v>2054</v>
      </c>
      <c r="BG4" s="2">
        <f t="shared" si="3"/>
        <v>2055</v>
      </c>
      <c r="BH4" s="2">
        <f t="shared" si="3"/>
        <v>2056</v>
      </c>
      <c r="BI4" s="2">
        <f t="shared" si="3"/>
        <v>2057</v>
      </c>
      <c r="BJ4" s="2">
        <f t="shared" si="3"/>
        <v>2058</v>
      </c>
      <c r="BK4" s="2">
        <f t="shared" si="3"/>
        <v>2059</v>
      </c>
      <c r="BL4" s="2">
        <f t="shared" si="3"/>
        <v>2060</v>
      </c>
      <c r="BM4" s="2">
        <f t="shared" si="3"/>
        <v>2061</v>
      </c>
      <c r="BN4" s="2">
        <f t="shared" si="3"/>
        <v>2062</v>
      </c>
      <c r="BO4" s="2">
        <f t="shared" si="3"/>
        <v>2063</v>
      </c>
      <c r="BP4" s="2">
        <f t="shared" si="3"/>
        <v>2064</v>
      </c>
      <c r="BQ4" s="2">
        <f t="shared" si="3"/>
        <v>2065</v>
      </c>
      <c r="BR4" s="2">
        <f t="shared" si="3"/>
        <v>2066</v>
      </c>
      <c r="BS4" s="2">
        <f t="shared" si="3"/>
        <v>2067</v>
      </c>
      <c r="BT4" s="2">
        <f t="shared" si="3"/>
        <v>2068</v>
      </c>
      <c r="BU4" s="2">
        <f t="shared" si="3"/>
        <v>2069</v>
      </c>
      <c r="BV4" s="2">
        <f t="shared" si="3"/>
        <v>2070</v>
      </c>
      <c r="BW4" s="2">
        <f t="shared" si="3"/>
        <v>2071</v>
      </c>
      <c r="BX4" s="2">
        <f t="shared" si="3"/>
        <v>2072</v>
      </c>
      <c r="BY4" s="2">
        <f t="shared" si="3"/>
        <v>2073</v>
      </c>
      <c r="BZ4" s="2">
        <f t="shared" si="3"/>
        <v>2074</v>
      </c>
      <c r="CA4" s="2">
        <f t="shared" si="3"/>
        <v>2075</v>
      </c>
      <c r="CB4" s="2">
        <f t="shared" si="3"/>
        <v>2076</v>
      </c>
      <c r="CC4" s="2">
        <f t="shared" si="3"/>
        <v>2077</v>
      </c>
      <c r="CD4" s="2">
        <f t="shared" si="3"/>
        <v>2078</v>
      </c>
      <c r="CE4" s="2">
        <f t="shared" si="3"/>
        <v>2079</v>
      </c>
      <c r="CF4" s="2">
        <f t="shared" si="3"/>
        <v>2080</v>
      </c>
      <c r="CG4" s="2">
        <f t="shared" si="3"/>
        <v>2081</v>
      </c>
      <c r="CH4" s="2">
        <f t="shared" si="3"/>
        <v>2082</v>
      </c>
      <c r="CI4" s="2">
        <f t="shared" si="3"/>
        <v>2083</v>
      </c>
      <c r="CJ4" s="2">
        <f t="shared" si="3"/>
        <v>2084</v>
      </c>
      <c r="CK4" s="2">
        <f t="shared" si="3"/>
        <v>2085</v>
      </c>
      <c r="CL4" s="2">
        <f t="shared" si="3"/>
        <v>2086</v>
      </c>
      <c r="CM4" s="2">
        <f t="shared" si="3"/>
        <v>2087</v>
      </c>
      <c r="CN4" s="2">
        <f t="shared" si="3"/>
        <v>2088</v>
      </c>
      <c r="CO4" s="2">
        <f t="shared" si="3"/>
        <v>2089</v>
      </c>
      <c r="CP4" s="2">
        <f t="shared" si="3"/>
        <v>2090</v>
      </c>
      <c r="CQ4" s="2">
        <f t="shared" si="3"/>
        <v>2091</v>
      </c>
      <c r="CR4" s="2">
        <f t="shared" si="3"/>
        <v>2092</v>
      </c>
      <c r="CS4" s="2">
        <f t="shared" si="3"/>
        <v>2093</v>
      </c>
      <c r="CT4" s="2">
        <f t="shared" si="3"/>
        <v>2094</v>
      </c>
      <c r="CU4" s="2">
        <f t="shared" si="3"/>
        <v>2095</v>
      </c>
      <c r="CV4" s="2">
        <f t="shared" si="3"/>
        <v>2096</v>
      </c>
      <c r="CW4" s="2">
        <f t="shared" si="3"/>
        <v>2097</v>
      </c>
      <c r="CX4" s="2">
        <f t="shared" si="3"/>
        <v>2098</v>
      </c>
      <c r="CY4" s="2">
        <f t="shared" si="3"/>
        <v>2099</v>
      </c>
      <c r="CZ4" s="2">
        <f t="shared" si="3"/>
        <v>2100</v>
      </c>
      <c r="DA4" s="2">
        <f t="shared" si="3"/>
        <v>2101</v>
      </c>
      <c r="DB4" s="2">
        <f t="shared" si="3"/>
        <v>2102</v>
      </c>
      <c r="DC4" s="2">
        <f t="shared" si="3"/>
        <v>2103</v>
      </c>
      <c r="DD4" s="2">
        <f t="shared" si="3"/>
        <v>2104</v>
      </c>
      <c r="DE4" s="2">
        <f t="shared" si="3"/>
        <v>2105</v>
      </c>
      <c r="DF4" s="2">
        <f t="shared" si="3"/>
        <v>2106</v>
      </c>
      <c r="DG4" s="2">
        <f t="shared" ref="DG4:FF4" si="4">+DF4+1</f>
        <v>2107</v>
      </c>
      <c r="DH4" s="2">
        <f t="shared" si="4"/>
        <v>2108</v>
      </c>
      <c r="DI4" s="2">
        <f t="shared" si="4"/>
        <v>2109</v>
      </c>
      <c r="DJ4" s="2">
        <f t="shared" si="4"/>
        <v>2110</v>
      </c>
      <c r="DK4" s="2">
        <f t="shared" si="4"/>
        <v>2111</v>
      </c>
      <c r="DL4" s="2">
        <f t="shared" si="4"/>
        <v>2112</v>
      </c>
      <c r="DM4" s="2">
        <f t="shared" si="4"/>
        <v>2113</v>
      </c>
      <c r="DN4" s="2">
        <f t="shared" si="4"/>
        <v>2114</v>
      </c>
      <c r="DO4" s="2">
        <f t="shared" si="4"/>
        <v>2115</v>
      </c>
      <c r="DP4" s="2">
        <f t="shared" si="4"/>
        <v>2116</v>
      </c>
      <c r="DQ4" s="2">
        <f t="shared" si="4"/>
        <v>2117</v>
      </c>
      <c r="DR4" s="2">
        <f t="shared" si="4"/>
        <v>2118</v>
      </c>
      <c r="DS4" s="2">
        <f t="shared" si="4"/>
        <v>2119</v>
      </c>
      <c r="DT4" s="2">
        <f t="shared" si="4"/>
        <v>2120</v>
      </c>
      <c r="DU4" s="2">
        <f t="shared" si="4"/>
        <v>2121</v>
      </c>
      <c r="DV4" s="2">
        <f t="shared" si="4"/>
        <v>2122</v>
      </c>
      <c r="DW4" s="2">
        <f t="shared" si="4"/>
        <v>2123</v>
      </c>
      <c r="DX4" s="2">
        <f t="shared" si="4"/>
        <v>2124</v>
      </c>
      <c r="DY4" s="2">
        <f t="shared" si="4"/>
        <v>2125</v>
      </c>
      <c r="DZ4" s="2">
        <f t="shared" si="4"/>
        <v>2126</v>
      </c>
      <c r="EA4" s="2">
        <f t="shared" si="4"/>
        <v>2127</v>
      </c>
      <c r="EB4" s="2">
        <f t="shared" si="4"/>
        <v>2128</v>
      </c>
      <c r="EC4" s="2">
        <f t="shared" si="4"/>
        <v>2129</v>
      </c>
      <c r="ED4" s="2">
        <f t="shared" si="4"/>
        <v>2130</v>
      </c>
      <c r="EE4" s="2">
        <f t="shared" si="4"/>
        <v>2131</v>
      </c>
      <c r="EF4" s="2">
        <f t="shared" si="4"/>
        <v>2132</v>
      </c>
      <c r="EG4" s="2">
        <f t="shared" si="4"/>
        <v>2133</v>
      </c>
      <c r="EH4" s="2">
        <f t="shared" si="4"/>
        <v>2134</v>
      </c>
      <c r="EI4" s="2">
        <f t="shared" si="4"/>
        <v>2135</v>
      </c>
      <c r="EJ4" s="2">
        <f t="shared" si="4"/>
        <v>2136</v>
      </c>
      <c r="EK4" s="2">
        <f t="shared" si="4"/>
        <v>2137</v>
      </c>
      <c r="EL4" s="2">
        <f t="shared" si="4"/>
        <v>2138</v>
      </c>
      <c r="EM4" s="2">
        <f t="shared" si="4"/>
        <v>2139</v>
      </c>
      <c r="EN4" s="2">
        <f t="shared" si="4"/>
        <v>2140</v>
      </c>
      <c r="EO4" s="2">
        <f t="shared" si="4"/>
        <v>2141</v>
      </c>
      <c r="EP4" s="2">
        <f t="shared" si="4"/>
        <v>2142</v>
      </c>
      <c r="EQ4" s="2">
        <f t="shared" si="4"/>
        <v>2143</v>
      </c>
      <c r="ER4" s="2">
        <f t="shared" si="4"/>
        <v>2144</v>
      </c>
      <c r="ES4" s="2">
        <f t="shared" si="4"/>
        <v>2145</v>
      </c>
      <c r="ET4" s="2">
        <f t="shared" si="4"/>
        <v>2146</v>
      </c>
      <c r="EU4" s="2">
        <f t="shared" si="4"/>
        <v>2147</v>
      </c>
      <c r="EV4" s="2">
        <f t="shared" si="4"/>
        <v>2148</v>
      </c>
      <c r="EW4" s="2">
        <f t="shared" si="4"/>
        <v>2149</v>
      </c>
      <c r="EX4" s="2">
        <f t="shared" si="4"/>
        <v>2150</v>
      </c>
      <c r="EY4" s="2">
        <f t="shared" si="4"/>
        <v>2151</v>
      </c>
      <c r="EZ4" s="2">
        <f t="shared" si="4"/>
        <v>2152</v>
      </c>
      <c r="FA4" s="2">
        <f t="shared" si="4"/>
        <v>2153</v>
      </c>
      <c r="FB4" s="2">
        <f t="shared" si="4"/>
        <v>2154</v>
      </c>
      <c r="FC4" s="2">
        <f t="shared" si="4"/>
        <v>2155</v>
      </c>
      <c r="FD4" s="2">
        <f t="shared" si="4"/>
        <v>2156</v>
      </c>
      <c r="FE4" s="2">
        <f t="shared" si="4"/>
        <v>2157</v>
      </c>
      <c r="FF4" s="2">
        <f t="shared" si="4"/>
        <v>2158</v>
      </c>
      <c r="FG4" s="2">
        <f t="shared" ref="FG4:FN4" si="5">+FF4+1</f>
        <v>2159</v>
      </c>
      <c r="FH4" s="2">
        <f t="shared" si="5"/>
        <v>2160</v>
      </c>
      <c r="FI4" s="2">
        <f t="shared" si="5"/>
        <v>2161</v>
      </c>
      <c r="FJ4" s="2">
        <f t="shared" si="5"/>
        <v>2162</v>
      </c>
      <c r="FK4" s="2">
        <f t="shared" si="5"/>
        <v>2163</v>
      </c>
      <c r="FL4" s="2">
        <f t="shared" si="5"/>
        <v>2164</v>
      </c>
      <c r="FM4" s="2">
        <f t="shared" si="5"/>
        <v>2165</v>
      </c>
      <c r="FN4" s="2">
        <f t="shared" si="5"/>
        <v>2166</v>
      </c>
      <c r="FO4" s="2">
        <f t="shared" ref="FO4:HC4" si="6">+FN4+1</f>
        <v>2167</v>
      </c>
      <c r="FP4" s="2">
        <f t="shared" si="6"/>
        <v>2168</v>
      </c>
      <c r="FQ4" s="2">
        <f t="shared" si="6"/>
        <v>2169</v>
      </c>
      <c r="FR4" s="2">
        <f t="shared" si="6"/>
        <v>2170</v>
      </c>
      <c r="FS4" s="2">
        <f t="shared" si="6"/>
        <v>2171</v>
      </c>
      <c r="FT4" s="2">
        <f t="shared" si="6"/>
        <v>2172</v>
      </c>
      <c r="FU4" s="2">
        <f t="shared" si="6"/>
        <v>2173</v>
      </c>
      <c r="FV4" s="2">
        <f t="shared" si="6"/>
        <v>2174</v>
      </c>
      <c r="FW4" s="2">
        <f t="shared" si="6"/>
        <v>2175</v>
      </c>
      <c r="FX4" s="2">
        <f t="shared" si="6"/>
        <v>2176</v>
      </c>
      <c r="FY4" s="2">
        <f t="shared" si="6"/>
        <v>2177</v>
      </c>
      <c r="FZ4" s="2">
        <f t="shared" si="6"/>
        <v>2178</v>
      </c>
      <c r="GA4" s="2">
        <f t="shared" si="6"/>
        <v>2179</v>
      </c>
      <c r="GB4" s="2">
        <f t="shared" si="6"/>
        <v>2180</v>
      </c>
      <c r="GC4" s="2">
        <f t="shared" si="6"/>
        <v>2181</v>
      </c>
      <c r="GD4" s="2">
        <f t="shared" si="6"/>
        <v>2182</v>
      </c>
      <c r="GE4" s="2">
        <f t="shared" si="6"/>
        <v>2183</v>
      </c>
      <c r="GF4" s="2">
        <f t="shared" si="6"/>
        <v>2184</v>
      </c>
      <c r="GG4" s="2">
        <f t="shared" si="6"/>
        <v>2185</v>
      </c>
      <c r="GH4" s="2">
        <f t="shared" si="6"/>
        <v>2186</v>
      </c>
      <c r="GI4" s="2">
        <f t="shared" si="6"/>
        <v>2187</v>
      </c>
      <c r="GJ4" s="2">
        <f t="shared" si="6"/>
        <v>2188</v>
      </c>
      <c r="GK4" s="2">
        <f t="shared" si="6"/>
        <v>2189</v>
      </c>
      <c r="GL4" s="2">
        <f t="shared" si="6"/>
        <v>2190</v>
      </c>
      <c r="GM4" s="2">
        <f t="shared" si="6"/>
        <v>2191</v>
      </c>
      <c r="GN4" s="2">
        <f t="shared" si="6"/>
        <v>2192</v>
      </c>
      <c r="GO4" s="2">
        <f t="shared" si="6"/>
        <v>2193</v>
      </c>
      <c r="GP4" s="2">
        <f t="shared" si="6"/>
        <v>2194</v>
      </c>
      <c r="GQ4" s="2">
        <f t="shared" si="6"/>
        <v>2195</v>
      </c>
      <c r="GR4" s="2">
        <f t="shared" si="6"/>
        <v>2196</v>
      </c>
      <c r="GS4" s="2">
        <f t="shared" si="6"/>
        <v>2197</v>
      </c>
      <c r="GT4" s="2">
        <f t="shared" si="6"/>
        <v>2198</v>
      </c>
      <c r="GU4" s="2">
        <f t="shared" si="6"/>
        <v>2199</v>
      </c>
      <c r="GV4" s="2">
        <f t="shared" si="6"/>
        <v>2200</v>
      </c>
      <c r="GW4" s="2">
        <f t="shared" si="6"/>
        <v>2201</v>
      </c>
      <c r="GX4" s="2">
        <f t="shared" si="6"/>
        <v>2202</v>
      </c>
      <c r="GY4" s="2">
        <f t="shared" si="6"/>
        <v>2203</v>
      </c>
      <c r="GZ4" s="2">
        <f t="shared" si="6"/>
        <v>2204</v>
      </c>
      <c r="HA4" s="2">
        <f t="shared" si="6"/>
        <v>2205</v>
      </c>
      <c r="HB4" s="2">
        <f t="shared" si="6"/>
        <v>2206</v>
      </c>
      <c r="HC4" s="2">
        <f t="shared" si="6"/>
        <v>2207</v>
      </c>
      <c r="HD4" s="2">
        <f t="shared" ref="HD4:HR4" si="7">+HC4+1</f>
        <v>2208</v>
      </c>
      <c r="HE4" s="2">
        <f t="shared" si="7"/>
        <v>2209</v>
      </c>
      <c r="HF4" s="2">
        <f t="shared" si="7"/>
        <v>2210</v>
      </c>
      <c r="HG4" s="2">
        <f t="shared" si="7"/>
        <v>2211</v>
      </c>
      <c r="HH4" s="2">
        <f t="shared" si="7"/>
        <v>2212</v>
      </c>
      <c r="HI4" s="2">
        <f t="shared" si="7"/>
        <v>2213</v>
      </c>
      <c r="HJ4" s="2">
        <f t="shared" si="7"/>
        <v>2214</v>
      </c>
      <c r="HK4" s="2">
        <f t="shared" si="7"/>
        <v>2215</v>
      </c>
      <c r="HL4" s="2">
        <f t="shared" si="7"/>
        <v>2216</v>
      </c>
      <c r="HM4" s="2">
        <f t="shared" si="7"/>
        <v>2217</v>
      </c>
      <c r="HN4" s="2">
        <f t="shared" si="7"/>
        <v>2218</v>
      </c>
      <c r="HO4" s="2">
        <f t="shared" si="7"/>
        <v>2219</v>
      </c>
      <c r="HP4" s="2">
        <f t="shared" si="7"/>
        <v>2220</v>
      </c>
      <c r="HQ4" s="2">
        <f t="shared" si="7"/>
        <v>2221</v>
      </c>
      <c r="HR4" s="2">
        <f t="shared" si="7"/>
        <v>2222</v>
      </c>
      <c r="HS4" s="2">
        <f t="shared" ref="HS4:IA4" si="8">+HR4+1</f>
        <v>2223</v>
      </c>
      <c r="HT4" s="2">
        <f t="shared" si="8"/>
        <v>2224</v>
      </c>
      <c r="HU4" s="2">
        <f t="shared" si="8"/>
        <v>2225</v>
      </c>
      <c r="HV4" s="2">
        <f t="shared" si="8"/>
        <v>2226</v>
      </c>
      <c r="HW4" s="2">
        <f t="shared" si="8"/>
        <v>2227</v>
      </c>
      <c r="HX4" s="2">
        <f t="shared" si="8"/>
        <v>2228</v>
      </c>
      <c r="HY4" s="2">
        <f t="shared" si="8"/>
        <v>2229</v>
      </c>
      <c r="HZ4" s="2">
        <f t="shared" si="8"/>
        <v>2230</v>
      </c>
      <c r="IA4" s="2">
        <f t="shared" si="8"/>
        <v>2231</v>
      </c>
      <c r="IB4" s="2">
        <f t="shared" ref="IB4:IC4" si="9">+IA4+1</f>
        <v>2232</v>
      </c>
      <c r="IC4" s="2">
        <f t="shared" si="9"/>
        <v>2233</v>
      </c>
      <c r="ID4" s="2">
        <f t="shared" ref="ID4" si="10">+IC4+1</f>
        <v>2234</v>
      </c>
    </row>
    <row r="5" spans="2:238">
      <c r="B5" s="1" t="s">
        <v>43</v>
      </c>
      <c r="H5" s="1">
        <v>2366</v>
      </c>
      <c r="I5" s="1">
        <v>2936</v>
      </c>
      <c r="K5" s="1">
        <v>3750</v>
      </c>
      <c r="L5" s="1">
        <v>3806</v>
      </c>
      <c r="M5" s="1">
        <v>3833</v>
      </c>
      <c r="N5" s="1">
        <v>3616</v>
      </c>
      <c r="O5" s="1">
        <v>4284</v>
      </c>
      <c r="P5" s="1">
        <v>10323</v>
      </c>
      <c r="Q5" s="1">
        <v>14514</v>
      </c>
      <c r="R5" s="1">
        <v>18404</v>
      </c>
      <c r="S5" s="1">
        <v>22563</v>
      </c>
      <c r="Z5" s="1">
        <v>10613</v>
      </c>
      <c r="AA5" s="1">
        <v>15005</v>
      </c>
      <c r="AB5" s="1">
        <v>47525</v>
      </c>
    </row>
    <row r="6" spans="2:238">
      <c r="B6" s="1" t="s">
        <v>48</v>
      </c>
      <c r="H6" s="1">
        <v>3061</v>
      </c>
      <c r="I6" s="1">
        <v>3221</v>
      </c>
      <c r="K6" s="1">
        <v>3620</v>
      </c>
      <c r="L6" s="1">
        <v>2042</v>
      </c>
      <c r="M6" s="1">
        <v>1574</v>
      </c>
      <c r="N6" s="1">
        <v>1831</v>
      </c>
      <c r="O6" s="1">
        <v>2240</v>
      </c>
      <c r="P6" s="1">
        <v>2486</v>
      </c>
      <c r="Q6" s="1">
        <v>2856</v>
      </c>
      <c r="R6" s="1">
        <v>2865</v>
      </c>
      <c r="S6" s="1">
        <v>2647</v>
      </c>
      <c r="Z6" s="1">
        <v>12462</v>
      </c>
      <c r="AA6" s="1">
        <v>9067</v>
      </c>
      <c r="AB6" s="1">
        <v>10447</v>
      </c>
    </row>
    <row r="7" spans="2:238">
      <c r="B7" s="1" t="s">
        <v>49</v>
      </c>
      <c r="H7" s="1">
        <v>519</v>
      </c>
      <c r="I7" s="1">
        <v>577</v>
      </c>
      <c r="K7" s="1">
        <v>622</v>
      </c>
      <c r="L7" s="1">
        <v>496</v>
      </c>
      <c r="M7" s="1">
        <v>200</v>
      </c>
      <c r="N7" s="1">
        <v>226</v>
      </c>
      <c r="O7" s="1">
        <v>295</v>
      </c>
      <c r="P7" s="1">
        <v>379</v>
      </c>
      <c r="Q7" s="1">
        <v>416</v>
      </c>
      <c r="R7" s="1">
        <v>463</v>
      </c>
      <c r="S7" s="1">
        <v>427</v>
      </c>
      <c r="Z7" s="1">
        <v>2111</v>
      </c>
      <c r="AA7" s="1">
        <v>1544</v>
      </c>
      <c r="AB7" s="1">
        <v>1553</v>
      </c>
    </row>
    <row r="8" spans="2:238">
      <c r="B8" s="1" t="s">
        <v>50</v>
      </c>
      <c r="H8" s="1">
        <v>152</v>
      </c>
      <c r="I8" s="1">
        <v>135</v>
      </c>
      <c r="K8" s="1">
        <v>138</v>
      </c>
      <c r="L8" s="1">
        <v>220</v>
      </c>
      <c r="M8" s="1">
        <v>251</v>
      </c>
      <c r="N8" s="1">
        <v>294</v>
      </c>
      <c r="O8" s="1">
        <v>296</v>
      </c>
      <c r="P8" s="1">
        <v>253</v>
      </c>
      <c r="Q8" s="1">
        <v>261</v>
      </c>
      <c r="R8" s="1">
        <v>281</v>
      </c>
      <c r="S8" s="1">
        <v>329</v>
      </c>
      <c r="Z8" s="1">
        <v>566</v>
      </c>
      <c r="AA8" s="1">
        <v>903</v>
      </c>
      <c r="AB8" s="1">
        <v>1091</v>
      </c>
    </row>
    <row r="9" spans="2:238">
      <c r="B9" s="1" t="s">
        <v>54</v>
      </c>
      <c r="H9" s="1">
        <v>409</v>
      </c>
      <c r="I9" s="1">
        <v>234</v>
      </c>
      <c r="K9" s="1">
        <v>158</v>
      </c>
      <c r="L9" s="1">
        <v>140</v>
      </c>
      <c r="M9" s="1">
        <v>73</v>
      </c>
      <c r="N9" s="1">
        <v>84</v>
      </c>
      <c r="O9" s="1">
        <v>77</v>
      </c>
      <c r="P9" s="1">
        <v>66</v>
      </c>
      <c r="Q9" s="1">
        <v>73</v>
      </c>
      <c r="R9" s="1">
        <v>90</v>
      </c>
      <c r="S9" s="1">
        <v>78</v>
      </c>
      <c r="Z9" s="1">
        <v>1162</v>
      </c>
      <c r="AA9" s="1">
        <v>455</v>
      </c>
      <c r="AB9" s="1">
        <v>306</v>
      </c>
    </row>
    <row r="11" spans="2:238">
      <c r="P11" s="3"/>
    </row>
    <row r="13" spans="2:238">
      <c r="B13" s="1" t="s">
        <v>35</v>
      </c>
      <c r="G13" s="1">
        <v>3451</v>
      </c>
      <c r="H13" s="1">
        <v>3907</v>
      </c>
      <c r="I13" s="1">
        <v>3011</v>
      </c>
      <c r="J13" s="1">
        <f>+Z13-SUM(G13:I13)</f>
        <v>677</v>
      </c>
      <c r="K13" s="1">
        <v>3672</v>
      </c>
      <c r="L13" s="1">
        <v>3907</v>
      </c>
      <c r="M13" s="1">
        <v>3816</v>
      </c>
      <c r="N13" s="1">
        <f>+AA13-SUM(K13:M13)</f>
        <v>3673</v>
      </c>
      <c r="O13" s="1">
        <v>4460</v>
      </c>
      <c r="P13" s="1">
        <v>10402</v>
      </c>
      <c r="Q13" s="1">
        <v>14645</v>
      </c>
      <c r="R13" s="1">
        <f>+AB13-SUM(O13:Q13)</f>
        <v>17898</v>
      </c>
      <c r="S13" s="1">
        <v>22675</v>
      </c>
      <c r="T13" s="1">
        <f>+T$15*(S13/S$15)</f>
        <v>24377.975733374289</v>
      </c>
      <c r="U13" s="1">
        <f t="shared" ref="U13:V13" si="11">+U$15*(T13/T$15)</f>
        <v>26815.773306711722</v>
      </c>
      <c r="V13" s="1">
        <f t="shared" si="11"/>
        <v>29497.350637382897</v>
      </c>
      <c r="Y13" s="1">
        <v>9834</v>
      </c>
      <c r="Z13" s="1">
        <v>11046</v>
      </c>
      <c r="AA13" s="1">
        <v>15068</v>
      </c>
      <c r="AB13" s="1">
        <v>47405</v>
      </c>
      <c r="AC13" s="1">
        <f>SUM(S13:V13)</f>
        <v>103366.09967746891</v>
      </c>
    </row>
    <row r="14" spans="2:238">
      <c r="B14" s="1" t="s">
        <v>36</v>
      </c>
      <c r="G14" s="1">
        <v>2210</v>
      </c>
      <c r="H14" s="1">
        <v>2600</v>
      </c>
      <c r="I14" s="1">
        <v>4092</v>
      </c>
      <c r="J14" s="1">
        <f>+Z14-SUM(G14:I14)</f>
        <v>6966</v>
      </c>
      <c r="K14" s="1">
        <v>4616</v>
      </c>
      <c r="L14" s="1">
        <v>2797</v>
      </c>
      <c r="M14" s="1">
        <v>2115</v>
      </c>
      <c r="N14" s="1">
        <f>+AA14-SUM(K14:M14)</f>
        <v>2378</v>
      </c>
      <c r="O14" s="1">
        <v>2732</v>
      </c>
      <c r="P14" s="1">
        <v>3105</v>
      </c>
      <c r="Q14" s="1">
        <v>3475</v>
      </c>
      <c r="R14" s="1">
        <f>+AB14-SUM(O14:Q14)</f>
        <v>4205</v>
      </c>
      <c r="S14" s="1">
        <v>3369</v>
      </c>
      <c r="T14" s="1">
        <f>+T$15*(S14/S$15)</f>
        <v>3622.0242666257104</v>
      </c>
      <c r="U14" s="1">
        <f t="shared" ref="U14:V14" si="12">+U$15*(T14/T$15)</f>
        <v>3984.2266932882821</v>
      </c>
      <c r="V14" s="1">
        <f t="shared" si="12"/>
        <v>4382.6493626171105</v>
      </c>
      <c r="Y14" s="1">
        <v>6841</v>
      </c>
      <c r="Z14" s="1">
        <v>15868</v>
      </c>
      <c r="AA14" s="1">
        <v>11906</v>
      </c>
      <c r="AB14" s="1">
        <v>13517</v>
      </c>
      <c r="AC14" s="1">
        <f t="shared" ref="AC14:AC28" si="13">SUM(S14:V14)</f>
        <v>15357.900322531103</v>
      </c>
    </row>
    <row r="15" spans="2:238" s="4" customFormat="1">
      <c r="B15" s="4" t="s">
        <v>20</v>
      </c>
      <c r="G15" s="4">
        <f t="shared" ref="G15:S15" si="14">+SUM(G13:G14)</f>
        <v>5661</v>
      </c>
      <c r="H15" s="4">
        <f t="shared" si="14"/>
        <v>6507</v>
      </c>
      <c r="I15" s="4">
        <f t="shared" si="14"/>
        <v>7103</v>
      </c>
      <c r="J15" s="4">
        <f t="shared" si="14"/>
        <v>7643</v>
      </c>
      <c r="K15" s="4">
        <f t="shared" si="14"/>
        <v>8288</v>
      </c>
      <c r="L15" s="4">
        <f t="shared" si="14"/>
        <v>6704</v>
      </c>
      <c r="M15" s="4">
        <f t="shared" si="14"/>
        <v>5931</v>
      </c>
      <c r="N15" s="4">
        <f t="shared" si="14"/>
        <v>6051</v>
      </c>
      <c r="O15" s="4">
        <f t="shared" si="14"/>
        <v>7192</v>
      </c>
      <c r="P15" s="4">
        <f t="shared" si="14"/>
        <v>13507</v>
      </c>
      <c r="Q15" s="4">
        <f t="shared" si="14"/>
        <v>18120</v>
      </c>
      <c r="R15" s="4">
        <f t="shared" si="14"/>
        <v>22103</v>
      </c>
      <c r="S15" s="4">
        <f t="shared" si="14"/>
        <v>26044</v>
      </c>
      <c r="T15" s="4">
        <f>AVERAGE(28000*1.02,28000*0.98)</f>
        <v>28000</v>
      </c>
      <c r="U15" s="4">
        <f t="shared" ref="U15:V15" si="15">+T15*1.1</f>
        <v>30800.000000000004</v>
      </c>
      <c r="V15" s="4">
        <f t="shared" si="15"/>
        <v>33880.000000000007</v>
      </c>
      <c r="X15" s="4">
        <v>10918</v>
      </c>
      <c r="Y15" s="4">
        <f>+SUM(Y13:Y14)</f>
        <v>16675</v>
      </c>
      <c r="Z15" s="4">
        <f>+SUM(Z13:Z14)</f>
        <v>26914</v>
      </c>
      <c r="AA15" s="4">
        <f>+SUM(AA13:AA14)</f>
        <v>26974</v>
      </c>
      <c r="AB15" s="4">
        <f>+SUM(AB13:AB14)</f>
        <v>60922</v>
      </c>
      <c r="AC15" s="4">
        <f t="shared" si="13"/>
        <v>118724</v>
      </c>
      <c r="AD15" s="4">
        <f>+AC15*1.4</f>
        <v>166213.59999999998</v>
      </c>
      <c r="AE15" s="4">
        <f>+AD15*1.3</f>
        <v>216077.67999999996</v>
      </c>
      <c r="AF15" s="4">
        <f>+AE15*1.2</f>
        <v>259293.21599999996</v>
      </c>
      <c r="AG15" s="4">
        <f t="shared" ref="AG15:AL15" si="16">+AF15*1.2</f>
        <v>311151.85919999995</v>
      </c>
      <c r="AH15" s="4">
        <f t="shared" si="16"/>
        <v>373382.23103999993</v>
      </c>
      <c r="AI15" s="4">
        <f t="shared" si="16"/>
        <v>448058.67724799988</v>
      </c>
      <c r="AJ15" s="4">
        <f t="shared" si="16"/>
        <v>537670.41269759985</v>
      </c>
      <c r="AK15" s="4">
        <f t="shared" si="16"/>
        <v>645204.49523711985</v>
      </c>
      <c r="AL15" s="4">
        <f t="shared" si="16"/>
        <v>774245.39428454381</v>
      </c>
    </row>
    <row r="16" spans="2:238">
      <c r="B16" s="1" t="s">
        <v>21</v>
      </c>
      <c r="G16" s="1">
        <v>2032</v>
      </c>
      <c r="H16" s="1">
        <v>2292</v>
      </c>
      <c r="I16" s="1">
        <v>2472</v>
      </c>
      <c r="J16" s="1">
        <f>+Z16-SUM(G16:I16)</f>
        <v>2643</v>
      </c>
      <c r="K16" s="1">
        <v>2857</v>
      </c>
      <c r="L16" s="1">
        <v>3789</v>
      </c>
      <c r="M16" s="1">
        <v>2754</v>
      </c>
      <c r="N16" s="1">
        <f>+AA16-SUM(K16:M16)</f>
        <v>2218</v>
      </c>
      <c r="O16" s="1">
        <v>2544</v>
      </c>
      <c r="P16" s="1">
        <v>4045</v>
      </c>
      <c r="Q16" s="1">
        <v>4720</v>
      </c>
      <c r="R16" s="1">
        <f>+AB16-SUM(O16:Q16)</f>
        <v>5312</v>
      </c>
      <c r="S16" s="1">
        <v>5638</v>
      </c>
      <c r="T16" s="1">
        <f t="shared" ref="T16:V16" si="17">+T$15*(P16/P$15)</f>
        <v>8385.2817057821867</v>
      </c>
      <c r="U16" s="1">
        <f t="shared" si="17"/>
        <v>8022.9580573951444</v>
      </c>
      <c r="V16" s="1">
        <f t="shared" si="17"/>
        <v>8142.3589557978576</v>
      </c>
      <c r="X16" s="1">
        <v>4150</v>
      </c>
      <c r="Y16" s="1">
        <v>6279</v>
      </c>
      <c r="Z16" s="1">
        <v>9439</v>
      </c>
      <c r="AA16" s="1">
        <v>11618</v>
      </c>
      <c r="AB16" s="1">
        <v>16621</v>
      </c>
      <c r="AC16" s="1">
        <f t="shared" si="13"/>
        <v>30188.59871897519</v>
      </c>
      <c r="AD16" s="1">
        <f>+AD$15*(AC16/AC$15)</f>
        <v>42264.038206565259</v>
      </c>
      <c r="AE16" s="1">
        <f t="shared" ref="AE16:AL16" si="18">+AE$15*(AD16/AD$15)</f>
        <v>54943.249668534838</v>
      </c>
      <c r="AF16" s="1">
        <f t="shared" si="18"/>
        <v>65931.8996022418</v>
      </c>
      <c r="AG16" s="1">
        <f t="shared" si="18"/>
        <v>79118.279522690165</v>
      </c>
      <c r="AH16" s="1">
        <f t="shared" si="18"/>
        <v>94941.935427228193</v>
      </c>
      <c r="AI16" s="1">
        <f t="shared" si="18"/>
        <v>113930.32251267383</v>
      </c>
      <c r="AJ16" s="1">
        <f t="shared" si="18"/>
        <v>136716.3870152086</v>
      </c>
      <c r="AK16" s="1">
        <f t="shared" si="18"/>
        <v>164059.66441825032</v>
      </c>
      <c r="AL16" s="1">
        <f t="shared" si="18"/>
        <v>196871.59730190039</v>
      </c>
    </row>
    <row r="17" spans="2:238">
      <c r="B17" s="1" t="s">
        <v>22</v>
      </c>
      <c r="G17" s="1">
        <v>1153</v>
      </c>
      <c r="H17" s="1">
        <v>1245</v>
      </c>
      <c r="I17" s="1">
        <v>1403</v>
      </c>
      <c r="J17" s="1">
        <f>+Z17-SUM(G17:I17)</f>
        <v>1467</v>
      </c>
      <c r="K17" s="1">
        <v>1618</v>
      </c>
      <c r="L17" s="1">
        <v>1824</v>
      </c>
      <c r="M17" s="1">
        <v>1945</v>
      </c>
      <c r="N17" s="1">
        <f>+AA17-SUM(K17:M17)</f>
        <v>1952</v>
      </c>
      <c r="O17" s="1">
        <v>1875</v>
      </c>
      <c r="P17" s="1">
        <v>2040</v>
      </c>
      <c r="Q17" s="1">
        <v>2294</v>
      </c>
      <c r="R17" s="1">
        <f>+AB17-SUM(O17:Q17)</f>
        <v>2466</v>
      </c>
      <c r="S17" s="1">
        <v>2720</v>
      </c>
      <c r="T17" s="1">
        <v>3000</v>
      </c>
      <c r="U17" s="1">
        <f t="shared" ref="U17:U18" si="19">+U$15*(Q17/Q$15)</f>
        <v>3899.2935982339959</v>
      </c>
      <c r="V17" s="1">
        <f t="shared" ref="V17:V18" si="20">+V$15*(R17/R$15)</f>
        <v>3779.942994163689</v>
      </c>
      <c r="X17" s="1">
        <v>2829</v>
      </c>
      <c r="Y17" s="1">
        <v>3924</v>
      </c>
      <c r="Z17" s="1">
        <v>5268</v>
      </c>
      <c r="AA17" s="1">
        <v>7339</v>
      </c>
      <c r="AB17" s="1">
        <v>8675</v>
      </c>
      <c r="AC17" s="1">
        <f>SUM(S17:V17)</f>
        <v>13399.236592397683</v>
      </c>
      <c r="AD17" s="1">
        <f>++AD15*(AC17/AC15)</f>
        <v>18758.931229356753</v>
      </c>
      <c r="AE17" s="1">
        <f t="shared" ref="AE17:AL17" si="21">++AE15*(AD17/AD15)</f>
        <v>24386.610598163777</v>
      </c>
      <c r="AF17" s="1">
        <f t="shared" si="21"/>
        <v>29263.932717796535</v>
      </c>
      <c r="AG17" s="1">
        <f t="shared" si="21"/>
        <v>35116.719261355844</v>
      </c>
      <c r="AH17" s="1">
        <f t="shared" si="21"/>
        <v>42140.063113627009</v>
      </c>
      <c r="AI17" s="1">
        <f t="shared" si="21"/>
        <v>50568.075736352403</v>
      </c>
      <c r="AJ17" s="1">
        <f t="shared" si="21"/>
        <v>60681.690883622883</v>
      </c>
      <c r="AK17" s="1">
        <f t="shared" si="21"/>
        <v>72818.029060347471</v>
      </c>
      <c r="AL17" s="1">
        <f t="shared" si="21"/>
        <v>87381.634872416966</v>
      </c>
    </row>
    <row r="18" spans="2:238">
      <c r="B18" s="1" t="s">
        <v>23</v>
      </c>
      <c r="G18" s="1">
        <v>520</v>
      </c>
      <c r="H18" s="1">
        <v>526</v>
      </c>
      <c r="I18" s="1">
        <v>557</v>
      </c>
      <c r="J18" s="1">
        <f>+Z18-SUM(G18:I18)</f>
        <v>563</v>
      </c>
      <c r="K18" s="1">
        <v>592</v>
      </c>
      <c r="L18" s="1">
        <v>592</v>
      </c>
      <c r="M18" s="1">
        <v>631</v>
      </c>
      <c r="N18" s="1">
        <f>+AA18-SUM(K18:M18)</f>
        <v>625</v>
      </c>
      <c r="O18" s="1">
        <v>633</v>
      </c>
      <c r="P18" s="1">
        <v>622</v>
      </c>
      <c r="Q18" s="1">
        <v>689</v>
      </c>
      <c r="R18" s="1">
        <f>+AB18-SUM(O18:Q18)</f>
        <v>710</v>
      </c>
      <c r="S18" s="1">
        <v>777</v>
      </c>
      <c r="T18" s="1">
        <v>1000</v>
      </c>
      <c r="U18" s="1">
        <f t="shared" si="19"/>
        <v>1171.1479028697574</v>
      </c>
      <c r="V18" s="1">
        <f t="shared" si="20"/>
        <v>1088.3047550106323</v>
      </c>
      <c r="X18" s="1">
        <v>1093</v>
      </c>
      <c r="Y18" s="1">
        <v>1940</v>
      </c>
      <c r="Z18" s="1">
        <v>2166</v>
      </c>
      <c r="AA18" s="1">
        <v>2440</v>
      </c>
      <c r="AB18" s="1">
        <v>2654</v>
      </c>
      <c r="AC18" s="1">
        <f t="shared" si="13"/>
        <v>4036.4526578803898</v>
      </c>
      <c r="AD18" s="1">
        <f t="shared" ref="AD18" si="22">+AD$15*(AC18/AC$15)</f>
        <v>5651.0337210325442</v>
      </c>
      <c r="AE18" s="1">
        <f t="shared" ref="AE18:AL18" si="23">+AE$15*(AD18/AD$15)</f>
        <v>7346.3438373423078</v>
      </c>
      <c r="AF18" s="1">
        <f t="shared" si="23"/>
        <v>8815.612604810769</v>
      </c>
      <c r="AG18" s="1">
        <f t="shared" si="23"/>
        <v>10578.735125772922</v>
      </c>
      <c r="AH18" s="1">
        <f t="shared" si="23"/>
        <v>12694.482150927506</v>
      </c>
      <c r="AI18" s="1">
        <f t="shared" si="23"/>
        <v>15233.378581113007</v>
      </c>
      <c r="AJ18" s="1">
        <f t="shared" si="23"/>
        <v>18280.05429733561</v>
      </c>
      <c r="AK18" s="1">
        <f t="shared" si="23"/>
        <v>21936.065156802732</v>
      </c>
      <c r="AL18" s="1">
        <f t="shared" si="23"/>
        <v>26323.278188163276</v>
      </c>
    </row>
    <row r="19" spans="2:238">
      <c r="B19" s="1" t="s">
        <v>24</v>
      </c>
      <c r="G19" s="1">
        <v>0</v>
      </c>
      <c r="H19" s="1">
        <v>0</v>
      </c>
      <c r="I19" s="1">
        <v>0</v>
      </c>
      <c r="J19" s="1">
        <f>+Z19-SUM(G19:I19)</f>
        <v>0</v>
      </c>
      <c r="K19" s="1">
        <v>1353</v>
      </c>
      <c r="L19" s="1">
        <v>0</v>
      </c>
      <c r="M19" s="1">
        <v>0</v>
      </c>
      <c r="N19" s="1">
        <f>+AA19-SUM(K19:M19)</f>
        <v>0</v>
      </c>
      <c r="O19" s="1">
        <v>0</v>
      </c>
      <c r="P19" s="1">
        <v>0</v>
      </c>
      <c r="Q19" s="1">
        <v>0</v>
      </c>
      <c r="R19" s="1">
        <f>+AB19-SUM(O19:Q19)</f>
        <v>0</v>
      </c>
      <c r="S19" s="1">
        <v>0</v>
      </c>
      <c r="X19" s="1">
        <v>0</v>
      </c>
      <c r="Y19" s="1">
        <v>0</v>
      </c>
      <c r="Z19" s="1">
        <v>0</v>
      </c>
      <c r="AA19" s="1">
        <v>1353</v>
      </c>
      <c r="AB19" s="1">
        <v>0</v>
      </c>
      <c r="AC19" s="1">
        <f t="shared" si="13"/>
        <v>0</v>
      </c>
    </row>
    <row r="20" spans="2:238">
      <c r="B20" s="1" t="s">
        <v>25</v>
      </c>
      <c r="G20" s="1">
        <f t="shared" ref="G20:R20" si="24">+G15-SUM(G16:G19)</f>
        <v>1956</v>
      </c>
      <c r="H20" s="1">
        <f t="shared" si="24"/>
        <v>2444</v>
      </c>
      <c r="I20" s="1">
        <f t="shared" si="24"/>
        <v>2671</v>
      </c>
      <c r="J20" s="1">
        <f t="shared" si="24"/>
        <v>2970</v>
      </c>
      <c r="K20" s="1">
        <f t="shared" si="24"/>
        <v>1868</v>
      </c>
      <c r="L20" s="1">
        <f t="shared" si="24"/>
        <v>499</v>
      </c>
      <c r="M20" s="1">
        <f t="shared" si="24"/>
        <v>601</v>
      </c>
      <c r="N20" s="1">
        <f t="shared" si="24"/>
        <v>1256</v>
      </c>
      <c r="O20" s="1">
        <f t="shared" si="24"/>
        <v>2140</v>
      </c>
      <c r="P20" s="1">
        <f t="shared" si="24"/>
        <v>6800</v>
      </c>
      <c r="Q20" s="1">
        <f t="shared" si="24"/>
        <v>10417</v>
      </c>
      <c r="R20" s="1">
        <f t="shared" si="24"/>
        <v>13615</v>
      </c>
      <c r="S20" s="1">
        <f t="shared" ref="S20" si="25">+S15-SUM(S16:S19)</f>
        <v>16909</v>
      </c>
      <c r="T20" s="1">
        <f t="shared" ref="T20:V20" si="26">+T15-SUM(T16:T19)</f>
        <v>15614.718294217813</v>
      </c>
      <c r="U20" s="1">
        <f t="shared" si="26"/>
        <v>17706.600441501105</v>
      </c>
      <c r="V20" s="1">
        <f t="shared" si="26"/>
        <v>20869.393295027825</v>
      </c>
      <c r="X20" s="1">
        <f>+X15-SUM(X16:X19)</f>
        <v>2846</v>
      </c>
      <c r="Y20" s="1">
        <f>+Y15-SUM(Y16:Y19)</f>
        <v>4532</v>
      </c>
      <c r="Z20" s="1">
        <f>+Z15-SUM(Z16:Z19)</f>
        <v>10041</v>
      </c>
      <c r="AA20" s="1">
        <f>+AA15-SUM(AA16:AA19)</f>
        <v>4224</v>
      </c>
      <c r="AB20" s="1">
        <f>+AB15-SUM(AB16:AB19)</f>
        <v>32972</v>
      </c>
      <c r="AC20" s="1">
        <f t="shared" si="13"/>
        <v>71099.712030746741</v>
      </c>
      <c r="AD20" s="1">
        <f>+AD15-SUM(AD16:AD19)</f>
        <v>99539.596843045423</v>
      </c>
      <c r="AE20" s="1">
        <f t="shared" ref="AE20:AL20" si="27">+AE15-SUM(AE16:AE19)</f>
        <v>129401.47589595904</v>
      </c>
      <c r="AF20" s="1">
        <f t="shared" si="27"/>
        <v>155281.77107515087</v>
      </c>
      <c r="AG20" s="1">
        <f t="shared" si="27"/>
        <v>186338.12529018102</v>
      </c>
      <c r="AH20" s="1">
        <f t="shared" si="27"/>
        <v>223605.75034821723</v>
      </c>
      <c r="AI20" s="1">
        <f t="shared" si="27"/>
        <v>268326.90041786066</v>
      </c>
      <c r="AJ20" s="1">
        <f t="shared" si="27"/>
        <v>321992.28050143272</v>
      </c>
      <c r="AK20" s="1">
        <f t="shared" si="27"/>
        <v>386390.73660171928</v>
      </c>
      <c r="AL20" s="1">
        <f t="shared" si="27"/>
        <v>463668.88392206316</v>
      </c>
    </row>
    <row r="21" spans="2:238">
      <c r="B21" s="1" t="s">
        <v>26</v>
      </c>
      <c r="G21" s="1">
        <v>6</v>
      </c>
      <c r="H21" s="1">
        <v>6</v>
      </c>
      <c r="I21" s="1">
        <v>7</v>
      </c>
      <c r="J21" s="1">
        <f>+Z21-SUM(G21:I21)</f>
        <v>10</v>
      </c>
      <c r="K21" s="1">
        <v>18</v>
      </c>
      <c r="L21" s="1">
        <v>46</v>
      </c>
      <c r="M21" s="1">
        <v>88</v>
      </c>
      <c r="N21" s="1">
        <f>+AA21-SUM(K21:M21)</f>
        <v>115</v>
      </c>
      <c r="O21" s="1">
        <v>150</v>
      </c>
      <c r="P21" s="1">
        <v>187</v>
      </c>
      <c r="Q21" s="1">
        <v>234</v>
      </c>
      <c r="R21" s="1">
        <f>+AB21-SUM(O21:Q21)</f>
        <v>295</v>
      </c>
      <c r="S21" s="1">
        <v>359</v>
      </c>
      <c r="T21" s="1">
        <f t="shared" ref="T21:T23" si="28">+T$15*(P21/P$15)</f>
        <v>387.65084770859556</v>
      </c>
      <c r="U21" s="1">
        <f t="shared" ref="U21:U23" si="29">+U$15*(Q21/Q$15)</f>
        <v>397.74834437086093</v>
      </c>
      <c r="V21" s="1">
        <f t="shared" ref="V21:V23" si="30">+V$15*(R21/R$15)</f>
        <v>452.18296158892468</v>
      </c>
      <c r="X21" s="1">
        <v>178</v>
      </c>
      <c r="Y21" s="1">
        <v>57</v>
      </c>
      <c r="Z21" s="1">
        <v>29</v>
      </c>
      <c r="AA21" s="1">
        <v>267</v>
      </c>
      <c r="AB21" s="1">
        <v>866</v>
      </c>
      <c r="AC21" s="1">
        <f>+AB49*$AR$30</f>
        <v>651.84</v>
      </c>
      <c r="AD21" s="1">
        <f>+AC49*$AR$30</f>
        <v>664.8768</v>
      </c>
      <c r="AE21" s="1">
        <f>+AD49*$AR$30</f>
        <v>678.17433599999993</v>
      </c>
      <c r="AF21" s="1">
        <f>+AE21</f>
        <v>678.17433599999993</v>
      </c>
      <c r="AG21" s="1">
        <f t="shared" ref="AG21:AL21" si="31">+AF21</f>
        <v>678.17433599999993</v>
      </c>
      <c r="AH21" s="1">
        <f t="shared" si="31"/>
        <v>678.17433599999993</v>
      </c>
      <c r="AI21" s="1">
        <f t="shared" si="31"/>
        <v>678.17433599999993</v>
      </c>
      <c r="AJ21" s="1">
        <f t="shared" si="31"/>
        <v>678.17433599999993</v>
      </c>
      <c r="AK21" s="1">
        <f t="shared" si="31"/>
        <v>678.17433599999993</v>
      </c>
      <c r="AL21" s="1">
        <f t="shared" si="31"/>
        <v>678.17433599999993</v>
      </c>
    </row>
    <row r="22" spans="2:238">
      <c r="B22" s="1" t="s">
        <v>27</v>
      </c>
      <c r="G22" s="1">
        <v>-53</v>
      </c>
      <c r="H22" s="1">
        <v>-60</v>
      </c>
      <c r="I22" s="1">
        <v>-62</v>
      </c>
      <c r="J22" s="1">
        <f>+Z22-SUM(G22:I22)</f>
        <v>-61</v>
      </c>
      <c r="K22" s="1">
        <v>-68</v>
      </c>
      <c r="L22" s="1">
        <v>-65</v>
      </c>
      <c r="M22" s="1">
        <v>-65</v>
      </c>
      <c r="N22" s="1">
        <f>+AA22-SUM(K22:M22)</f>
        <v>-64</v>
      </c>
      <c r="O22" s="1">
        <v>-66</v>
      </c>
      <c r="P22" s="1">
        <v>-65</v>
      </c>
      <c r="Q22" s="1">
        <v>-63</v>
      </c>
      <c r="R22" s="1">
        <f>+AB22-SUM(O22:Q22)</f>
        <v>-63</v>
      </c>
      <c r="S22" s="1">
        <v>-64</v>
      </c>
      <c r="T22" s="1">
        <f t="shared" si="28"/>
        <v>-134.74494706448507</v>
      </c>
      <c r="U22" s="1">
        <f t="shared" si="29"/>
        <v>-107.0860927152318</v>
      </c>
      <c r="V22" s="1">
        <f t="shared" si="30"/>
        <v>-96.567886712211035</v>
      </c>
      <c r="X22" s="1">
        <v>-52</v>
      </c>
      <c r="Y22" s="1">
        <v>-184</v>
      </c>
      <c r="Z22" s="1">
        <v>-236</v>
      </c>
      <c r="AA22" s="1">
        <v>-262</v>
      </c>
      <c r="AB22" s="1">
        <v>-257</v>
      </c>
      <c r="AC22" s="1">
        <f>+AB22</f>
        <v>-257</v>
      </c>
      <c r="AD22" s="1">
        <f t="shared" ref="AD22:AL22" si="32">+AC22</f>
        <v>-257</v>
      </c>
      <c r="AE22" s="1">
        <f t="shared" si="32"/>
        <v>-257</v>
      </c>
      <c r="AF22" s="1">
        <f t="shared" si="32"/>
        <v>-257</v>
      </c>
      <c r="AG22" s="1">
        <f t="shared" si="32"/>
        <v>-257</v>
      </c>
      <c r="AH22" s="1">
        <f t="shared" si="32"/>
        <v>-257</v>
      </c>
      <c r="AI22" s="1">
        <f t="shared" si="32"/>
        <v>-257</v>
      </c>
      <c r="AJ22" s="1">
        <f t="shared" si="32"/>
        <v>-257</v>
      </c>
      <c r="AK22" s="1">
        <f t="shared" si="32"/>
        <v>-257</v>
      </c>
      <c r="AL22" s="1">
        <f t="shared" si="32"/>
        <v>-257</v>
      </c>
    </row>
    <row r="23" spans="2:238">
      <c r="B23" s="1" t="s">
        <v>28</v>
      </c>
      <c r="G23" s="1">
        <v>135</v>
      </c>
      <c r="H23" s="1">
        <v>4</v>
      </c>
      <c r="I23" s="1">
        <v>22</v>
      </c>
      <c r="J23" s="1">
        <f>+Z23-SUM(G23:I23)</f>
        <v>-54</v>
      </c>
      <c r="K23" s="1">
        <v>-13</v>
      </c>
      <c r="L23" s="1">
        <v>-5</v>
      </c>
      <c r="M23" s="1">
        <v>-11</v>
      </c>
      <c r="N23" s="1">
        <f>+AA23-SUM(K23:M23)</f>
        <v>-19</v>
      </c>
      <c r="O23" s="1">
        <v>-15</v>
      </c>
      <c r="P23" s="1">
        <v>59</v>
      </c>
      <c r="Q23" s="1">
        <v>-66</v>
      </c>
      <c r="R23" s="1">
        <f>+AB23-SUM(O23:Q23)</f>
        <v>259</v>
      </c>
      <c r="S23" s="1">
        <v>75</v>
      </c>
      <c r="T23" s="1">
        <f t="shared" si="28"/>
        <v>122.3069519508403</v>
      </c>
      <c r="U23" s="1">
        <f t="shared" si="29"/>
        <v>-112.18543046357618</v>
      </c>
      <c r="V23" s="1">
        <f t="shared" si="30"/>
        <v>397.00131203908978</v>
      </c>
      <c r="X23" s="1">
        <v>-2</v>
      </c>
      <c r="Y23" s="1">
        <v>4</v>
      </c>
      <c r="Z23" s="1">
        <v>107</v>
      </c>
      <c r="AA23" s="1">
        <v>-48</v>
      </c>
      <c r="AB23" s="1">
        <v>237</v>
      </c>
      <c r="AC23" s="1">
        <v>0</v>
      </c>
    </row>
    <row r="24" spans="2:238">
      <c r="B24" s="1" t="s">
        <v>29</v>
      </c>
      <c r="G24" s="1">
        <f t="shared" ref="G24:R24" si="33">+SUM(G20:G23)</f>
        <v>2044</v>
      </c>
      <c r="H24" s="1">
        <f t="shared" si="33"/>
        <v>2394</v>
      </c>
      <c r="I24" s="1">
        <f t="shared" si="33"/>
        <v>2638</v>
      </c>
      <c r="J24" s="1">
        <f t="shared" si="33"/>
        <v>2865</v>
      </c>
      <c r="K24" s="1">
        <f t="shared" si="33"/>
        <v>1805</v>
      </c>
      <c r="L24" s="1">
        <f t="shared" si="33"/>
        <v>475</v>
      </c>
      <c r="M24" s="1">
        <f t="shared" si="33"/>
        <v>613</v>
      </c>
      <c r="N24" s="1">
        <f t="shared" si="33"/>
        <v>1288</v>
      </c>
      <c r="O24" s="1">
        <f t="shared" si="33"/>
        <v>2209</v>
      </c>
      <c r="P24" s="1">
        <f t="shared" si="33"/>
        <v>6981</v>
      </c>
      <c r="Q24" s="1">
        <f t="shared" si="33"/>
        <v>10522</v>
      </c>
      <c r="R24" s="1">
        <f t="shared" si="33"/>
        <v>14106</v>
      </c>
      <c r="S24" s="1">
        <f t="shared" ref="S24" si="34">+SUM(S20:S23)</f>
        <v>17279</v>
      </c>
      <c r="T24" s="1">
        <f t="shared" ref="T24:V24" si="35">+SUM(T20:T23)</f>
        <v>15989.931146812765</v>
      </c>
      <c r="U24" s="1">
        <f t="shared" si="35"/>
        <v>17885.077262693161</v>
      </c>
      <c r="V24" s="1">
        <f t="shared" si="35"/>
        <v>21622.009681943629</v>
      </c>
      <c r="X24" s="1">
        <f>+SUM(X20:X23)</f>
        <v>2970</v>
      </c>
      <c r="Y24" s="1">
        <f>+SUM(Y20:Y23)</f>
        <v>4409</v>
      </c>
      <c r="Z24" s="1">
        <f>+SUM(Z20:Z23)</f>
        <v>9941</v>
      </c>
      <c r="AA24" s="1">
        <f>+SUM(AA20:AA23)</f>
        <v>4181</v>
      </c>
      <c r="AB24" s="1">
        <f>+SUM(AB20:AB23)</f>
        <v>33818</v>
      </c>
      <c r="AC24" s="1">
        <f t="shared" si="13"/>
        <v>72776.018091449558</v>
      </c>
      <c r="AD24" s="1">
        <f>+SUM(AD20:AD23)</f>
        <v>99947.473643045421</v>
      </c>
      <c r="AE24" s="1">
        <f t="shared" ref="AE24:AL24" si="36">+SUM(AE20:AE23)</f>
        <v>129822.65023195904</v>
      </c>
      <c r="AF24" s="1">
        <f t="shared" si="36"/>
        <v>155702.94541115087</v>
      </c>
      <c r="AG24" s="1">
        <f t="shared" si="36"/>
        <v>186759.29962618102</v>
      </c>
      <c r="AH24" s="1">
        <f t="shared" si="36"/>
        <v>224026.92468421723</v>
      </c>
      <c r="AI24" s="1">
        <f t="shared" si="36"/>
        <v>268748.07475386065</v>
      </c>
      <c r="AJ24" s="1">
        <f t="shared" si="36"/>
        <v>322413.45483743271</v>
      </c>
      <c r="AK24" s="1">
        <f t="shared" si="36"/>
        <v>386811.91093771928</v>
      </c>
      <c r="AL24" s="1">
        <f t="shared" si="36"/>
        <v>464090.05825806316</v>
      </c>
    </row>
    <row r="25" spans="2:238">
      <c r="B25" s="1" t="s">
        <v>30</v>
      </c>
      <c r="G25" s="1">
        <v>132</v>
      </c>
      <c r="H25" s="1">
        <v>20</v>
      </c>
      <c r="I25" s="1">
        <v>174</v>
      </c>
      <c r="J25" s="1">
        <f>+Z25-SUM(G25:I25)</f>
        <v>-137</v>
      </c>
      <c r="K25" s="1">
        <v>187</v>
      </c>
      <c r="L25" s="1">
        <v>-181</v>
      </c>
      <c r="M25" s="1">
        <v>-67</v>
      </c>
      <c r="N25" s="1">
        <f>+AA25-SUM(K25:M25)</f>
        <v>-126</v>
      </c>
      <c r="O25" s="1">
        <v>166</v>
      </c>
      <c r="P25" s="1">
        <v>793</v>
      </c>
      <c r="Q25" s="1">
        <v>1279</v>
      </c>
      <c r="R25" s="1">
        <f>+AB25-SUM(O25:Q25)</f>
        <v>1820</v>
      </c>
      <c r="S25" s="1">
        <v>2398</v>
      </c>
      <c r="T25" s="1">
        <f>+T24*0.17</f>
        <v>2718.2882949581704</v>
      </c>
      <c r="U25" s="1">
        <f>+U24*0.17</f>
        <v>3040.4631346578376</v>
      </c>
      <c r="V25" s="1">
        <f>+V24*0.17</f>
        <v>3675.7416459304172</v>
      </c>
      <c r="X25" s="1">
        <v>174</v>
      </c>
      <c r="Y25" s="1">
        <v>77</v>
      </c>
      <c r="Z25" s="1">
        <v>189</v>
      </c>
      <c r="AA25" s="1">
        <v>-187</v>
      </c>
      <c r="AB25" s="1">
        <v>4058</v>
      </c>
      <c r="AC25" s="1">
        <f t="shared" si="13"/>
        <v>11832.493075546425</v>
      </c>
      <c r="AD25" s="1">
        <f>+AD24*(AC25/AC24)</f>
        <v>16250.2404063055</v>
      </c>
      <c r="AE25" s="1">
        <f t="shared" ref="AE25:AL25" si="37">+AE24*(AD25/AD24)</f>
        <v>21107.579807244496</v>
      </c>
      <c r="AF25" s="1">
        <f t="shared" si="37"/>
        <v>25315.400206487575</v>
      </c>
      <c r="AG25" s="1">
        <f t="shared" si="37"/>
        <v>30364.784685579263</v>
      </c>
      <c r="AH25" s="1">
        <f t="shared" si="37"/>
        <v>36424.046060489294</v>
      </c>
      <c r="AI25" s="1">
        <f t="shared" si="37"/>
        <v>43695.159710381326</v>
      </c>
      <c r="AJ25" s="1">
        <f t="shared" si="37"/>
        <v>52420.496090251756</v>
      </c>
      <c r="AK25" s="1">
        <f t="shared" si="37"/>
        <v>62890.899746096286</v>
      </c>
      <c r="AL25" s="1">
        <f t="shared" si="37"/>
        <v>75455.384133109721</v>
      </c>
    </row>
    <row r="26" spans="2:238" s="4" customFormat="1">
      <c r="B26" s="4" t="s">
        <v>31</v>
      </c>
      <c r="G26" s="4">
        <f t="shared" ref="G26:R26" si="38">+G24-G25</f>
        <v>1912</v>
      </c>
      <c r="H26" s="4">
        <f t="shared" si="38"/>
        <v>2374</v>
      </c>
      <c r="I26" s="4">
        <f t="shared" si="38"/>
        <v>2464</v>
      </c>
      <c r="J26" s="4">
        <f t="shared" si="38"/>
        <v>3002</v>
      </c>
      <c r="K26" s="4">
        <f t="shared" si="38"/>
        <v>1618</v>
      </c>
      <c r="L26" s="4">
        <f t="shared" si="38"/>
        <v>656</v>
      </c>
      <c r="M26" s="4">
        <f t="shared" si="38"/>
        <v>680</v>
      </c>
      <c r="N26" s="4">
        <f t="shared" si="38"/>
        <v>1414</v>
      </c>
      <c r="O26" s="4">
        <f t="shared" si="38"/>
        <v>2043</v>
      </c>
      <c r="P26" s="4">
        <f t="shared" si="38"/>
        <v>6188</v>
      </c>
      <c r="Q26" s="4">
        <f t="shared" si="38"/>
        <v>9243</v>
      </c>
      <c r="R26" s="4">
        <f t="shared" si="38"/>
        <v>12286</v>
      </c>
      <c r="S26" s="4">
        <f t="shared" ref="S26" si="39">+S24-S25</f>
        <v>14881</v>
      </c>
      <c r="T26" s="4">
        <f t="shared" ref="T26:V26" si="40">+T24-T25</f>
        <v>13271.642851854594</v>
      </c>
      <c r="U26" s="4">
        <f t="shared" si="40"/>
        <v>14844.614128035324</v>
      </c>
      <c r="V26" s="4">
        <f t="shared" si="40"/>
        <v>17946.268036013211</v>
      </c>
      <c r="X26" s="4">
        <f>+X24-X25</f>
        <v>2796</v>
      </c>
      <c r="Y26" s="4">
        <f>+Y24-Y25</f>
        <v>4332</v>
      </c>
      <c r="Z26" s="4">
        <f>+Z24-Z25</f>
        <v>9752</v>
      </c>
      <c r="AA26" s="4">
        <f>+AA24-AA25</f>
        <v>4368</v>
      </c>
      <c r="AB26" s="4">
        <f>+AB24-AB25</f>
        <v>29760</v>
      </c>
      <c r="AC26" s="4">
        <f t="shared" si="13"/>
        <v>60943.525015903127</v>
      </c>
      <c r="AD26" s="4">
        <f>+AD24-AD25</f>
        <v>83697.233236739921</v>
      </c>
      <c r="AE26" s="4">
        <f t="shared" ref="AE26:AL26" si="41">+AE24-AE25</f>
        <v>108715.07042471453</v>
      </c>
      <c r="AF26" s="4">
        <f t="shared" si="41"/>
        <v>130387.5452046633</v>
      </c>
      <c r="AG26" s="4">
        <f t="shared" si="41"/>
        <v>156394.51494060174</v>
      </c>
      <c r="AH26" s="4">
        <f t="shared" si="41"/>
        <v>187602.87862372794</v>
      </c>
      <c r="AI26" s="4">
        <f t="shared" si="41"/>
        <v>225052.91504347933</v>
      </c>
      <c r="AJ26" s="4">
        <f t="shared" si="41"/>
        <v>269992.95874718094</v>
      </c>
      <c r="AK26" s="4">
        <f t="shared" si="41"/>
        <v>323921.01119162299</v>
      </c>
      <c r="AL26" s="4">
        <f t="shared" si="41"/>
        <v>388634.67412495345</v>
      </c>
      <c r="AM26" s="4">
        <f>+AL26*(1+$AR$31)</f>
        <v>388634.67412495345</v>
      </c>
      <c r="AN26" s="4">
        <f t="shared" ref="AN26:AT26" si="42">+AM26*(1+$AR$31)</f>
        <v>388634.67412495345</v>
      </c>
      <c r="AO26" s="4">
        <f t="shared" si="42"/>
        <v>388634.67412495345</v>
      </c>
      <c r="AP26" s="4">
        <f t="shared" si="42"/>
        <v>388634.67412495345</v>
      </c>
      <c r="AQ26" s="4">
        <f t="shared" si="42"/>
        <v>388634.67412495345</v>
      </c>
      <c r="AR26" s="4">
        <f t="shared" si="42"/>
        <v>388634.67412495345</v>
      </c>
      <c r="AS26" s="4">
        <f t="shared" si="42"/>
        <v>388634.67412495345</v>
      </c>
      <c r="AT26" s="4">
        <f t="shared" si="42"/>
        <v>388634.67412495345</v>
      </c>
      <c r="AU26" s="4">
        <f t="shared" ref="AU26" si="43">+AT26*(1+$AR$31)</f>
        <v>388634.67412495345</v>
      </c>
      <c r="AV26" s="4">
        <f t="shared" ref="AV26" si="44">+AU26*(1+$AR$31)</f>
        <v>388634.67412495345</v>
      </c>
      <c r="AW26" s="4">
        <f t="shared" ref="AW26" si="45">+AV26*(1+$AR$31)</f>
        <v>388634.67412495345</v>
      </c>
      <c r="AX26" s="4">
        <f t="shared" ref="AX26" si="46">+AW26*(1+$AR$31)</f>
        <v>388634.67412495345</v>
      </c>
      <c r="AY26" s="4">
        <f t="shared" ref="AY26" si="47">+AX26*(1+$AR$31)</f>
        <v>388634.67412495345</v>
      </c>
      <c r="AZ26" s="4">
        <f t="shared" ref="AZ26" si="48">+AY26*(1+$AR$31)</f>
        <v>388634.67412495345</v>
      </c>
      <c r="BA26" s="4">
        <f t="shared" ref="BA26" si="49">+AZ26*(1+$AR$31)</f>
        <v>388634.67412495345</v>
      </c>
      <c r="BB26" s="4">
        <f t="shared" ref="BB26" si="50">+BA26*(1+$AR$31)</f>
        <v>388634.67412495345</v>
      </c>
      <c r="BC26" s="4">
        <f t="shared" ref="BC26" si="51">+BB26*(1+$AR$31)</f>
        <v>388634.67412495345</v>
      </c>
      <c r="BD26" s="4">
        <f t="shared" ref="BD26" si="52">+BC26*(1+$AR$31)</f>
        <v>388634.67412495345</v>
      </c>
      <c r="BE26" s="4">
        <f t="shared" ref="BE26" si="53">+BD26*(1+$AR$31)</f>
        <v>388634.67412495345</v>
      </c>
      <c r="BF26" s="4">
        <f t="shared" ref="BF26" si="54">+BE26*(1+$AR$31)</f>
        <v>388634.67412495345</v>
      </c>
      <c r="BG26" s="4">
        <f t="shared" ref="BG26" si="55">+BF26*(1+$AR$31)</f>
        <v>388634.67412495345</v>
      </c>
      <c r="BH26" s="4">
        <f t="shared" ref="BH26" si="56">+BG26*(1+$AR$31)</f>
        <v>388634.67412495345</v>
      </c>
      <c r="BI26" s="4">
        <f t="shared" ref="BI26" si="57">+BH26*(1+$AR$31)</f>
        <v>388634.67412495345</v>
      </c>
      <c r="BJ26" s="4">
        <f t="shared" ref="BJ26" si="58">+BI26*(1+$AR$31)</f>
        <v>388634.67412495345</v>
      </c>
      <c r="BK26" s="4">
        <f t="shared" ref="BK26" si="59">+BJ26*(1+$AR$31)</f>
        <v>388634.67412495345</v>
      </c>
      <c r="BL26" s="4">
        <f t="shared" ref="BL26" si="60">+BK26*(1+$AR$31)</f>
        <v>388634.67412495345</v>
      </c>
      <c r="BM26" s="4">
        <f t="shared" ref="BM26" si="61">+BL26*(1+$AR$31)</f>
        <v>388634.67412495345</v>
      </c>
      <c r="BN26" s="4">
        <f t="shared" ref="BN26" si="62">+BM26*(1+$AR$31)</f>
        <v>388634.67412495345</v>
      </c>
      <c r="BO26" s="4">
        <f t="shared" ref="BO26" si="63">+BN26*(1+$AR$31)</f>
        <v>388634.67412495345</v>
      </c>
      <c r="BP26" s="4">
        <f t="shared" ref="BP26" si="64">+BO26*(1+$AR$31)</f>
        <v>388634.67412495345</v>
      </c>
      <c r="BQ26" s="4">
        <f t="shared" ref="BQ26" si="65">+BP26*(1+$AR$31)</f>
        <v>388634.67412495345</v>
      </c>
      <c r="BR26" s="4">
        <f t="shared" ref="BR26" si="66">+BQ26*(1+$AR$31)</f>
        <v>388634.67412495345</v>
      </c>
      <c r="BS26" s="4">
        <f t="shared" ref="BS26" si="67">+BR26*(1+$AR$31)</f>
        <v>388634.67412495345</v>
      </c>
      <c r="BT26" s="4">
        <f t="shared" ref="BT26" si="68">+BS26*(1+$AR$31)</f>
        <v>388634.67412495345</v>
      </c>
      <c r="BU26" s="4">
        <f t="shared" ref="BU26" si="69">+BT26*(1+$AR$31)</f>
        <v>388634.67412495345</v>
      </c>
      <c r="BV26" s="4">
        <f t="shared" ref="BV26" si="70">+BU26*(1+$AR$31)</f>
        <v>388634.67412495345</v>
      </c>
      <c r="BW26" s="4">
        <f t="shared" ref="BW26" si="71">+BV26*(1+$AR$31)</f>
        <v>388634.67412495345</v>
      </c>
      <c r="BX26" s="4">
        <f t="shared" ref="BX26" si="72">+BW26*(1+$AR$31)</f>
        <v>388634.67412495345</v>
      </c>
      <c r="BY26" s="4">
        <f t="shared" ref="BY26" si="73">+BX26*(1+$AR$31)</f>
        <v>388634.67412495345</v>
      </c>
      <c r="BZ26" s="4">
        <f t="shared" ref="BZ26" si="74">+BY26*(1+$AR$31)</f>
        <v>388634.67412495345</v>
      </c>
      <c r="CA26" s="4">
        <f t="shared" ref="CA26" si="75">+BZ26*(1+$AR$31)</f>
        <v>388634.67412495345</v>
      </c>
      <c r="CB26" s="4">
        <f t="shared" ref="CB26" si="76">+CA26*(1+$AR$31)</f>
        <v>388634.67412495345</v>
      </c>
      <c r="CC26" s="4">
        <f t="shared" ref="CC26" si="77">+CB26*(1+$AR$31)</f>
        <v>388634.67412495345</v>
      </c>
      <c r="CD26" s="4">
        <f t="shared" ref="CD26" si="78">+CC26*(1+$AR$31)</f>
        <v>388634.67412495345</v>
      </c>
      <c r="CE26" s="4">
        <f t="shared" ref="CE26" si="79">+CD26*(1+$AR$31)</f>
        <v>388634.67412495345</v>
      </c>
      <c r="CF26" s="4">
        <f t="shared" ref="CF26" si="80">+CE26*(1+$AR$31)</f>
        <v>388634.67412495345</v>
      </c>
      <c r="CG26" s="4">
        <f t="shared" ref="CG26" si="81">+CF26*(1+$AR$31)</f>
        <v>388634.67412495345</v>
      </c>
      <c r="CH26" s="4">
        <f t="shared" ref="CH26" si="82">+CG26*(1+$AR$31)</f>
        <v>388634.67412495345</v>
      </c>
      <c r="CI26" s="4">
        <f t="shared" ref="CI26" si="83">+CH26*(1+$AR$31)</f>
        <v>388634.67412495345</v>
      </c>
      <c r="CJ26" s="4">
        <f t="shared" ref="CJ26" si="84">+CI26*(1+$AR$31)</f>
        <v>388634.67412495345</v>
      </c>
      <c r="CK26" s="4">
        <f t="shared" ref="CK26" si="85">+CJ26*(1+$AR$31)</f>
        <v>388634.67412495345</v>
      </c>
      <c r="CL26" s="4">
        <f t="shared" ref="CL26" si="86">+CK26*(1+$AR$31)</f>
        <v>388634.67412495345</v>
      </c>
      <c r="CM26" s="4">
        <f t="shared" ref="CM26" si="87">+CL26*(1+$AR$31)</f>
        <v>388634.67412495345</v>
      </c>
      <c r="CN26" s="4">
        <f t="shared" ref="CN26" si="88">+CM26*(1+$AR$31)</f>
        <v>388634.67412495345</v>
      </c>
      <c r="CO26" s="4">
        <f t="shared" ref="CO26" si="89">+CN26*(1+$AR$31)</f>
        <v>388634.67412495345</v>
      </c>
      <c r="CP26" s="4">
        <f t="shared" ref="CP26" si="90">+CO26*(1+$AR$31)</f>
        <v>388634.67412495345</v>
      </c>
      <c r="CQ26" s="4">
        <f t="shared" ref="CQ26" si="91">+CP26*(1+$AR$31)</f>
        <v>388634.67412495345</v>
      </c>
      <c r="CR26" s="4">
        <f t="shared" ref="CR26" si="92">+CQ26*(1+$AR$31)</f>
        <v>388634.67412495345</v>
      </c>
      <c r="CS26" s="4">
        <f t="shared" ref="CS26" si="93">+CR26*(1+$AR$31)</f>
        <v>388634.67412495345</v>
      </c>
      <c r="CT26" s="4">
        <f t="shared" ref="CT26" si="94">+CS26*(1+$AR$31)</f>
        <v>388634.67412495345</v>
      </c>
      <c r="CU26" s="4">
        <f t="shared" ref="CU26" si="95">+CT26*(1+$AR$31)</f>
        <v>388634.67412495345</v>
      </c>
      <c r="CV26" s="4">
        <f t="shared" ref="CV26" si="96">+CU26*(1+$AR$31)</f>
        <v>388634.67412495345</v>
      </c>
      <c r="CW26" s="4">
        <f t="shared" ref="CW26" si="97">+CV26*(1+$AR$31)</f>
        <v>388634.67412495345</v>
      </c>
      <c r="CX26" s="4">
        <f t="shared" ref="CX26" si="98">+CW26*(1+$AR$31)</f>
        <v>388634.67412495345</v>
      </c>
      <c r="CY26" s="4">
        <f t="shared" ref="CY26" si="99">+CX26*(1+$AR$31)</f>
        <v>388634.67412495345</v>
      </c>
      <c r="CZ26" s="4">
        <f t="shared" ref="CZ26" si="100">+CY26*(1+$AR$31)</f>
        <v>388634.67412495345</v>
      </c>
      <c r="DA26" s="4">
        <f t="shared" ref="DA26" si="101">+CZ26*(1+$AR$31)</f>
        <v>388634.67412495345</v>
      </c>
      <c r="DB26" s="4">
        <f t="shared" ref="DB26" si="102">+DA26*(1+$AR$31)</f>
        <v>388634.67412495345</v>
      </c>
      <c r="DC26" s="4">
        <f t="shared" ref="DC26" si="103">+DB26*(1+$AR$31)</f>
        <v>388634.67412495345</v>
      </c>
      <c r="DD26" s="4">
        <f t="shared" ref="DD26" si="104">+DC26*(1+$AR$31)</f>
        <v>388634.67412495345</v>
      </c>
      <c r="DE26" s="4">
        <f t="shared" ref="DE26" si="105">+DD26*(1+$AR$31)</f>
        <v>388634.67412495345</v>
      </c>
      <c r="DF26" s="4">
        <f t="shared" ref="DF26" si="106">+DE26*(1+$AR$31)</f>
        <v>388634.67412495345</v>
      </c>
      <c r="DG26" s="4">
        <f t="shared" ref="DG26" si="107">+DF26*(1+$AR$31)</f>
        <v>388634.67412495345</v>
      </c>
      <c r="DH26" s="4">
        <f t="shared" ref="DH26" si="108">+DG26*(1+$AR$31)</f>
        <v>388634.67412495345</v>
      </c>
      <c r="DI26" s="4">
        <f t="shared" ref="DI26" si="109">+DH26*(1+$AR$31)</f>
        <v>388634.67412495345</v>
      </c>
      <c r="DJ26" s="4">
        <f t="shared" ref="DJ26" si="110">+DI26*(1+$AR$31)</f>
        <v>388634.67412495345</v>
      </c>
      <c r="DK26" s="4">
        <f t="shared" ref="DK26" si="111">+DJ26*(1+$AR$31)</f>
        <v>388634.67412495345</v>
      </c>
      <c r="DL26" s="4">
        <f t="shared" ref="DL26" si="112">+DK26*(1+$AR$31)</f>
        <v>388634.67412495345</v>
      </c>
      <c r="DM26" s="4">
        <f t="shared" ref="DM26" si="113">+DL26*(1+$AR$31)</f>
        <v>388634.67412495345</v>
      </c>
      <c r="DN26" s="4">
        <f t="shared" ref="DN26" si="114">+DM26*(1+$AR$31)</f>
        <v>388634.67412495345</v>
      </c>
      <c r="DO26" s="4">
        <f t="shared" ref="DO26" si="115">+DN26*(1+$AR$31)</f>
        <v>388634.67412495345</v>
      </c>
      <c r="DP26" s="4">
        <f t="shared" ref="DP26" si="116">+DO26*(1+$AR$31)</f>
        <v>388634.67412495345</v>
      </c>
      <c r="DQ26" s="4">
        <f t="shared" ref="DQ26" si="117">+DP26*(1+$AR$31)</f>
        <v>388634.67412495345</v>
      </c>
      <c r="DR26" s="4">
        <f t="shared" ref="DR26" si="118">+DQ26*(1+$AR$31)</f>
        <v>388634.67412495345</v>
      </c>
      <c r="DS26" s="4">
        <f t="shared" ref="DS26" si="119">+DR26*(1+$AR$31)</f>
        <v>388634.67412495345</v>
      </c>
      <c r="DT26" s="4">
        <f t="shared" ref="DT26" si="120">+DS26*(1+$AR$31)</f>
        <v>388634.67412495345</v>
      </c>
      <c r="DU26" s="4">
        <f t="shared" ref="DU26" si="121">+DT26*(1+$AR$31)</f>
        <v>388634.67412495345</v>
      </c>
      <c r="DV26" s="4">
        <f t="shared" ref="DV26" si="122">+DU26*(1+$AR$31)</f>
        <v>388634.67412495345</v>
      </c>
      <c r="DW26" s="4">
        <f t="shared" ref="DW26" si="123">+DV26*(1+$AR$31)</f>
        <v>388634.67412495345</v>
      </c>
      <c r="DX26" s="4">
        <f t="shared" ref="DX26" si="124">+DW26*(1+$AR$31)</f>
        <v>388634.67412495345</v>
      </c>
      <c r="DY26" s="4">
        <f t="shared" ref="DY26:FF26" si="125">+DX26*(1+$AR$31)</f>
        <v>388634.67412495345</v>
      </c>
      <c r="DZ26" s="4">
        <f t="shared" si="125"/>
        <v>388634.67412495345</v>
      </c>
      <c r="EA26" s="4">
        <f t="shared" si="125"/>
        <v>388634.67412495345</v>
      </c>
      <c r="EB26" s="4">
        <f t="shared" si="125"/>
        <v>388634.67412495345</v>
      </c>
      <c r="EC26" s="4">
        <f t="shared" si="125"/>
        <v>388634.67412495345</v>
      </c>
      <c r="ED26" s="4">
        <f t="shared" si="125"/>
        <v>388634.67412495345</v>
      </c>
      <c r="EE26" s="4">
        <f t="shared" si="125"/>
        <v>388634.67412495345</v>
      </c>
      <c r="EF26" s="4">
        <f t="shared" si="125"/>
        <v>388634.67412495345</v>
      </c>
      <c r="EG26" s="4">
        <f t="shared" si="125"/>
        <v>388634.67412495345</v>
      </c>
      <c r="EH26" s="4">
        <f t="shared" si="125"/>
        <v>388634.67412495345</v>
      </c>
      <c r="EI26" s="4">
        <f t="shared" si="125"/>
        <v>388634.67412495345</v>
      </c>
      <c r="EJ26" s="4">
        <f t="shared" si="125"/>
        <v>388634.67412495345</v>
      </c>
      <c r="EK26" s="4">
        <f t="shared" si="125"/>
        <v>388634.67412495345</v>
      </c>
      <c r="EL26" s="4">
        <f t="shared" si="125"/>
        <v>388634.67412495345</v>
      </c>
      <c r="EM26" s="4">
        <f t="shared" si="125"/>
        <v>388634.67412495345</v>
      </c>
      <c r="EN26" s="4">
        <f t="shared" si="125"/>
        <v>388634.67412495345</v>
      </c>
      <c r="EO26" s="4">
        <f t="shared" si="125"/>
        <v>388634.67412495345</v>
      </c>
      <c r="EP26" s="4">
        <f t="shared" si="125"/>
        <v>388634.67412495345</v>
      </c>
      <c r="EQ26" s="4">
        <f t="shared" si="125"/>
        <v>388634.67412495345</v>
      </c>
      <c r="ER26" s="4">
        <f t="shared" si="125"/>
        <v>388634.67412495345</v>
      </c>
      <c r="ES26" s="4">
        <f t="shared" si="125"/>
        <v>388634.67412495345</v>
      </c>
      <c r="ET26" s="4">
        <f t="shared" si="125"/>
        <v>388634.67412495345</v>
      </c>
      <c r="EU26" s="4">
        <f t="shared" si="125"/>
        <v>388634.67412495345</v>
      </c>
      <c r="EV26" s="4">
        <f t="shared" si="125"/>
        <v>388634.67412495345</v>
      </c>
      <c r="EW26" s="4">
        <f t="shared" si="125"/>
        <v>388634.67412495345</v>
      </c>
      <c r="EX26" s="4">
        <f t="shared" si="125"/>
        <v>388634.67412495345</v>
      </c>
      <c r="EY26" s="4">
        <f t="shared" si="125"/>
        <v>388634.67412495345</v>
      </c>
      <c r="EZ26" s="4">
        <f t="shared" si="125"/>
        <v>388634.67412495345</v>
      </c>
      <c r="FA26" s="4">
        <f t="shared" si="125"/>
        <v>388634.67412495345</v>
      </c>
      <c r="FB26" s="4">
        <f t="shared" si="125"/>
        <v>388634.67412495345</v>
      </c>
      <c r="FC26" s="4">
        <f t="shared" si="125"/>
        <v>388634.67412495345</v>
      </c>
      <c r="FD26" s="4">
        <f t="shared" si="125"/>
        <v>388634.67412495345</v>
      </c>
      <c r="FE26" s="4">
        <f t="shared" si="125"/>
        <v>388634.67412495345</v>
      </c>
      <c r="FF26" s="4">
        <f t="shared" si="125"/>
        <v>388634.67412495345</v>
      </c>
      <c r="FG26" s="4">
        <f t="shared" ref="FG26" si="126">+FF26*(1+$AR$31)</f>
        <v>388634.67412495345</v>
      </c>
      <c r="FH26" s="4">
        <f t="shared" ref="FH26" si="127">+FG26*(1+$AR$31)</f>
        <v>388634.67412495345</v>
      </c>
      <c r="FI26" s="4">
        <f t="shared" ref="FI26" si="128">+FH26*(1+$AR$31)</f>
        <v>388634.67412495345</v>
      </c>
      <c r="FJ26" s="4">
        <f t="shared" ref="FJ26" si="129">+FI26*(1+$AR$31)</f>
        <v>388634.67412495345</v>
      </c>
      <c r="FK26" s="4">
        <f t="shared" ref="FK26" si="130">+FJ26*(1+$AR$31)</f>
        <v>388634.67412495345</v>
      </c>
      <c r="FL26" s="4">
        <f t="shared" ref="FL26" si="131">+FK26*(1+$AR$31)</f>
        <v>388634.67412495345</v>
      </c>
      <c r="FM26" s="4">
        <f t="shared" ref="FM26" si="132">+FL26*(1+$AR$31)</f>
        <v>388634.67412495345</v>
      </c>
      <c r="FN26" s="4">
        <f t="shared" ref="FN26" si="133">+FM26*(1+$AR$31)</f>
        <v>388634.67412495345</v>
      </c>
      <c r="FO26" s="4">
        <f t="shared" ref="FO26" si="134">+FN26*(1+$AR$31)</f>
        <v>388634.67412495345</v>
      </c>
      <c r="FP26" s="4">
        <f t="shared" ref="FP26" si="135">+FO26*(1+$AR$31)</f>
        <v>388634.67412495345</v>
      </c>
      <c r="FQ26" s="4">
        <f t="shared" ref="FQ26" si="136">+FP26*(1+$AR$31)</f>
        <v>388634.67412495345</v>
      </c>
      <c r="FR26" s="4">
        <f t="shared" ref="FR26" si="137">+FQ26*(1+$AR$31)</f>
        <v>388634.67412495345</v>
      </c>
      <c r="FS26" s="4">
        <f t="shared" ref="FS26" si="138">+FR26*(1+$AR$31)</f>
        <v>388634.67412495345</v>
      </c>
      <c r="FT26" s="4">
        <f t="shared" ref="FT26" si="139">+FS26*(1+$AR$31)</f>
        <v>388634.67412495345</v>
      </c>
      <c r="FU26" s="4">
        <f t="shared" ref="FU26" si="140">+FT26*(1+$AR$31)</f>
        <v>388634.67412495345</v>
      </c>
      <c r="FV26" s="4">
        <f t="shared" ref="FV26" si="141">+FU26*(1+$AR$31)</f>
        <v>388634.67412495345</v>
      </c>
      <c r="FW26" s="4">
        <f t="shared" ref="FW26" si="142">+FV26*(1+$AR$31)</f>
        <v>388634.67412495345</v>
      </c>
      <c r="FX26" s="4">
        <f t="shared" ref="FX26" si="143">+FW26*(1+$AR$31)</f>
        <v>388634.67412495345</v>
      </c>
      <c r="FY26" s="4">
        <f t="shared" ref="FY26" si="144">+FX26*(1+$AR$31)</f>
        <v>388634.67412495345</v>
      </c>
      <c r="FZ26" s="4">
        <f t="shared" ref="FZ26" si="145">+FY26*(1+$AR$31)</f>
        <v>388634.67412495345</v>
      </c>
      <c r="GA26" s="4">
        <f t="shared" ref="GA26" si="146">+FZ26*(1+$AR$31)</f>
        <v>388634.67412495345</v>
      </c>
      <c r="GB26" s="4">
        <f t="shared" ref="GB26" si="147">+GA26*(1+$AR$31)</f>
        <v>388634.67412495345</v>
      </c>
      <c r="GC26" s="4">
        <f t="shared" ref="GC26" si="148">+GB26*(1+$AR$31)</f>
        <v>388634.67412495345</v>
      </c>
      <c r="GD26" s="4">
        <f t="shared" ref="GD26" si="149">+GC26*(1+$AR$31)</f>
        <v>388634.67412495345</v>
      </c>
      <c r="GE26" s="4">
        <f t="shared" ref="GE26" si="150">+GD26*(1+$AR$31)</f>
        <v>388634.67412495345</v>
      </c>
      <c r="GF26" s="4">
        <f t="shared" ref="GF26" si="151">+GE26*(1+$AR$31)</f>
        <v>388634.67412495345</v>
      </c>
      <c r="GG26" s="4">
        <f t="shared" ref="GG26" si="152">+GF26*(1+$AR$31)</f>
        <v>388634.67412495345</v>
      </c>
      <c r="GH26" s="4">
        <f t="shared" ref="GH26" si="153">+GG26*(1+$AR$31)</f>
        <v>388634.67412495345</v>
      </c>
      <c r="GI26" s="4">
        <f t="shared" ref="GI26" si="154">+GH26*(1+$AR$31)</f>
        <v>388634.67412495345</v>
      </c>
      <c r="GJ26" s="4">
        <f t="shared" ref="GJ26" si="155">+GI26*(1+$AR$31)</f>
        <v>388634.67412495345</v>
      </c>
      <c r="GK26" s="4">
        <f t="shared" ref="GK26" si="156">+GJ26*(1+$AR$31)</f>
        <v>388634.67412495345</v>
      </c>
      <c r="GL26" s="4">
        <f t="shared" ref="GL26" si="157">+GK26*(1+$AR$31)</f>
        <v>388634.67412495345</v>
      </c>
      <c r="GM26" s="4">
        <f t="shared" ref="GM26" si="158">+GL26*(1+$AR$31)</f>
        <v>388634.67412495345</v>
      </c>
      <c r="GN26" s="4">
        <f t="shared" ref="GN26" si="159">+GM26*(1+$AR$31)</f>
        <v>388634.67412495345</v>
      </c>
      <c r="GO26" s="4">
        <f t="shared" ref="GO26" si="160">+GN26*(1+$AR$31)</f>
        <v>388634.67412495345</v>
      </c>
      <c r="GP26" s="4">
        <f t="shared" ref="GP26" si="161">+GO26*(1+$AR$31)</f>
        <v>388634.67412495345</v>
      </c>
      <c r="GQ26" s="4">
        <f t="shared" ref="GQ26" si="162">+GP26*(1+$AR$31)</f>
        <v>388634.67412495345</v>
      </c>
      <c r="GR26" s="4">
        <f t="shared" ref="GR26" si="163">+GQ26*(1+$AR$31)</f>
        <v>388634.67412495345</v>
      </c>
      <c r="GS26" s="4">
        <f t="shared" ref="GS26" si="164">+GR26*(1+$AR$31)</f>
        <v>388634.67412495345</v>
      </c>
      <c r="GT26" s="4">
        <f t="shared" ref="GT26" si="165">+GS26*(1+$AR$31)</f>
        <v>388634.67412495345</v>
      </c>
      <c r="GU26" s="4">
        <f t="shared" ref="GU26" si="166">+GT26*(1+$AR$31)</f>
        <v>388634.67412495345</v>
      </c>
      <c r="GV26" s="4">
        <f t="shared" ref="GV26" si="167">+GU26*(1+$AR$31)</f>
        <v>388634.67412495345</v>
      </c>
      <c r="GW26" s="4">
        <f t="shared" ref="GW26" si="168">+GV26*(1+$AR$31)</f>
        <v>388634.67412495345</v>
      </c>
      <c r="GX26" s="4">
        <f t="shared" ref="GX26" si="169">+GW26*(1+$AR$31)</f>
        <v>388634.67412495345</v>
      </c>
      <c r="GY26" s="4">
        <f t="shared" ref="GY26" si="170">+GX26*(1+$AR$31)</f>
        <v>388634.67412495345</v>
      </c>
      <c r="GZ26" s="4">
        <f t="shared" ref="GZ26" si="171">+GY26*(1+$AR$31)</f>
        <v>388634.67412495345</v>
      </c>
      <c r="HA26" s="4">
        <f t="shared" ref="HA26" si="172">+GZ26*(1+$AR$31)</f>
        <v>388634.67412495345</v>
      </c>
      <c r="HB26" s="4">
        <f t="shared" ref="HB26" si="173">+HA26*(1+$AR$31)</f>
        <v>388634.67412495345</v>
      </c>
      <c r="HC26" s="4">
        <f t="shared" ref="HC26" si="174">+HB26*(1+$AR$31)</f>
        <v>388634.67412495345</v>
      </c>
      <c r="HD26" s="4">
        <f t="shared" ref="HD26" si="175">+HC26*(1+$AR$31)</f>
        <v>388634.67412495345</v>
      </c>
      <c r="HE26" s="4">
        <f t="shared" ref="HE26" si="176">+HD26*(1+$AR$31)</f>
        <v>388634.67412495345</v>
      </c>
      <c r="HF26" s="4">
        <f t="shared" ref="HF26" si="177">+HE26*(1+$AR$31)</f>
        <v>388634.67412495345</v>
      </c>
      <c r="HG26" s="4">
        <f t="shared" ref="HG26" si="178">+HF26*(1+$AR$31)</f>
        <v>388634.67412495345</v>
      </c>
      <c r="HH26" s="4">
        <f t="shared" ref="HH26" si="179">+HG26*(1+$AR$31)</f>
        <v>388634.67412495345</v>
      </c>
      <c r="HI26" s="4">
        <f t="shared" ref="HI26" si="180">+HH26*(1+$AR$31)</f>
        <v>388634.67412495345</v>
      </c>
      <c r="HJ26" s="4">
        <f t="shared" ref="HJ26" si="181">+HI26*(1+$AR$31)</f>
        <v>388634.67412495345</v>
      </c>
      <c r="HK26" s="4">
        <f t="shared" ref="HK26" si="182">+HJ26*(1+$AR$31)</f>
        <v>388634.67412495345</v>
      </c>
      <c r="HL26" s="4">
        <f t="shared" ref="HL26" si="183">+HK26*(1+$AR$31)</f>
        <v>388634.67412495345</v>
      </c>
      <c r="HM26" s="4">
        <f t="shared" ref="HM26" si="184">+HL26*(1+$AR$31)</f>
        <v>388634.67412495345</v>
      </c>
      <c r="HN26" s="4">
        <f t="shared" ref="HN26" si="185">+HM26*(1+$AR$31)</f>
        <v>388634.67412495345</v>
      </c>
      <c r="HO26" s="4">
        <f t="shared" ref="HO26" si="186">+HN26*(1+$AR$31)</f>
        <v>388634.67412495345</v>
      </c>
      <c r="HP26" s="4">
        <f t="shared" ref="HP26" si="187">+HO26*(1+$AR$31)</f>
        <v>388634.67412495345</v>
      </c>
      <c r="HQ26" s="4">
        <f t="shared" ref="HQ26" si="188">+HP26*(1+$AR$31)</f>
        <v>388634.67412495345</v>
      </c>
      <c r="HR26" s="4">
        <f t="shared" ref="HR26" si="189">+HQ26*(1+$AR$31)</f>
        <v>388634.67412495345</v>
      </c>
      <c r="HS26" s="4">
        <f t="shared" ref="HS26" si="190">+HR26*(1+$AR$31)</f>
        <v>388634.67412495345</v>
      </c>
      <c r="HT26" s="4">
        <f t="shared" ref="HT26" si="191">+HS26*(1+$AR$31)</f>
        <v>388634.67412495345</v>
      </c>
      <c r="HU26" s="4">
        <f t="shared" ref="HU26" si="192">+HT26*(1+$AR$31)</f>
        <v>388634.67412495345</v>
      </c>
      <c r="HV26" s="4">
        <f t="shared" ref="HV26" si="193">+HU26*(1+$AR$31)</f>
        <v>388634.67412495345</v>
      </c>
      <c r="HW26" s="4">
        <f t="shared" ref="HW26" si="194">+HV26*(1+$AR$31)</f>
        <v>388634.67412495345</v>
      </c>
      <c r="HX26" s="4">
        <f t="shared" ref="HX26" si="195">+HW26*(1+$AR$31)</f>
        <v>388634.67412495345</v>
      </c>
      <c r="HY26" s="4">
        <f t="shared" ref="HY26" si="196">+HX26*(1+$AR$31)</f>
        <v>388634.67412495345</v>
      </c>
      <c r="HZ26" s="4">
        <f t="shared" ref="HZ26" si="197">+HY26*(1+$AR$31)</f>
        <v>388634.67412495345</v>
      </c>
      <c r="IA26" s="4">
        <f t="shared" ref="IA26" si="198">+HZ26*(1+$AR$31)</f>
        <v>388634.67412495345</v>
      </c>
      <c r="IB26" s="4">
        <f t="shared" ref="IB26" si="199">+IA26*(1+$AR$31)</f>
        <v>388634.67412495345</v>
      </c>
      <c r="IC26" s="4">
        <f t="shared" ref="IC26:ID26" si="200">+IB26*(1+$AR$31)</f>
        <v>388634.67412495345</v>
      </c>
      <c r="ID26" s="4">
        <f t="shared" si="200"/>
        <v>388634.67412495345</v>
      </c>
    </row>
    <row r="27" spans="2:238">
      <c r="B27" s="1" t="s">
        <v>32</v>
      </c>
      <c r="G27" s="1">
        <v>2528</v>
      </c>
      <c r="H27" s="1">
        <v>2532</v>
      </c>
      <c r="I27" s="1">
        <v>2538</v>
      </c>
      <c r="J27" s="1">
        <f>+J26/J28</f>
        <v>2539.3940911125023</v>
      </c>
      <c r="K27" s="1">
        <v>2537</v>
      </c>
      <c r="L27" s="1">
        <v>2516</v>
      </c>
      <c r="M27" s="1">
        <v>2499</v>
      </c>
      <c r="N27" s="1">
        <f>+N26/N28</f>
        <v>2473.2377765684842</v>
      </c>
      <c r="O27" s="1">
        <v>2490</v>
      </c>
      <c r="P27" s="1">
        <v>2499</v>
      </c>
      <c r="Q27" s="1">
        <v>2494</v>
      </c>
      <c r="R27" s="1">
        <f>+R26/R28</f>
        <v>2492.1543078683858</v>
      </c>
      <c r="S27" s="1">
        <v>2489</v>
      </c>
      <c r="T27" s="1">
        <f>+S27*10</f>
        <v>24890</v>
      </c>
      <c r="U27" s="1">
        <f t="shared" ref="U27:V27" si="201">+T27</f>
        <v>24890</v>
      </c>
      <c r="V27" s="1">
        <f t="shared" si="201"/>
        <v>24890</v>
      </c>
      <c r="X27" s="1">
        <v>2472</v>
      </c>
      <c r="Y27" s="1">
        <v>2510</v>
      </c>
      <c r="Z27" s="1">
        <v>2535</v>
      </c>
      <c r="AA27" s="1">
        <v>2507</v>
      </c>
      <c r="AB27" s="1">
        <v>2494</v>
      </c>
      <c r="AC27" s="1">
        <f>+AC26/AC28</f>
        <v>7783.982567691568</v>
      </c>
      <c r="AD27" s="1">
        <f>+AC27</f>
        <v>7783.982567691568</v>
      </c>
      <c r="AE27" s="1">
        <f t="shared" ref="AE27:AL27" si="202">+AD27</f>
        <v>7783.982567691568</v>
      </c>
      <c r="AF27" s="1">
        <f t="shared" si="202"/>
        <v>7783.982567691568</v>
      </c>
      <c r="AG27" s="1">
        <f t="shared" si="202"/>
        <v>7783.982567691568</v>
      </c>
      <c r="AH27" s="1">
        <f t="shared" si="202"/>
        <v>7783.982567691568</v>
      </c>
      <c r="AI27" s="1">
        <f t="shared" si="202"/>
        <v>7783.982567691568</v>
      </c>
      <c r="AJ27" s="1">
        <f t="shared" si="202"/>
        <v>7783.982567691568</v>
      </c>
      <c r="AK27" s="1">
        <f t="shared" si="202"/>
        <v>7783.982567691568</v>
      </c>
      <c r="AL27" s="1">
        <f t="shared" si="202"/>
        <v>7783.982567691568</v>
      </c>
    </row>
    <row r="28" spans="2:238" s="5" customFormat="1">
      <c r="B28" s="5" t="s">
        <v>33</v>
      </c>
      <c r="G28" s="5">
        <f>+G26/G27</f>
        <v>0.75632911392405067</v>
      </c>
      <c r="H28" s="5">
        <f>+H26/H27</f>
        <v>0.93759873617693523</v>
      </c>
      <c r="I28" s="5">
        <f>+I26/I27</f>
        <v>0.97084318360914101</v>
      </c>
      <c r="J28" s="5">
        <f>+Z28-SUM(G28:I28)</f>
        <v>1.1821717670788274</v>
      </c>
      <c r="K28" s="5">
        <f>+K26/K27</f>
        <v>0.63776113519905397</v>
      </c>
      <c r="L28" s="5">
        <f>+L26/L27</f>
        <v>0.26073131955484896</v>
      </c>
      <c r="M28" s="5">
        <f>+M26/M27</f>
        <v>0.27210884353741499</v>
      </c>
      <c r="N28" s="5">
        <f>+AA28-SUM(K28:M28)</f>
        <v>0.57172020150924063</v>
      </c>
      <c r="O28" s="5">
        <f>+O26/O27</f>
        <v>0.82048192771084338</v>
      </c>
      <c r="P28" s="5">
        <f>+P26/P27</f>
        <v>2.4761904761904763</v>
      </c>
      <c r="Q28" s="5">
        <f>+Q26/Q27</f>
        <v>3.7060946271050521</v>
      </c>
      <c r="R28" s="5">
        <f>+AB28-SUM(O28:Q28)</f>
        <v>4.9298713009904205</v>
      </c>
      <c r="S28" s="5">
        <f>+S26/S27</f>
        <v>5.978706307754118</v>
      </c>
      <c r="T28" s="5">
        <f t="shared" ref="T28:V28" si="203">+T26/T27</f>
        <v>0.53321184619745254</v>
      </c>
      <c r="U28" s="5">
        <f t="shared" si="203"/>
        <v>0.59640876368161211</v>
      </c>
      <c r="V28" s="5">
        <f t="shared" si="203"/>
        <v>0.72102322362447613</v>
      </c>
      <c r="X28" s="5">
        <f>+X26/X27</f>
        <v>1.1310679611650485</v>
      </c>
      <c r="Y28" s="5">
        <f>+Y26/Y27</f>
        <v>1.7258964143426294</v>
      </c>
      <c r="Z28" s="5">
        <f>+Z26/Z27</f>
        <v>3.8469428007889546</v>
      </c>
      <c r="AA28" s="5">
        <f>+AA26/AA27</f>
        <v>1.7423214998005585</v>
      </c>
      <c r="AB28" s="5">
        <f>+AB26/AB27</f>
        <v>11.932638331996792</v>
      </c>
      <c r="AC28" s="1">
        <f t="shared" si="13"/>
        <v>7.8293501412576587</v>
      </c>
      <c r="AD28" s="5">
        <f>+AD26/AD27</f>
        <v>10.752494948297569</v>
      </c>
      <c r="AE28" s="5">
        <f t="shared" ref="AE28:AL28" si="204">+AE26/AE27</f>
        <v>13.966510006837705</v>
      </c>
      <c r="AF28" s="5">
        <f t="shared" si="204"/>
        <v>16.750749898368703</v>
      </c>
      <c r="AG28" s="5">
        <f t="shared" si="204"/>
        <v>20.091837768205895</v>
      </c>
      <c r="AH28" s="5">
        <f t="shared" si="204"/>
        <v>24.10114321201053</v>
      </c>
      <c r="AI28" s="5">
        <f t="shared" si="204"/>
        <v>28.912309744576088</v>
      </c>
      <c r="AJ28" s="5">
        <f t="shared" si="204"/>
        <v>34.685709583654749</v>
      </c>
      <c r="AK28" s="5">
        <f t="shared" si="204"/>
        <v>41.613789390549165</v>
      </c>
      <c r="AL28" s="5">
        <f t="shared" si="204"/>
        <v>49.927485158822456</v>
      </c>
    </row>
    <row r="30" spans="2:238">
      <c r="AC30" s="3"/>
      <c r="AQ30" s="23" t="s">
        <v>85</v>
      </c>
      <c r="AR30" s="24">
        <v>0.03</v>
      </c>
    </row>
    <row r="31" spans="2:238">
      <c r="B31" s="19" t="s">
        <v>34</v>
      </c>
      <c r="AC31" s="3"/>
      <c r="AQ31" s="11" t="s">
        <v>60</v>
      </c>
      <c r="AR31" s="25">
        <v>0</v>
      </c>
    </row>
    <row r="32" spans="2:238" s="3" customFormat="1">
      <c r="B32" s="3" t="s">
        <v>43</v>
      </c>
      <c r="O32" s="3">
        <f t="shared" ref="O32:Q36" si="205">+O5/K5-1</f>
        <v>0.14240000000000008</v>
      </c>
      <c r="P32" s="3">
        <f t="shared" si="205"/>
        <v>1.712296374146085</v>
      </c>
      <c r="Q32" s="3">
        <f t="shared" si="205"/>
        <v>2.7865901382728935</v>
      </c>
      <c r="R32" s="3">
        <f>+R5/N5-1</f>
        <v>4.0896017699115044</v>
      </c>
      <c r="S32" s="3">
        <f>+S5/O5-1</f>
        <v>4.2668067226890756</v>
      </c>
      <c r="AA32" s="3">
        <f>+AA5/Z5-1</f>
        <v>0.4138320927164798</v>
      </c>
      <c r="AB32" s="3">
        <f>+AB5/AA5-1</f>
        <v>2.1672775741419525</v>
      </c>
      <c r="AQ32" s="26" t="s">
        <v>61</v>
      </c>
      <c r="AR32" s="34">
        <v>0.08</v>
      </c>
    </row>
    <row r="33" spans="2:44" s="3" customFormat="1">
      <c r="B33" s="3" t="s">
        <v>48</v>
      </c>
      <c r="O33" s="3">
        <f t="shared" si="205"/>
        <v>-0.38121546961325969</v>
      </c>
      <c r="P33" s="3">
        <f t="shared" si="205"/>
        <v>0.21743388834475996</v>
      </c>
      <c r="Q33" s="3">
        <f t="shared" si="205"/>
        <v>0.81448538754764921</v>
      </c>
      <c r="R33" s="3">
        <f t="shared" ref="R33:S36" si="206">+R6/N6-1</f>
        <v>0.5647187329328236</v>
      </c>
      <c r="S33" s="3">
        <f t="shared" si="206"/>
        <v>0.18169642857142865</v>
      </c>
      <c r="AA33" s="3">
        <f t="shared" ref="AA33:AB36" si="207">+AA6/Z6-1</f>
        <v>-0.27242818167228378</v>
      </c>
      <c r="AB33" s="3">
        <f t="shared" si="207"/>
        <v>0.15220028675416342</v>
      </c>
      <c r="AQ33" s="26" t="s">
        <v>62</v>
      </c>
      <c r="AR33" s="27">
        <f>NPV(AR32,AC26:ID26)</f>
        <v>3404389.332483226</v>
      </c>
    </row>
    <row r="34" spans="2:44" s="3" customFormat="1">
      <c r="B34" s="3" t="s">
        <v>49</v>
      </c>
      <c r="O34" s="3">
        <f t="shared" si="205"/>
        <v>-0.52572347266881025</v>
      </c>
      <c r="P34" s="3">
        <f t="shared" si="205"/>
        <v>-0.23588709677419351</v>
      </c>
      <c r="Q34" s="3">
        <f t="shared" si="205"/>
        <v>1.08</v>
      </c>
      <c r="R34" s="3">
        <f t="shared" si="206"/>
        <v>1.0486725663716814</v>
      </c>
      <c r="S34" s="3">
        <f t="shared" si="206"/>
        <v>0.44745762711864412</v>
      </c>
      <c r="AA34" s="3">
        <f t="shared" si="207"/>
        <v>-0.26859308384651825</v>
      </c>
      <c r="AB34" s="3">
        <f t="shared" si="207"/>
        <v>5.8290155440414715E-3</v>
      </c>
      <c r="AQ34" s="28" t="s">
        <v>91</v>
      </c>
      <c r="AR34" s="29">
        <f>+S49</f>
        <v>21728</v>
      </c>
    </row>
    <row r="35" spans="2:44" s="3" customFormat="1">
      <c r="B35" s="3" t="s">
        <v>50</v>
      </c>
      <c r="O35" s="3">
        <f t="shared" si="205"/>
        <v>1.1449275362318843</v>
      </c>
      <c r="P35" s="3">
        <f t="shared" si="205"/>
        <v>0.14999999999999991</v>
      </c>
      <c r="Q35" s="3">
        <f t="shared" si="205"/>
        <v>3.9840637450199168E-2</v>
      </c>
      <c r="R35" s="3">
        <f t="shared" si="206"/>
        <v>-4.4217687074829981E-2</v>
      </c>
      <c r="S35" s="3">
        <f t="shared" si="206"/>
        <v>0.1114864864864864</v>
      </c>
      <c r="AA35" s="3">
        <f t="shared" si="207"/>
        <v>0.59540636042402828</v>
      </c>
      <c r="AB35" s="3">
        <f t="shared" si="207"/>
        <v>0.20819490586932443</v>
      </c>
      <c r="AQ35" s="28" t="s">
        <v>92</v>
      </c>
      <c r="AR35" s="30">
        <f>SUM(AR33:AR34)</f>
        <v>3426117.332483226</v>
      </c>
    </row>
    <row r="36" spans="2:44" s="3" customFormat="1">
      <c r="B36" s="3" t="s">
        <v>54</v>
      </c>
      <c r="O36" s="3">
        <f t="shared" si="205"/>
        <v>-0.51265822784810133</v>
      </c>
      <c r="P36" s="3">
        <f t="shared" si="205"/>
        <v>-0.52857142857142858</v>
      </c>
      <c r="Q36" s="3">
        <f t="shared" si="205"/>
        <v>0</v>
      </c>
      <c r="R36" s="3">
        <f t="shared" si="206"/>
        <v>7.1428571428571397E-2</v>
      </c>
      <c r="S36" s="3">
        <f t="shared" si="206"/>
        <v>1.298701298701288E-2</v>
      </c>
      <c r="AA36" s="3">
        <f t="shared" si="207"/>
        <v>-0.60843373493975905</v>
      </c>
      <c r="AB36" s="3">
        <f t="shared" si="207"/>
        <v>-0.32747252747252742</v>
      </c>
      <c r="AQ36" s="26" t="s">
        <v>7</v>
      </c>
      <c r="AR36" s="12">
        <f>+Main!K4</f>
        <v>24600</v>
      </c>
    </row>
    <row r="37" spans="2:44" s="3" customFormat="1">
      <c r="B37" s="3" t="s">
        <v>35</v>
      </c>
      <c r="G37" s="3">
        <f>+IFERROR(G13/C13-1,0)</f>
        <v>0</v>
      </c>
      <c r="H37" s="3">
        <f>+IFERROR(H13/D13-1,0)</f>
        <v>0</v>
      </c>
      <c r="I37" s="3">
        <f>+IFERROR(I13/E13-1,0)</f>
        <v>0</v>
      </c>
      <c r="J37" s="3">
        <f>+IFERROR(J13/F13-1,0)</f>
        <v>0</v>
      </c>
      <c r="K37" s="3">
        <f>+IFERROR(K13/G13-1,0)</f>
        <v>6.4039408866995107E-2</v>
      </c>
      <c r="L37" s="3">
        <f>+IFERROR(L13/H13-1,0)</f>
        <v>0</v>
      </c>
      <c r="M37" s="3">
        <f>+IFERROR(M13/I13-1,0)</f>
        <v>0.26735303885752248</v>
      </c>
      <c r="N37" s="3">
        <f>+IFERROR(N13/J13-1,0)</f>
        <v>4.4254062038404722</v>
      </c>
      <c r="O37" s="3">
        <f>+IFERROR(O13/K13-1,0)</f>
        <v>0.21459694989106759</v>
      </c>
      <c r="P37" s="3">
        <f>+IFERROR(P13/L13-1,0)</f>
        <v>1.6624008190427437</v>
      </c>
      <c r="Q37" s="3">
        <f>+IFERROR(Q13/M13-1,0)</f>
        <v>2.8377882599580713</v>
      </c>
      <c r="R37" s="3">
        <f>+IFERROR(R13/N13-1,0)</f>
        <v>3.8728559760413832</v>
      </c>
      <c r="S37" s="3">
        <f>+IFERROR(S13/O13-1,0)</f>
        <v>4.0840807174887894</v>
      </c>
      <c r="T37" s="3">
        <f>+IFERROR(T13/P13-1,0)</f>
        <v>1.3435854387016235</v>
      </c>
      <c r="U37" s="3">
        <f>+IFERROR(U13/Q13-1,0)</f>
        <v>0.83105314487618442</v>
      </c>
      <c r="V37" s="3">
        <f>+IFERROR(V13/R13-1,0)</f>
        <v>0.64808082676181122</v>
      </c>
      <c r="Z37" s="3">
        <f>+Z13/Y13-1</f>
        <v>0.12324588163514338</v>
      </c>
      <c r="AA37" s="3">
        <f>+AA13/Z13-1</f>
        <v>0.36411370631902962</v>
      </c>
      <c r="AB37" s="3">
        <f>+AB13/AA13-1</f>
        <v>2.1460711441465357</v>
      </c>
      <c r="AC37" s="3">
        <f>+AC13/AB13-1</f>
        <v>1.1804893930486005</v>
      </c>
      <c r="AQ37" s="26" t="s">
        <v>101</v>
      </c>
      <c r="AR37" s="31">
        <f>+AR35/AR36</f>
        <v>139.27306229606609</v>
      </c>
    </row>
    <row r="38" spans="2:44" s="3" customFormat="1">
      <c r="B38" s="3" t="s">
        <v>36</v>
      </c>
      <c r="G38" s="3">
        <f>+IFERROR(G14/C14-1,0)</f>
        <v>0</v>
      </c>
      <c r="H38" s="3">
        <f>+IFERROR(H14/D14-1,0)</f>
        <v>0</v>
      </c>
      <c r="I38" s="3">
        <f>+IFERROR(I14/E14-1,0)</f>
        <v>0</v>
      </c>
      <c r="J38" s="3">
        <f>+IFERROR(J14/F14-1,0)</f>
        <v>0</v>
      </c>
      <c r="K38" s="3">
        <f>+IFERROR(K14/G14-1,0)</f>
        <v>1.08868778280543</v>
      </c>
      <c r="L38" s="3">
        <f>+IFERROR(L14/H14-1,0)</f>
        <v>7.5769230769230811E-2</v>
      </c>
      <c r="M38" s="3">
        <f>+IFERROR(M14/I14-1,0)</f>
        <v>-0.48313782991202348</v>
      </c>
      <c r="N38" s="3">
        <f>+IFERROR(N14/J14-1,0)</f>
        <v>-0.65862761986792995</v>
      </c>
      <c r="O38" s="3">
        <f>+IFERROR(O14/K14-1,0)</f>
        <v>-0.40814558058925476</v>
      </c>
      <c r="P38" s="3">
        <f>+IFERROR(P14/L14-1,0)</f>
        <v>0.11011798355380775</v>
      </c>
      <c r="Q38" s="3">
        <f>+IFERROR(Q14/M14-1,0)</f>
        <v>0.64302600472813243</v>
      </c>
      <c r="R38" s="3">
        <f>+IFERROR(R14/N14-1,0)</f>
        <v>0.76829268292682928</v>
      </c>
      <c r="S38" s="3">
        <f>+IFERROR(S14/O14-1,0)</f>
        <v>0.23316251830161061</v>
      </c>
      <c r="T38" s="3">
        <f>+IFERROR(T14/P14-1,0)</f>
        <v>0.16651345140924656</v>
      </c>
      <c r="U38" s="3">
        <f>+IFERROR(U14/Q14-1,0)</f>
        <v>0.14654005562252714</v>
      </c>
      <c r="V38" s="3">
        <f>+IFERROR(V14/R14-1,0)</f>
        <v>4.2247173036173757E-2</v>
      </c>
      <c r="Z38" s="3">
        <f>+Z14/Y14-1</f>
        <v>1.3195439263265603</v>
      </c>
      <c r="AA38" s="3">
        <f>+AA14/Z14-1</f>
        <v>-0.24968490042853542</v>
      </c>
      <c r="AB38" s="3">
        <f>+AB14/AA14-1</f>
        <v>0.13530992776751227</v>
      </c>
      <c r="AC38" s="3">
        <f>+AC14/AB14-1</f>
        <v>0.13619148646379386</v>
      </c>
      <c r="AQ38" s="11" t="s">
        <v>93</v>
      </c>
      <c r="AR38" s="12">
        <f>+Main!K3</f>
        <v>135.58000000000001</v>
      </c>
    </row>
    <row r="39" spans="2:44" s="20" customFormat="1">
      <c r="B39" s="20" t="s">
        <v>20</v>
      </c>
      <c r="G39" s="20">
        <f>+IFERROR(G15/C15-1,0)</f>
        <v>0</v>
      </c>
      <c r="H39" s="20">
        <f>+IFERROR(H15/D15-1,0)</f>
        <v>0</v>
      </c>
      <c r="I39" s="20">
        <f>+IFERROR(I15/E15-1,0)</f>
        <v>0</v>
      </c>
      <c r="J39" s="20">
        <f>+IFERROR(J15/F15-1,0)</f>
        <v>0</v>
      </c>
      <c r="K39" s="20">
        <f>+IFERROR(K15/G15-1,0)</f>
        <v>0.46405228758169925</v>
      </c>
      <c r="L39" s="20">
        <f>+IFERROR(L15/H15-1,0)</f>
        <v>3.0275088366374714E-2</v>
      </c>
      <c r="M39" s="20">
        <f>+IFERROR(M15/I15-1,0)</f>
        <v>-0.16500070392791777</v>
      </c>
      <c r="N39" s="20">
        <f>+IFERROR(N15/J15-1,0)</f>
        <v>-0.20829517205285886</v>
      </c>
      <c r="O39" s="20">
        <f>+IFERROR(O15/K15-1,0)</f>
        <v>-0.13223938223938225</v>
      </c>
      <c r="P39" s="20">
        <f>+IFERROR(P15/L15-1,0)</f>
        <v>1.0147673031026252</v>
      </c>
      <c r="Q39" s="20">
        <f>+IFERROR(Q15/M15-1,0)</f>
        <v>2.0551340414769852</v>
      </c>
      <c r="R39" s="20">
        <f>+IFERROR(R15/N15-1,0)</f>
        <v>2.6527846636919516</v>
      </c>
      <c r="S39" s="20">
        <f>+IFERROR(S15/O15-1,0)</f>
        <v>2.6212458286985538</v>
      </c>
      <c r="T39" s="20">
        <f>+IFERROR(T15/P15-1,0)</f>
        <v>1.072999185607463</v>
      </c>
      <c r="U39" s="20">
        <f>+IFERROR(U15/Q15-1,0)</f>
        <v>0.69977924944812386</v>
      </c>
      <c r="V39" s="20">
        <f>+IFERROR(V15/R15-1,0)</f>
        <v>0.5328235986065244</v>
      </c>
      <c r="Y39" s="20">
        <f>+Y15/X15-1</f>
        <v>0.52729437625938824</v>
      </c>
      <c r="Z39" s="20">
        <f>+Z15/Y15-1</f>
        <v>0.61403298350824587</v>
      </c>
      <c r="AA39" s="20">
        <v>0</v>
      </c>
      <c r="AB39" s="20">
        <f>+AB15/AA15-1</f>
        <v>1.2585452658115224</v>
      </c>
      <c r="AC39" s="20">
        <f>+AC15/AB15-1</f>
        <v>0.9487869735071075</v>
      </c>
      <c r="AD39" s="20">
        <f>+AD15/AC15-1</f>
        <v>0.39999999999999991</v>
      </c>
      <c r="AE39" s="20">
        <f>+AE15/AD15-1</f>
        <v>0.30000000000000004</v>
      </c>
      <c r="AF39" s="20">
        <f>+AF15/AE15-1</f>
        <v>0.19999999999999996</v>
      </c>
      <c r="AG39" s="20">
        <f>+AG15/AF15-1</f>
        <v>0.19999999999999996</v>
      </c>
      <c r="AH39" s="20">
        <f>+AH15/AG15-1</f>
        <v>0.19999999999999996</v>
      </c>
      <c r="AI39" s="20">
        <f>+AI15/AH15-1</f>
        <v>0.19999999999999996</v>
      </c>
      <c r="AJ39" s="20">
        <f>+AJ15/AI15-1</f>
        <v>0.19999999999999996</v>
      </c>
      <c r="AK39" s="20">
        <f>+AK15/AJ15-1</f>
        <v>0.19999999999999996</v>
      </c>
      <c r="AL39" s="20">
        <f>+AL15/AK15-1</f>
        <v>0.19999999999999996</v>
      </c>
      <c r="AQ39" s="32" t="s">
        <v>94</v>
      </c>
      <c r="AR39" s="33">
        <f>+AR37/AR38-1</f>
        <v>2.7238990235035176E-2</v>
      </c>
    </row>
    <row r="40" spans="2:44" s="3" customFormat="1">
      <c r="B40" s="3" t="s">
        <v>21</v>
      </c>
      <c r="G40" s="3">
        <f>+IFERROR(G16/C16-1,0)</f>
        <v>0</v>
      </c>
      <c r="H40" s="3">
        <f>+IFERROR(H16/D16-1,0)</f>
        <v>0</v>
      </c>
      <c r="I40" s="3">
        <f>+IFERROR(I16/E16-1,0)</f>
        <v>0</v>
      </c>
      <c r="J40" s="3">
        <f>+IFERROR(J16/F16-1,0)</f>
        <v>0</v>
      </c>
      <c r="K40" s="3">
        <f>+IFERROR(K16/G16-1,0)</f>
        <v>0.40600393700787407</v>
      </c>
      <c r="L40" s="3">
        <f>+IFERROR(L16/H16-1,0)</f>
        <v>0.65314136125654443</v>
      </c>
      <c r="M40" s="3">
        <f>+IFERROR(M16/I16-1,0)</f>
        <v>0.11407766990291268</v>
      </c>
      <c r="N40" s="3">
        <f>+IFERROR(N16/J16-1,0)</f>
        <v>-0.16080211880438899</v>
      </c>
      <c r="O40" s="3">
        <f>+IFERROR(O16/K16-1,0)</f>
        <v>-0.10955547777388874</v>
      </c>
      <c r="P40" s="3">
        <f>+IFERROR(P16/L16-1,0)</f>
        <v>6.7564001055687495E-2</v>
      </c>
      <c r="Q40" s="3">
        <f>+IFERROR(Q16/M16-1,0)</f>
        <v>0.71387073347857655</v>
      </c>
      <c r="R40" s="3">
        <f>+IFERROR(R16/N16-1,0)</f>
        <v>1.394950405770965</v>
      </c>
      <c r="S40" s="3">
        <f>+IFERROR(S16/O16-1,0)</f>
        <v>1.216194968553459</v>
      </c>
      <c r="T40" s="3">
        <f>+IFERROR(T16/P16-1,0)</f>
        <v>1.0729991856074625</v>
      </c>
      <c r="U40" s="3">
        <f>+IFERROR(U16/Q16-1,0)</f>
        <v>0.69977924944812386</v>
      </c>
      <c r="V40" s="3">
        <f>+IFERROR(V16/R16-1,0)</f>
        <v>0.5328235986065244</v>
      </c>
      <c r="Y40" s="3">
        <f>+Y16/X16-1</f>
        <v>0.51301204819277113</v>
      </c>
      <c r="Z40" s="3">
        <f>+Z16/Y16-1</f>
        <v>0.5032648510909381</v>
      </c>
      <c r="AA40" s="3">
        <f>+AA16/Z16-1</f>
        <v>0.23085072571246945</v>
      </c>
      <c r="AB40" s="3">
        <f>+AB16/AA16-1</f>
        <v>0.43062489240833179</v>
      </c>
      <c r="AC40" s="3">
        <f>+AC16/AB16-1</f>
        <v>0.81629256476597023</v>
      </c>
      <c r="AD40" s="3">
        <f>+AD16/AC16-1</f>
        <v>0.39999999999999969</v>
      </c>
      <c r="AE40" s="3">
        <f>+AE16/AD16-1</f>
        <v>0.30000000000000004</v>
      </c>
      <c r="AF40" s="3">
        <f>+AF16/AE16-1</f>
        <v>0.19999999999999996</v>
      </c>
      <c r="AG40" s="3">
        <f>+AG16/AF16-1</f>
        <v>0.20000000000000018</v>
      </c>
      <c r="AH40" s="3">
        <f>+AH16/AG16-1</f>
        <v>0.19999999999999996</v>
      </c>
      <c r="AI40" s="3">
        <f>+AI16/AH16-1</f>
        <v>0.19999999999999996</v>
      </c>
      <c r="AJ40" s="3">
        <f>+AJ16/AI16-1</f>
        <v>0.20000000000000018</v>
      </c>
      <c r="AK40" s="3">
        <f>+AK16/AJ16-1</f>
        <v>0.19999999999999996</v>
      </c>
      <c r="AL40" s="3">
        <f>+AL16/AK16-1</f>
        <v>0.19999999999999996</v>
      </c>
    </row>
    <row r="41" spans="2:44" s="3" customFormat="1">
      <c r="B41" s="3" t="s">
        <v>22</v>
      </c>
      <c r="G41" s="3">
        <f>+IFERROR(G17/C17-1,0)</f>
        <v>0</v>
      </c>
      <c r="H41" s="3">
        <f>+IFERROR(H17/D17-1,0)</f>
        <v>0</v>
      </c>
      <c r="I41" s="3">
        <f>+IFERROR(I17/E17-1,0)</f>
        <v>0</v>
      </c>
      <c r="J41" s="3">
        <f>+IFERROR(J17/F17-1,0)</f>
        <v>0</v>
      </c>
      <c r="K41" s="3">
        <f>+IFERROR(K17/G17-1,0)</f>
        <v>0.40329575021682573</v>
      </c>
      <c r="L41" s="3">
        <f>+IFERROR(L17/H17-1,0)</f>
        <v>0.46506024096385534</v>
      </c>
      <c r="M41" s="3">
        <f>+IFERROR(M17/I17-1,0)</f>
        <v>0.38631503920171073</v>
      </c>
      <c r="N41" s="3">
        <f>+IFERROR(N17/J17-1,0)</f>
        <v>0.3306066802999319</v>
      </c>
      <c r="O41" s="3">
        <f>+IFERROR(O17/K17-1,0)</f>
        <v>0.15883807169344877</v>
      </c>
      <c r="P41" s="3">
        <f>+IFERROR(P17/L17-1,0)</f>
        <v>0.11842105263157898</v>
      </c>
      <c r="Q41" s="3">
        <f>+IFERROR(Q17/M17-1,0)</f>
        <v>0.17943444730077118</v>
      </c>
      <c r="R41" s="3">
        <f>+IFERROR(R17/N17-1,0)</f>
        <v>0.26331967213114749</v>
      </c>
      <c r="S41" s="3">
        <f>+IFERROR(S17/O17-1,0)</f>
        <v>0.45066666666666677</v>
      </c>
      <c r="T41" s="3">
        <f>+IFERROR(T17/P17-1,0)</f>
        <v>0.47058823529411775</v>
      </c>
      <c r="U41" s="3">
        <f>+IFERROR(U17/Q17-1,0)</f>
        <v>0.69977924944812386</v>
      </c>
      <c r="V41" s="3">
        <f>+IFERROR(V17/R17-1,0)</f>
        <v>0.5328235986065244</v>
      </c>
      <c r="Y41" s="3">
        <f>+Y17/X17-1</f>
        <v>0.38706256627783664</v>
      </c>
      <c r="Z41" s="3">
        <f>+Z17/Y17-1</f>
        <v>0.34250764525993893</v>
      </c>
      <c r="AA41" s="3">
        <f>+AA17/Z17-1</f>
        <v>0.39312832194381175</v>
      </c>
      <c r="AB41" s="3">
        <f>+AB17/AA17-1</f>
        <v>0.18204115002043886</v>
      </c>
      <c r="AC41" s="3">
        <f>+AC17/AB17-1</f>
        <v>0.54458058701990586</v>
      </c>
      <c r="AD41" s="3">
        <f>+AD17/AC17-1</f>
        <v>0.39999999999999969</v>
      </c>
      <c r="AE41" s="3">
        <f>+AE17/AD17-1</f>
        <v>0.30000000000000004</v>
      </c>
      <c r="AF41" s="3">
        <f>+AF17/AE17-1</f>
        <v>0.20000000000000018</v>
      </c>
      <c r="AG41" s="3">
        <f>+AG17/AF17-1</f>
        <v>0.19999999999999996</v>
      </c>
      <c r="AH41" s="3">
        <f>+AH17/AG17-1</f>
        <v>0.19999999999999996</v>
      </c>
      <c r="AI41" s="3">
        <f>+AI17/AH17-1</f>
        <v>0.19999999999999973</v>
      </c>
      <c r="AJ41" s="3">
        <f>+AJ17/AI17-1</f>
        <v>0.19999999999999996</v>
      </c>
      <c r="AK41" s="3">
        <f>+AK17/AJ17-1</f>
        <v>0.20000000000000018</v>
      </c>
      <c r="AL41" s="3">
        <f>+AL17/AK17-1</f>
        <v>0.19999999999999996</v>
      </c>
    </row>
    <row r="42" spans="2:44" s="3" customFormat="1">
      <c r="B42" s="3" t="s">
        <v>23</v>
      </c>
      <c r="G42" s="3">
        <f>+IFERROR(G18/C18-1,0)</f>
        <v>0</v>
      </c>
      <c r="H42" s="3">
        <f>+IFERROR(H18/D18-1,0)</f>
        <v>0</v>
      </c>
      <c r="I42" s="3">
        <f>+IFERROR(I18/E18-1,0)</f>
        <v>0</v>
      </c>
      <c r="J42" s="3">
        <f>+IFERROR(J18/F18-1,0)</f>
        <v>0</v>
      </c>
      <c r="K42" s="3">
        <f>+IFERROR(K18/G18-1,0)</f>
        <v>0.13846153846153841</v>
      </c>
      <c r="L42" s="3">
        <f>+IFERROR(L18/H18-1,0)</f>
        <v>0.12547528517110274</v>
      </c>
      <c r="M42" s="3">
        <f>+IFERROR(M18/I18-1,0)</f>
        <v>0.1328545780969479</v>
      </c>
      <c r="N42" s="3">
        <f>+IFERROR(N18/J18-1,0)</f>
        <v>0.11012433392539966</v>
      </c>
      <c r="O42" s="3">
        <f>+IFERROR(O18/K18-1,0)</f>
        <v>6.9256756756756799E-2</v>
      </c>
      <c r="P42" s="3">
        <f>+IFERROR(P18/L18-1,0)</f>
        <v>5.0675675675675658E-2</v>
      </c>
      <c r="Q42" s="3">
        <f>+IFERROR(Q18/M18-1,0)</f>
        <v>9.191759112519815E-2</v>
      </c>
      <c r="R42" s="3">
        <f>+IFERROR(R18/N18-1,0)</f>
        <v>0.1359999999999999</v>
      </c>
      <c r="S42" s="3">
        <f>+IFERROR(S18/O18-1,0)</f>
        <v>0.22748815165876768</v>
      </c>
      <c r="T42" s="3">
        <f>+IFERROR(T18/P18-1,0)</f>
        <v>0.60771704180064301</v>
      </c>
      <c r="U42" s="3">
        <f>+IFERROR(U18/Q18-1,0)</f>
        <v>0.69977924944812409</v>
      </c>
      <c r="V42" s="3">
        <f>+IFERROR(V18/R18-1,0)</f>
        <v>0.5328235986065244</v>
      </c>
      <c r="Y42" s="3">
        <f>+Y18/X18-1</f>
        <v>0.77493138151875574</v>
      </c>
      <c r="Z42" s="3">
        <f>+Z18/Y18-1</f>
        <v>0.11649484536082477</v>
      </c>
      <c r="AA42" s="3">
        <f>+AA18/Z18-1</f>
        <v>0.12650046168051698</v>
      </c>
      <c r="AB42" s="3">
        <f>+AB18/AA18-1</f>
        <v>8.7704918032786905E-2</v>
      </c>
      <c r="AC42" s="3">
        <f>+AC18/AB18-1</f>
        <v>0.52089399317271656</v>
      </c>
      <c r="AD42" s="3">
        <f>+AD18/AC18-1</f>
        <v>0.39999999999999969</v>
      </c>
      <c r="AE42" s="3">
        <f>+AE18/AD18-1</f>
        <v>0.30000000000000004</v>
      </c>
      <c r="AF42" s="3">
        <f>+AF18/AE18-1</f>
        <v>0.19999999999999996</v>
      </c>
      <c r="AG42" s="3">
        <f>+AG18/AF18-1</f>
        <v>0.19999999999999996</v>
      </c>
      <c r="AH42" s="3">
        <f>+AH18/AG18-1</f>
        <v>0.19999999999999996</v>
      </c>
      <c r="AI42" s="3">
        <f>+AI18/AH18-1</f>
        <v>0.19999999999999996</v>
      </c>
      <c r="AJ42" s="3">
        <f>+AJ18/AI18-1</f>
        <v>0.19999999999999996</v>
      </c>
      <c r="AK42" s="3">
        <f>+AK18/AJ18-1</f>
        <v>0.19999999999999996</v>
      </c>
      <c r="AL42" s="3">
        <f>+AL18/AK18-1</f>
        <v>0.19999999999999996</v>
      </c>
    </row>
    <row r="43" spans="2:44">
      <c r="AQ43" s="1" t="s">
        <v>116</v>
      </c>
      <c r="AR43" s="22">
        <f>+Main!$K$8/Model!AC26</f>
        <v>54.460141567687693</v>
      </c>
    </row>
    <row r="44" spans="2:44" s="3" customFormat="1">
      <c r="Z44" s="3">
        <f>+Z16/Z$15</f>
        <v>0.35070966783086871</v>
      </c>
      <c r="AA44" s="3">
        <f>+AA16/AA$15</f>
        <v>0.43071105509008673</v>
      </c>
      <c r="AB44" s="3">
        <f>+AB16/AB$15</f>
        <v>0.27282426709563046</v>
      </c>
      <c r="AC44" s="3">
        <f>+AC16/AC$15</f>
        <v>0.2542754516270947</v>
      </c>
      <c r="AD44" s="3">
        <f>+AD16/AD$15</f>
        <v>0.2542754516270947</v>
      </c>
      <c r="AE44" s="3">
        <f>+AE16/AE$15</f>
        <v>0.2542754516270947</v>
      </c>
      <c r="AF44" s="3">
        <f>+AF16/AF$15</f>
        <v>0.2542754516270947</v>
      </c>
      <c r="AG44" s="3">
        <f>+AG16/AG$15</f>
        <v>0.2542754516270947</v>
      </c>
      <c r="AH44" s="3">
        <f>+AH16/AH$15</f>
        <v>0.2542754516270947</v>
      </c>
      <c r="AI44" s="3">
        <f>+AI16/AI$15</f>
        <v>0.2542754516270947</v>
      </c>
      <c r="AJ44" s="3">
        <f>+AJ16/AJ$15</f>
        <v>0.2542754516270947</v>
      </c>
      <c r="AK44" s="3">
        <f>+AK16/AK$15</f>
        <v>0.2542754516270947</v>
      </c>
      <c r="AL44" s="3">
        <f>+AL16/AL$15</f>
        <v>0.2542754516270947</v>
      </c>
      <c r="AQ44" s="1" t="s">
        <v>117</v>
      </c>
      <c r="AR44" s="22">
        <f>+Main!$K$8/Model!AD26</f>
        <v>39.654751676344397</v>
      </c>
    </row>
    <row r="45" spans="2:44" s="3" customFormat="1">
      <c r="Z45" s="3">
        <f>+Z17/Z$15</f>
        <v>0.19573456193802483</v>
      </c>
      <c r="AA45" s="3">
        <f>+AA17/AA$15</f>
        <v>0.27207681471046191</v>
      </c>
      <c r="AB45" s="3">
        <f>+AB17/AB$15</f>
        <v>0.14239519385443683</v>
      </c>
      <c r="AC45" s="3">
        <f>+AC17/AC$15</f>
        <v>0.11286038705230352</v>
      </c>
      <c r="AD45" s="3">
        <f>+AD17/AD$15</f>
        <v>0.11286038705230352</v>
      </c>
      <c r="AE45" s="3">
        <f>+AE17/AE$15</f>
        <v>0.11286038705230352</v>
      </c>
      <c r="AF45" s="3">
        <f>+AF17/AF$15</f>
        <v>0.11286038705230352</v>
      </c>
      <c r="AG45" s="3">
        <f>+AG17/AG$15</f>
        <v>0.11286038705230353</v>
      </c>
      <c r="AH45" s="3">
        <f>+AH17/AH$15</f>
        <v>0.11286038705230352</v>
      </c>
      <c r="AI45" s="3">
        <f>+AI17/AI$15</f>
        <v>0.11286038705230352</v>
      </c>
      <c r="AJ45" s="3">
        <f>+AJ17/AJ$15</f>
        <v>0.11286038705230352</v>
      </c>
      <c r="AK45" s="3">
        <f>+AK17/AK$15</f>
        <v>0.11286038705230353</v>
      </c>
      <c r="AL45" s="3">
        <f>+AL17/AL$15</f>
        <v>0.11286038705230353</v>
      </c>
      <c r="AQ45" s="1" t="s">
        <v>118</v>
      </c>
      <c r="AR45" s="1">
        <v>126</v>
      </c>
    </row>
    <row r="46" spans="2:44" s="3" customFormat="1">
      <c r="Z46" s="3">
        <f>+Z18/Z$15</f>
        <v>8.0478561343538674E-2</v>
      </c>
      <c r="AA46" s="3">
        <f>+AA18/AA$15</f>
        <v>9.0457477570994288E-2</v>
      </c>
      <c r="AB46" s="3">
        <f>+AB18/AB$15</f>
        <v>4.3563901382095135E-2</v>
      </c>
      <c r="AC46" s="3">
        <f>+AC18/AC$15</f>
        <v>3.3998624186182991E-2</v>
      </c>
      <c r="AD46" s="3">
        <f>+AD18/AD$15</f>
        <v>3.3998624186182991E-2</v>
      </c>
      <c r="AE46" s="3">
        <f>+AE18/AE$15</f>
        <v>3.3998624186182991E-2</v>
      </c>
      <c r="AF46" s="3">
        <f>+AF18/AF$15</f>
        <v>3.3998624186182991E-2</v>
      </c>
      <c r="AG46" s="3">
        <f>+AG18/AG$15</f>
        <v>3.3998624186182991E-2</v>
      </c>
      <c r="AH46" s="3">
        <f>+AH18/AH$15</f>
        <v>3.3998624186182991E-2</v>
      </c>
      <c r="AI46" s="3">
        <f>+AI18/AI$15</f>
        <v>3.3998624186182991E-2</v>
      </c>
      <c r="AJ46" s="3">
        <f>+AJ18/AJ$15</f>
        <v>3.3998624186182991E-2</v>
      </c>
      <c r="AK46" s="3">
        <f>+AK18/AK$15</f>
        <v>3.3998624186182991E-2</v>
      </c>
      <c r="AL46" s="3">
        <f>+AL18/AL$15</f>
        <v>3.3998624186182991E-2</v>
      </c>
    </row>
    <row r="49" spans="2:38" s="4" customFormat="1">
      <c r="B49" s="4" t="s">
        <v>84</v>
      </c>
      <c r="F49" s="4">
        <f t="shared" ref="F49:P49" si="208">SUM(F50:F51)-SUM(F66,F68)</f>
        <v>0</v>
      </c>
      <c r="G49" s="4">
        <f t="shared" si="208"/>
        <v>0</v>
      </c>
      <c r="H49" s="4">
        <f t="shared" si="208"/>
        <v>0</v>
      </c>
      <c r="I49" s="4">
        <f t="shared" si="208"/>
        <v>0</v>
      </c>
      <c r="J49" s="4">
        <f t="shared" si="208"/>
        <v>0</v>
      </c>
      <c r="K49" s="4">
        <f t="shared" si="208"/>
        <v>0</v>
      </c>
      <c r="L49" s="4">
        <f t="shared" si="208"/>
        <v>6088</v>
      </c>
      <c r="M49" s="4">
        <f t="shared" si="208"/>
        <v>2193</v>
      </c>
      <c r="N49" s="4">
        <f t="shared" si="208"/>
        <v>2343</v>
      </c>
      <c r="O49" s="4">
        <f t="shared" si="208"/>
        <v>4366</v>
      </c>
      <c r="P49" s="4">
        <f t="shared" si="208"/>
        <v>6318</v>
      </c>
      <c r="Q49" s="4">
        <f>SUM(Q50:Q51)-SUM(Q66,Q68)</f>
        <v>8575</v>
      </c>
      <c r="R49" s="4">
        <f>SUM(R50:R51)-SUM(R66,R68)</f>
        <v>16275</v>
      </c>
      <c r="S49" s="4">
        <f>SUM(S50:S51)-SUM(S66,S68)</f>
        <v>21728</v>
      </c>
      <c r="AB49" s="4">
        <f>+S49</f>
        <v>21728</v>
      </c>
      <c r="AC49" s="4">
        <f>+AB49*1.02</f>
        <v>22162.560000000001</v>
      </c>
      <c r="AD49" s="4">
        <f t="shared" ref="AD49:AL49" si="209">+AC49*1.02</f>
        <v>22605.8112</v>
      </c>
      <c r="AE49" s="4">
        <f t="shared" si="209"/>
        <v>23057.927424000001</v>
      </c>
      <c r="AF49" s="4">
        <f t="shared" si="209"/>
        <v>23519.085972480003</v>
      </c>
      <c r="AG49" s="4">
        <f t="shared" si="209"/>
        <v>23989.467691929603</v>
      </c>
      <c r="AH49" s="4">
        <f t="shared" si="209"/>
        <v>24469.257045768198</v>
      </c>
      <c r="AI49" s="4">
        <f t="shared" si="209"/>
        <v>24958.642186683563</v>
      </c>
      <c r="AJ49" s="4">
        <f t="shared" si="209"/>
        <v>25457.815030417234</v>
      </c>
      <c r="AK49" s="4">
        <f t="shared" si="209"/>
        <v>25966.971331025579</v>
      </c>
      <c r="AL49" s="4">
        <f t="shared" si="209"/>
        <v>26486.31075764609</v>
      </c>
    </row>
    <row r="50" spans="2:38">
      <c r="B50" s="1" t="s">
        <v>63</v>
      </c>
      <c r="L50" s="1">
        <v>3013</v>
      </c>
      <c r="M50" s="1">
        <v>2800</v>
      </c>
      <c r="N50" s="1">
        <v>3389</v>
      </c>
      <c r="O50" s="1">
        <v>5079</v>
      </c>
      <c r="P50" s="1">
        <v>5783</v>
      </c>
      <c r="Q50" s="1">
        <v>5519</v>
      </c>
      <c r="R50" s="1">
        <v>7280</v>
      </c>
      <c r="S50" s="1">
        <v>7587</v>
      </c>
    </row>
    <row r="51" spans="2:38">
      <c r="B51" s="1" t="s">
        <v>64</v>
      </c>
      <c r="L51" s="1">
        <v>14024</v>
      </c>
      <c r="M51" s="1">
        <v>10343</v>
      </c>
      <c r="N51" s="1">
        <v>9907</v>
      </c>
      <c r="O51" s="1">
        <v>10241</v>
      </c>
      <c r="P51" s="1">
        <v>10240</v>
      </c>
      <c r="Q51" s="1">
        <v>12762</v>
      </c>
      <c r="R51" s="1">
        <v>18704</v>
      </c>
      <c r="S51" s="1">
        <v>23851</v>
      </c>
    </row>
    <row r="52" spans="2:38">
      <c r="B52" s="1" t="s">
        <v>65</v>
      </c>
      <c r="L52" s="1">
        <v>5317</v>
      </c>
      <c r="M52" s="1">
        <v>4908</v>
      </c>
      <c r="N52" s="1">
        <v>3827</v>
      </c>
      <c r="O52" s="1">
        <v>4080</v>
      </c>
      <c r="P52" s="1">
        <v>7066</v>
      </c>
      <c r="Q52" s="1">
        <v>8309</v>
      </c>
      <c r="R52" s="1">
        <v>9999</v>
      </c>
      <c r="S52" s="1">
        <v>12365</v>
      </c>
    </row>
    <row r="53" spans="2:38">
      <c r="B53" s="1" t="s">
        <v>66</v>
      </c>
      <c r="L53" s="1">
        <v>3889</v>
      </c>
      <c r="M53" s="1">
        <v>4454</v>
      </c>
      <c r="N53" s="1">
        <v>5159</v>
      </c>
      <c r="O53" s="1">
        <v>4611</v>
      </c>
      <c r="P53" s="1">
        <v>4319</v>
      </c>
      <c r="Q53" s="1">
        <v>4779</v>
      </c>
      <c r="R53" s="1">
        <v>5282</v>
      </c>
      <c r="S53" s="1">
        <v>5864</v>
      </c>
    </row>
    <row r="54" spans="2:38">
      <c r="B54" s="1" t="s">
        <v>67</v>
      </c>
      <c r="L54" s="1">
        <v>1175</v>
      </c>
      <c r="M54" s="1">
        <v>718</v>
      </c>
      <c r="N54" s="1">
        <v>791</v>
      </c>
      <c r="O54" s="1">
        <v>872</v>
      </c>
      <c r="P54" s="1">
        <v>1389</v>
      </c>
      <c r="Q54" s="1">
        <v>1289</v>
      </c>
      <c r="R54" s="1">
        <v>3080</v>
      </c>
      <c r="S54" s="1">
        <v>4062</v>
      </c>
    </row>
    <row r="55" spans="2:38">
      <c r="B55" s="1" t="s">
        <v>68</v>
      </c>
      <c r="L55" s="1">
        <f>+SUM(L50:L54)</f>
        <v>27418</v>
      </c>
      <c r="M55" s="1">
        <f>+SUM(M50:M54)</f>
        <v>23223</v>
      </c>
      <c r="N55" s="1">
        <f>+SUM(N50:N54)</f>
        <v>23073</v>
      </c>
      <c r="O55" s="1">
        <f>+SUM(O50:O54)</f>
        <v>24883</v>
      </c>
      <c r="P55" s="1">
        <f>+SUM(P50:P54)</f>
        <v>28797</v>
      </c>
      <c r="Q55" s="1">
        <f>+SUM(Q50:Q54)</f>
        <v>32658</v>
      </c>
      <c r="R55" s="1">
        <f>+SUM(R50:R54)</f>
        <v>44345</v>
      </c>
      <c r="S55" s="1">
        <f>+SUM(S50:S54)</f>
        <v>53729</v>
      </c>
    </row>
    <row r="56" spans="2:38">
      <c r="B56" s="1" t="s">
        <v>69</v>
      </c>
      <c r="L56" s="1">
        <v>3233</v>
      </c>
      <c r="M56" s="1">
        <v>3774</v>
      </c>
      <c r="N56" s="1">
        <v>3807</v>
      </c>
      <c r="O56" s="1">
        <v>3740</v>
      </c>
      <c r="P56" s="1">
        <v>3799</v>
      </c>
      <c r="Q56" s="1">
        <v>3844</v>
      </c>
      <c r="R56" s="1">
        <v>3914</v>
      </c>
      <c r="S56" s="1">
        <v>4006</v>
      </c>
    </row>
    <row r="57" spans="2:38">
      <c r="B57" s="1" t="s">
        <v>70</v>
      </c>
      <c r="L57" s="1">
        <v>852</v>
      </c>
      <c r="M57" s="1">
        <v>927</v>
      </c>
      <c r="N57" s="1">
        <v>1038</v>
      </c>
      <c r="O57" s="1">
        <v>1094</v>
      </c>
      <c r="P57" s="1">
        <v>1235</v>
      </c>
      <c r="Q57" s="1">
        <v>1316</v>
      </c>
      <c r="R57" s="1">
        <v>1346</v>
      </c>
      <c r="S57" s="1">
        <v>1532</v>
      </c>
    </row>
    <row r="58" spans="2:38">
      <c r="B58" s="1" t="s">
        <v>71</v>
      </c>
      <c r="L58" s="1">
        <v>4372</v>
      </c>
      <c r="M58" s="1">
        <v>4372</v>
      </c>
      <c r="N58" s="1">
        <v>4372</v>
      </c>
      <c r="O58" s="1">
        <v>4430</v>
      </c>
      <c r="P58" s="1">
        <v>4430</v>
      </c>
      <c r="Q58" s="1">
        <v>4430</v>
      </c>
      <c r="R58" s="1">
        <v>4430</v>
      </c>
      <c r="S58" s="1">
        <v>4453</v>
      </c>
    </row>
    <row r="59" spans="2:38">
      <c r="B59" s="1" t="s">
        <v>72</v>
      </c>
      <c r="L59" s="1">
        <v>2036</v>
      </c>
      <c r="M59" s="1">
        <v>1850</v>
      </c>
      <c r="N59" s="1">
        <v>1676</v>
      </c>
      <c r="O59" s="1">
        <v>1541</v>
      </c>
      <c r="P59" s="1">
        <v>1395</v>
      </c>
      <c r="Q59" s="1">
        <v>1251</v>
      </c>
      <c r="R59" s="1">
        <v>1112</v>
      </c>
      <c r="S59" s="1">
        <v>986</v>
      </c>
    </row>
    <row r="60" spans="2:38">
      <c r="B60" s="1" t="s">
        <v>73</v>
      </c>
      <c r="L60" s="1">
        <v>2225</v>
      </c>
      <c r="M60" s="1">
        <v>2762</v>
      </c>
      <c r="N60" s="1">
        <v>3396</v>
      </c>
      <c r="O60" s="1">
        <v>4568</v>
      </c>
      <c r="P60" s="1">
        <v>5398</v>
      </c>
      <c r="Q60" s="1">
        <v>5982</v>
      </c>
      <c r="R60" s="1">
        <v>6081</v>
      </c>
      <c r="S60" s="1">
        <v>7798</v>
      </c>
    </row>
    <row r="61" spans="2:38">
      <c r="B61" s="1" t="s">
        <v>74</v>
      </c>
      <c r="L61" s="1">
        <v>3340</v>
      </c>
      <c r="M61" s="1">
        <v>3580</v>
      </c>
      <c r="N61" s="1">
        <v>3820</v>
      </c>
      <c r="O61" s="1">
        <v>4204</v>
      </c>
      <c r="P61" s="1">
        <v>4501</v>
      </c>
      <c r="Q61" s="1">
        <v>4667</v>
      </c>
      <c r="R61" s="1">
        <v>4500</v>
      </c>
      <c r="S61" s="1">
        <v>4568</v>
      </c>
    </row>
    <row r="62" spans="2:38" s="4" customFormat="1">
      <c r="B62" s="4" t="s">
        <v>75</v>
      </c>
      <c r="L62" s="4">
        <f>+SUM(L55:L61)</f>
        <v>43476</v>
      </c>
      <c r="M62" s="4">
        <f>+SUM(M55:M61)</f>
        <v>40488</v>
      </c>
      <c r="N62" s="4">
        <f>+SUM(N55:N61)</f>
        <v>41182</v>
      </c>
      <c r="O62" s="4">
        <f>+SUM(O55:O61)</f>
        <v>44460</v>
      </c>
      <c r="P62" s="4">
        <f>+SUM(P55:P61)</f>
        <v>49555</v>
      </c>
      <c r="Q62" s="4">
        <f>+SUM(Q55:Q61)</f>
        <v>54148</v>
      </c>
      <c r="R62" s="4">
        <f>+SUM(R55:R61)</f>
        <v>65728</v>
      </c>
      <c r="S62" s="4">
        <f>+SUM(S55:S61)</f>
        <v>77072</v>
      </c>
    </row>
    <row r="64" spans="2:38">
      <c r="B64" s="1" t="s">
        <v>77</v>
      </c>
      <c r="L64" s="1">
        <v>2421</v>
      </c>
      <c r="M64" s="1">
        <v>1491</v>
      </c>
      <c r="N64" s="1">
        <v>1193</v>
      </c>
      <c r="O64" s="1">
        <v>1141</v>
      </c>
      <c r="P64" s="1">
        <v>1929</v>
      </c>
      <c r="Q64" s="1">
        <v>2380</v>
      </c>
      <c r="R64" s="1">
        <v>2699</v>
      </c>
      <c r="S64" s="1">
        <v>2715</v>
      </c>
    </row>
    <row r="65" spans="2:19">
      <c r="B65" s="1" t="s">
        <v>78</v>
      </c>
      <c r="L65" s="1">
        <v>3903</v>
      </c>
      <c r="M65" s="1">
        <v>4115</v>
      </c>
      <c r="N65" s="1">
        <v>4120</v>
      </c>
      <c r="O65" s="1">
        <v>4869</v>
      </c>
      <c r="P65" s="1">
        <v>7156</v>
      </c>
      <c r="Q65" s="1">
        <v>5472</v>
      </c>
      <c r="R65" s="1">
        <v>6682</v>
      </c>
      <c r="S65" s="1">
        <v>11258</v>
      </c>
    </row>
    <row r="66" spans="2:19">
      <c r="B66" s="1" t="s">
        <v>79</v>
      </c>
      <c r="L66" s="1">
        <v>1249</v>
      </c>
      <c r="M66" s="1">
        <v>1249</v>
      </c>
      <c r="N66" s="1">
        <v>1250</v>
      </c>
      <c r="O66" s="1">
        <v>1250</v>
      </c>
      <c r="P66" s="1">
        <v>1249</v>
      </c>
      <c r="Q66" s="1">
        <v>1249</v>
      </c>
      <c r="R66" s="1">
        <v>1250</v>
      </c>
      <c r="S66" s="1">
        <v>1250</v>
      </c>
    </row>
    <row r="67" spans="2:19">
      <c r="B67" s="1" t="s">
        <v>80</v>
      </c>
      <c r="L67" s="1">
        <f>+SUM(L64:L66)</f>
        <v>7573</v>
      </c>
      <c r="M67" s="1">
        <f>+SUM(M64:M66)</f>
        <v>6855</v>
      </c>
      <c r="N67" s="1">
        <f>+SUM(N64:N66)</f>
        <v>6563</v>
      </c>
      <c r="O67" s="1">
        <f>+SUM(O64:O66)</f>
        <v>7260</v>
      </c>
      <c r="P67" s="1">
        <f>+SUM(P64:P66)</f>
        <v>10334</v>
      </c>
      <c r="Q67" s="1">
        <f>+SUM(Q64:Q66)</f>
        <v>9101</v>
      </c>
      <c r="R67" s="1">
        <f>+SUM(R64:R66)</f>
        <v>10631</v>
      </c>
      <c r="S67" s="1">
        <f>+SUM(S64:S66)</f>
        <v>15223</v>
      </c>
    </row>
    <row r="68" spans="2:19">
      <c r="B68" s="1" t="s">
        <v>81</v>
      </c>
      <c r="L68" s="1">
        <v>9700</v>
      </c>
      <c r="M68" s="1">
        <v>9701</v>
      </c>
      <c r="N68" s="1">
        <v>9703</v>
      </c>
      <c r="O68" s="1">
        <v>9704</v>
      </c>
      <c r="P68" s="1">
        <v>8456</v>
      </c>
      <c r="Q68" s="1">
        <v>8457</v>
      </c>
      <c r="R68" s="1">
        <v>8459</v>
      </c>
      <c r="S68" s="1">
        <v>8460</v>
      </c>
    </row>
    <row r="69" spans="2:19">
      <c r="B69" s="1" t="s">
        <v>82</v>
      </c>
      <c r="L69" s="1">
        <v>743</v>
      </c>
      <c r="M69" s="1">
        <v>798</v>
      </c>
      <c r="N69" s="1">
        <v>902</v>
      </c>
      <c r="O69" s="1">
        <v>939</v>
      </c>
      <c r="P69" s="1">
        <v>1041</v>
      </c>
      <c r="Q69" s="1">
        <v>1091</v>
      </c>
      <c r="R69" s="1">
        <v>1119</v>
      </c>
      <c r="S69" s="1">
        <v>1281</v>
      </c>
    </row>
    <row r="70" spans="2:19">
      <c r="B70" s="1" t="s">
        <v>83</v>
      </c>
      <c r="L70" s="1">
        <v>1609</v>
      </c>
      <c r="M70" s="1">
        <v>1785</v>
      </c>
      <c r="N70" s="1">
        <v>1913</v>
      </c>
      <c r="O70" s="1">
        <v>2037</v>
      </c>
      <c r="P70" s="1">
        <v>2223</v>
      </c>
      <c r="Q70" s="1">
        <v>2234</v>
      </c>
      <c r="R70" s="1">
        <v>2541</v>
      </c>
      <c r="S70" s="1">
        <v>2966</v>
      </c>
    </row>
    <row r="71" spans="2:19" s="4" customFormat="1">
      <c r="B71" s="4" t="s">
        <v>76</v>
      </c>
      <c r="L71" s="4">
        <f>+SUM(L67:L70)</f>
        <v>19625</v>
      </c>
      <c r="M71" s="4">
        <f>+SUM(M67:M70)</f>
        <v>19139</v>
      </c>
      <c r="N71" s="4">
        <f>+SUM(N67:N70)</f>
        <v>19081</v>
      </c>
      <c r="O71" s="4">
        <f>+SUM(O67:O70)</f>
        <v>19940</v>
      </c>
      <c r="P71" s="4">
        <f>+SUM(P67:P70)</f>
        <v>22054</v>
      </c>
      <c r="Q71" s="4">
        <f>+SUM(Q67:Q70)</f>
        <v>20883</v>
      </c>
      <c r="R71" s="4">
        <f>+SUM(R67:R70)</f>
        <v>22750</v>
      </c>
      <c r="S71" s="4">
        <f>+SUM(S67:S70)</f>
        <v>27930</v>
      </c>
    </row>
    <row r="72" spans="2:19">
      <c r="B72" s="1" t="s">
        <v>103</v>
      </c>
      <c r="L72" s="1">
        <v>23851</v>
      </c>
      <c r="M72" s="1">
        <v>21349</v>
      </c>
      <c r="N72" s="1">
        <v>22101</v>
      </c>
      <c r="O72" s="1">
        <v>24520</v>
      </c>
      <c r="P72" s="1">
        <v>27501</v>
      </c>
      <c r="Q72" s="1">
        <v>33265</v>
      </c>
      <c r="R72" s="1">
        <v>42978</v>
      </c>
      <c r="S72" s="1">
        <v>49142</v>
      </c>
    </row>
    <row r="73" spans="2:19" s="4" customFormat="1">
      <c r="B73" s="4" t="s">
        <v>104</v>
      </c>
      <c r="L73" s="4">
        <f>+SUM(L71:L72)</f>
        <v>43476</v>
      </c>
      <c r="M73" s="4">
        <f>+SUM(M71:M72)</f>
        <v>40488</v>
      </c>
      <c r="N73" s="4">
        <f>+SUM(N71:N72)</f>
        <v>41182</v>
      </c>
      <c r="O73" s="4">
        <f>+SUM(O71:O72)</f>
        <v>44460</v>
      </c>
      <c r="P73" s="4">
        <f>+SUM(P71:P72)</f>
        <v>49555</v>
      </c>
      <c r="Q73" s="4">
        <f>+SUM(Q71:Q72)</f>
        <v>54148</v>
      </c>
      <c r="R73" s="4">
        <f>+SUM(R71:R72)</f>
        <v>65728</v>
      </c>
      <c r="S73" s="4">
        <f>+SUM(S71:S72)</f>
        <v>77072</v>
      </c>
    </row>
    <row r="74" spans="2:19">
      <c r="I74" s="4" t="str">
        <f t="shared" ref="I74:R74" si="210">IF(I73=I62,"","DUQWDGWTDGWD")</f>
        <v/>
      </c>
      <c r="J74" s="4" t="str">
        <f t="shared" si="210"/>
        <v/>
      </c>
      <c r="K74" s="4" t="str">
        <f t="shared" si="210"/>
        <v/>
      </c>
      <c r="L74" s="4" t="str">
        <f t="shared" si="210"/>
        <v/>
      </c>
      <c r="M74" s="4" t="str">
        <f t="shared" si="210"/>
        <v/>
      </c>
      <c r="N74" s="4" t="str">
        <f t="shared" si="210"/>
        <v/>
      </c>
      <c r="O74" s="4" t="str">
        <f t="shared" si="210"/>
        <v/>
      </c>
      <c r="P74" s="4" t="str">
        <f t="shared" si="210"/>
        <v/>
      </c>
      <c r="Q74" s="4" t="str">
        <f t="shared" si="210"/>
        <v/>
      </c>
      <c r="R74" s="4" t="str">
        <f t="shared" si="210"/>
        <v/>
      </c>
      <c r="S74" s="4" t="str">
        <f>IF(S73=S62,"","DUQWDGWTDGWD")</f>
        <v/>
      </c>
    </row>
    <row r="75" spans="2:19">
      <c r="B75" s="1" t="s">
        <v>105</v>
      </c>
      <c r="L75" s="1">
        <f>+SUM(L50:L51)</f>
        <v>17037</v>
      </c>
      <c r="M75" s="1">
        <f t="shared" ref="M75:S75" si="211">+SUM(M50:M51)</f>
        <v>13143</v>
      </c>
      <c r="N75" s="1">
        <f t="shared" si="211"/>
        <v>13296</v>
      </c>
      <c r="O75" s="1">
        <f t="shared" si="211"/>
        <v>15320</v>
      </c>
      <c r="P75" s="1">
        <f t="shared" si="211"/>
        <v>16023</v>
      </c>
      <c r="Q75" s="1">
        <f t="shared" si="211"/>
        <v>18281</v>
      </c>
      <c r="R75" s="1">
        <f t="shared" si="211"/>
        <v>25984</v>
      </c>
      <c r="S75" s="1">
        <f t="shared" si="211"/>
        <v>31438</v>
      </c>
    </row>
    <row r="76" spans="2:19">
      <c r="B76" s="1" t="s">
        <v>108</v>
      </c>
      <c r="L76" s="1">
        <f>+L66+L68</f>
        <v>10949</v>
      </c>
      <c r="M76" s="1">
        <f t="shared" ref="M76:S76" si="212">+M66+M68</f>
        <v>10950</v>
      </c>
      <c r="N76" s="1">
        <f t="shared" si="212"/>
        <v>10953</v>
      </c>
      <c r="O76" s="1">
        <f t="shared" si="212"/>
        <v>10954</v>
      </c>
      <c r="P76" s="1">
        <f t="shared" si="212"/>
        <v>9705</v>
      </c>
      <c r="Q76" s="1">
        <f t="shared" si="212"/>
        <v>9706</v>
      </c>
      <c r="R76" s="1">
        <f t="shared" si="212"/>
        <v>9709</v>
      </c>
      <c r="S76" s="1">
        <f t="shared" si="212"/>
        <v>9710</v>
      </c>
    </row>
    <row r="77" spans="2:19">
      <c r="B77" s="1" t="s">
        <v>106</v>
      </c>
      <c r="L77" s="1">
        <f>+L55-L67</f>
        <v>19845</v>
      </c>
      <c r="M77" s="1">
        <f t="shared" ref="M77:S77" si="213">+M55-M67</f>
        <v>16368</v>
      </c>
      <c r="N77" s="1">
        <f t="shared" si="213"/>
        <v>16510</v>
      </c>
      <c r="O77" s="1">
        <f t="shared" si="213"/>
        <v>17623</v>
      </c>
      <c r="P77" s="1">
        <f t="shared" si="213"/>
        <v>18463</v>
      </c>
      <c r="Q77" s="1">
        <f t="shared" si="213"/>
        <v>23557</v>
      </c>
      <c r="R77" s="1">
        <f t="shared" si="213"/>
        <v>33714</v>
      </c>
      <c r="S77" s="1">
        <f t="shared" si="213"/>
        <v>38506</v>
      </c>
    </row>
    <row r="78" spans="2:19" s="22" customFormat="1">
      <c r="B78" s="22" t="s">
        <v>107</v>
      </c>
      <c r="L78" s="22">
        <f>+L55/L67</f>
        <v>3.6204938597649545</v>
      </c>
      <c r="M78" s="22">
        <f t="shared" ref="M78:S78" si="214">+M55/M67</f>
        <v>3.3877461706783372</v>
      </c>
      <c r="N78" s="22">
        <f t="shared" si="214"/>
        <v>3.5156178576870332</v>
      </c>
      <c r="O78" s="22">
        <f t="shared" si="214"/>
        <v>3.4274104683195592</v>
      </c>
      <c r="P78" s="22">
        <f t="shared" si="214"/>
        <v>2.7866266692471453</v>
      </c>
      <c r="Q78" s="22">
        <f t="shared" si="214"/>
        <v>3.588396879463795</v>
      </c>
      <c r="R78" s="22">
        <f t="shared" si="214"/>
        <v>4.1712915059730973</v>
      </c>
      <c r="S78" s="22">
        <f t="shared" si="214"/>
        <v>3.5294619982920579</v>
      </c>
    </row>
    <row r="81" spans="2:21">
      <c r="B81" s="1" t="s">
        <v>111</v>
      </c>
      <c r="L81" s="1">
        <v>1270</v>
      </c>
      <c r="M81" s="1">
        <v>392</v>
      </c>
      <c r="N81" s="1">
        <v>2249</v>
      </c>
      <c r="O81" s="1">
        <v>2911</v>
      </c>
      <c r="P81" s="1">
        <v>6348</v>
      </c>
      <c r="Q81" s="1">
        <v>7333</v>
      </c>
      <c r="R81" s="1">
        <v>11499</v>
      </c>
      <c r="S81" s="1">
        <v>15345</v>
      </c>
    </row>
    <row r="82" spans="2:21">
      <c r="B82" s="1" t="s">
        <v>112</v>
      </c>
      <c r="L82" s="1">
        <v>-433</v>
      </c>
      <c r="M82" s="1">
        <v>-530</v>
      </c>
      <c r="N82" s="1">
        <v>509</v>
      </c>
      <c r="O82" s="1">
        <v>-248</v>
      </c>
      <c r="P82" s="1">
        <v>-289</v>
      </c>
      <c r="Q82" s="1">
        <v>-278</v>
      </c>
      <c r="R82" s="1">
        <v>-253</v>
      </c>
      <c r="S82" s="1">
        <v>-369</v>
      </c>
    </row>
    <row r="83" spans="2:21" s="4" customFormat="1">
      <c r="B83" s="4" t="s">
        <v>113</v>
      </c>
      <c r="L83" s="4">
        <f>+SUM(L81:L82)</f>
        <v>837</v>
      </c>
      <c r="M83" s="4">
        <f>+SUM(M81:M82)</f>
        <v>-138</v>
      </c>
      <c r="N83" s="4">
        <f>+SUM(N81:N82)</f>
        <v>2758</v>
      </c>
      <c r="O83" s="4">
        <f>+SUM(O81:O82)</f>
        <v>2663</v>
      </c>
      <c r="P83" s="4">
        <f>+SUM(P81:P82)</f>
        <v>6059</v>
      </c>
      <c r="Q83" s="4">
        <f>+SUM(Q81:Q82)</f>
        <v>7055</v>
      </c>
      <c r="R83" s="4">
        <f>+SUM(R81:R82)</f>
        <v>11246</v>
      </c>
      <c r="S83" s="4">
        <f>+SUM(S81:S82)</f>
        <v>14976</v>
      </c>
      <c r="U83" s="20"/>
    </row>
    <row r="84" spans="2:21">
      <c r="B84" s="1" t="s">
        <v>31</v>
      </c>
      <c r="L84" s="1">
        <f>+L26</f>
        <v>656</v>
      </c>
      <c r="M84" s="1">
        <f>+M26</f>
        <v>680</v>
      </c>
      <c r="N84" s="1">
        <f>+N26</f>
        <v>1414</v>
      </c>
      <c r="O84" s="1">
        <f>+O26</f>
        <v>2043</v>
      </c>
      <c r="P84" s="1">
        <f>+P26</f>
        <v>6188</v>
      </c>
      <c r="Q84" s="1">
        <f>+Q26</f>
        <v>9243</v>
      </c>
      <c r="R84" s="1">
        <f>+R26</f>
        <v>12286</v>
      </c>
      <c r="S84" s="1">
        <f>+S26</f>
        <v>14881</v>
      </c>
    </row>
    <row r="86" spans="2:21">
      <c r="B86" s="1" t="s">
        <v>114</v>
      </c>
      <c r="O86" s="1">
        <f t="shared" ref="O86:R86" si="215">SUM(L83:O83)</f>
        <v>6120</v>
      </c>
      <c r="P86" s="1">
        <f t="shared" si="215"/>
        <v>11342</v>
      </c>
      <c r="Q86" s="1">
        <f t="shared" si="215"/>
        <v>18535</v>
      </c>
      <c r="R86" s="1">
        <f t="shared" si="215"/>
        <v>27023</v>
      </c>
      <c r="S86" s="1">
        <f>SUM(P83:S83)</f>
        <v>39336</v>
      </c>
    </row>
    <row r="87" spans="2:21">
      <c r="B87" s="1" t="s">
        <v>115</v>
      </c>
      <c r="O87" s="1">
        <f t="shared" ref="O87:R87" si="216">SUM(L84:O84)</f>
        <v>4793</v>
      </c>
      <c r="P87" s="1">
        <f t="shared" si="216"/>
        <v>10325</v>
      </c>
      <c r="Q87" s="1">
        <f t="shared" si="216"/>
        <v>18888</v>
      </c>
      <c r="R87" s="1">
        <f t="shared" si="216"/>
        <v>29760</v>
      </c>
      <c r="S87" s="1">
        <f>SUM(P84:S84)</f>
        <v>42598</v>
      </c>
    </row>
  </sheetData>
  <pageMargins left="0.7" right="0.7" top="0.75" bottom="0.75" header="0.3" footer="0.3"/>
  <ignoredErrors>
    <ignoredError sqref="Q15:R19 N15:N28 J15:J28 Q21:R25 Q20 Q26 AB18:AL28 AB17 AD17:AL17" formula="1"/>
    <ignoredError sqref="Y15:Z15 R49:S49 L48:Q48 L49 M49:Q49 L75:S75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EB49-CC5E-C04A-BF2A-896D1F75034D}">
  <dimension ref="B2:B6"/>
  <sheetViews>
    <sheetView zoomScale="400" workbookViewId="0">
      <selection activeCell="B7" sqref="B7"/>
    </sheetView>
  </sheetViews>
  <sheetFormatPr baseColWidth="10" defaultRowHeight="13"/>
  <cols>
    <col min="1" max="1" width="3.83203125" customWidth="1"/>
    <col min="2" max="2" width="12" bestFit="1" customWidth="1"/>
  </cols>
  <sheetData>
    <row r="2" spans="2:2">
      <c r="B2" s="17" t="s">
        <v>44</v>
      </c>
    </row>
    <row r="3" spans="2:2">
      <c r="B3" t="s">
        <v>45</v>
      </c>
    </row>
    <row r="4" spans="2:2">
      <c r="B4" t="s">
        <v>46</v>
      </c>
    </row>
    <row r="5" spans="2:2">
      <c r="B5" t="s">
        <v>47</v>
      </c>
    </row>
    <row r="6" spans="2:2">
      <c r="B6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Processors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2024-03-17T16:36:51Z</dcterms:created>
  <dcterms:modified xsi:type="dcterms:W3CDTF">2024-06-19T22:06:45Z</dcterms:modified>
</cp:coreProperties>
</file>