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3F357E6-99AA-8046-A23D-5803CD01EB37}" xr6:coauthVersionLast="47" xr6:coauthVersionMax="47" xr10:uidLastSave="{00000000-0000-0000-0000-000000000000}"/>
  <bookViews>
    <workbookView xWindow="9760" yWindow="500" windowWidth="41360" windowHeight="28200" activeTab="1" xr2:uid="{34D722F7-9A2D-D54F-B503-A791C258C4E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5" i="2" l="1"/>
  <c r="AI42" i="2"/>
  <c r="AI41" i="2"/>
  <c r="AI40" i="2"/>
  <c r="X5" i="2"/>
  <c r="Y5" i="2" s="1"/>
  <c r="Z5" i="2" s="1"/>
  <c r="AA5" i="2" s="1"/>
  <c r="AB5" i="2" s="1"/>
  <c r="AC5" i="2" s="1"/>
  <c r="AD5" i="2" s="1"/>
  <c r="AE5" i="2" s="1"/>
  <c r="W5" i="2"/>
  <c r="U9" i="2"/>
  <c r="T9" i="2"/>
  <c r="S9" i="2"/>
  <c r="AI39" i="2"/>
  <c r="AI35" i="2"/>
  <c r="W26" i="2"/>
  <c r="V26" i="2"/>
  <c r="U41" i="2"/>
  <c r="V23" i="2"/>
  <c r="AI37" i="2"/>
  <c r="L41" i="2"/>
  <c r="K75" i="2"/>
  <c r="G75" i="2"/>
  <c r="F75" i="2"/>
  <c r="E75" i="2"/>
  <c r="H74" i="2"/>
  <c r="H73" i="2"/>
  <c r="I73" i="2" s="1"/>
  <c r="L74" i="2"/>
  <c r="L73" i="2"/>
  <c r="V31" i="2"/>
  <c r="W31" i="2" s="1"/>
  <c r="X31" i="2" s="1"/>
  <c r="Y31" i="2" s="1"/>
  <c r="Z31" i="2" s="1"/>
  <c r="AA31" i="2" s="1"/>
  <c r="AB31" i="2" s="1"/>
  <c r="AC31" i="2" s="1"/>
  <c r="AD31" i="2" s="1"/>
  <c r="AE31" i="2" s="1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L62" i="2"/>
  <c r="L69" i="2" s="1"/>
  <c r="L71" i="2" s="1"/>
  <c r="L48" i="2"/>
  <c r="L56" i="2" s="1"/>
  <c r="F7" i="2"/>
  <c r="F6" i="2"/>
  <c r="F4" i="2"/>
  <c r="F3" i="2"/>
  <c r="J7" i="2"/>
  <c r="J6" i="2"/>
  <c r="J4" i="2"/>
  <c r="J3" i="2"/>
  <c r="S12" i="2"/>
  <c r="S11" i="2"/>
  <c r="S8" i="2"/>
  <c r="L8" i="2"/>
  <c r="S5" i="2"/>
  <c r="T12" i="2"/>
  <c r="T11" i="2"/>
  <c r="T8" i="2"/>
  <c r="T5" i="2"/>
  <c r="U12" i="2"/>
  <c r="U11" i="2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U5" i="2"/>
  <c r="V5" i="2" s="1"/>
  <c r="L12" i="2"/>
  <c r="K12" i="2"/>
  <c r="I12" i="2"/>
  <c r="H12" i="2"/>
  <c r="G12" i="2"/>
  <c r="E12" i="2"/>
  <c r="D12" i="2"/>
  <c r="C12" i="2"/>
  <c r="K11" i="2"/>
  <c r="I11" i="2"/>
  <c r="H11" i="2"/>
  <c r="G11" i="2"/>
  <c r="E11" i="2"/>
  <c r="D11" i="2"/>
  <c r="C11" i="2"/>
  <c r="L11" i="2"/>
  <c r="K8" i="2"/>
  <c r="I8" i="2"/>
  <c r="H8" i="2"/>
  <c r="G8" i="2"/>
  <c r="F8" i="2"/>
  <c r="E8" i="2"/>
  <c r="D8" i="2"/>
  <c r="C8" i="2"/>
  <c r="K5" i="2"/>
  <c r="I5" i="2"/>
  <c r="I9" i="2" s="1"/>
  <c r="H5" i="2"/>
  <c r="G5" i="2"/>
  <c r="G9" i="2" s="1"/>
  <c r="E5" i="2"/>
  <c r="D5" i="2"/>
  <c r="C5" i="2"/>
  <c r="L5" i="2"/>
  <c r="G37" i="2"/>
  <c r="G36" i="2"/>
  <c r="H37" i="2"/>
  <c r="H36" i="2"/>
  <c r="I37" i="2"/>
  <c r="I36" i="2"/>
  <c r="C17" i="2"/>
  <c r="C25" i="2" s="1"/>
  <c r="F29" i="2"/>
  <c r="F27" i="2"/>
  <c r="F26" i="2"/>
  <c r="F24" i="2"/>
  <c r="F23" i="2"/>
  <c r="F22" i="2"/>
  <c r="F21" i="2"/>
  <c r="F20" i="2"/>
  <c r="F19" i="2"/>
  <c r="F18" i="2"/>
  <c r="F16" i="2"/>
  <c r="F15" i="2"/>
  <c r="D17" i="2"/>
  <c r="D25" i="2" s="1"/>
  <c r="D28" i="2" s="1"/>
  <c r="D30" i="2" s="1"/>
  <c r="D32" i="2" s="1"/>
  <c r="E17" i="2"/>
  <c r="E25" i="2" s="1"/>
  <c r="E28" i="2" s="1"/>
  <c r="E30" i="2" s="1"/>
  <c r="E32" i="2" s="1"/>
  <c r="I17" i="2"/>
  <c r="I25" i="2" s="1"/>
  <c r="J29" i="2"/>
  <c r="J27" i="2"/>
  <c r="J26" i="2"/>
  <c r="J24" i="2"/>
  <c r="J23" i="2"/>
  <c r="J22" i="2"/>
  <c r="J21" i="2"/>
  <c r="J20" i="2"/>
  <c r="J19" i="2"/>
  <c r="J18" i="2"/>
  <c r="J16" i="2"/>
  <c r="J15" i="2"/>
  <c r="T37" i="2"/>
  <c r="T36" i="2"/>
  <c r="U37" i="2"/>
  <c r="U36" i="2"/>
  <c r="S17" i="2"/>
  <c r="S25" i="2" s="1"/>
  <c r="T17" i="2"/>
  <c r="T25" i="2" s="1"/>
  <c r="T28" i="2" s="1"/>
  <c r="T30" i="2" s="1"/>
  <c r="T32" i="2" s="1"/>
  <c r="U17" i="2"/>
  <c r="U25" i="2" s="1"/>
  <c r="U28" i="2" s="1"/>
  <c r="U30" i="2" s="1"/>
  <c r="U32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XFD2" i="2" s="1"/>
  <c r="G17" i="2"/>
  <c r="G25" i="2" s="1"/>
  <c r="G28" i="2" s="1"/>
  <c r="K37" i="2"/>
  <c r="K36" i="2"/>
  <c r="K17" i="2"/>
  <c r="K25" i="2" s="1"/>
  <c r="L37" i="2"/>
  <c r="L36" i="2"/>
  <c r="H17" i="2"/>
  <c r="H25" i="2" s="1"/>
  <c r="H28" i="2" s="1"/>
  <c r="H30" i="2" s="1"/>
  <c r="H32" i="2" s="1"/>
  <c r="L17" i="2"/>
  <c r="L38" i="2" s="1"/>
  <c r="F8" i="1"/>
  <c r="F7" i="1"/>
  <c r="F6" i="1"/>
  <c r="F9" i="1" s="1"/>
  <c r="G7" i="1"/>
  <c r="G8" i="1" s="1"/>
  <c r="L9" i="2" l="1"/>
  <c r="H9" i="2"/>
  <c r="H75" i="2"/>
  <c r="F5" i="2"/>
  <c r="F9" i="2" s="1"/>
  <c r="U13" i="2"/>
  <c r="V13" i="2" s="1"/>
  <c r="C9" i="2"/>
  <c r="T13" i="2"/>
  <c r="I74" i="2"/>
  <c r="J74" i="2" s="1"/>
  <c r="S13" i="2"/>
  <c r="J73" i="2"/>
  <c r="L75" i="2"/>
  <c r="H76" i="2"/>
  <c r="J8" i="2"/>
  <c r="F11" i="2"/>
  <c r="J11" i="2"/>
  <c r="F12" i="2"/>
  <c r="J5" i="2"/>
  <c r="J25" i="2"/>
  <c r="J12" i="2"/>
  <c r="E9" i="2"/>
  <c r="L25" i="2"/>
  <c r="L28" i="2" s="1"/>
  <c r="L30" i="2" s="1"/>
  <c r="K9" i="2"/>
  <c r="S28" i="2"/>
  <c r="S30" i="2" s="1"/>
  <c r="S32" i="2" s="1"/>
  <c r="D9" i="2"/>
  <c r="T38" i="2"/>
  <c r="U38" i="2"/>
  <c r="K38" i="2"/>
  <c r="I38" i="2"/>
  <c r="J36" i="2"/>
  <c r="J37" i="2"/>
  <c r="J17" i="2"/>
  <c r="H38" i="2"/>
  <c r="G38" i="2"/>
  <c r="C28" i="2"/>
  <c r="F25" i="2"/>
  <c r="F17" i="2"/>
  <c r="I28" i="2"/>
  <c r="G30" i="2"/>
  <c r="K28" i="2"/>
  <c r="K30" i="2" s="1"/>
  <c r="J9" i="2" l="1"/>
  <c r="L32" i="2"/>
  <c r="L76" i="2"/>
  <c r="I75" i="2"/>
  <c r="J75" i="2"/>
  <c r="W13" i="2"/>
  <c r="V17" i="2"/>
  <c r="K32" i="2"/>
  <c r="K76" i="2"/>
  <c r="G32" i="2"/>
  <c r="G76" i="2"/>
  <c r="J38" i="2"/>
  <c r="F28" i="2"/>
  <c r="C30" i="2"/>
  <c r="I30" i="2"/>
  <c r="I76" i="2" s="1"/>
  <c r="J28" i="2"/>
  <c r="V21" i="2" l="1"/>
  <c r="V24" i="2"/>
  <c r="V20" i="2"/>
  <c r="V38" i="2"/>
  <c r="V18" i="2"/>
  <c r="V22" i="2"/>
  <c r="X13" i="2"/>
  <c r="W17" i="2"/>
  <c r="W23" i="2" s="1"/>
  <c r="L79" i="2"/>
  <c r="K79" i="2"/>
  <c r="J79" i="2"/>
  <c r="C32" i="2"/>
  <c r="F32" i="2" s="1"/>
  <c r="F30" i="2"/>
  <c r="I32" i="2"/>
  <c r="J32" i="2" s="1"/>
  <c r="J30" i="2"/>
  <c r="J76" i="2" s="1"/>
  <c r="K80" i="2" s="1"/>
  <c r="V25" i="2" l="1"/>
  <c r="W18" i="2"/>
  <c r="W21" i="2"/>
  <c r="W38" i="2"/>
  <c r="W24" i="2"/>
  <c r="W22" i="2"/>
  <c r="W20" i="2"/>
  <c r="Y13" i="2"/>
  <c r="X17" i="2"/>
  <c r="L80" i="2"/>
  <c r="J80" i="2"/>
  <c r="F31" i="2"/>
  <c r="J31" i="2"/>
  <c r="X20" i="2" l="1"/>
  <c r="V27" i="2"/>
  <c r="V28" i="2" s="1"/>
  <c r="V29" i="2" s="1"/>
  <c r="V30" i="2" s="1"/>
  <c r="V41" i="2" s="1"/>
  <c r="Z13" i="2"/>
  <c r="Y17" i="2"/>
  <c r="W25" i="2"/>
  <c r="X23" i="2"/>
  <c r="X22" i="2"/>
  <c r="X24" i="2"/>
  <c r="X21" i="2"/>
  <c r="X38" i="2"/>
  <c r="X18" i="2"/>
  <c r="V32" i="2" l="1"/>
  <c r="Y18" i="2"/>
  <c r="X25" i="2"/>
  <c r="W27" i="2"/>
  <c r="Y24" i="2"/>
  <c r="Y38" i="2"/>
  <c r="Y21" i="2"/>
  <c r="Y22" i="2"/>
  <c r="Y23" i="2"/>
  <c r="Y20" i="2"/>
  <c r="AA13" i="2"/>
  <c r="Z17" i="2"/>
  <c r="Z20" i="2" l="1"/>
  <c r="Z22" i="2"/>
  <c r="Z21" i="2"/>
  <c r="Z38" i="2"/>
  <c r="Z24" i="2"/>
  <c r="AA24" i="2" s="1"/>
  <c r="Z18" i="2"/>
  <c r="AA18" i="2" s="1"/>
  <c r="Z23" i="2"/>
  <c r="AA23" i="2" s="1"/>
  <c r="AB13" i="2"/>
  <c r="AA17" i="2"/>
  <c r="X27" i="2"/>
  <c r="Y25" i="2"/>
  <c r="W28" i="2"/>
  <c r="W29" i="2" s="1"/>
  <c r="W30" i="2" s="1"/>
  <c r="W41" i="2" s="1"/>
  <c r="X26" i="2" s="1"/>
  <c r="X28" i="2" s="1"/>
  <c r="Z25" i="2" l="1"/>
  <c r="W32" i="2"/>
  <c r="X29" i="2"/>
  <c r="X30" i="2" s="1"/>
  <c r="X41" i="2" s="1"/>
  <c r="Y26" i="2" s="1"/>
  <c r="Y27" i="2"/>
  <c r="Z27" i="2" s="1"/>
  <c r="AA38" i="2"/>
  <c r="AA21" i="2"/>
  <c r="AA22" i="2"/>
  <c r="AA20" i="2"/>
  <c r="AC13" i="2"/>
  <c r="AB17" i="2"/>
  <c r="Y28" i="2" l="1"/>
  <c r="AA25" i="2"/>
  <c r="X32" i="2"/>
  <c r="AA27" i="2"/>
  <c r="AB24" i="2"/>
  <c r="AB21" i="2"/>
  <c r="AB18" i="2"/>
  <c r="AB20" i="2"/>
  <c r="AB38" i="2"/>
  <c r="AB22" i="2"/>
  <c r="AB23" i="2"/>
  <c r="Y29" i="2"/>
  <c r="Y30" i="2" s="1"/>
  <c r="Y41" i="2" s="1"/>
  <c r="Z26" i="2" s="1"/>
  <c r="Z28" i="2" s="1"/>
  <c r="AD13" i="2"/>
  <c r="AC17" i="2"/>
  <c r="AB25" i="2" l="1"/>
  <c r="AB27" i="2" s="1"/>
  <c r="Y32" i="2"/>
  <c r="Z29" i="2"/>
  <c r="AC23" i="2"/>
  <c r="AC21" i="2"/>
  <c r="AC20" i="2"/>
  <c r="AC22" i="2"/>
  <c r="AC38" i="2"/>
  <c r="AC24" i="2"/>
  <c r="AC18" i="2"/>
  <c r="AE13" i="2"/>
  <c r="AE17" i="2" s="1"/>
  <c r="AD17" i="2"/>
  <c r="AE38" i="2" l="1"/>
  <c r="Z30" i="2"/>
  <c r="Z41" i="2" s="1"/>
  <c r="AA26" i="2" s="1"/>
  <c r="AA28" i="2" s="1"/>
  <c r="AA29" i="2" s="1"/>
  <c r="AC25" i="2"/>
  <c r="AD23" i="2"/>
  <c r="AE23" i="2" s="1"/>
  <c r="AD18" i="2"/>
  <c r="AE18" i="2" s="1"/>
  <c r="AD24" i="2"/>
  <c r="AE24" i="2" s="1"/>
  <c r="AD38" i="2"/>
  <c r="AD20" i="2"/>
  <c r="AE20" i="2" s="1"/>
  <c r="AD21" i="2"/>
  <c r="AE21" i="2" s="1"/>
  <c r="AD22" i="2"/>
  <c r="AE22" i="2" s="1"/>
  <c r="AE25" i="2" l="1"/>
  <c r="AC27" i="2"/>
  <c r="AD25" i="2"/>
  <c r="Z32" i="2"/>
  <c r="AA30" i="2"/>
  <c r="AA32" i="2" s="1"/>
  <c r="AA41" i="2" l="1"/>
  <c r="AD27" i="2"/>
  <c r="AE27" i="2" s="1"/>
  <c r="AB26" i="2" l="1"/>
  <c r="AB28" i="2" s="1"/>
  <c r="AB29" i="2" s="1"/>
  <c r="AB30" i="2" s="1"/>
  <c r="AB32" i="2" s="1"/>
  <c r="AB41" i="2" l="1"/>
  <c r="AC26" i="2" l="1"/>
  <c r="AC28" i="2" s="1"/>
  <c r="AC29" i="2" s="1"/>
  <c r="AC30" i="2" s="1"/>
  <c r="AC32" i="2" s="1"/>
  <c r="AC41" i="2"/>
  <c r="AD26" i="2" s="1"/>
  <c r="AD28" i="2" s="1"/>
  <c r="AD29" i="2" l="1"/>
  <c r="AD30" i="2"/>
  <c r="AD32" i="2" l="1"/>
  <c r="AD41" i="2"/>
  <c r="AE26" i="2" l="1"/>
  <c r="AE28" i="2" s="1"/>
  <c r="AE29" i="2" s="1"/>
  <c r="AE30" i="2" s="1"/>
  <c r="AE32" i="2" l="1"/>
  <c r="AF30" i="2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FW30" i="2" s="1"/>
  <c r="FX30" i="2" s="1"/>
  <c r="FY30" i="2" s="1"/>
  <c r="FZ30" i="2" s="1"/>
  <c r="GA30" i="2" s="1"/>
  <c r="GB30" i="2" s="1"/>
  <c r="GC30" i="2" s="1"/>
  <c r="GD30" i="2" s="1"/>
  <c r="GE30" i="2" s="1"/>
  <c r="GF30" i="2" s="1"/>
  <c r="GG30" i="2" s="1"/>
  <c r="GH30" i="2" s="1"/>
  <c r="GI30" i="2" s="1"/>
  <c r="GJ30" i="2" s="1"/>
  <c r="GK30" i="2" s="1"/>
  <c r="GL30" i="2" s="1"/>
  <c r="GM30" i="2" s="1"/>
  <c r="GN30" i="2" s="1"/>
  <c r="GO30" i="2" s="1"/>
  <c r="GP30" i="2" s="1"/>
  <c r="GQ30" i="2" s="1"/>
  <c r="GR30" i="2" s="1"/>
  <c r="GS30" i="2" s="1"/>
  <c r="GT30" i="2" s="1"/>
  <c r="GU30" i="2" s="1"/>
  <c r="GV30" i="2" s="1"/>
  <c r="GW30" i="2" s="1"/>
  <c r="GX30" i="2" s="1"/>
  <c r="GY30" i="2" s="1"/>
  <c r="GZ30" i="2" s="1"/>
  <c r="HA30" i="2" s="1"/>
  <c r="HB30" i="2" s="1"/>
  <c r="HC30" i="2" s="1"/>
  <c r="HD30" i="2" s="1"/>
  <c r="HE30" i="2" s="1"/>
  <c r="HF30" i="2" s="1"/>
  <c r="HG30" i="2" s="1"/>
  <c r="HH30" i="2" s="1"/>
  <c r="HI30" i="2" s="1"/>
  <c r="HJ30" i="2" s="1"/>
  <c r="HK30" i="2" s="1"/>
  <c r="HL30" i="2" s="1"/>
  <c r="HM30" i="2" s="1"/>
  <c r="HN30" i="2" s="1"/>
  <c r="HO30" i="2" s="1"/>
  <c r="HP30" i="2" s="1"/>
  <c r="HQ30" i="2" s="1"/>
  <c r="HR30" i="2" s="1"/>
  <c r="HS30" i="2" s="1"/>
  <c r="HT30" i="2" s="1"/>
  <c r="HU30" i="2" s="1"/>
  <c r="HV30" i="2" s="1"/>
  <c r="HW30" i="2" s="1"/>
  <c r="AE41" i="2"/>
  <c r="AI36" i="2" l="1"/>
  <c r="AI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tc={9D5516B3-2AB0-E340-A03C-62AB789BB7BE}</author>
  </authors>
  <commentList>
    <comment ref="V23" authorId="0" shapeId="0" xr:uid="{9D5516B3-2AB0-E340-A03C-62AB789BB7BE}">
      <text>
        <t>[Threaded comment]
Your version of Excel allows you to read this threaded comment; however, any edits to it will get removed if the file is opened in a newer version of Excel. Learn more: https://go.microsoft.com/fwlink/?linkid=870924
Comment:
    Mid guidance.  Guide @ $82M-$85M</t>
      </text>
    </comment>
  </commentList>
</comments>
</file>

<file path=xl/sharedStrings.xml><?xml version="1.0" encoding="utf-8"?>
<sst xmlns="http://schemas.openxmlformats.org/spreadsheetml/2006/main" count="107" uniqueCount="100">
  <si>
    <t>P</t>
  </si>
  <si>
    <t>S</t>
  </si>
  <si>
    <t>MC</t>
  </si>
  <si>
    <t>C</t>
  </si>
  <si>
    <t>D</t>
  </si>
  <si>
    <t>EV</t>
  </si>
  <si>
    <t>Q124</t>
  </si>
  <si>
    <t>Q123</t>
  </si>
  <si>
    <t>Q223</t>
  </si>
  <si>
    <t>Q323</t>
  </si>
  <si>
    <t>Q424</t>
  </si>
  <si>
    <t>Q224</t>
  </si>
  <si>
    <t>Q324</t>
  </si>
  <si>
    <t xml:space="preserve">Restaurant sales </t>
  </si>
  <si>
    <t xml:space="preserve">Franchise and license revenue </t>
  </si>
  <si>
    <t>Q122</t>
  </si>
  <si>
    <t>Q222</t>
  </si>
  <si>
    <t>Q322</t>
  </si>
  <si>
    <t>Q422</t>
  </si>
  <si>
    <t xml:space="preserve">Operating Revenue </t>
  </si>
  <si>
    <t>Product costs</t>
  </si>
  <si>
    <t xml:space="preserve">Occupancy </t>
  </si>
  <si>
    <t>Payroll &amp; Benefits</t>
  </si>
  <si>
    <t>Other Opex</t>
  </si>
  <si>
    <t>Franchise &amp; license costs</t>
  </si>
  <si>
    <t>G&amp;A</t>
  </si>
  <si>
    <t>D&amp;A</t>
  </si>
  <si>
    <t xml:space="preserve">Operating Income </t>
  </si>
  <si>
    <t>Interest expense</t>
  </si>
  <si>
    <t>Other expense</t>
  </si>
  <si>
    <t>EBT</t>
  </si>
  <si>
    <t>Taxes</t>
  </si>
  <si>
    <t xml:space="preserve">Net Income </t>
  </si>
  <si>
    <t>Diluted</t>
  </si>
  <si>
    <t>EPS</t>
  </si>
  <si>
    <t>Revenue Y/Y</t>
  </si>
  <si>
    <t>Q423</t>
  </si>
  <si>
    <t>Denny's Co owned</t>
  </si>
  <si>
    <t>Denny's Franchised</t>
  </si>
  <si>
    <t>Net Denny's</t>
  </si>
  <si>
    <t>Keke's Co owned</t>
  </si>
  <si>
    <t>Keke's Franchised</t>
  </si>
  <si>
    <t>Net Keke's</t>
  </si>
  <si>
    <t xml:space="preserve">Total Units </t>
  </si>
  <si>
    <t>Revenue Per Co Owned</t>
  </si>
  <si>
    <t>Revenue Per Franchised</t>
  </si>
  <si>
    <t>$K</t>
  </si>
  <si>
    <t>Press Release</t>
  </si>
  <si>
    <t xml:space="preserve">CEO </t>
  </si>
  <si>
    <t>Founded</t>
  </si>
  <si>
    <t>Kelli Valade</t>
  </si>
  <si>
    <t xml:space="preserve">Cash </t>
  </si>
  <si>
    <t>Investments</t>
  </si>
  <si>
    <t>A/R</t>
  </si>
  <si>
    <t>Inventories</t>
  </si>
  <si>
    <t>Assets Held 4 sale</t>
  </si>
  <si>
    <t>Prepaid</t>
  </si>
  <si>
    <t>CA</t>
  </si>
  <si>
    <t>PPE</t>
  </si>
  <si>
    <t>Fin Lease</t>
  </si>
  <si>
    <t>Op Lease</t>
  </si>
  <si>
    <t>Goodwill</t>
  </si>
  <si>
    <t>Intangibles</t>
  </si>
  <si>
    <t>Deferred Fin Costs</t>
  </si>
  <si>
    <t>ONCA</t>
  </si>
  <si>
    <t>TA</t>
  </si>
  <si>
    <t>Op lease</t>
  </si>
  <si>
    <t>A/P</t>
  </si>
  <si>
    <t>OCL</t>
  </si>
  <si>
    <t>CL</t>
  </si>
  <si>
    <t>LTD</t>
  </si>
  <si>
    <t>NCFL</t>
  </si>
  <si>
    <t>NCOL</t>
  </si>
  <si>
    <t>Insurance claims</t>
  </si>
  <si>
    <t>Deferred I/T</t>
  </si>
  <si>
    <t>ONCL</t>
  </si>
  <si>
    <t>TL</t>
  </si>
  <si>
    <t>Equity</t>
  </si>
  <si>
    <t>TL + E</t>
  </si>
  <si>
    <t xml:space="preserve">Terminal </t>
  </si>
  <si>
    <t>Discount</t>
  </si>
  <si>
    <t>NPV</t>
  </si>
  <si>
    <t>Shares</t>
  </si>
  <si>
    <t xml:space="preserve">Net Cash </t>
  </si>
  <si>
    <t>Total NPV</t>
  </si>
  <si>
    <t>Estimate</t>
  </si>
  <si>
    <t>Q2'23</t>
  </si>
  <si>
    <t>Investor PPT</t>
  </si>
  <si>
    <t>CFFO</t>
  </si>
  <si>
    <t>Capex</t>
  </si>
  <si>
    <t xml:space="preserve">Free Cash Flow </t>
  </si>
  <si>
    <t>4Q FCF</t>
  </si>
  <si>
    <t xml:space="preserve">4Q NI </t>
  </si>
  <si>
    <t>ROIC</t>
  </si>
  <si>
    <t xml:space="preserve">10Y Yield </t>
  </si>
  <si>
    <t>4W</t>
  </si>
  <si>
    <t>8W</t>
  </si>
  <si>
    <t>Current</t>
  </si>
  <si>
    <t>Upside</t>
  </si>
  <si>
    <t>EV/24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</si>
</sst>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70" formatCode="&quot;$&quot;#,##0.00"/>
    <numFmt numFmtId="173" formatCode="0\x"/>
  </numFmts>
  <fonts count="6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9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1" fontId="3" fillId="0" borderId="0" xfId="0" applyNumberFormat="1" applyFont="1"/>
    <xf numFmtId="3" fontId="1" fillId="0" borderId="1" xfId="0" applyNumberFormat="1" applyFont="1" applyBorder="1"/>
    <xf numFmtId="1" fontId="1" fillId="0" borderId="1" xfId="0" applyNumberFormat="1" applyFont="1" applyBorder="1"/>
    <xf numFmtId="3" fontId="0" fillId="2" borderId="0" xfId="0" applyNumberFormat="1" applyFill="1"/>
    <xf numFmtId="8" fontId="0" fillId="0" borderId="0" xfId="0" applyNumberFormat="1"/>
    <xf numFmtId="3" fontId="4" fillId="0" borderId="0" xfId="1" applyNumberFormat="1"/>
    <xf numFmtId="10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581526</xdr:colOff>
      <xdr:row>0</xdr:row>
      <xdr:rowOff>46789</xdr:rowOff>
    </xdr:from>
    <xdr:to>
      <xdr:col>12</xdr:col>
      <xdr:colOff>16933</xdr:colOff>
      <xdr:row>88</xdr:row>
      <xdr:rowOff>135467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8D69E0-FE28-6387-D130-770B7C2AF24C}"/>
            </a:ext>
          </a:extLst>
        </xdr:cNvPr>
        <xdr:cNvCxnSpPr/>
      </xdr:nvCxnSpPr>
      <xdr:spPr>
        <a:xfrm>
          <a:off x="7947526" y="46789"/>
          <a:ext cx="19607" cy="153286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13368</xdr:rowOff>
    </xdr:from>
    <xdr:to>
      <xdr:col>21</xdr:col>
      <xdr:colOff>33421</xdr:colOff>
      <xdr:row>60</xdr:row>
      <xdr:rowOff>40105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1422CD2-BFF1-9D4D-B13B-4A3FDE7266D8}"/>
            </a:ext>
          </a:extLst>
        </xdr:cNvPr>
        <xdr:cNvCxnSpPr/>
      </xdr:nvCxnSpPr>
      <xdr:spPr>
        <a:xfrm>
          <a:off x="12359105" y="13368"/>
          <a:ext cx="33421" cy="771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90C13D0-3B0D-6C40-8ABA-779515F83647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3" dT="2024-08-11T17:49:35.69" personId="{290C13D0-3B0D-6C40-8ABA-779515F83647}" id="{9D5516B3-2AB0-E340-A03C-62AB789BB7BE}">
    <text>Mid guidance.  Guide @ $82M-$85M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29.q4cdn.com/169433746/files/doc_financials/2024/q2/DENN-Q2-2024-Ex-99-1-Earnings-Press-Release-FINAL.pdf" TargetMode="External"/><Relationship Id="rId1" Type="http://schemas.openxmlformats.org/officeDocument/2006/relationships/hyperlink" Target="https://s29.q4cdn.com/169433746/files/doc_news/2024/Jul/30/DENN-Investor-Deck-July-through-September-2024_FINA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6F78-ACFE-1242-B98D-181DCF268307}">
  <dimension ref="A2:G13"/>
  <sheetViews>
    <sheetView zoomScale="218" workbookViewId="0">
      <selection activeCell="F4" sqref="F4"/>
    </sheetView>
  </sheetViews>
  <sheetFormatPr baseColWidth="10" defaultRowHeight="13"/>
  <cols>
    <col min="1" max="1" width="10.83203125" style="1"/>
    <col min="2" max="2" width="12.33203125" style="1" bestFit="1" customWidth="1"/>
    <col min="3" max="4" width="10.83203125" style="1"/>
    <col min="5" max="5" width="3.6640625" style="1" bestFit="1" customWidth="1"/>
    <col min="6" max="6" width="4.1640625" style="1" bestFit="1" customWidth="1"/>
    <col min="7" max="7" width="5.5" style="1" bestFit="1" customWidth="1"/>
    <col min="8" max="16384" width="10.83203125" style="1"/>
  </cols>
  <sheetData>
    <row r="2" spans="1:7">
      <c r="B2" s="1" t="s">
        <v>48</v>
      </c>
      <c r="C2" s="1" t="s">
        <v>50</v>
      </c>
    </row>
    <row r="3" spans="1:7">
      <c r="B3" s="1" t="s">
        <v>49</v>
      </c>
    </row>
    <row r="4" spans="1:7">
      <c r="E4" s="1" t="s">
        <v>0</v>
      </c>
      <c r="F4" s="1">
        <v>6.43</v>
      </c>
    </row>
    <row r="5" spans="1:7">
      <c r="E5" s="1" t="s">
        <v>1</v>
      </c>
      <c r="F5" s="1">
        <v>51.373969000000002</v>
      </c>
      <c r="G5" s="1" t="s">
        <v>11</v>
      </c>
    </row>
    <row r="6" spans="1:7">
      <c r="E6" s="1" t="s">
        <v>2</v>
      </c>
      <c r="F6" s="1">
        <f>+F4*F5</f>
        <v>330.33462066999999</v>
      </c>
    </row>
    <row r="7" spans="1:7">
      <c r="E7" s="1" t="s">
        <v>3</v>
      </c>
      <c r="F7" s="1">
        <f>1.166+2.796</f>
        <v>3.9619999999999997</v>
      </c>
      <c r="G7" s="1" t="str">
        <f>+G5</f>
        <v>Q224</v>
      </c>
    </row>
    <row r="8" spans="1:7">
      <c r="E8" s="1" t="s">
        <v>4</v>
      </c>
      <c r="F8" s="1">
        <f>257.5+0</f>
        <v>257.5</v>
      </c>
      <c r="G8" s="1" t="str">
        <f>+G7</f>
        <v>Q224</v>
      </c>
    </row>
    <row r="9" spans="1:7">
      <c r="E9" s="1" t="s">
        <v>5</v>
      </c>
      <c r="F9" s="1">
        <f>+F6-F7+F8</f>
        <v>583.87262067000006</v>
      </c>
    </row>
    <row r="12" spans="1:7">
      <c r="A12" s="15" t="s">
        <v>87</v>
      </c>
      <c r="B12" s="4" t="s">
        <v>47</v>
      </c>
    </row>
    <row r="13" spans="1:7">
      <c r="B13" s="15" t="s">
        <v>86</v>
      </c>
    </row>
  </sheetData>
  <hyperlinks>
    <hyperlink ref="A12" r:id="rId1" xr:uid="{EBBBF288-CB25-0143-A9A6-BDD6D5D51285}"/>
    <hyperlink ref="B13" r:id="rId2" xr:uid="{8386879C-8E86-4148-B3BB-11BD1765CF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F1BE-89A8-CB42-B85C-71DBEDE843C1}">
  <dimension ref="A1:XFD83"/>
  <sheetViews>
    <sheetView tabSelected="1" zoomScale="140" zoomScaleNormal="14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I45" sqref="AI45"/>
    </sheetView>
  </sheetViews>
  <sheetFormatPr baseColWidth="10" defaultRowHeight="13"/>
  <cols>
    <col min="1" max="1" width="3.33203125" style="1" bestFit="1" customWidth="1"/>
    <col min="2" max="2" width="25.6640625" style="1" bestFit="1" customWidth="1"/>
    <col min="3" max="11" width="7.6640625" style="1" bestFit="1" customWidth="1"/>
    <col min="12" max="12" width="8.1640625" style="1" bestFit="1" customWidth="1"/>
    <col min="13" max="14" width="5.5" style="1" bestFit="1" customWidth="1"/>
    <col min="15" max="15" width="10.83203125" style="1"/>
    <col min="16" max="18" width="5.1640625" style="1" bestFit="1" customWidth="1"/>
    <col min="19" max="20" width="7.6640625" style="1" bestFit="1" customWidth="1"/>
    <col min="21" max="22" width="8.1640625" style="1" bestFit="1" customWidth="1"/>
    <col min="23" max="31" width="7.6640625" style="1" bestFit="1" customWidth="1"/>
    <col min="32" max="33" width="6.6640625" style="1" bestFit="1" customWidth="1"/>
    <col min="34" max="34" width="8.1640625" style="1" bestFit="1" customWidth="1"/>
    <col min="35" max="35" width="11.6640625" style="1" bestFit="1" customWidth="1"/>
    <col min="36" max="36" width="6.6640625" style="1" bestFit="1" customWidth="1"/>
    <col min="37" max="37" width="9.1640625" style="1" bestFit="1" customWidth="1"/>
    <col min="38" max="133" width="6.6640625" style="1" bestFit="1" customWidth="1"/>
    <col min="134" max="231" width="7.6640625" style="1" bestFit="1" customWidth="1"/>
    <col min="232" max="7997" width="5.1640625" style="1" bestFit="1" customWidth="1"/>
    <col min="7998" max="16383" width="6.1640625" style="1" bestFit="1" customWidth="1"/>
    <col min="16384" max="16384" width="2.1640625" style="1" bestFit="1" customWidth="1"/>
  </cols>
  <sheetData>
    <row r="1" spans="1:231 16384:16384">
      <c r="A1" s="13" t="s">
        <v>46</v>
      </c>
    </row>
    <row r="2" spans="1:231 16384:16384" s="5" customFormat="1">
      <c r="C2" s="5" t="s">
        <v>15</v>
      </c>
      <c r="D2" s="5" t="s">
        <v>16</v>
      </c>
      <c r="E2" s="5" t="s">
        <v>17</v>
      </c>
      <c r="F2" s="5" t="s">
        <v>18</v>
      </c>
      <c r="G2" s="5" t="s">
        <v>7</v>
      </c>
      <c r="H2" s="5" t="s">
        <v>8</v>
      </c>
      <c r="I2" s="5" t="s">
        <v>9</v>
      </c>
      <c r="J2" s="5" t="s">
        <v>36</v>
      </c>
      <c r="K2" s="5" t="s">
        <v>6</v>
      </c>
      <c r="L2" s="5" t="s">
        <v>11</v>
      </c>
      <c r="M2" s="5" t="s">
        <v>12</v>
      </c>
      <c r="N2" s="5" t="s">
        <v>10</v>
      </c>
      <c r="P2" s="5">
        <v>2018</v>
      </c>
      <c r="Q2" s="5">
        <f>+P2+1</f>
        <v>2019</v>
      </c>
      <c r="R2" s="5">
        <f t="shared" ref="R2:CC2" si="0">+Q2+1</f>
        <v>2020</v>
      </c>
      <c r="S2" s="5">
        <f t="shared" si="0"/>
        <v>2021</v>
      </c>
      <c r="T2" s="5">
        <f t="shared" si="0"/>
        <v>2022</v>
      </c>
      <c r="U2" s="5">
        <f t="shared" si="0"/>
        <v>2023</v>
      </c>
      <c r="V2" s="5">
        <f t="shared" si="0"/>
        <v>2024</v>
      </c>
      <c r="W2" s="5">
        <f t="shared" si="0"/>
        <v>2025</v>
      </c>
      <c r="X2" s="5">
        <f t="shared" si="0"/>
        <v>2026</v>
      </c>
      <c r="Y2" s="5">
        <f t="shared" si="0"/>
        <v>2027</v>
      </c>
      <c r="Z2" s="5">
        <f t="shared" si="0"/>
        <v>2028</v>
      </c>
      <c r="AA2" s="5">
        <f t="shared" si="0"/>
        <v>2029</v>
      </c>
      <c r="AB2" s="5">
        <f t="shared" si="0"/>
        <v>2030</v>
      </c>
      <c r="AC2" s="5">
        <f t="shared" si="0"/>
        <v>2031</v>
      </c>
      <c r="AD2" s="5">
        <f t="shared" si="0"/>
        <v>2032</v>
      </c>
      <c r="AE2" s="5">
        <f t="shared" si="0"/>
        <v>2033</v>
      </c>
      <c r="AF2" s="5">
        <f t="shared" si="0"/>
        <v>2034</v>
      </c>
      <c r="AG2" s="5">
        <f t="shared" si="0"/>
        <v>2035</v>
      </c>
      <c r="AH2" s="5">
        <f t="shared" si="0"/>
        <v>2036</v>
      </c>
      <c r="AI2" s="5">
        <f t="shared" si="0"/>
        <v>2037</v>
      </c>
      <c r="AJ2" s="5">
        <f t="shared" si="0"/>
        <v>2038</v>
      </c>
      <c r="AK2" s="5">
        <f t="shared" si="0"/>
        <v>2039</v>
      </c>
      <c r="AL2" s="5">
        <f t="shared" si="0"/>
        <v>2040</v>
      </c>
      <c r="AM2" s="5">
        <f t="shared" si="0"/>
        <v>2041</v>
      </c>
      <c r="AN2" s="5">
        <f t="shared" si="0"/>
        <v>2042</v>
      </c>
      <c r="AO2" s="5">
        <f t="shared" si="0"/>
        <v>2043</v>
      </c>
      <c r="AP2" s="5">
        <f t="shared" si="0"/>
        <v>2044</v>
      </c>
      <c r="AQ2" s="5">
        <f t="shared" si="0"/>
        <v>2045</v>
      </c>
      <c r="AR2" s="5">
        <f t="shared" si="0"/>
        <v>2046</v>
      </c>
      <c r="AS2" s="5">
        <f t="shared" si="0"/>
        <v>2047</v>
      </c>
      <c r="AT2" s="5">
        <f t="shared" si="0"/>
        <v>2048</v>
      </c>
      <c r="AU2" s="5">
        <f t="shared" si="0"/>
        <v>2049</v>
      </c>
      <c r="AV2" s="5">
        <f t="shared" si="0"/>
        <v>2050</v>
      </c>
      <c r="AW2" s="5">
        <f t="shared" si="0"/>
        <v>2051</v>
      </c>
      <c r="AX2" s="5">
        <f t="shared" si="0"/>
        <v>2052</v>
      </c>
      <c r="AY2" s="5">
        <f t="shared" si="0"/>
        <v>2053</v>
      </c>
      <c r="AZ2" s="5">
        <f t="shared" si="0"/>
        <v>2054</v>
      </c>
      <c r="BA2" s="5">
        <f t="shared" si="0"/>
        <v>2055</v>
      </c>
      <c r="BB2" s="5">
        <f t="shared" si="0"/>
        <v>2056</v>
      </c>
      <c r="BC2" s="5">
        <f t="shared" si="0"/>
        <v>2057</v>
      </c>
      <c r="BD2" s="5">
        <f t="shared" si="0"/>
        <v>2058</v>
      </c>
      <c r="BE2" s="5">
        <f t="shared" si="0"/>
        <v>2059</v>
      </c>
      <c r="BF2" s="5">
        <f t="shared" si="0"/>
        <v>2060</v>
      </c>
      <c r="BG2" s="5">
        <f t="shared" si="0"/>
        <v>2061</v>
      </c>
      <c r="BH2" s="5">
        <f t="shared" si="0"/>
        <v>2062</v>
      </c>
      <c r="BI2" s="5">
        <f t="shared" si="0"/>
        <v>2063</v>
      </c>
      <c r="BJ2" s="5">
        <f t="shared" si="0"/>
        <v>2064</v>
      </c>
      <c r="BK2" s="5">
        <f t="shared" si="0"/>
        <v>2065</v>
      </c>
      <c r="BL2" s="5">
        <f t="shared" si="0"/>
        <v>2066</v>
      </c>
      <c r="BM2" s="5">
        <f t="shared" si="0"/>
        <v>2067</v>
      </c>
      <c r="BN2" s="5">
        <f t="shared" si="0"/>
        <v>2068</v>
      </c>
      <c r="BO2" s="5">
        <f t="shared" si="0"/>
        <v>2069</v>
      </c>
      <c r="BP2" s="5">
        <f t="shared" si="0"/>
        <v>2070</v>
      </c>
      <c r="BQ2" s="5">
        <f t="shared" si="0"/>
        <v>2071</v>
      </c>
      <c r="BR2" s="5">
        <f t="shared" si="0"/>
        <v>2072</v>
      </c>
      <c r="BS2" s="5">
        <f t="shared" si="0"/>
        <v>2073</v>
      </c>
      <c r="BT2" s="5">
        <f t="shared" si="0"/>
        <v>2074</v>
      </c>
      <c r="BU2" s="5">
        <f t="shared" si="0"/>
        <v>2075</v>
      </c>
      <c r="BV2" s="5">
        <f t="shared" si="0"/>
        <v>2076</v>
      </c>
      <c r="BW2" s="5">
        <f t="shared" si="0"/>
        <v>2077</v>
      </c>
      <c r="BX2" s="5">
        <f t="shared" si="0"/>
        <v>2078</v>
      </c>
      <c r="BY2" s="5">
        <f t="shared" si="0"/>
        <v>2079</v>
      </c>
      <c r="BZ2" s="5">
        <f t="shared" si="0"/>
        <v>2080</v>
      </c>
      <c r="CA2" s="5">
        <f t="shared" si="0"/>
        <v>2081</v>
      </c>
      <c r="CB2" s="5">
        <f t="shared" si="0"/>
        <v>2082</v>
      </c>
      <c r="CC2" s="5">
        <f t="shared" si="0"/>
        <v>2083</v>
      </c>
      <c r="CD2" s="5">
        <f t="shared" ref="CD2:EO2" si="1">+CC2+1</f>
        <v>2084</v>
      </c>
      <c r="CE2" s="5">
        <f t="shared" si="1"/>
        <v>2085</v>
      </c>
      <c r="CF2" s="5">
        <f t="shared" si="1"/>
        <v>2086</v>
      </c>
      <c r="CG2" s="5">
        <f t="shared" si="1"/>
        <v>2087</v>
      </c>
      <c r="CH2" s="5">
        <f t="shared" si="1"/>
        <v>2088</v>
      </c>
      <c r="CI2" s="5">
        <f t="shared" si="1"/>
        <v>2089</v>
      </c>
      <c r="CJ2" s="5">
        <f t="shared" si="1"/>
        <v>2090</v>
      </c>
      <c r="CK2" s="5">
        <f t="shared" si="1"/>
        <v>2091</v>
      </c>
      <c r="CL2" s="5">
        <f t="shared" si="1"/>
        <v>2092</v>
      </c>
      <c r="CM2" s="5">
        <f t="shared" si="1"/>
        <v>2093</v>
      </c>
      <c r="CN2" s="5">
        <f t="shared" si="1"/>
        <v>2094</v>
      </c>
      <c r="CO2" s="5">
        <f t="shared" si="1"/>
        <v>2095</v>
      </c>
      <c r="CP2" s="5">
        <f t="shared" si="1"/>
        <v>2096</v>
      </c>
      <c r="CQ2" s="5">
        <f t="shared" si="1"/>
        <v>2097</v>
      </c>
      <c r="CR2" s="5">
        <f t="shared" si="1"/>
        <v>2098</v>
      </c>
      <c r="CS2" s="5">
        <f t="shared" si="1"/>
        <v>2099</v>
      </c>
      <c r="CT2" s="5">
        <f t="shared" si="1"/>
        <v>2100</v>
      </c>
      <c r="CU2" s="5">
        <f t="shared" si="1"/>
        <v>2101</v>
      </c>
      <c r="CV2" s="5">
        <f t="shared" si="1"/>
        <v>2102</v>
      </c>
      <c r="CW2" s="5">
        <f t="shared" si="1"/>
        <v>2103</v>
      </c>
      <c r="CX2" s="5">
        <f t="shared" si="1"/>
        <v>2104</v>
      </c>
      <c r="CY2" s="5">
        <f t="shared" si="1"/>
        <v>2105</v>
      </c>
      <c r="CZ2" s="5">
        <f t="shared" si="1"/>
        <v>2106</v>
      </c>
      <c r="DA2" s="5">
        <f t="shared" si="1"/>
        <v>2107</v>
      </c>
      <c r="DB2" s="5">
        <f t="shared" si="1"/>
        <v>2108</v>
      </c>
      <c r="DC2" s="5">
        <f t="shared" si="1"/>
        <v>2109</v>
      </c>
      <c r="DD2" s="5">
        <f t="shared" si="1"/>
        <v>2110</v>
      </c>
      <c r="DE2" s="5">
        <f t="shared" si="1"/>
        <v>2111</v>
      </c>
      <c r="DF2" s="5">
        <f t="shared" si="1"/>
        <v>2112</v>
      </c>
      <c r="DG2" s="5">
        <f t="shared" si="1"/>
        <v>2113</v>
      </c>
      <c r="DH2" s="5">
        <f t="shared" si="1"/>
        <v>2114</v>
      </c>
      <c r="DI2" s="5">
        <f t="shared" si="1"/>
        <v>2115</v>
      </c>
      <c r="DJ2" s="5">
        <f t="shared" si="1"/>
        <v>2116</v>
      </c>
      <c r="DK2" s="5">
        <f t="shared" si="1"/>
        <v>2117</v>
      </c>
      <c r="DL2" s="5">
        <f t="shared" si="1"/>
        <v>2118</v>
      </c>
      <c r="DM2" s="5">
        <f t="shared" si="1"/>
        <v>2119</v>
      </c>
      <c r="DN2" s="5">
        <f t="shared" si="1"/>
        <v>2120</v>
      </c>
      <c r="DO2" s="5">
        <f t="shared" si="1"/>
        <v>2121</v>
      </c>
      <c r="DP2" s="5">
        <f t="shared" si="1"/>
        <v>2122</v>
      </c>
      <c r="DQ2" s="5">
        <f t="shared" si="1"/>
        <v>2123</v>
      </c>
      <c r="DR2" s="5">
        <f t="shared" si="1"/>
        <v>2124</v>
      </c>
      <c r="DS2" s="5">
        <f t="shared" si="1"/>
        <v>2125</v>
      </c>
      <c r="DT2" s="5">
        <f t="shared" si="1"/>
        <v>2126</v>
      </c>
      <c r="DU2" s="5">
        <f t="shared" si="1"/>
        <v>2127</v>
      </c>
      <c r="DV2" s="5">
        <f t="shared" si="1"/>
        <v>2128</v>
      </c>
      <c r="DW2" s="5">
        <f t="shared" si="1"/>
        <v>2129</v>
      </c>
      <c r="DX2" s="5">
        <f t="shared" si="1"/>
        <v>2130</v>
      </c>
      <c r="DY2" s="5">
        <f t="shared" si="1"/>
        <v>2131</v>
      </c>
      <c r="DZ2" s="5">
        <f t="shared" si="1"/>
        <v>2132</v>
      </c>
      <c r="EA2" s="5">
        <f t="shared" si="1"/>
        <v>2133</v>
      </c>
      <c r="EB2" s="5">
        <f t="shared" si="1"/>
        <v>2134</v>
      </c>
      <c r="EC2" s="5">
        <f t="shared" si="1"/>
        <v>2135</v>
      </c>
      <c r="ED2" s="5">
        <f t="shared" si="1"/>
        <v>2136</v>
      </c>
      <c r="EE2" s="5">
        <f t="shared" si="1"/>
        <v>2137</v>
      </c>
      <c r="EF2" s="5">
        <f t="shared" si="1"/>
        <v>2138</v>
      </c>
      <c r="EG2" s="5">
        <f t="shared" si="1"/>
        <v>2139</v>
      </c>
      <c r="EH2" s="5">
        <f t="shared" si="1"/>
        <v>2140</v>
      </c>
      <c r="EI2" s="5">
        <f t="shared" si="1"/>
        <v>2141</v>
      </c>
      <c r="EJ2" s="5">
        <f t="shared" si="1"/>
        <v>2142</v>
      </c>
      <c r="EK2" s="5">
        <f t="shared" si="1"/>
        <v>2143</v>
      </c>
      <c r="EL2" s="5">
        <f t="shared" si="1"/>
        <v>2144</v>
      </c>
      <c r="EM2" s="5">
        <f t="shared" si="1"/>
        <v>2145</v>
      </c>
      <c r="EN2" s="5">
        <f t="shared" si="1"/>
        <v>2146</v>
      </c>
      <c r="EO2" s="5">
        <f t="shared" si="1"/>
        <v>2147</v>
      </c>
      <c r="EP2" s="5">
        <f t="shared" ref="EP2:HA2" si="2">+EO2+1</f>
        <v>2148</v>
      </c>
      <c r="EQ2" s="5">
        <f t="shared" si="2"/>
        <v>2149</v>
      </c>
      <c r="ER2" s="5">
        <f t="shared" si="2"/>
        <v>2150</v>
      </c>
      <c r="ES2" s="5">
        <f t="shared" si="2"/>
        <v>2151</v>
      </c>
      <c r="ET2" s="5">
        <f t="shared" si="2"/>
        <v>2152</v>
      </c>
      <c r="EU2" s="5">
        <f t="shared" si="2"/>
        <v>2153</v>
      </c>
      <c r="EV2" s="5">
        <f t="shared" si="2"/>
        <v>2154</v>
      </c>
      <c r="EW2" s="5">
        <f t="shared" si="2"/>
        <v>2155</v>
      </c>
      <c r="EX2" s="5">
        <f t="shared" si="2"/>
        <v>2156</v>
      </c>
      <c r="EY2" s="5">
        <f t="shared" si="2"/>
        <v>2157</v>
      </c>
      <c r="EZ2" s="5">
        <f t="shared" si="2"/>
        <v>2158</v>
      </c>
      <c r="FA2" s="5">
        <f t="shared" si="2"/>
        <v>2159</v>
      </c>
      <c r="FB2" s="5">
        <f t="shared" si="2"/>
        <v>2160</v>
      </c>
      <c r="FC2" s="5">
        <f t="shared" si="2"/>
        <v>2161</v>
      </c>
      <c r="FD2" s="5">
        <f t="shared" si="2"/>
        <v>2162</v>
      </c>
      <c r="FE2" s="5">
        <f t="shared" si="2"/>
        <v>2163</v>
      </c>
      <c r="FF2" s="5">
        <f t="shared" si="2"/>
        <v>2164</v>
      </c>
      <c r="FG2" s="5">
        <f t="shared" si="2"/>
        <v>2165</v>
      </c>
      <c r="FH2" s="5">
        <f t="shared" si="2"/>
        <v>2166</v>
      </c>
      <c r="FI2" s="5">
        <f t="shared" si="2"/>
        <v>2167</v>
      </c>
      <c r="FJ2" s="5">
        <f t="shared" si="2"/>
        <v>2168</v>
      </c>
      <c r="FK2" s="5">
        <f t="shared" si="2"/>
        <v>2169</v>
      </c>
      <c r="FL2" s="5">
        <f t="shared" si="2"/>
        <v>2170</v>
      </c>
      <c r="FM2" s="5">
        <f t="shared" si="2"/>
        <v>2171</v>
      </c>
      <c r="FN2" s="5">
        <f t="shared" si="2"/>
        <v>2172</v>
      </c>
      <c r="FO2" s="5">
        <f t="shared" si="2"/>
        <v>2173</v>
      </c>
      <c r="FP2" s="5">
        <f t="shared" si="2"/>
        <v>2174</v>
      </c>
      <c r="FQ2" s="5">
        <f t="shared" si="2"/>
        <v>2175</v>
      </c>
      <c r="FR2" s="5">
        <f t="shared" si="2"/>
        <v>2176</v>
      </c>
      <c r="FS2" s="5">
        <f t="shared" si="2"/>
        <v>2177</v>
      </c>
      <c r="FT2" s="5">
        <f t="shared" si="2"/>
        <v>2178</v>
      </c>
      <c r="FU2" s="5">
        <f t="shared" si="2"/>
        <v>2179</v>
      </c>
      <c r="FV2" s="5">
        <f t="shared" si="2"/>
        <v>2180</v>
      </c>
      <c r="FW2" s="5">
        <f t="shared" si="2"/>
        <v>2181</v>
      </c>
      <c r="FX2" s="5">
        <f t="shared" si="2"/>
        <v>2182</v>
      </c>
      <c r="FY2" s="5">
        <f t="shared" si="2"/>
        <v>2183</v>
      </c>
      <c r="FZ2" s="5">
        <f t="shared" si="2"/>
        <v>2184</v>
      </c>
      <c r="GA2" s="5">
        <f t="shared" si="2"/>
        <v>2185</v>
      </c>
      <c r="GB2" s="5">
        <f t="shared" si="2"/>
        <v>2186</v>
      </c>
      <c r="GC2" s="5">
        <f t="shared" si="2"/>
        <v>2187</v>
      </c>
      <c r="GD2" s="5">
        <f t="shared" si="2"/>
        <v>2188</v>
      </c>
      <c r="GE2" s="5">
        <f t="shared" si="2"/>
        <v>2189</v>
      </c>
      <c r="GF2" s="5">
        <f t="shared" si="2"/>
        <v>2190</v>
      </c>
      <c r="GG2" s="5">
        <f t="shared" si="2"/>
        <v>2191</v>
      </c>
      <c r="GH2" s="5">
        <f t="shared" si="2"/>
        <v>2192</v>
      </c>
      <c r="GI2" s="5">
        <f t="shared" si="2"/>
        <v>2193</v>
      </c>
      <c r="GJ2" s="5">
        <f t="shared" si="2"/>
        <v>2194</v>
      </c>
      <c r="GK2" s="5">
        <f t="shared" si="2"/>
        <v>2195</v>
      </c>
      <c r="GL2" s="5">
        <f t="shared" si="2"/>
        <v>2196</v>
      </c>
      <c r="GM2" s="5">
        <f t="shared" si="2"/>
        <v>2197</v>
      </c>
      <c r="GN2" s="5">
        <f t="shared" si="2"/>
        <v>2198</v>
      </c>
      <c r="GO2" s="5">
        <f t="shared" si="2"/>
        <v>2199</v>
      </c>
      <c r="GP2" s="5">
        <f t="shared" si="2"/>
        <v>2200</v>
      </c>
      <c r="GQ2" s="5">
        <f t="shared" si="2"/>
        <v>2201</v>
      </c>
      <c r="GR2" s="5">
        <f t="shared" si="2"/>
        <v>2202</v>
      </c>
      <c r="GS2" s="5">
        <f t="shared" si="2"/>
        <v>2203</v>
      </c>
      <c r="GT2" s="5">
        <f t="shared" si="2"/>
        <v>2204</v>
      </c>
      <c r="GU2" s="5">
        <f t="shared" si="2"/>
        <v>2205</v>
      </c>
      <c r="GV2" s="5">
        <f t="shared" si="2"/>
        <v>2206</v>
      </c>
      <c r="GW2" s="5">
        <f t="shared" si="2"/>
        <v>2207</v>
      </c>
      <c r="GX2" s="5">
        <f t="shared" si="2"/>
        <v>2208</v>
      </c>
      <c r="GY2" s="5">
        <f t="shared" si="2"/>
        <v>2209</v>
      </c>
      <c r="GZ2" s="5">
        <f t="shared" si="2"/>
        <v>2210</v>
      </c>
      <c r="HA2" s="5">
        <f t="shared" si="2"/>
        <v>2211</v>
      </c>
      <c r="HB2" s="5">
        <f t="shared" ref="HB2:HW2" si="3">+HA2+1</f>
        <v>2212</v>
      </c>
      <c r="HC2" s="5">
        <f t="shared" si="3"/>
        <v>2213</v>
      </c>
      <c r="HD2" s="5">
        <f t="shared" si="3"/>
        <v>2214</v>
      </c>
      <c r="HE2" s="5">
        <f t="shared" si="3"/>
        <v>2215</v>
      </c>
      <c r="HF2" s="5">
        <f t="shared" si="3"/>
        <v>2216</v>
      </c>
      <c r="HG2" s="5">
        <f t="shared" si="3"/>
        <v>2217</v>
      </c>
      <c r="HH2" s="5">
        <f t="shared" si="3"/>
        <v>2218</v>
      </c>
      <c r="HI2" s="5">
        <f t="shared" si="3"/>
        <v>2219</v>
      </c>
      <c r="HJ2" s="5">
        <f t="shared" si="3"/>
        <v>2220</v>
      </c>
      <c r="HK2" s="5">
        <f t="shared" si="3"/>
        <v>2221</v>
      </c>
      <c r="HL2" s="5">
        <f t="shared" si="3"/>
        <v>2222</v>
      </c>
      <c r="HM2" s="5">
        <f t="shared" si="3"/>
        <v>2223</v>
      </c>
      <c r="HN2" s="5">
        <f t="shared" si="3"/>
        <v>2224</v>
      </c>
      <c r="HO2" s="5">
        <f t="shared" si="3"/>
        <v>2225</v>
      </c>
      <c r="HP2" s="5">
        <f t="shared" si="3"/>
        <v>2226</v>
      </c>
      <c r="HQ2" s="5">
        <f t="shared" si="3"/>
        <v>2227</v>
      </c>
      <c r="HR2" s="5">
        <f t="shared" si="3"/>
        <v>2228</v>
      </c>
      <c r="HS2" s="5">
        <f t="shared" si="3"/>
        <v>2229</v>
      </c>
      <c r="HT2" s="5">
        <f t="shared" si="3"/>
        <v>2230</v>
      </c>
      <c r="HU2" s="5">
        <f t="shared" si="3"/>
        <v>2231</v>
      </c>
      <c r="HV2" s="5">
        <f t="shared" si="3"/>
        <v>2232</v>
      </c>
      <c r="HW2" s="5">
        <f t="shared" si="3"/>
        <v>2233</v>
      </c>
      <c r="XFD2" s="5">
        <f t="shared" ref="XFD2" si="4">+XFC2+1</f>
        <v>1</v>
      </c>
    </row>
    <row r="3" spans="1:231 16384:16384" s="9" customFormat="1">
      <c r="B3" s="9" t="s">
        <v>37</v>
      </c>
      <c r="C3" s="9">
        <v>65</v>
      </c>
      <c r="D3" s="9">
        <v>65</v>
      </c>
      <c r="E3" s="9">
        <v>66</v>
      </c>
      <c r="F3" s="9">
        <f>+T3</f>
        <v>66</v>
      </c>
      <c r="G3" s="9">
        <v>66</v>
      </c>
      <c r="H3" s="9">
        <v>66</v>
      </c>
      <c r="I3" s="9">
        <v>66</v>
      </c>
      <c r="J3" s="9">
        <f>+U3</f>
        <v>65</v>
      </c>
      <c r="K3" s="9">
        <v>64</v>
      </c>
      <c r="L3" s="9">
        <v>64</v>
      </c>
      <c r="S3" s="9">
        <v>65</v>
      </c>
      <c r="T3" s="9">
        <v>66</v>
      </c>
      <c r="U3" s="9">
        <v>65</v>
      </c>
    </row>
    <row r="4" spans="1:231 16384:16384" s="9" customFormat="1">
      <c r="B4" s="9" t="s">
        <v>38</v>
      </c>
      <c r="C4" s="9">
        <v>1569</v>
      </c>
      <c r="D4" s="9">
        <v>1566</v>
      </c>
      <c r="E4" s="9">
        <v>1547</v>
      </c>
      <c r="F4" s="9">
        <f>+T4</f>
        <v>1536</v>
      </c>
      <c r="G4" s="9">
        <v>1528</v>
      </c>
      <c r="H4" s="9">
        <v>1525</v>
      </c>
      <c r="I4" s="9">
        <v>1522</v>
      </c>
      <c r="J4" s="9">
        <f>+U4</f>
        <v>1508</v>
      </c>
      <c r="K4" s="9">
        <v>1489</v>
      </c>
      <c r="L4" s="9">
        <v>1477</v>
      </c>
      <c r="S4" s="9">
        <v>1575</v>
      </c>
      <c r="T4" s="9">
        <v>1536</v>
      </c>
      <c r="U4" s="9">
        <v>1508</v>
      </c>
    </row>
    <row r="5" spans="1:231 16384:16384" s="9" customFormat="1">
      <c r="B5" s="11" t="s">
        <v>39</v>
      </c>
      <c r="C5" s="11">
        <f t="shared" ref="C5:K5" si="5">+SUM(C3:C4)</f>
        <v>1634</v>
      </c>
      <c r="D5" s="11">
        <f t="shared" si="5"/>
        <v>1631</v>
      </c>
      <c r="E5" s="11">
        <f t="shared" si="5"/>
        <v>1613</v>
      </c>
      <c r="F5" s="11">
        <f t="shared" si="5"/>
        <v>1602</v>
      </c>
      <c r="G5" s="11">
        <f t="shared" si="5"/>
        <v>1594</v>
      </c>
      <c r="H5" s="11">
        <f t="shared" si="5"/>
        <v>1591</v>
      </c>
      <c r="I5" s="11">
        <f t="shared" si="5"/>
        <v>1588</v>
      </c>
      <c r="J5" s="11">
        <f t="shared" si="5"/>
        <v>1573</v>
      </c>
      <c r="K5" s="11">
        <f t="shared" si="5"/>
        <v>1553</v>
      </c>
      <c r="L5" s="11">
        <f>+SUM(L3:L4)</f>
        <v>1541</v>
      </c>
      <c r="P5" s="11"/>
      <c r="Q5" s="11"/>
      <c r="R5" s="11"/>
      <c r="S5" s="11">
        <f>+SUM(S3:S4)</f>
        <v>1640</v>
      </c>
      <c r="T5" s="11">
        <f>+SUM(T3:T4)</f>
        <v>1602</v>
      </c>
      <c r="U5" s="11">
        <f>+SUM(U3:U4)</f>
        <v>1573</v>
      </c>
      <c r="V5" s="11">
        <f>+U5+15</f>
        <v>1588</v>
      </c>
      <c r="W5" s="11">
        <f>+V5+10</f>
        <v>1598</v>
      </c>
      <c r="X5" s="11">
        <f t="shared" ref="X5:AE5" si="6">+W5+10</f>
        <v>1608</v>
      </c>
      <c r="Y5" s="11">
        <f t="shared" si="6"/>
        <v>1618</v>
      </c>
      <c r="Z5" s="11">
        <f t="shared" si="6"/>
        <v>1628</v>
      </c>
      <c r="AA5" s="11">
        <f t="shared" si="6"/>
        <v>1638</v>
      </c>
      <c r="AB5" s="11">
        <f t="shared" si="6"/>
        <v>1648</v>
      </c>
      <c r="AC5" s="11">
        <f t="shared" si="6"/>
        <v>1658</v>
      </c>
      <c r="AD5" s="11">
        <f t="shared" si="6"/>
        <v>1668</v>
      </c>
      <c r="AE5" s="11">
        <f t="shared" si="6"/>
        <v>1678</v>
      </c>
    </row>
    <row r="6" spans="1:231 16384:16384" s="10" customFormat="1">
      <c r="B6" s="9" t="s">
        <v>40</v>
      </c>
      <c r="E6" s="10">
        <v>8</v>
      </c>
      <c r="F6" s="9">
        <f>+T6</f>
        <v>8</v>
      </c>
      <c r="G6" s="10">
        <v>8</v>
      </c>
      <c r="H6" s="10">
        <v>8</v>
      </c>
      <c r="I6" s="10">
        <v>8</v>
      </c>
      <c r="J6" s="9">
        <f>+U6</f>
        <v>8</v>
      </c>
      <c r="K6" s="10">
        <v>11</v>
      </c>
      <c r="L6" s="10">
        <v>11</v>
      </c>
      <c r="S6" s="10">
        <v>0</v>
      </c>
      <c r="T6" s="10">
        <v>8</v>
      </c>
      <c r="U6" s="10">
        <v>8</v>
      </c>
    </row>
    <row r="7" spans="1:231 16384:16384" s="10" customFormat="1">
      <c r="B7" s="9" t="s">
        <v>41</v>
      </c>
      <c r="E7" s="10">
        <v>45</v>
      </c>
      <c r="F7" s="9">
        <f>+T7</f>
        <v>46</v>
      </c>
      <c r="G7" s="10">
        <v>46</v>
      </c>
      <c r="H7" s="10">
        <v>47</v>
      </c>
      <c r="I7" s="10">
        <v>48</v>
      </c>
      <c r="J7" s="9">
        <f>+U7</f>
        <v>50</v>
      </c>
      <c r="K7" s="10">
        <v>50</v>
      </c>
      <c r="L7" s="10">
        <v>51</v>
      </c>
      <c r="S7" s="10">
        <v>0</v>
      </c>
      <c r="T7" s="10">
        <v>46</v>
      </c>
      <c r="U7" s="10">
        <v>50</v>
      </c>
    </row>
    <row r="8" spans="1:231 16384:16384" s="10" customFormat="1">
      <c r="B8" s="12" t="s">
        <v>42</v>
      </c>
      <c r="C8" s="12">
        <f t="shared" ref="C8:K8" si="7">SUM(C6:C7)</f>
        <v>0</v>
      </c>
      <c r="D8" s="12">
        <f t="shared" si="7"/>
        <v>0</v>
      </c>
      <c r="E8" s="12">
        <f t="shared" si="7"/>
        <v>53</v>
      </c>
      <c r="F8" s="12">
        <f t="shared" si="7"/>
        <v>54</v>
      </c>
      <c r="G8" s="12">
        <f t="shared" si="7"/>
        <v>54</v>
      </c>
      <c r="H8" s="12">
        <f t="shared" si="7"/>
        <v>55</v>
      </c>
      <c r="I8" s="12">
        <f t="shared" si="7"/>
        <v>56</v>
      </c>
      <c r="J8" s="12">
        <f t="shared" si="7"/>
        <v>58</v>
      </c>
      <c r="K8" s="12">
        <f t="shared" si="7"/>
        <v>61</v>
      </c>
      <c r="L8" s="12">
        <f>SUM(L6:L7)</f>
        <v>62</v>
      </c>
      <c r="M8" s="8"/>
      <c r="N8" s="8"/>
      <c r="P8" s="12"/>
      <c r="Q8" s="12"/>
      <c r="R8" s="12"/>
      <c r="S8" s="12">
        <f>SUM(S6:S7)</f>
        <v>0</v>
      </c>
      <c r="T8" s="12">
        <f>SUM(T6:T7)</f>
        <v>54</v>
      </c>
      <c r="U8" s="12">
        <f>SUM(U6:U7)</f>
        <v>58</v>
      </c>
      <c r="V8" s="12">
        <f>+U8+14</f>
        <v>72</v>
      </c>
      <c r="W8" s="12">
        <f t="shared" ref="W8:AE8" si="8">+V8+14</f>
        <v>86</v>
      </c>
      <c r="X8" s="12">
        <f>+W8+14</f>
        <v>100</v>
      </c>
      <c r="Y8" s="12">
        <f t="shared" si="8"/>
        <v>114</v>
      </c>
      <c r="Z8" s="12">
        <f t="shared" si="8"/>
        <v>128</v>
      </c>
      <c r="AA8" s="12">
        <f t="shared" si="8"/>
        <v>142</v>
      </c>
      <c r="AB8" s="12">
        <f t="shared" si="8"/>
        <v>156</v>
      </c>
      <c r="AC8" s="12">
        <f t="shared" si="8"/>
        <v>170</v>
      </c>
      <c r="AD8" s="12">
        <f t="shared" si="8"/>
        <v>184</v>
      </c>
      <c r="AE8" s="12">
        <f t="shared" si="8"/>
        <v>198</v>
      </c>
    </row>
    <row r="9" spans="1:231 16384:16384" s="9" customFormat="1">
      <c r="B9" s="9" t="s">
        <v>43</v>
      </c>
      <c r="C9" s="9">
        <f t="shared" ref="C9:K9" si="9">SUM(C5,C8)</f>
        <v>1634</v>
      </c>
      <c r="D9" s="9">
        <f t="shared" si="9"/>
        <v>1631</v>
      </c>
      <c r="E9" s="9">
        <f t="shared" si="9"/>
        <v>1666</v>
      </c>
      <c r="F9" s="9">
        <f>SUM(F5,F8)</f>
        <v>1656</v>
      </c>
      <c r="G9" s="9">
        <f t="shared" si="9"/>
        <v>1648</v>
      </c>
      <c r="H9" s="9">
        <f t="shared" si="9"/>
        <v>1646</v>
      </c>
      <c r="I9" s="9">
        <f t="shared" si="9"/>
        <v>1644</v>
      </c>
      <c r="J9" s="9">
        <f t="shared" si="9"/>
        <v>1631</v>
      </c>
      <c r="K9" s="9">
        <f t="shared" si="9"/>
        <v>1614</v>
      </c>
      <c r="L9" s="9">
        <f>SUM(L5,L8)</f>
        <v>1603</v>
      </c>
      <c r="S9" s="9">
        <f>SUM(S5,S8)</f>
        <v>1640</v>
      </c>
      <c r="T9" s="9">
        <f>SUM(T5,T8)</f>
        <v>1656</v>
      </c>
      <c r="U9" s="9">
        <f>SUM(U5,U8)</f>
        <v>1631</v>
      </c>
    </row>
    <row r="10" spans="1:231 16384:16384" s="9" customFormat="1"/>
    <row r="11" spans="1:231 16384:16384" s="9" customFormat="1">
      <c r="B11" s="9" t="s">
        <v>44</v>
      </c>
      <c r="C11" s="9">
        <f>IFERROR(C15/(SUM(C3,C6)),0)</f>
        <v>676.55384615384617</v>
      </c>
      <c r="D11" s="9">
        <f>IFERROR(D15/(SUM(D3,D6)),0)</f>
        <v>756.4153846153846</v>
      </c>
      <c r="E11" s="9">
        <f>IFERROR(E15/(SUM(E3,E6)),0)</f>
        <v>705.55405405405406</v>
      </c>
      <c r="F11" s="9">
        <f>IFERROR(F15/(SUM(F3,F6)),0)</f>
        <v>735.12162162162167</v>
      </c>
      <c r="G11" s="9">
        <f>IFERROR(G15/(SUM(G3,G6)),0)</f>
        <v>722.32432432432438</v>
      </c>
      <c r="H11" s="9">
        <f>IFERROR(H15/(SUM(H3,H6)),0)</f>
        <v>741.6351351351351</v>
      </c>
      <c r="I11" s="9">
        <f>IFERROR(I15/(SUM(I3,I6)),0)</f>
        <v>718.28378378378375</v>
      </c>
      <c r="J11" s="9">
        <f>IFERROR(J15/(SUM(J3,J6)),0)</f>
        <v>740.35616438356169</v>
      </c>
      <c r="K11" s="9">
        <f>IFERROR(K15/(SUM(K3,K6)),0)</f>
        <v>697.89333333333332</v>
      </c>
      <c r="L11" s="9">
        <f>IFERROR(L15/(SUM(L3,L6)),0)</f>
        <v>724.64</v>
      </c>
      <c r="S11" s="9">
        <f>IFERROR(S15/(SUM(S3,S6)),0)</f>
        <v>2692.5692307692307</v>
      </c>
      <c r="T11" s="9">
        <f>IFERROR(T15/(SUM(T3,T6)),0)</f>
        <v>2699.364864864865</v>
      </c>
      <c r="U11" s="9">
        <f>IFERROR(U15/(SUM(U3,U6)),0)</f>
        <v>2952.4931506849316</v>
      </c>
    </row>
    <row r="12" spans="1:231 16384:16384" s="9" customFormat="1">
      <c r="B12" s="9" t="s">
        <v>45</v>
      </c>
      <c r="C12" s="9">
        <f>IFERROR(C16/(SUM(C4,C7)),0)</f>
        <v>37.687061822817078</v>
      </c>
      <c r="D12" s="9">
        <f>IFERROR(D16/(SUM(D4,D7)),0)</f>
        <v>42.049808429118777</v>
      </c>
      <c r="E12" s="9">
        <f>IFERROR(E16/(SUM(E4,E7)),0)</f>
        <v>40.983040201005025</v>
      </c>
      <c r="F12" s="9">
        <f>IFERROR(F16/(SUM(F4,F7)),0)</f>
        <v>42.003792667509479</v>
      </c>
      <c r="G12" s="9">
        <f>IFERROR(G16/(SUM(G4,G7)),0)</f>
        <v>40.672808132147395</v>
      </c>
      <c r="H12" s="9">
        <f>IFERROR(H16/(SUM(H4,H7)),0)</f>
        <v>39.461832061068705</v>
      </c>
      <c r="I12" s="9">
        <f>IFERROR(I16/(SUM(I4,I7)),0)</f>
        <v>38.872611464968152</v>
      </c>
      <c r="J12" s="9">
        <f>IFERROR(J16/(SUM(J4,J7)),0)</f>
        <v>39.349807445442877</v>
      </c>
      <c r="K12" s="9">
        <f>IFERROR(K16/(SUM(K4,K7)),0)</f>
        <v>37.447693307342433</v>
      </c>
      <c r="L12" s="9">
        <f>IFERROR(L16/(SUM(L4,L7)),0)</f>
        <v>40.300392670157066</v>
      </c>
      <c r="S12" s="9">
        <f>IFERROR(S16/(SUM(S4,S7)),0)</f>
        <v>141.68698412698413</v>
      </c>
      <c r="T12" s="9">
        <f>IFERROR(T16/(SUM(T4,T7)),0)</f>
        <v>162.24778761061947</v>
      </c>
      <c r="U12" s="9">
        <f>IFERROR(U16/(SUM(U4,U7)),0)</f>
        <v>159.42875481386392</v>
      </c>
    </row>
    <row r="13" spans="1:231 16384:16384" s="9" customFormat="1">
      <c r="S13" s="9">
        <f>+S17/SUM(S5,S8)</f>
        <v>242.7890243902439</v>
      </c>
      <c r="T13" s="9">
        <f>+T17/SUM(T5,T8)</f>
        <v>275.62137681159419</v>
      </c>
      <c r="U13" s="9">
        <f>+U17/SUM(U5,U8)</f>
        <v>284.44022072348253</v>
      </c>
      <c r="V13" s="9">
        <f>+U13*1.01</f>
        <v>287.28462293071738</v>
      </c>
      <c r="W13" s="9">
        <f t="shared" ref="W13:AE13" si="10">+V13*1.01</f>
        <v>290.15746916002456</v>
      </c>
      <c r="X13" s="9">
        <f t="shared" si="10"/>
        <v>293.05904385162484</v>
      </c>
      <c r="Y13" s="9">
        <f t="shared" si="10"/>
        <v>295.98963429014111</v>
      </c>
      <c r="Z13" s="9">
        <f t="shared" si="10"/>
        <v>298.94953063304251</v>
      </c>
      <c r="AA13" s="9">
        <f t="shared" si="10"/>
        <v>301.93902593937293</v>
      </c>
      <c r="AB13" s="9">
        <f t="shared" si="10"/>
        <v>304.95841619876666</v>
      </c>
      <c r="AC13" s="9">
        <f t="shared" si="10"/>
        <v>308.00800036075435</v>
      </c>
      <c r="AD13" s="9">
        <f t="shared" si="10"/>
        <v>311.08808036436187</v>
      </c>
      <c r="AE13" s="9">
        <f t="shared" si="10"/>
        <v>314.1989611680055</v>
      </c>
    </row>
    <row r="14" spans="1:231 16384:16384" s="3" customFormat="1"/>
    <row r="15" spans="1:231 16384:16384">
      <c r="B15" s="1" t="s">
        <v>13</v>
      </c>
      <c r="C15" s="1">
        <v>43976</v>
      </c>
      <c r="D15" s="1">
        <v>49167</v>
      </c>
      <c r="E15" s="1">
        <v>52211</v>
      </c>
      <c r="F15" s="1">
        <f>+T15-SUM(C15:E15)</f>
        <v>54399</v>
      </c>
      <c r="G15" s="1">
        <v>53452</v>
      </c>
      <c r="H15" s="1">
        <v>54881</v>
      </c>
      <c r="I15" s="1">
        <v>53153</v>
      </c>
      <c r="J15" s="1">
        <f>+U15-SUM(G15:I15)</f>
        <v>54046</v>
      </c>
      <c r="K15" s="1">
        <v>52342</v>
      </c>
      <c r="L15" s="1">
        <v>54348</v>
      </c>
      <c r="S15" s="1">
        <v>175017</v>
      </c>
      <c r="T15" s="1">
        <v>199753</v>
      </c>
      <c r="U15" s="1">
        <v>215532</v>
      </c>
    </row>
    <row r="16" spans="1:231 16384:16384">
      <c r="B16" s="1" t="s">
        <v>14</v>
      </c>
      <c r="C16" s="1">
        <v>59131</v>
      </c>
      <c r="D16" s="1">
        <v>65850</v>
      </c>
      <c r="E16" s="1">
        <v>65245</v>
      </c>
      <c r="F16" s="1">
        <f t="shared" ref="F16:F32" si="11">+T16-SUM(C16:E16)</f>
        <v>66450</v>
      </c>
      <c r="G16" s="1">
        <v>64019</v>
      </c>
      <c r="H16" s="1">
        <v>62034</v>
      </c>
      <c r="I16" s="1">
        <v>61030</v>
      </c>
      <c r="J16" s="1">
        <f>+U16-SUM(G16:I16)</f>
        <v>61307</v>
      </c>
      <c r="K16" s="1">
        <v>57632</v>
      </c>
      <c r="L16" s="1">
        <v>61579</v>
      </c>
      <c r="S16" s="1">
        <v>223157</v>
      </c>
      <c r="T16" s="1">
        <v>256676</v>
      </c>
      <c r="U16" s="1">
        <v>248390</v>
      </c>
    </row>
    <row r="17" spans="2:231" s="2" customFormat="1">
      <c r="B17" s="2" t="s">
        <v>19</v>
      </c>
      <c r="C17" s="2">
        <f>+SUM(C15:C16)</f>
        <v>103107</v>
      </c>
      <c r="D17" s="2">
        <f>+SUM(D15:D16)</f>
        <v>115017</v>
      </c>
      <c r="E17" s="2">
        <f>+SUM(E15:E16)</f>
        <v>117456</v>
      </c>
      <c r="F17" s="1">
        <f t="shared" si="11"/>
        <v>120849</v>
      </c>
      <c r="G17" s="2">
        <f>+SUM(G15:G16)</f>
        <v>117471</v>
      </c>
      <c r="H17" s="2">
        <f>+SUM(H15:H16)</f>
        <v>116915</v>
      </c>
      <c r="I17" s="2">
        <f>+SUM(I15:I16)</f>
        <v>114183</v>
      </c>
      <c r="J17" s="2">
        <f t="shared" ref="J17:J32" si="12">+U17-SUM(G17:I17)</f>
        <v>115353</v>
      </c>
      <c r="K17" s="2">
        <f>+SUM(K15:K16)</f>
        <v>109974</v>
      </c>
      <c r="L17" s="2">
        <f>+SUM(L15:L16)</f>
        <v>115927</v>
      </c>
      <c r="S17" s="2">
        <f>+SUM(S15:S16)</f>
        <v>398174</v>
      </c>
      <c r="T17" s="2">
        <f>+SUM(T15:T16)</f>
        <v>456429</v>
      </c>
      <c r="U17" s="2">
        <f>+SUM(U15:U16)</f>
        <v>463922</v>
      </c>
      <c r="V17" s="2">
        <f>+V13*SUM(V5,V8)</f>
        <v>476892.47406499082</v>
      </c>
      <c r="W17" s="2">
        <f t="shared" ref="W17:AE17" si="13">+W13*SUM(W5,W8)</f>
        <v>488625.17806548136</v>
      </c>
      <c r="X17" s="2">
        <f t="shared" si="13"/>
        <v>500544.8468985752</v>
      </c>
      <c r="Y17" s="2">
        <f t="shared" si="13"/>
        <v>512654.04659052438</v>
      </c>
      <c r="Z17" s="2">
        <f t="shared" si="13"/>
        <v>524955.37579162268</v>
      </c>
      <c r="AA17" s="2">
        <f t="shared" si="13"/>
        <v>537451.46617208386</v>
      </c>
      <c r="AB17" s="2">
        <f t="shared" si="13"/>
        <v>550144.98282257502</v>
      </c>
      <c r="AC17" s="2">
        <f t="shared" si="13"/>
        <v>563038.62465945899</v>
      </c>
      <c r="AD17" s="2">
        <f t="shared" si="13"/>
        <v>576135.12483479816</v>
      </c>
      <c r="AE17" s="2">
        <f t="shared" si="13"/>
        <v>589437.25115117826</v>
      </c>
    </row>
    <row r="18" spans="2:231">
      <c r="B18" s="1" t="s">
        <v>20</v>
      </c>
      <c r="C18" s="1">
        <v>11244</v>
      </c>
      <c r="D18" s="1">
        <v>13168</v>
      </c>
      <c r="E18" s="1">
        <v>14462</v>
      </c>
      <c r="F18" s="1">
        <f t="shared" si="11"/>
        <v>14743</v>
      </c>
      <c r="G18" s="1">
        <v>14039</v>
      </c>
      <c r="H18" s="1">
        <v>14170</v>
      </c>
      <c r="I18" s="1">
        <v>13587</v>
      </c>
      <c r="J18" s="1">
        <f t="shared" si="12"/>
        <v>13993</v>
      </c>
      <c r="K18" s="1">
        <v>13311</v>
      </c>
      <c r="L18" s="1">
        <v>13632</v>
      </c>
      <c r="S18" s="1">
        <v>42982</v>
      </c>
      <c r="T18" s="1">
        <v>53617</v>
      </c>
      <c r="U18" s="1">
        <v>55789</v>
      </c>
      <c r="V18" s="1">
        <f>+V$17*(U18/U$17)</f>
        <v>57348.766033108521</v>
      </c>
      <c r="W18" s="1">
        <f t="shared" ref="W18:AE24" si="14">+W$17*(V18/V$17)</f>
        <v>58759.683867320666</v>
      </c>
      <c r="X18" s="1">
        <f t="shared" si="14"/>
        <v>60193.085181613744</v>
      </c>
      <c r="Y18" s="1">
        <f t="shared" si="14"/>
        <v>61649.278553805947</v>
      </c>
      <c r="Z18" s="1">
        <f t="shared" si="14"/>
        <v>63128.576484923833</v>
      </c>
      <c r="AA18" s="1">
        <f t="shared" si="14"/>
        <v>64631.295446808697</v>
      </c>
      <c r="AB18" s="1">
        <f t="shared" si="14"/>
        <v>66157.755930282758</v>
      </c>
      <c r="AC18" s="1">
        <f t="shared" si="14"/>
        <v>67708.282493881634</v>
      </c>
      <c r="AD18" s="1">
        <f t="shared" si="14"/>
        <v>69283.203813159445</v>
      </c>
      <c r="AE18" s="1">
        <f t="shared" si="14"/>
        <v>70882.852730573431</v>
      </c>
    </row>
    <row r="19" spans="2:231">
      <c r="B19" s="1" t="s">
        <v>22</v>
      </c>
      <c r="C19" s="1">
        <v>17086</v>
      </c>
      <c r="D19" s="1">
        <v>18336</v>
      </c>
      <c r="E19" s="1">
        <v>20176</v>
      </c>
      <c r="F19" s="1">
        <f t="shared" si="11"/>
        <v>20814</v>
      </c>
      <c r="G19" s="1">
        <v>20240</v>
      </c>
      <c r="H19" s="1">
        <v>20488</v>
      </c>
      <c r="I19" s="1">
        <v>19754</v>
      </c>
      <c r="J19" s="1">
        <f t="shared" si="12"/>
        <v>20184</v>
      </c>
      <c r="K19" s="1">
        <v>20474</v>
      </c>
      <c r="L19" s="1">
        <v>20493</v>
      </c>
      <c r="S19" s="1">
        <v>65337</v>
      </c>
      <c r="T19" s="1">
        <v>76412</v>
      </c>
      <c r="U19" s="1">
        <v>80666</v>
      </c>
      <c r="V19" s="1">
        <f>+U19*1.03</f>
        <v>83085.98</v>
      </c>
      <c r="W19" s="1">
        <f t="shared" ref="W19:AE19" si="15">+V19*1.03</f>
        <v>85578.559399999998</v>
      </c>
      <c r="X19" s="1">
        <f t="shared" si="15"/>
        <v>88145.916182000001</v>
      </c>
      <c r="Y19" s="1">
        <f t="shared" si="15"/>
        <v>90790.293667460006</v>
      </c>
      <c r="Z19" s="1">
        <f t="shared" si="15"/>
        <v>93514.002477483809</v>
      </c>
      <c r="AA19" s="1">
        <f t="shared" si="15"/>
        <v>96319.422551808326</v>
      </c>
      <c r="AB19" s="1">
        <f t="shared" si="15"/>
        <v>99209.005228362585</v>
      </c>
      <c r="AC19" s="1">
        <f t="shared" si="15"/>
        <v>102185.27538521346</v>
      </c>
      <c r="AD19" s="1">
        <f t="shared" si="15"/>
        <v>105250.83364676987</v>
      </c>
      <c r="AE19" s="1">
        <f t="shared" si="15"/>
        <v>108408.35865617296</v>
      </c>
    </row>
    <row r="20" spans="2:231">
      <c r="B20" s="1" t="s">
        <v>21</v>
      </c>
      <c r="C20" s="1">
        <v>3240</v>
      </c>
      <c r="D20" s="1">
        <v>3782</v>
      </c>
      <c r="E20" s="1">
        <v>4294</v>
      </c>
      <c r="F20" s="1">
        <f t="shared" si="11"/>
        <v>3838</v>
      </c>
      <c r="G20" s="1">
        <v>4094</v>
      </c>
      <c r="H20" s="1">
        <v>4080</v>
      </c>
      <c r="I20" s="1">
        <v>4182</v>
      </c>
      <c r="J20" s="1">
        <f t="shared" si="12"/>
        <v>4724</v>
      </c>
      <c r="K20" s="1">
        <v>4573</v>
      </c>
      <c r="L20" s="1">
        <v>4671</v>
      </c>
      <c r="S20" s="1">
        <v>11662</v>
      </c>
      <c r="T20" s="1">
        <v>15154</v>
      </c>
      <c r="U20" s="1">
        <v>17080</v>
      </c>
      <c r="V20" s="1">
        <f>+V$17*(U20/U$17)</f>
        <v>17557.527896995707</v>
      </c>
      <c r="W20" s="1">
        <f t="shared" si="14"/>
        <v>17989.48539055794</v>
      </c>
      <c r="X20" s="1">
        <f t="shared" si="14"/>
        <v>18428.326281201716</v>
      </c>
      <c r="Y20" s="1">
        <f t="shared" si="14"/>
        <v>18874.145041119315</v>
      </c>
      <c r="Z20" s="1">
        <f t="shared" si="14"/>
        <v>19327.037343607142</v>
      </c>
      <c r="AA20" s="1">
        <f t="shared" si="14"/>
        <v>19787.100077640618</v>
      </c>
      <c r="AB20" s="1">
        <f t="shared" si="14"/>
        <v>20254.431362620395</v>
      </c>
      <c r="AC20" s="1">
        <f t="shared" si="14"/>
        <v>20729.130563292012</v>
      </c>
      <c r="AD20" s="1">
        <f t="shared" si="14"/>
        <v>21211.298304840795</v>
      </c>
      <c r="AE20" s="1">
        <f t="shared" si="14"/>
        <v>21701.036488164224</v>
      </c>
    </row>
    <row r="21" spans="2:231">
      <c r="B21" s="1" t="s">
        <v>23</v>
      </c>
      <c r="C21" s="1">
        <v>7055</v>
      </c>
      <c r="D21" s="1">
        <v>9542</v>
      </c>
      <c r="E21" s="1">
        <v>9519</v>
      </c>
      <c r="F21" s="1">
        <f t="shared" si="11"/>
        <v>8159</v>
      </c>
      <c r="G21" s="1">
        <v>8119</v>
      </c>
      <c r="H21" s="1">
        <v>7830</v>
      </c>
      <c r="I21" s="1">
        <v>8370</v>
      </c>
      <c r="J21" s="1">
        <f t="shared" si="12"/>
        <v>9745</v>
      </c>
      <c r="K21" s="1">
        <v>9760</v>
      </c>
      <c r="L21" s="1">
        <v>8782</v>
      </c>
      <c r="S21" s="1">
        <v>26951</v>
      </c>
      <c r="T21" s="1">
        <v>34275</v>
      </c>
      <c r="U21" s="1">
        <v>34064</v>
      </c>
      <c r="V21" s="1">
        <f>+V$17*(U21/U$17)</f>
        <v>35016.371796443898</v>
      </c>
      <c r="W21" s="1">
        <f t="shared" si="14"/>
        <v>35877.858919435937</v>
      </c>
      <c r="X21" s="1">
        <f t="shared" si="14"/>
        <v>36753.074147708168</v>
      </c>
      <c r="Y21" s="1">
        <f t="shared" si="14"/>
        <v>37642.205894653896</v>
      </c>
      <c r="Z21" s="1">
        <f t="shared" si="14"/>
        <v>38545.444969123775</v>
      </c>
      <c r="AA21" s="1">
        <f t="shared" si="14"/>
        <v>39462.984604493577</v>
      </c>
      <c r="AB21" s="1">
        <f t="shared" si="14"/>
        <v>40395.020488073853</v>
      </c>
      <c r="AC21" s="1">
        <f t="shared" si="14"/>
        <v>41341.750790865306</v>
      </c>
      <c r="AD21" s="1">
        <f t="shared" si="14"/>
        <v>42303.376197663762</v>
      </c>
      <c r="AE21" s="1">
        <f t="shared" si="14"/>
        <v>43280.09993751911</v>
      </c>
    </row>
    <row r="22" spans="2:231">
      <c r="B22" s="1" t="s">
        <v>24</v>
      </c>
      <c r="C22" s="1">
        <v>30669</v>
      </c>
      <c r="D22" s="1">
        <v>35265</v>
      </c>
      <c r="E22" s="1">
        <v>34579</v>
      </c>
      <c r="F22" s="1">
        <f t="shared" si="11"/>
        <v>34814</v>
      </c>
      <c r="G22" s="1">
        <v>32387</v>
      </c>
      <c r="H22" s="1">
        <v>30460</v>
      </c>
      <c r="I22" s="1">
        <v>29810</v>
      </c>
      <c r="J22" s="1">
        <f t="shared" si="12"/>
        <v>29795</v>
      </c>
      <c r="K22" s="1">
        <v>27374</v>
      </c>
      <c r="L22" s="1">
        <v>33428</v>
      </c>
      <c r="S22" s="1">
        <v>109140</v>
      </c>
      <c r="T22" s="1">
        <v>135327</v>
      </c>
      <c r="U22" s="1">
        <v>122452</v>
      </c>
      <c r="V22" s="1">
        <f>+V$17*(U22/U$17)</f>
        <v>125875.5507050889</v>
      </c>
      <c r="W22" s="1">
        <f t="shared" si="14"/>
        <v>128972.39256701412</v>
      </c>
      <c r="X22" s="1">
        <f t="shared" si="14"/>
        <v>132118.58371110732</v>
      </c>
      <c r="Y22" s="1">
        <f t="shared" si="14"/>
        <v>135314.8014388257</v>
      </c>
      <c r="Z22" s="1">
        <f t="shared" si="14"/>
        <v>138561.73166272731</v>
      </c>
      <c r="AA22" s="1">
        <f t="shared" si="14"/>
        <v>141860.06901096308</v>
      </c>
      <c r="AB22" s="1">
        <f t="shared" si="14"/>
        <v>145210.51693299727</v>
      </c>
      <c r="AC22" s="1">
        <f t="shared" si="14"/>
        <v>148613.78780657108</v>
      </c>
      <c r="AD22" s="1">
        <f t="shared" si="14"/>
        <v>152070.60304592302</v>
      </c>
      <c r="AE22" s="1">
        <f t="shared" si="14"/>
        <v>155581.69321128138</v>
      </c>
    </row>
    <row r="23" spans="2:231">
      <c r="B23" s="1" t="s">
        <v>25</v>
      </c>
      <c r="C23" s="1">
        <v>16958</v>
      </c>
      <c r="D23" s="1">
        <v>16623</v>
      </c>
      <c r="E23" s="1">
        <v>16607</v>
      </c>
      <c r="F23" s="1">
        <f t="shared" si="11"/>
        <v>16985</v>
      </c>
      <c r="G23" s="1">
        <v>20118</v>
      </c>
      <c r="H23" s="1">
        <v>20160</v>
      </c>
      <c r="I23" s="1">
        <v>18237</v>
      </c>
      <c r="J23" s="1">
        <f t="shared" si="12"/>
        <v>19255</v>
      </c>
      <c r="K23" s="1">
        <v>21222</v>
      </c>
      <c r="L23" s="1">
        <v>20486</v>
      </c>
      <c r="S23" s="1">
        <v>68686</v>
      </c>
      <c r="T23" s="1">
        <v>67173</v>
      </c>
      <c r="U23" s="1">
        <v>77770</v>
      </c>
      <c r="V23" s="1">
        <f>+AVERAGE(82000,85000)</f>
        <v>83500</v>
      </c>
      <c r="W23" s="1">
        <f t="shared" si="14"/>
        <v>85554.301204819276</v>
      </c>
      <c r="X23" s="1">
        <f t="shared" si="14"/>
        <v>87641.338433734942</v>
      </c>
      <c r="Y23" s="1">
        <f t="shared" si="14"/>
        <v>89761.560977108456</v>
      </c>
      <c r="Z23" s="1">
        <f t="shared" si="14"/>
        <v>91915.423837506052</v>
      </c>
      <c r="AA23" s="1">
        <f t="shared" si="14"/>
        <v>94103.387799013886</v>
      </c>
      <c r="AB23" s="1">
        <f t="shared" si="14"/>
        <v>96325.919497368101</v>
      </c>
      <c r="AC23" s="1">
        <f t="shared" si="14"/>
        <v>98583.491490909539</v>
      </c>
      <c r="AD23" s="1">
        <f t="shared" si="14"/>
        <v>100876.58233237204</v>
      </c>
      <c r="AE23" s="1">
        <f t="shared" si="14"/>
        <v>103205.67664151471</v>
      </c>
    </row>
    <row r="24" spans="2:231">
      <c r="B24" s="1" t="s">
        <v>26</v>
      </c>
      <c r="C24" s="1">
        <v>3548</v>
      </c>
      <c r="D24" s="1">
        <v>3590</v>
      </c>
      <c r="E24" s="1">
        <v>3914</v>
      </c>
      <c r="F24" s="1">
        <f t="shared" si="11"/>
        <v>3810</v>
      </c>
      <c r="G24" s="1">
        <v>3656</v>
      </c>
      <c r="H24" s="1">
        <v>3617</v>
      </c>
      <c r="I24" s="1">
        <v>3605</v>
      </c>
      <c r="J24" s="1">
        <f t="shared" si="12"/>
        <v>3507</v>
      </c>
      <c r="K24" s="1">
        <v>3581</v>
      </c>
      <c r="L24" s="1">
        <v>3735</v>
      </c>
      <c r="S24" s="1">
        <v>15446</v>
      </c>
      <c r="T24" s="1">
        <v>14862</v>
      </c>
      <c r="U24" s="1">
        <v>14385</v>
      </c>
      <c r="V24" s="1">
        <f>+V$17*(U24/U$17)</f>
        <v>14787.18025751073</v>
      </c>
      <c r="W24" s="1">
        <f t="shared" si="14"/>
        <v>15150.980523605152</v>
      </c>
      <c r="X24" s="1">
        <f t="shared" si="14"/>
        <v>15520.578076995711</v>
      </c>
      <c r="Y24" s="1">
        <f t="shared" si="14"/>
        <v>15896.05248340172</v>
      </c>
      <c r="Z24" s="1">
        <f t="shared" si="14"/>
        <v>16277.484320128151</v>
      </c>
      <c r="AA24" s="1">
        <f t="shared" si="14"/>
        <v>16664.955188340769</v>
      </c>
      <c r="AB24" s="1">
        <f t="shared" si="14"/>
        <v>17058.547725485623</v>
      </c>
      <c r="AC24" s="1">
        <f t="shared" si="14"/>
        <v>17458.345617854546</v>
      </c>
      <c r="AD24" s="1">
        <f t="shared" si="14"/>
        <v>17864.433613298293</v>
      </c>
      <c r="AE24" s="1">
        <f t="shared" si="14"/>
        <v>18276.897534089134</v>
      </c>
    </row>
    <row r="25" spans="2:231" s="2" customFormat="1">
      <c r="B25" s="2" t="s">
        <v>27</v>
      </c>
      <c r="C25" s="2">
        <f>+C17-SUM(C18:C24)</f>
        <v>13307</v>
      </c>
      <c r="D25" s="2">
        <f>+D17-SUM(D18:D24)</f>
        <v>14711</v>
      </c>
      <c r="E25" s="2">
        <f>+E17-SUM(E18:E24)</f>
        <v>13905</v>
      </c>
      <c r="F25" s="1">
        <f t="shared" si="11"/>
        <v>17686</v>
      </c>
      <c r="G25" s="2">
        <f>+G17-SUM(G18:G24)</f>
        <v>14818</v>
      </c>
      <c r="H25" s="2">
        <f>+H17-SUM(H18:H24)</f>
        <v>16110</v>
      </c>
      <c r="I25" s="2">
        <f>+I17-SUM(I18:I24)</f>
        <v>16638</v>
      </c>
      <c r="J25" s="2">
        <f t="shared" si="12"/>
        <v>14150</v>
      </c>
      <c r="K25" s="2">
        <f>+K17-SUM(K18:K24)</f>
        <v>9679</v>
      </c>
      <c r="L25" s="2">
        <f>+L17-SUM(L18:L24)</f>
        <v>10700</v>
      </c>
      <c r="S25" s="2">
        <f>+S17-SUM(S18:S24)</f>
        <v>57970</v>
      </c>
      <c r="T25" s="2">
        <f>+T17-SUM(T18:T24)</f>
        <v>59609</v>
      </c>
      <c r="U25" s="2">
        <f>+U17-SUM(U18:U24)</f>
        <v>61716</v>
      </c>
      <c r="V25" s="2">
        <f>+V17-SUM(V18:V24)</f>
        <v>59721.097375843092</v>
      </c>
      <c r="W25" s="2">
        <f t="shared" ref="W25:AE25" si="16">+W17-SUM(W18:W24)</f>
        <v>60741.916192728269</v>
      </c>
      <c r="X25" s="2">
        <f t="shared" si="16"/>
        <v>61743.944884213561</v>
      </c>
      <c r="Y25" s="2">
        <f t="shared" si="16"/>
        <v>62725.708534149337</v>
      </c>
      <c r="Z25" s="2">
        <f t="shared" si="16"/>
        <v>63685.674696122587</v>
      </c>
      <c r="AA25" s="2">
        <f t="shared" si="16"/>
        <v>64622.251493014977</v>
      </c>
      <c r="AB25" s="2">
        <f t="shared" si="16"/>
        <v>65533.785657384491</v>
      </c>
      <c r="AC25" s="2">
        <f t="shared" si="16"/>
        <v>66418.560510871408</v>
      </c>
      <c r="AD25" s="2">
        <f t="shared" si="16"/>
        <v>67274.793880770914</v>
      </c>
      <c r="AE25" s="2">
        <f t="shared" si="16"/>
        <v>68100.635951863369</v>
      </c>
    </row>
    <row r="26" spans="2:231">
      <c r="B26" s="1" t="s">
        <v>28</v>
      </c>
      <c r="C26" s="1">
        <v>2960</v>
      </c>
      <c r="D26" s="1">
        <v>2878</v>
      </c>
      <c r="E26" s="1">
        <v>3691</v>
      </c>
      <c r="F26" s="1">
        <f t="shared" si="11"/>
        <v>4240</v>
      </c>
      <c r="G26" s="1">
        <v>4505</v>
      </c>
      <c r="H26" s="1">
        <v>4402</v>
      </c>
      <c r="I26" s="1">
        <v>4381</v>
      </c>
      <c r="J26" s="1">
        <f t="shared" si="12"/>
        <v>4309</v>
      </c>
      <c r="K26" s="1">
        <v>4420</v>
      </c>
      <c r="L26" s="1">
        <v>4573</v>
      </c>
      <c r="S26" s="1">
        <v>15148</v>
      </c>
      <c r="T26" s="1">
        <v>13769</v>
      </c>
      <c r="U26" s="1">
        <v>17597</v>
      </c>
      <c r="V26" s="1">
        <f>+-U41*$AI$33</f>
        <v>12676.900000000001</v>
      </c>
      <c r="W26" s="1">
        <f>+-V41*$AI$33</f>
        <v>11106.504340929923</v>
      </c>
      <c r="X26" s="1">
        <f>+-W41*$AI$33</f>
        <v>9437.3504998323206</v>
      </c>
      <c r="Y26" s="1">
        <f>+-X41*$AI$33</f>
        <v>7666.11888210909</v>
      </c>
      <c r="Z26" s="1">
        <f>+-Y41*$AI$33</f>
        <v>5789.4076895009584</v>
      </c>
      <c r="AA26" s="1">
        <f>+-Z41*$AI$33</f>
        <v>3803.7316162855163</v>
      </c>
      <c r="AB26" s="1">
        <f>+-AA41*$AI$33</f>
        <v>1705.5205592147593</v>
      </c>
      <c r="AC26" s="1">
        <f>+-AB41*$AI$33</f>
        <v>-508.8816561933989</v>
      </c>
      <c r="AD26" s="1">
        <f>+-AC41*$AI$33</f>
        <v>-2843.2185302272919</v>
      </c>
      <c r="AE26" s="1">
        <f>+-AD41*$AI$33</f>
        <v>-5301.3221214583064</v>
      </c>
    </row>
    <row r="27" spans="2:231">
      <c r="B27" s="1" t="s">
        <v>29</v>
      </c>
      <c r="C27" s="1">
        <v>-19615</v>
      </c>
      <c r="D27" s="1">
        <v>-19795</v>
      </c>
      <c r="E27" s="1">
        <v>-10461</v>
      </c>
      <c r="F27" s="1">
        <f t="shared" si="11"/>
        <v>-2714</v>
      </c>
      <c r="G27" s="1">
        <v>10093</v>
      </c>
      <c r="H27" s="1">
        <v>-666</v>
      </c>
      <c r="I27" s="1">
        <v>43</v>
      </c>
      <c r="J27" s="1">
        <f t="shared" si="12"/>
        <v>-1182</v>
      </c>
      <c r="K27" s="1">
        <v>-637</v>
      </c>
      <c r="L27" s="1">
        <v>-224</v>
      </c>
      <c r="S27" s="1">
        <v>-15176</v>
      </c>
      <c r="T27" s="1">
        <v>-52585</v>
      </c>
      <c r="U27" s="1">
        <v>8288</v>
      </c>
      <c r="V27" s="1">
        <f>+V$25*(U27/U$25)</f>
        <v>8020.0994077870819</v>
      </c>
      <c r="W27" s="1">
        <f t="shared" ref="W27:AE27" si="17">+W$25*(V27/V$25)</f>
        <v>8157.1877860738205</v>
      </c>
      <c r="X27" s="1">
        <f t="shared" si="17"/>
        <v>8291.7527902061374</v>
      </c>
      <c r="Y27" s="1">
        <f t="shared" si="17"/>
        <v>8423.5963499097434</v>
      </c>
      <c r="Z27" s="1">
        <f t="shared" si="17"/>
        <v>8552.5126690236575</v>
      </c>
      <c r="AA27" s="1">
        <f t="shared" si="17"/>
        <v>8678.2879702849841</v>
      </c>
      <c r="AB27" s="1">
        <f t="shared" si="17"/>
        <v>8800.7002321667424</v>
      </c>
      <c r="AC27" s="1">
        <f t="shared" si="17"/>
        <v>8919.5189175270953</v>
      </c>
      <c r="AD27" s="1">
        <f t="shared" si="17"/>
        <v>9034.5046938205542</v>
      </c>
      <c r="AE27" s="1">
        <f t="shared" si="17"/>
        <v>9145.4091446147449</v>
      </c>
    </row>
    <row r="28" spans="2:231">
      <c r="B28" s="1" t="s">
        <v>30</v>
      </c>
      <c r="C28" s="1">
        <f>+C25-SUM(C26:C27)</f>
        <v>29962</v>
      </c>
      <c r="D28" s="1">
        <f>+D25-SUM(D26:D27)</f>
        <v>31628</v>
      </c>
      <c r="E28" s="1">
        <f>+E25-SUM(E26:E27)</f>
        <v>20675</v>
      </c>
      <c r="F28" s="1">
        <f t="shared" si="11"/>
        <v>16160</v>
      </c>
      <c r="G28" s="1">
        <f>+G25-SUM(G26:G27)</f>
        <v>220</v>
      </c>
      <c r="H28" s="1">
        <f>+H25-SUM(H26:H27)</f>
        <v>12374</v>
      </c>
      <c r="I28" s="1">
        <f>+I25-SUM(I26:I27)</f>
        <v>12214</v>
      </c>
      <c r="J28" s="1">
        <f t="shared" si="12"/>
        <v>11023</v>
      </c>
      <c r="K28" s="1">
        <f>+K25-SUM(K26:K27)</f>
        <v>5896</v>
      </c>
      <c r="L28" s="1">
        <f>+L25-SUM(L26:L27)</f>
        <v>6351</v>
      </c>
      <c r="S28" s="1">
        <f>+S25-SUM(S26:S27)</f>
        <v>57998</v>
      </c>
      <c r="T28" s="1">
        <f>+T25-SUM(T26:T27)</f>
        <v>98425</v>
      </c>
      <c r="U28" s="1">
        <f>+U25-SUM(U26:U27)</f>
        <v>35831</v>
      </c>
      <c r="V28" s="1">
        <f>+V25-SUM(V26:V27)</f>
        <v>39024.097968056012</v>
      </c>
      <c r="W28" s="1">
        <f t="shared" ref="W28:AE28" si="18">+W25-SUM(W26:W27)</f>
        <v>41478.224065724527</v>
      </c>
      <c r="X28" s="1">
        <f t="shared" si="18"/>
        <v>44014.841594175101</v>
      </c>
      <c r="Y28" s="1">
        <f t="shared" si="18"/>
        <v>46635.993302130504</v>
      </c>
      <c r="Z28" s="1">
        <f t="shared" si="18"/>
        <v>49343.754337597973</v>
      </c>
      <c r="AA28" s="1">
        <f t="shared" si="18"/>
        <v>52140.231906444475</v>
      </c>
      <c r="AB28" s="1">
        <f t="shared" si="18"/>
        <v>55027.564866002991</v>
      </c>
      <c r="AC28" s="1">
        <f t="shared" si="18"/>
        <v>58007.923249537707</v>
      </c>
      <c r="AD28" s="1">
        <f t="shared" si="18"/>
        <v>61083.50771717765</v>
      </c>
      <c r="AE28" s="1">
        <f t="shared" si="18"/>
        <v>64256.548928706929</v>
      </c>
    </row>
    <row r="29" spans="2:231">
      <c r="B29" s="1" t="s">
        <v>31</v>
      </c>
      <c r="C29" s="1">
        <v>8107</v>
      </c>
      <c r="D29" s="1">
        <v>7779</v>
      </c>
      <c r="E29" s="1">
        <v>5489</v>
      </c>
      <c r="F29" s="1">
        <f t="shared" si="11"/>
        <v>3343</v>
      </c>
      <c r="G29" s="1">
        <v>952</v>
      </c>
      <c r="H29" s="1">
        <v>2660</v>
      </c>
      <c r="I29" s="1">
        <v>1686</v>
      </c>
      <c r="J29" s="1">
        <f t="shared" si="12"/>
        <v>1695</v>
      </c>
      <c r="K29" s="1">
        <v>1532</v>
      </c>
      <c r="L29" s="1">
        <v>1198</v>
      </c>
      <c r="S29" s="1">
        <v>26030</v>
      </c>
      <c r="T29" s="1">
        <v>24718</v>
      </c>
      <c r="U29" s="1">
        <v>6993</v>
      </c>
      <c r="V29" s="1">
        <f>+V28*(U29/U28)</f>
        <v>7616.1847866544531</v>
      </c>
      <c r="W29" s="1">
        <f t="shared" ref="W29:AE29" si="19">+W28*(V29/V28)</f>
        <v>8095.1472437724779</v>
      </c>
      <c r="X29" s="1">
        <f t="shared" si="19"/>
        <v>8590.209239710488</v>
      </c>
      <c r="Y29" s="1">
        <f t="shared" si="19"/>
        <v>9101.7694499678673</v>
      </c>
      <c r="Z29" s="1">
        <f t="shared" si="19"/>
        <v>9630.2328732891256</v>
      </c>
      <c r="AA29" s="1">
        <f t="shared" si="19"/>
        <v>10176.010765029339</v>
      </c>
      <c r="AB29" s="1">
        <f t="shared" si="19"/>
        <v>10739.520557839831</v>
      </c>
      <c r="AC29" s="1">
        <f t="shared" si="19"/>
        <v>11321.18576885985</v>
      </c>
      <c r="AD29" s="1">
        <f t="shared" si="19"/>
        <v>11921.435892557378</v>
      </c>
      <c r="AE29" s="1">
        <f t="shared" si="19"/>
        <v>12540.706278318987</v>
      </c>
    </row>
    <row r="30" spans="2:231" s="2" customFormat="1">
      <c r="B30" s="2" t="s">
        <v>32</v>
      </c>
      <c r="C30" s="2">
        <f>+C28-C29</f>
        <v>21855</v>
      </c>
      <c r="D30" s="2">
        <f>+D28-D29</f>
        <v>23849</v>
      </c>
      <c r="E30" s="2">
        <f>+E28-E29</f>
        <v>15186</v>
      </c>
      <c r="F30" s="2">
        <f t="shared" si="11"/>
        <v>12817</v>
      </c>
      <c r="G30" s="2">
        <f>+G28-G29</f>
        <v>-732</v>
      </c>
      <c r="H30" s="2">
        <f>+H28-H29</f>
        <v>9714</v>
      </c>
      <c r="I30" s="2">
        <f>+I28-I29</f>
        <v>10528</v>
      </c>
      <c r="J30" s="2">
        <f t="shared" si="12"/>
        <v>9328</v>
      </c>
      <c r="K30" s="2">
        <f>+K28-K29</f>
        <v>4364</v>
      </c>
      <c r="L30" s="2">
        <f>+L28-L29</f>
        <v>5153</v>
      </c>
      <c r="S30" s="2">
        <f>+S28-S29</f>
        <v>31968</v>
      </c>
      <c r="T30" s="2">
        <f>+T28-T29</f>
        <v>73707</v>
      </c>
      <c r="U30" s="2">
        <f>+U28-U29</f>
        <v>28838</v>
      </c>
      <c r="V30" s="2">
        <f>+V28-V29</f>
        <v>31407.91318140156</v>
      </c>
      <c r="W30" s="2">
        <f t="shared" ref="W30:AE30" si="20">+W28-W29</f>
        <v>33383.076821952047</v>
      </c>
      <c r="X30" s="2">
        <f t="shared" si="20"/>
        <v>35424.632354464615</v>
      </c>
      <c r="Y30" s="2">
        <f t="shared" si="20"/>
        <v>37534.223852162635</v>
      </c>
      <c r="Z30" s="2">
        <f t="shared" si="20"/>
        <v>39713.521464308847</v>
      </c>
      <c r="AA30" s="2">
        <f t="shared" si="20"/>
        <v>41964.221141415139</v>
      </c>
      <c r="AB30" s="2">
        <f t="shared" si="20"/>
        <v>44288.04430816316</v>
      </c>
      <c r="AC30" s="2">
        <f t="shared" si="20"/>
        <v>46686.737480677853</v>
      </c>
      <c r="AD30" s="2">
        <f t="shared" si="20"/>
        <v>49162.071824620274</v>
      </c>
      <c r="AE30" s="2">
        <f t="shared" si="20"/>
        <v>51715.842650387945</v>
      </c>
      <c r="AF30" s="2">
        <f>+AE30*(1+$AI$34)</f>
        <v>52233.001076891822</v>
      </c>
      <c r="AG30" s="2">
        <f>+AF30*(1+$AI$34)</f>
        <v>52755.331087660743</v>
      </c>
      <c r="AH30" s="2">
        <f t="shared" ref="AH30:CS30" si="21">+AG30*(1+$AI$34)</f>
        <v>53282.884398537353</v>
      </c>
      <c r="AI30" s="2">
        <f t="shared" si="21"/>
        <v>53815.713242522725</v>
      </c>
      <c r="AJ30" s="2">
        <f t="shared" si="21"/>
        <v>54353.870374947954</v>
      </c>
      <c r="AK30" s="2">
        <f t="shared" si="21"/>
        <v>54897.409078697434</v>
      </c>
      <c r="AL30" s="2">
        <f t="shared" si="21"/>
        <v>55446.383169484412</v>
      </c>
      <c r="AM30" s="2">
        <f t="shared" si="21"/>
        <v>56000.84700117926</v>
      </c>
      <c r="AN30" s="2">
        <f t="shared" si="21"/>
        <v>56560.855471191055</v>
      </c>
      <c r="AO30" s="2">
        <f t="shared" si="21"/>
        <v>57126.464025902969</v>
      </c>
      <c r="AP30" s="2">
        <f t="shared" si="21"/>
        <v>57697.728666162002</v>
      </c>
      <c r="AQ30" s="2">
        <f t="shared" si="21"/>
        <v>58274.70595282362</v>
      </c>
      <c r="AR30" s="2">
        <f t="shared" si="21"/>
        <v>58857.453012351856</v>
      </c>
      <c r="AS30" s="2">
        <f t="shared" si="21"/>
        <v>59446.027542475378</v>
      </c>
      <c r="AT30" s="2">
        <f t="shared" si="21"/>
        <v>60040.487817900132</v>
      </c>
      <c r="AU30" s="2">
        <f t="shared" si="21"/>
        <v>60640.892696079136</v>
      </c>
      <c r="AV30" s="2">
        <f t="shared" si="21"/>
        <v>61247.30162303993</v>
      </c>
      <c r="AW30" s="2">
        <f t="shared" si="21"/>
        <v>61859.774639270327</v>
      </c>
      <c r="AX30" s="2">
        <f t="shared" si="21"/>
        <v>62478.372385663031</v>
      </c>
      <c r="AY30" s="2">
        <f t="shared" si="21"/>
        <v>63103.156109519659</v>
      </c>
      <c r="AZ30" s="2">
        <f t="shared" si="21"/>
        <v>63734.187670614854</v>
      </c>
      <c r="BA30" s="2">
        <f t="shared" si="21"/>
        <v>64371.529547321006</v>
      </c>
      <c r="BB30" s="2">
        <f t="shared" si="21"/>
        <v>65015.244842794214</v>
      </c>
      <c r="BC30" s="2">
        <f t="shared" si="21"/>
        <v>65665.397291222151</v>
      </c>
      <c r="BD30" s="2">
        <f t="shared" si="21"/>
        <v>66322.051264134367</v>
      </c>
      <c r="BE30" s="2">
        <f t="shared" si="21"/>
        <v>66985.271776775713</v>
      </c>
      <c r="BF30" s="2">
        <f t="shared" si="21"/>
        <v>67655.124494543474</v>
      </c>
      <c r="BG30" s="2">
        <f t="shared" si="21"/>
        <v>68331.675739488914</v>
      </c>
      <c r="BH30" s="2">
        <f t="shared" si="21"/>
        <v>69014.992496883802</v>
      </c>
      <c r="BI30" s="2">
        <f t="shared" si="21"/>
        <v>69705.142421852637</v>
      </c>
      <c r="BJ30" s="2">
        <f t="shared" si="21"/>
        <v>70402.193846071168</v>
      </c>
      <c r="BK30" s="2">
        <f t="shared" si="21"/>
        <v>71106.215784531887</v>
      </c>
      <c r="BL30" s="2">
        <f t="shared" si="21"/>
        <v>71817.277942377201</v>
      </c>
      <c r="BM30" s="2">
        <f t="shared" si="21"/>
        <v>72535.450721800968</v>
      </c>
      <c r="BN30" s="2">
        <f t="shared" si="21"/>
        <v>73260.805229018981</v>
      </c>
      <c r="BO30" s="2">
        <f t="shared" si="21"/>
        <v>73993.413281309171</v>
      </c>
      <c r="BP30" s="2">
        <f t="shared" si="21"/>
        <v>74733.347414122269</v>
      </c>
      <c r="BQ30" s="2">
        <f t="shared" si="21"/>
        <v>75480.680888263494</v>
      </c>
      <c r="BR30" s="2">
        <f t="shared" si="21"/>
        <v>76235.487697146134</v>
      </c>
      <c r="BS30" s="2">
        <f t="shared" si="21"/>
        <v>76997.842574117603</v>
      </c>
      <c r="BT30" s="2">
        <f t="shared" si="21"/>
        <v>77767.820999858784</v>
      </c>
      <c r="BU30" s="2">
        <f t="shared" si="21"/>
        <v>78545.499209857371</v>
      </c>
      <c r="BV30" s="2">
        <f t="shared" si="21"/>
        <v>79330.954201955945</v>
      </c>
      <c r="BW30" s="2">
        <f t="shared" si="21"/>
        <v>80124.263743975505</v>
      </c>
      <c r="BX30" s="2">
        <f t="shared" si="21"/>
        <v>80925.506381415267</v>
      </c>
      <c r="BY30" s="2">
        <f t="shared" si="21"/>
        <v>81734.761445229422</v>
      </c>
      <c r="BZ30" s="2">
        <f t="shared" si="21"/>
        <v>82552.109059681723</v>
      </c>
      <c r="CA30" s="2">
        <f t="shared" si="21"/>
        <v>83377.630150278535</v>
      </c>
      <c r="CB30" s="2">
        <f t="shared" si="21"/>
        <v>84211.406451781324</v>
      </c>
      <c r="CC30" s="2">
        <f t="shared" si="21"/>
        <v>85053.520516299133</v>
      </c>
      <c r="CD30" s="2">
        <f t="shared" si="21"/>
        <v>85904.055721462122</v>
      </c>
      <c r="CE30" s="2">
        <f t="shared" si="21"/>
        <v>86763.096278676749</v>
      </c>
      <c r="CF30" s="2">
        <f t="shared" si="21"/>
        <v>87630.727241463523</v>
      </c>
      <c r="CG30" s="2">
        <f t="shared" si="21"/>
        <v>88507.034513878156</v>
      </c>
      <c r="CH30" s="2">
        <f t="shared" si="21"/>
        <v>89392.104859016938</v>
      </c>
      <c r="CI30" s="2">
        <f t="shared" si="21"/>
        <v>90286.025907607109</v>
      </c>
      <c r="CJ30" s="2">
        <f t="shared" si="21"/>
        <v>91188.88616668318</v>
      </c>
      <c r="CK30" s="2">
        <f t="shared" si="21"/>
        <v>92100.775028350006</v>
      </c>
      <c r="CL30" s="2">
        <f t="shared" si="21"/>
        <v>93021.782778633511</v>
      </c>
      <c r="CM30" s="2">
        <f t="shared" si="21"/>
        <v>93952.000606419853</v>
      </c>
      <c r="CN30" s="2">
        <f t="shared" si="21"/>
        <v>94891.520612484048</v>
      </c>
      <c r="CO30" s="2">
        <f t="shared" si="21"/>
        <v>95840.435818608894</v>
      </c>
      <c r="CP30" s="2">
        <f t="shared" si="21"/>
        <v>96798.840176794984</v>
      </c>
      <c r="CQ30" s="2">
        <f t="shared" si="21"/>
        <v>97766.828578562941</v>
      </c>
      <c r="CR30" s="2">
        <f t="shared" si="21"/>
        <v>98744.496864348577</v>
      </c>
      <c r="CS30" s="2">
        <f t="shared" si="21"/>
        <v>99731.941832992059</v>
      </c>
      <c r="CT30" s="2">
        <f t="shared" ref="CT30:FE30" si="22">+CS30*(1+$AI$34)</f>
        <v>100729.26125132198</v>
      </c>
      <c r="CU30" s="2">
        <f t="shared" si="22"/>
        <v>101736.5538638352</v>
      </c>
      <c r="CV30" s="2">
        <f t="shared" si="22"/>
        <v>102753.91940247355</v>
      </c>
      <c r="CW30" s="2">
        <f t="shared" si="22"/>
        <v>103781.45859649828</v>
      </c>
      <c r="CX30" s="2">
        <f t="shared" si="22"/>
        <v>104819.27318246326</v>
      </c>
      <c r="CY30" s="2">
        <f t="shared" si="22"/>
        <v>105867.4659142879</v>
      </c>
      <c r="CZ30" s="2">
        <f t="shared" si="22"/>
        <v>106926.14057343078</v>
      </c>
      <c r="DA30" s="2">
        <f t="shared" si="22"/>
        <v>107995.40197916508</v>
      </c>
      <c r="DB30" s="2">
        <f t="shared" si="22"/>
        <v>109075.35599895673</v>
      </c>
      <c r="DC30" s="2">
        <f t="shared" si="22"/>
        <v>110166.10955894629</v>
      </c>
      <c r="DD30" s="2">
        <f t="shared" si="22"/>
        <v>111267.77065453575</v>
      </c>
      <c r="DE30" s="2">
        <f t="shared" si="22"/>
        <v>112380.44836108111</v>
      </c>
      <c r="DF30" s="2">
        <f t="shared" si="22"/>
        <v>113504.25284469193</v>
      </c>
      <c r="DG30" s="2">
        <f t="shared" si="22"/>
        <v>114639.29537313886</v>
      </c>
      <c r="DH30" s="2">
        <f t="shared" si="22"/>
        <v>115785.68832687025</v>
      </c>
      <c r="DI30" s="2">
        <f t="shared" si="22"/>
        <v>116943.54521013895</v>
      </c>
      <c r="DJ30" s="2">
        <f t="shared" si="22"/>
        <v>118112.98066224034</v>
      </c>
      <c r="DK30" s="2">
        <f t="shared" si="22"/>
        <v>119294.11046886275</v>
      </c>
      <c r="DL30" s="2">
        <f t="shared" si="22"/>
        <v>120487.05157355138</v>
      </c>
      <c r="DM30" s="2">
        <f t="shared" si="22"/>
        <v>121691.92208928689</v>
      </c>
      <c r="DN30" s="2">
        <f t="shared" si="22"/>
        <v>122908.84131017976</v>
      </c>
      <c r="DO30" s="2">
        <f t="shared" si="22"/>
        <v>124137.92972328156</v>
      </c>
      <c r="DP30" s="2">
        <f t="shared" si="22"/>
        <v>125379.30902051438</v>
      </c>
      <c r="DQ30" s="2">
        <f t="shared" si="22"/>
        <v>126633.10211071953</v>
      </c>
      <c r="DR30" s="2">
        <f t="shared" si="22"/>
        <v>127899.43313182672</v>
      </c>
      <c r="DS30" s="2">
        <f t="shared" si="22"/>
        <v>129178.427463145</v>
      </c>
      <c r="DT30" s="2">
        <f t="shared" si="22"/>
        <v>130470.21173777645</v>
      </c>
      <c r="DU30" s="2">
        <f t="shared" si="22"/>
        <v>131774.91385515421</v>
      </c>
      <c r="DV30" s="2">
        <f t="shared" si="22"/>
        <v>133092.66299370574</v>
      </c>
      <c r="DW30" s="2">
        <f t="shared" si="22"/>
        <v>134423.58962364279</v>
      </c>
      <c r="DX30" s="2">
        <f t="shared" si="22"/>
        <v>135767.82551987923</v>
      </c>
      <c r="DY30" s="2">
        <f t="shared" si="22"/>
        <v>137125.50377507802</v>
      </c>
      <c r="DZ30" s="2">
        <f t="shared" si="22"/>
        <v>138496.7588128288</v>
      </c>
      <c r="EA30" s="2">
        <f t="shared" si="22"/>
        <v>139881.72640095709</v>
      </c>
      <c r="EB30" s="2">
        <f t="shared" si="22"/>
        <v>141280.54366496665</v>
      </c>
      <c r="EC30" s="2">
        <f t="shared" si="22"/>
        <v>142693.34910161633</v>
      </c>
      <c r="ED30" s="2">
        <f t="shared" si="22"/>
        <v>144120.28259263249</v>
      </c>
      <c r="EE30" s="2">
        <f t="shared" si="22"/>
        <v>145561.48541855882</v>
      </c>
      <c r="EF30" s="2">
        <f t="shared" si="22"/>
        <v>147017.1002727444</v>
      </c>
      <c r="EG30" s="2">
        <f t="shared" si="22"/>
        <v>148487.27127547184</v>
      </c>
      <c r="EH30" s="2">
        <f t="shared" si="22"/>
        <v>149972.14398822657</v>
      </c>
      <c r="EI30" s="2">
        <f t="shared" si="22"/>
        <v>151471.86542810884</v>
      </c>
      <c r="EJ30" s="2">
        <f t="shared" si="22"/>
        <v>152986.58408238992</v>
      </c>
      <c r="EK30" s="2">
        <f t="shared" si="22"/>
        <v>154516.44992321383</v>
      </c>
      <c r="EL30" s="2">
        <f t="shared" si="22"/>
        <v>156061.61442244597</v>
      </c>
      <c r="EM30" s="2">
        <f t="shared" si="22"/>
        <v>157622.23056667042</v>
      </c>
      <c r="EN30" s="2">
        <f t="shared" si="22"/>
        <v>159198.45287233713</v>
      </c>
      <c r="EO30" s="2">
        <f t="shared" si="22"/>
        <v>160790.43740106051</v>
      </c>
      <c r="EP30" s="2">
        <f t="shared" si="22"/>
        <v>162398.34177507111</v>
      </c>
      <c r="EQ30" s="2">
        <f t="shared" si="22"/>
        <v>164022.32519282182</v>
      </c>
      <c r="ER30" s="2">
        <f t="shared" si="22"/>
        <v>165662.54844475005</v>
      </c>
      <c r="ES30" s="2">
        <f t="shared" si="22"/>
        <v>167319.17392919754</v>
      </c>
      <c r="ET30" s="2">
        <f t="shared" si="22"/>
        <v>168992.36566848951</v>
      </c>
      <c r="EU30" s="2">
        <f t="shared" si="22"/>
        <v>170682.28932517441</v>
      </c>
      <c r="EV30" s="2">
        <f t="shared" si="22"/>
        <v>172389.11221842616</v>
      </c>
      <c r="EW30" s="2">
        <f t="shared" si="22"/>
        <v>174113.00334061042</v>
      </c>
      <c r="EX30" s="2">
        <f t="shared" si="22"/>
        <v>175854.13337401653</v>
      </c>
      <c r="EY30" s="2">
        <f t="shared" si="22"/>
        <v>177612.6747077567</v>
      </c>
      <c r="EZ30" s="2">
        <f t="shared" si="22"/>
        <v>179388.80145483426</v>
      </c>
      <c r="FA30" s="2">
        <f t="shared" si="22"/>
        <v>181182.6894693826</v>
      </c>
      <c r="FB30" s="2">
        <f t="shared" si="22"/>
        <v>182994.51636407644</v>
      </c>
      <c r="FC30" s="2">
        <f t="shared" si="22"/>
        <v>184824.46152771721</v>
      </c>
      <c r="FD30" s="2">
        <f t="shared" si="22"/>
        <v>186672.7061429944</v>
      </c>
      <c r="FE30" s="2">
        <f t="shared" si="22"/>
        <v>188539.43320442433</v>
      </c>
      <c r="FF30" s="2">
        <f t="shared" ref="FF30:HQ30" si="23">+FE30*(1+$AI$34)</f>
        <v>190424.82753646857</v>
      </c>
      <c r="FG30" s="2">
        <f t="shared" si="23"/>
        <v>192329.07581183326</v>
      </c>
      <c r="FH30" s="2">
        <f t="shared" si="23"/>
        <v>194252.36656995158</v>
      </c>
      <c r="FI30" s="2">
        <f t="shared" si="23"/>
        <v>196194.89023565111</v>
      </c>
      <c r="FJ30" s="2">
        <f t="shared" si="23"/>
        <v>198156.83913800764</v>
      </c>
      <c r="FK30" s="2">
        <f t="shared" si="23"/>
        <v>200138.40752938771</v>
      </c>
      <c r="FL30" s="2">
        <f t="shared" si="23"/>
        <v>202139.79160468158</v>
      </c>
      <c r="FM30" s="2">
        <f t="shared" si="23"/>
        <v>204161.1895207284</v>
      </c>
      <c r="FN30" s="2">
        <f t="shared" si="23"/>
        <v>206202.80141593568</v>
      </c>
      <c r="FO30" s="2">
        <f t="shared" si="23"/>
        <v>208264.82943009504</v>
      </c>
      <c r="FP30" s="2">
        <f t="shared" si="23"/>
        <v>210347.47772439598</v>
      </c>
      <c r="FQ30" s="2">
        <f t="shared" si="23"/>
        <v>212450.95250163996</v>
      </c>
      <c r="FR30" s="2">
        <f t="shared" si="23"/>
        <v>214575.46202665637</v>
      </c>
      <c r="FS30" s="2">
        <f t="shared" si="23"/>
        <v>216721.21664692293</v>
      </c>
      <c r="FT30" s="2">
        <f t="shared" si="23"/>
        <v>218888.42881339215</v>
      </c>
      <c r="FU30" s="2">
        <f t="shared" si="23"/>
        <v>221077.31310152609</v>
      </c>
      <c r="FV30" s="2">
        <f t="shared" si="23"/>
        <v>223288.08623254136</v>
      </c>
      <c r="FW30" s="2">
        <f t="shared" si="23"/>
        <v>225520.96709486679</v>
      </c>
      <c r="FX30" s="2">
        <f t="shared" si="23"/>
        <v>227776.17676581547</v>
      </c>
      <c r="FY30" s="2">
        <f t="shared" si="23"/>
        <v>230053.93853347361</v>
      </c>
      <c r="FZ30" s="2">
        <f t="shared" si="23"/>
        <v>232354.47791880835</v>
      </c>
      <c r="GA30" s="2">
        <f t="shared" si="23"/>
        <v>234678.02269799644</v>
      </c>
      <c r="GB30" s="2">
        <f t="shared" si="23"/>
        <v>237024.80292497639</v>
      </c>
      <c r="GC30" s="2">
        <f t="shared" si="23"/>
        <v>239395.05095422617</v>
      </c>
      <c r="GD30" s="2">
        <f t="shared" si="23"/>
        <v>241789.00146376842</v>
      </c>
      <c r="GE30" s="2">
        <f t="shared" si="23"/>
        <v>244206.89147840612</v>
      </c>
      <c r="GF30" s="2">
        <f t="shared" si="23"/>
        <v>246648.96039319018</v>
      </c>
      <c r="GG30" s="2">
        <f t="shared" si="23"/>
        <v>249115.44999712208</v>
      </c>
      <c r="GH30" s="2">
        <f t="shared" si="23"/>
        <v>251606.6044970933</v>
      </c>
      <c r="GI30" s="2">
        <f t="shared" si="23"/>
        <v>254122.67054206424</v>
      </c>
      <c r="GJ30" s="2">
        <f t="shared" si="23"/>
        <v>256663.89724748489</v>
      </c>
      <c r="GK30" s="2">
        <f t="shared" si="23"/>
        <v>259230.53621995973</v>
      </c>
      <c r="GL30" s="2">
        <f t="shared" si="23"/>
        <v>261822.84158215934</v>
      </c>
      <c r="GM30" s="2">
        <f t="shared" si="23"/>
        <v>264441.06999798096</v>
      </c>
      <c r="GN30" s="2">
        <f t="shared" si="23"/>
        <v>267085.48069796077</v>
      </c>
      <c r="GO30" s="2">
        <f t="shared" si="23"/>
        <v>269756.33550494036</v>
      </c>
      <c r="GP30" s="2">
        <f t="shared" si="23"/>
        <v>272453.89885998977</v>
      </c>
      <c r="GQ30" s="2">
        <f t="shared" si="23"/>
        <v>275178.43784858967</v>
      </c>
      <c r="GR30" s="2">
        <f t="shared" si="23"/>
        <v>277930.22222707554</v>
      </c>
      <c r="GS30" s="2">
        <f t="shared" si="23"/>
        <v>280709.5244493463</v>
      </c>
      <c r="GT30" s="2">
        <f t="shared" si="23"/>
        <v>283516.61969383975</v>
      </c>
      <c r="GU30" s="2">
        <f t="shared" si="23"/>
        <v>286351.78589077812</v>
      </c>
      <c r="GV30" s="2">
        <f t="shared" si="23"/>
        <v>289215.30374968587</v>
      </c>
      <c r="GW30" s="2">
        <f t="shared" si="23"/>
        <v>292107.45678718272</v>
      </c>
      <c r="GX30" s="2">
        <f t="shared" si="23"/>
        <v>295028.53135505453</v>
      </c>
      <c r="GY30" s="2">
        <f t="shared" si="23"/>
        <v>297978.81666860508</v>
      </c>
      <c r="GZ30" s="2">
        <f t="shared" si="23"/>
        <v>300958.60483529116</v>
      </c>
      <c r="HA30" s="2">
        <f t="shared" si="23"/>
        <v>303968.1908836441</v>
      </c>
      <c r="HB30" s="2">
        <f t="shared" si="23"/>
        <v>307007.87279248057</v>
      </c>
      <c r="HC30" s="2">
        <f t="shared" si="23"/>
        <v>310077.95152040536</v>
      </c>
      <c r="HD30" s="2">
        <f t="shared" si="23"/>
        <v>313178.73103560944</v>
      </c>
      <c r="HE30" s="2">
        <f t="shared" si="23"/>
        <v>316310.51834596554</v>
      </c>
      <c r="HF30" s="2">
        <f t="shared" si="23"/>
        <v>319473.62352942518</v>
      </c>
      <c r="HG30" s="2">
        <f t="shared" si="23"/>
        <v>322668.35976471944</v>
      </c>
      <c r="HH30" s="2">
        <f t="shared" si="23"/>
        <v>325895.04336236662</v>
      </c>
      <c r="HI30" s="2">
        <f t="shared" si="23"/>
        <v>329153.9937959903</v>
      </c>
      <c r="HJ30" s="2">
        <f t="shared" si="23"/>
        <v>332445.53373395023</v>
      </c>
      <c r="HK30" s="2">
        <f t="shared" si="23"/>
        <v>335769.98907128972</v>
      </c>
      <c r="HL30" s="2">
        <f t="shared" si="23"/>
        <v>339127.68896200263</v>
      </c>
      <c r="HM30" s="2">
        <f t="shared" si="23"/>
        <v>342518.96585162269</v>
      </c>
      <c r="HN30" s="2">
        <f t="shared" si="23"/>
        <v>345944.15551013889</v>
      </c>
      <c r="HO30" s="2">
        <f t="shared" si="23"/>
        <v>349403.59706524026</v>
      </c>
      <c r="HP30" s="2">
        <f t="shared" si="23"/>
        <v>352897.63303589268</v>
      </c>
      <c r="HQ30" s="2">
        <f t="shared" si="23"/>
        <v>356426.60936625162</v>
      </c>
      <c r="HR30" s="2">
        <f t="shared" ref="HR30:HW30" si="24">+HQ30*(1+$AI$34)</f>
        <v>359990.87545991415</v>
      </c>
      <c r="HS30" s="2">
        <f t="shared" si="24"/>
        <v>363590.78421451332</v>
      </c>
      <c r="HT30" s="2">
        <f t="shared" si="24"/>
        <v>367226.69205665844</v>
      </c>
      <c r="HU30" s="2">
        <f t="shared" si="24"/>
        <v>370898.958977225</v>
      </c>
      <c r="HV30" s="2">
        <f t="shared" si="24"/>
        <v>374607.94856699725</v>
      </c>
      <c r="HW30" s="2">
        <f t="shared" si="24"/>
        <v>378354.02805266721</v>
      </c>
    </row>
    <row r="31" spans="2:231">
      <c r="B31" s="1" t="s">
        <v>33</v>
      </c>
      <c r="C31" s="1">
        <v>63580</v>
      </c>
      <c r="D31" s="1">
        <v>62430</v>
      </c>
      <c r="E31" s="1">
        <v>59040</v>
      </c>
      <c r="F31" s="1">
        <f>+F30/F32</f>
        <v>56277.710438362119</v>
      </c>
      <c r="G31" s="1">
        <v>57840</v>
      </c>
      <c r="H31" s="1">
        <v>57051</v>
      </c>
      <c r="I31" s="1">
        <v>56082</v>
      </c>
      <c r="J31" s="1">
        <f>+J30/J32</f>
        <v>55580.059539839975</v>
      </c>
      <c r="K31" s="1">
        <v>53214</v>
      </c>
      <c r="L31" s="1">
        <v>52787</v>
      </c>
      <c r="S31" s="1">
        <v>65573</v>
      </c>
      <c r="T31" s="1">
        <v>60879</v>
      </c>
      <c r="U31" s="1">
        <v>56196</v>
      </c>
      <c r="V31" s="1">
        <f>+U31</f>
        <v>56196</v>
      </c>
      <c r="W31" s="1">
        <f t="shared" ref="W31:AE31" si="25">+V31</f>
        <v>56196</v>
      </c>
      <c r="X31" s="1">
        <f t="shared" si="25"/>
        <v>56196</v>
      </c>
      <c r="Y31" s="1">
        <f t="shared" si="25"/>
        <v>56196</v>
      </c>
      <c r="Z31" s="1">
        <f t="shared" si="25"/>
        <v>56196</v>
      </c>
      <c r="AA31" s="1">
        <f t="shared" si="25"/>
        <v>56196</v>
      </c>
      <c r="AB31" s="1">
        <f t="shared" si="25"/>
        <v>56196</v>
      </c>
      <c r="AC31" s="1">
        <f t="shared" si="25"/>
        <v>56196</v>
      </c>
      <c r="AD31" s="1">
        <f t="shared" si="25"/>
        <v>56196</v>
      </c>
      <c r="AE31" s="1">
        <f t="shared" si="25"/>
        <v>56196</v>
      </c>
    </row>
    <row r="32" spans="2:231" s="6" customFormat="1">
      <c r="B32" s="6" t="s">
        <v>34</v>
      </c>
      <c r="C32" s="6">
        <f>+C30/C31</f>
        <v>0.34374016986473732</v>
      </c>
      <c r="D32" s="6">
        <f>+D30/D31</f>
        <v>0.38201185327566872</v>
      </c>
      <c r="E32" s="6">
        <f>+E30/E31</f>
        <v>0.25721544715447153</v>
      </c>
      <c r="F32" s="6">
        <f t="shared" si="11"/>
        <v>0.22774558346750362</v>
      </c>
      <c r="G32" s="6">
        <f>+G30/G31</f>
        <v>-1.2655601659751037E-2</v>
      </c>
      <c r="H32" s="6">
        <f>+H30/H31</f>
        <v>0.17026870694641635</v>
      </c>
      <c r="I32" s="6">
        <f>+I30/I31</f>
        <v>0.18772511679326701</v>
      </c>
      <c r="J32" s="6">
        <f t="shared" si="12"/>
        <v>0.16782997494476698</v>
      </c>
      <c r="K32" s="6">
        <f>+K30/K31</f>
        <v>8.200849400533694E-2</v>
      </c>
      <c r="L32" s="6">
        <f>+L30/L31</f>
        <v>9.7618731884744347E-2</v>
      </c>
      <c r="S32" s="6">
        <f>+S30/S31</f>
        <v>0.48751772833330792</v>
      </c>
      <c r="T32" s="6">
        <f>+T30/T31</f>
        <v>1.2107130537623811</v>
      </c>
      <c r="U32" s="6">
        <f>+U30/U31</f>
        <v>0.51316819702469929</v>
      </c>
      <c r="V32" s="6">
        <f>+V30/V31</f>
        <v>0.558899444469385</v>
      </c>
      <c r="W32" s="6">
        <f t="shared" ref="W32:AE32" si="26">+W30/W31</f>
        <v>0.59404720659748111</v>
      </c>
      <c r="X32" s="6">
        <f t="shared" si="26"/>
        <v>0.63037640320422472</v>
      </c>
      <c r="Y32" s="6">
        <f t="shared" si="26"/>
        <v>0.66791629034384359</v>
      </c>
      <c r="Z32" s="6">
        <f t="shared" si="26"/>
        <v>0.70669658809005709</v>
      </c>
      <c r="AA32" s="6">
        <f t="shared" si="26"/>
        <v>0.74674747564622279</v>
      </c>
      <c r="AB32" s="6">
        <f t="shared" si="26"/>
        <v>0.78809958552500459</v>
      </c>
      <c r="AC32" s="6">
        <f t="shared" si="26"/>
        <v>0.83078399673780789</v>
      </c>
      <c r="AD32" s="6">
        <f t="shared" si="26"/>
        <v>0.87483222693110319</v>
      </c>
      <c r="AE32" s="6">
        <f t="shared" si="26"/>
        <v>0.9202762234035865</v>
      </c>
    </row>
    <row r="33" spans="2:38">
      <c r="AH33" s="1" t="s">
        <v>93</v>
      </c>
      <c r="AI33" s="3">
        <v>0.05</v>
      </c>
    </row>
    <row r="34" spans="2:38">
      <c r="AH34" s="1" t="s">
        <v>79</v>
      </c>
      <c r="AI34" s="3">
        <v>0.01</v>
      </c>
      <c r="AK34" s="1" t="s">
        <v>94</v>
      </c>
      <c r="AL34" s="16">
        <v>3.95E-2</v>
      </c>
    </row>
    <row r="35" spans="2:38">
      <c r="B35" s="4" t="s">
        <v>35</v>
      </c>
      <c r="AH35" s="1" t="s">
        <v>80</v>
      </c>
      <c r="AI35" s="16">
        <f>AVERAGE(AL34:AL36)+0.03</f>
        <v>7.8699999999999992E-2</v>
      </c>
      <c r="AK35" s="1" t="s">
        <v>95</v>
      </c>
      <c r="AL35" s="16">
        <v>5.3600000000000002E-2</v>
      </c>
    </row>
    <row r="36" spans="2:38" s="3" customFormat="1">
      <c r="B36" s="1" t="s">
        <v>13</v>
      </c>
      <c r="G36" s="3">
        <f>+G15/C15-1</f>
        <v>0.21548117154811708</v>
      </c>
      <c r="H36" s="3">
        <f>+H15/D15-1</f>
        <v>0.11621616124636436</v>
      </c>
      <c r="I36" s="3">
        <f>+I15/E15-1</f>
        <v>1.8042175020589468E-2</v>
      </c>
      <c r="J36" s="3">
        <f>+J15/F15-1</f>
        <v>-6.4890898729755842E-3</v>
      </c>
      <c r="K36" s="3">
        <f>+K15/G15-1</f>
        <v>-2.0766294993639134E-2</v>
      </c>
      <c r="L36" s="3">
        <f>+L15/H15-1</f>
        <v>-9.7119221588527482E-3</v>
      </c>
      <c r="T36" s="3">
        <f>+T15/S15-1</f>
        <v>0.14133484175822919</v>
      </c>
      <c r="U36" s="3">
        <f>+U15/T15-1</f>
        <v>7.8992555806420839E-2</v>
      </c>
      <c r="AH36" s="3" t="s">
        <v>81</v>
      </c>
      <c r="AI36" s="14">
        <f>NPV(AI35,V30:HW30)</f>
        <v>624648.37611055467</v>
      </c>
      <c r="AK36" s="3" t="s">
        <v>96</v>
      </c>
      <c r="AL36" s="16">
        <v>5.2999999999999999E-2</v>
      </c>
    </row>
    <row r="37" spans="2:38">
      <c r="B37" s="1" t="s">
        <v>14</v>
      </c>
      <c r="G37" s="3">
        <f>+G16/C16-1</f>
        <v>8.2663915712570368E-2</v>
      </c>
      <c r="H37" s="3">
        <f>+H16/D16-1</f>
        <v>-5.7949886104783577E-2</v>
      </c>
      <c r="I37" s="3">
        <f>+I16/E16-1</f>
        <v>-6.4602651544179657E-2</v>
      </c>
      <c r="J37" s="3">
        <f>+J16/F16-1</f>
        <v>-7.7396538750940547E-2</v>
      </c>
      <c r="K37" s="3">
        <f>+K16/G16-1</f>
        <v>-9.9767256595698184E-2</v>
      </c>
      <c r="L37" s="3">
        <f>+L16/H16-1</f>
        <v>-7.3346874294741848E-3</v>
      </c>
      <c r="T37" s="3">
        <f>+T16/S16-1</f>
        <v>0.15020366826942477</v>
      </c>
      <c r="U37" s="3">
        <f>+U16/T16-1</f>
        <v>-3.2281942994280777E-2</v>
      </c>
      <c r="AH37" s="1" t="s">
        <v>83</v>
      </c>
      <c r="AI37" s="1">
        <f>+L41</f>
        <v>-253538</v>
      </c>
      <c r="AL37" s="3"/>
    </row>
    <row r="38" spans="2:38" s="2" customFormat="1">
      <c r="B38" s="2" t="s">
        <v>19</v>
      </c>
      <c r="G38" s="7">
        <f>+G17/C17-1</f>
        <v>0.13931158893188633</v>
      </c>
      <c r="H38" s="7">
        <f>+H17/D17-1</f>
        <v>1.6501908413538935E-2</v>
      </c>
      <c r="I38" s="7">
        <f>+I17/E17-1</f>
        <v>-2.7865753984470776E-2</v>
      </c>
      <c r="J38" s="7">
        <f>+J17/F17-1</f>
        <v>-4.5478241441799239E-2</v>
      </c>
      <c r="K38" s="7">
        <f>+K17/G17-1</f>
        <v>-6.3820006639936699E-2</v>
      </c>
      <c r="L38" s="7">
        <f>+L17/H17-1</f>
        <v>-8.4505837574305742E-3</v>
      </c>
      <c r="T38" s="7">
        <f>+T17/S17-1</f>
        <v>0.1463053840783175</v>
      </c>
      <c r="U38" s="7">
        <f>+U17/T17-1</f>
        <v>1.641657300478272E-2</v>
      </c>
      <c r="V38" s="7">
        <f t="shared" ref="V38:AE38" si="27">+V17/U17-1</f>
        <v>2.7958307786634107E-2</v>
      </c>
      <c r="W38" s="7">
        <f t="shared" si="27"/>
        <v>2.4602409638554423E-2</v>
      </c>
      <c r="X38" s="7">
        <f t="shared" si="27"/>
        <v>2.4394299287410881E-2</v>
      </c>
      <c r="Y38" s="7">
        <f t="shared" si="27"/>
        <v>2.4192037470726069E-2</v>
      </c>
      <c r="Z38" s="7">
        <f t="shared" si="27"/>
        <v>2.3995381062355658E-2</v>
      </c>
      <c r="AA38" s="7">
        <f t="shared" si="27"/>
        <v>2.3804100227790448E-2</v>
      </c>
      <c r="AB38" s="7">
        <f t="shared" si="27"/>
        <v>2.3617977528089806E-2</v>
      </c>
      <c r="AC38" s="7">
        <f t="shared" si="27"/>
        <v>2.3436807095343903E-2</v>
      </c>
      <c r="AD38" s="7">
        <f t="shared" si="27"/>
        <v>2.3260393873085095E-2</v>
      </c>
      <c r="AE38" s="7">
        <f t="shared" si="27"/>
        <v>2.3088552915766725E-2</v>
      </c>
      <c r="AH38" s="1" t="s">
        <v>84</v>
      </c>
      <c r="AI38" s="2">
        <f>SUM(AI36:AI37)</f>
        <v>371110.37611055467</v>
      </c>
      <c r="AL38" s="7"/>
    </row>
    <row r="39" spans="2:38">
      <c r="AH39" s="1" t="s">
        <v>82</v>
      </c>
      <c r="AI39" s="1">
        <f>+main!F5*1000</f>
        <v>51373.969000000005</v>
      </c>
    </row>
    <row r="40" spans="2:38">
      <c r="AH40" s="1" t="s">
        <v>85</v>
      </c>
      <c r="AI40" s="17">
        <f>+AI38/AI39</f>
        <v>7.2237045985400625</v>
      </c>
    </row>
    <row r="41" spans="2:38" s="2" customFormat="1">
      <c r="B41" s="2" t="s">
        <v>83</v>
      </c>
      <c r="L41" s="2">
        <f>SUM(L42:L43)-L63</f>
        <v>-253538</v>
      </c>
      <c r="U41" s="2">
        <f>+L41</f>
        <v>-253538</v>
      </c>
      <c r="V41" s="2">
        <f>+U41+V30</f>
        <v>-222130.08681859844</v>
      </c>
      <c r="W41" s="2">
        <f t="shared" ref="W41:AE41" si="28">+V41+W30</f>
        <v>-188747.0099966464</v>
      </c>
      <c r="X41" s="2">
        <f t="shared" si="28"/>
        <v>-153322.37764218179</v>
      </c>
      <c r="Y41" s="2">
        <f t="shared" si="28"/>
        <v>-115788.15379001916</v>
      </c>
      <c r="Z41" s="2">
        <f t="shared" si="28"/>
        <v>-76074.632325710321</v>
      </c>
      <c r="AA41" s="2">
        <f t="shared" si="28"/>
        <v>-34110.411184295182</v>
      </c>
      <c r="AB41" s="2">
        <f t="shared" si="28"/>
        <v>10177.633123867978</v>
      </c>
      <c r="AC41" s="2">
        <f t="shared" si="28"/>
        <v>56864.370604545831</v>
      </c>
      <c r="AD41" s="2">
        <f t="shared" si="28"/>
        <v>106026.44242916611</v>
      </c>
      <c r="AE41" s="2">
        <f t="shared" si="28"/>
        <v>157742.28507955407</v>
      </c>
      <c r="AH41" s="2" t="s">
        <v>97</v>
      </c>
      <c r="AI41" s="18">
        <f>+main!F4</f>
        <v>6.43</v>
      </c>
    </row>
    <row r="42" spans="2:38">
      <c r="B42" s="1" t="s">
        <v>51</v>
      </c>
      <c r="L42" s="1">
        <v>1166</v>
      </c>
      <c r="AH42" s="1" t="s">
        <v>98</v>
      </c>
      <c r="AI42" s="3">
        <f>+AI40/AI41-1</f>
        <v>0.12343772916641726</v>
      </c>
    </row>
    <row r="43" spans="2:38">
      <c r="B43" s="1" t="s">
        <v>52</v>
      </c>
      <c r="L43" s="1">
        <v>2796</v>
      </c>
    </row>
    <row r="44" spans="2:38">
      <c r="B44" s="1" t="s">
        <v>53</v>
      </c>
      <c r="L44" s="1">
        <v>19784</v>
      </c>
    </row>
    <row r="45" spans="2:38">
      <c r="B45" s="1" t="s">
        <v>54</v>
      </c>
      <c r="L45" s="1">
        <v>1895</v>
      </c>
      <c r="AH45" s="1" t="s">
        <v>99</v>
      </c>
      <c r="AI45" s="19">
        <f>+(main!F9*1000)/V30</f>
        <v>18.589984546179426</v>
      </c>
    </row>
    <row r="46" spans="2:38">
      <c r="B46" s="1" t="s">
        <v>55</v>
      </c>
      <c r="L46" s="1">
        <v>350</v>
      </c>
    </row>
    <row r="47" spans="2:38">
      <c r="B47" s="1" t="s">
        <v>56</v>
      </c>
      <c r="L47" s="1">
        <v>9215</v>
      </c>
    </row>
    <row r="48" spans="2:38" s="2" customFormat="1">
      <c r="B48" s="2" t="s">
        <v>57</v>
      </c>
      <c r="L48" s="2">
        <f>+SUM(L42:L47)</f>
        <v>35206</v>
      </c>
    </row>
    <row r="49" spans="2:12">
      <c r="B49" s="1" t="s">
        <v>58</v>
      </c>
      <c r="L49" s="1">
        <v>96957</v>
      </c>
    </row>
    <row r="50" spans="2:12">
      <c r="B50" s="1" t="s">
        <v>59</v>
      </c>
      <c r="L50" s="1">
        <v>5499</v>
      </c>
    </row>
    <row r="51" spans="2:12">
      <c r="B51" s="1" t="s">
        <v>60</v>
      </c>
      <c r="L51" s="1">
        <v>110554</v>
      </c>
    </row>
    <row r="52" spans="2:12">
      <c r="B52" s="1" t="s">
        <v>61</v>
      </c>
      <c r="L52" s="1">
        <v>66357</v>
      </c>
    </row>
    <row r="53" spans="2:12">
      <c r="B53" s="1" t="s">
        <v>62</v>
      </c>
      <c r="L53" s="1">
        <v>92563</v>
      </c>
    </row>
    <row r="54" spans="2:12">
      <c r="B54" s="1" t="s">
        <v>63</v>
      </c>
      <c r="L54" s="1">
        <v>1384</v>
      </c>
    </row>
    <row r="55" spans="2:12">
      <c r="B55" s="1" t="s">
        <v>64</v>
      </c>
      <c r="L55" s="1">
        <v>51418</v>
      </c>
    </row>
    <row r="56" spans="2:12" s="2" customFormat="1">
      <c r="B56" s="2" t="s">
        <v>65</v>
      </c>
      <c r="L56" s="2">
        <f>+SUM(L48:L55)</f>
        <v>459938</v>
      </c>
    </row>
    <row r="58" spans="2:12">
      <c r="B58" s="1" t="s">
        <v>59</v>
      </c>
      <c r="L58" s="1">
        <v>1372</v>
      </c>
    </row>
    <row r="59" spans="2:12">
      <c r="B59" s="1" t="s">
        <v>66</v>
      </c>
      <c r="L59" s="1">
        <v>14931</v>
      </c>
    </row>
    <row r="60" spans="2:12">
      <c r="B60" s="1" t="s">
        <v>67</v>
      </c>
      <c r="L60" s="1">
        <v>17224</v>
      </c>
    </row>
    <row r="61" spans="2:12">
      <c r="B61" s="1" t="s">
        <v>68</v>
      </c>
      <c r="L61" s="1">
        <v>62600</v>
      </c>
    </row>
    <row r="62" spans="2:12" s="2" customFormat="1">
      <c r="B62" s="2" t="s">
        <v>69</v>
      </c>
      <c r="L62" s="2">
        <f>+SUM(L58:L61)</f>
        <v>96127</v>
      </c>
    </row>
    <row r="63" spans="2:12">
      <c r="B63" s="1" t="s">
        <v>70</v>
      </c>
      <c r="L63" s="1">
        <v>257500</v>
      </c>
    </row>
    <row r="64" spans="2:12">
      <c r="B64" s="1" t="s">
        <v>71</v>
      </c>
      <c r="L64" s="1">
        <v>8552</v>
      </c>
    </row>
    <row r="65" spans="2:12">
      <c r="B65" s="1" t="s">
        <v>72</v>
      </c>
      <c r="L65" s="1">
        <v>107168</v>
      </c>
    </row>
    <row r="66" spans="2:12">
      <c r="B66" s="1" t="s">
        <v>73</v>
      </c>
      <c r="L66" s="1">
        <v>7069</v>
      </c>
    </row>
    <row r="67" spans="2:12">
      <c r="B67" s="1" t="s">
        <v>74</v>
      </c>
      <c r="L67" s="1">
        <v>7029</v>
      </c>
    </row>
    <row r="68" spans="2:12">
      <c r="B68" s="1" t="s">
        <v>75</v>
      </c>
      <c r="L68" s="1">
        <v>29736</v>
      </c>
    </row>
    <row r="69" spans="2:12" s="2" customFormat="1">
      <c r="B69" s="2" t="s">
        <v>76</v>
      </c>
      <c r="L69" s="2">
        <f>+SUM(L62:L68)</f>
        <v>513181</v>
      </c>
    </row>
    <row r="70" spans="2:12">
      <c r="B70" s="1" t="s">
        <v>77</v>
      </c>
      <c r="L70" s="1">
        <v>-53243</v>
      </c>
    </row>
    <row r="71" spans="2:12" s="2" customFormat="1">
      <c r="B71" s="2" t="s">
        <v>78</v>
      </c>
      <c r="L71" s="2">
        <f>+SUM(L69:L70)</f>
        <v>459938</v>
      </c>
    </row>
    <row r="73" spans="2:12">
      <c r="B73" s="1" t="s">
        <v>88</v>
      </c>
      <c r="G73" s="1">
        <v>16153</v>
      </c>
      <c r="H73" s="1">
        <f>35651-G73</f>
        <v>19498</v>
      </c>
      <c r="I73" s="1">
        <f>50768-SUM(G73:H73)</f>
        <v>15117</v>
      </c>
      <c r="J73" s="1">
        <f>72125-SUM(G73:I73)</f>
        <v>21357</v>
      </c>
      <c r="K73" s="1">
        <v>215</v>
      </c>
      <c r="L73" s="1">
        <f>14396-K73</f>
        <v>14181</v>
      </c>
    </row>
    <row r="74" spans="2:12">
      <c r="B74" s="1" t="s">
        <v>89</v>
      </c>
      <c r="G74" s="1">
        <v>-1304</v>
      </c>
      <c r="H74" s="1">
        <f>+-3307-G74</f>
        <v>-2003</v>
      </c>
      <c r="I74" s="1">
        <f>+-5499-SUM(G74:H74)</f>
        <v>-2192</v>
      </c>
      <c r="J74" s="1">
        <f>+-9978-SUM(G74:I74)</f>
        <v>-4479</v>
      </c>
      <c r="K74" s="1">
        <v>-4905</v>
      </c>
      <c r="L74" s="1">
        <f>+-9948-K74</f>
        <v>-5043</v>
      </c>
    </row>
    <row r="75" spans="2:12" s="2" customFormat="1">
      <c r="B75" s="2" t="s">
        <v>90</v>
      </c>
      <c r="E75" s="2">
        <f t="shared" ref="E75:K75" si="29">+SUM(E73:E74)</f>
        <v>0</v>
      </c>
      <c r="F75" s="2">
        <f t="shared" si="29"/>
        <v>0</v>
      </c>
      <c r="G75" s="2">
        <f t="shared" si="29"/>
        <v>14849</v>
      </c>
      <c r="H75" s="2">
        <f t="shared" si="29"/>
        <v>17495</v>
      </c>
      <c r="I75" s="2">
        <f t="shared" si="29"/>
        <v>12925</v>
      </c>
      <c r="J75" s="2">
        <f t="shared" si="29"/>
        <v>16878</v>
      </c>
      <c r="K75" s="2">
        <f t="shared" si="29"/>
        <v>-4690</v>
      </c>
      <c r="L75" s="2">
        <f>+SUM(L73:L74)</f>
        <v>9138</v>
      </c>
    </row>
    <row r="76" spans="2:12">
      <c r="B76" s="1" t="s">
        <v>32</v>
      </c>
      <c r="G76" s="1">
        <f t="shared" ref="G76:L76" si="30">+G30</f>
        <v>-732</v>
      </c>
      <c r="H76" s="1">
        <f t="shared" si="30"/>
        <v>9714</v>
      </c>
      <c r="I76" s="1">
        <f t="shared" si="30"/>
        <v>10528</v>
      </c>
      <c r="J76" s="1">
        <f t="shared" si="30"/>
        <v>9328</v>
      </c>
      <c r="K76" s="1">
        <f t="shared" si="30"/>
        <v>4364</v>
      </c>
      <c r="L76" s="1">
        <f>+L30</f>
        <v>5153</v>
      </c>
    </row>
    <row r="79" spans="2:12">
      <c r="B79" s="1" t="s">
        <v>91</v>
      </c>
      <c r="J79" s="1">
        <f t="shared" ref="J79:K79" si="31">SUM(G75:J75)</f>
        <v>62147</v>
      </c>
      <c r="K79" s="1">
        <f t="shared" si="31"/>
        <v>42608</v>
      </c>
      <c r="L79" s="1">
        <f>SUM(I75:L75)</f>
        <v>34251</v>
      </c>
    </row>
    <row r="80" spans="2:12">
      <c r="B80" s="1" t="s">
        <v>92</v>
      </c>
      <c r="J80" s="1">
        <f t="shared" ref="J80:K80" si="32">SUM(G76:J76)</f>
        <v>28838</v>
      </c>
      <c r="K80" s="1">
        <f t="shared" si="32"/>
        <v>33934</v>
      </c>
      <c r="L80" s="1">
        <f>SUM(I76:L76)</f>
        <v>29373</v>
      </c>
    </row>
    <row r="81" s="1" customFormat="1"/>
    <row r="82" s="1" customFormat="1"/>
    <row r="83" s="1" customFormat="1"/>
  </sheetData>
  <pageMargins left="0.7" right="0.7" top="0.75" bottom="0.75" header="0.3" footer="0.3"/>
  <ignoredErrors>
    <ignoredError sqref="D17:J33 J5 F5 V19:AE22 V23:AE25 V27:AE28" formula="1"/>
    <ignoredError sqref="L41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2024-06-19T22:54:23Z</dcterms:created>
  <dcterms:modified xsi:type="dcterms:W3CDTF">2024-08-11T17:57:26Z</dcterms:modified>
</cp:coreProperties>
</file>