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meelbrannon/Dropbox/Models/"/>
    </mc:Choice>
  </mc:AlternateContent>
  <xr:revisionPtr revIDLastSave="0" documentId="13_ncr:1_{8BCACAEA-9C3A-1343-9F42-276260C4B575}" xr6:coauthVersionLast="47" xr6:coauthVersionMax="47" xr10:uidLastSave="{00000000-0000-0000-0000-000000000000}"/>
  <bookViews>
    <workbookView xWindow="0" yWindow="700" windowWidth="38160" windowHeight="24500" xr2:uid="{C41622BE-9F07-764D-83F6-9802A34A6FF5}"/>
  </bookViews>
  <sheets>
    <sheet name="Main" sheetId="1" r:id="rId1"/>
    <sheet name="Model" sheetId="2" r:id="rId2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L44" i="2" l="1"/>
  <c r="X40" i="2"/>
  <c r="Z23" i="2"/>
  <c r="AA23" i="2"/>
  <c r="AB23" i="2"/>
  <c r="AC23" i="2"/>
  <c r="AD23" i="2"/>
  <c r="AE23" i="2"/>
  <c r="AF23" i="2"/>
  <c r="AG23" i="2"/>
  <c r="AH23" i="2" s="1"/>
  <c r="Z24" i="2"/>
  <c r="AA24" i="2"/>
  <c r="AB24" i="2" s="1"/>
  <c r="AC24" i="2" s="1"/>
  <c r="AD24" i="2" s="1"/>
  <c r="AE24" i="2" s="1"/>
  <c r="AF24" i="2" s="1"/>
  <c r="AG24" i="2" s="1"/>
  <c r="AH24" i="2" s="1"/>
  <c r="Z25" i="2"/>
  <c r="Z26" i="2" s="1"/>
  <c r="Y26" i="2"/>
  <c r="Y23" i="2"/>
  <c r="Y24" i="2"/>
  <c r="AH18" i="2"/>
  <c r="AG18" i="2"/>
  <c r="AF18" i="2"/>
  <c r="AE18" i="2"/>
  <c r="AD18" i="2"/>
  <c r="AC18" i="2"/>
  <c r="AB18" i="2"/>
  <c r="AA18" i="2"/>
  <c r="AA17" i="2"/>
  <c r="AB17" i="2" s="1"/>
  <c r="AC17" i="2" s="1"/>
  <c r="AD17" i="2" s="1"/>
  <c r="AE17" i="2" s="1"/>
  <c r="AF17" i="2" s="1"/>
  <c r="AG17" i="2" s="1"/>
  <c r="AH17" i="2" s="1"/>
  <c r="AA16" i="2"/>
  <c r="AB16" i="2" s="1"/>
  <c r="AC16" i="2" s="1"/>
  <c r="AD16" i="2" s="1"/>
  <c r="AE16" i="2" s="1"/>
  <c r="AF16" i="2" s="1"/>
  <c r="AG16" i="2" s="1"/>
  <c r="AH16" i="2" s="1"/>
  <c r="AA15" i="2"/>
  <c r="AB15" i="2" s="1"/>
  <c r="AC15" i="2" s="1"/>
  <c r="AD15" i="2" s="1"/>
  <c r="AE15" i="2" s="1"/>
  <c r="AF15" i="2" s="1"/>
  <c r="AG15" i="2" s="1"/>
  <c r="AH15" i="2" s="1"/>
  <c r="Z15" i="2"/>
  <c r="Z16" i="2"/>
  <c r="Z17" i="2"/>
  <c r="Z18" i="2"/>
  <c r="Y10" i="2"/>
  <c r="AA8" i="2"/>
  <c r="AA9" i="2" s="1"/>
  <c r="Z8" i="2"/>
  <c r="Z9" i="2" s="1"/>
  <c r="Y9" i="2"/>
  <c r="Y8" i="2"/>
  <c r="O9" i="2"/>
  <c r="L9" i="2"/>
  <c r="K9" i="2"/>
  <c r="N8" i="2"/>
  <c r="J9" i="2"/>
  <c r="I9" i="2"/>
  <c r="M9" i="2"/>
  <c r="W9" i="2"/>
  <c r="X9" i="2"/>
  <c r="Z10" i="2"/>
  <c r="AA10" i="2" s="1"/>
  <c r="AB10" i="2" s="1"/>
  <c r="AC10" i="2" s="1"/>
  <c r="AD10" i="2" s="1"/>
  <c r="AE10" i="2" s="1"/>
  <c r="AF10" i="2" s="1"/>
  <c r="AG10" i="2" s="1"/>
  <c r="AH10" i="2" s="1"/>
  <c r="X10" i="2"/>
  <c r="W10" i="2"/>
  <c r="V10" i="2"/>
  <c r="M10" i="2"/>
  <c r="M8" i="2"/>
  <c r="Y15" i="2"/>
  <c r="Z65" i="2"/>
  <c r="AA65" i="2" s="1"/>
  <c r="AB65" i="2" s="1"/>
  <c r="AC65" i="2" s="1"/>
  <c r="AD65" i="2" s="1"/>
  <c r="AE65" i="2" s="1"/>
  <c r="AF65" i="2" s="1"/>
  <c r="AG65" i="2" s="1"/>
  <c r="AH65" i="2" s="1"/>
  <c r="Y65" i="2"/>
  <c r="AH34" i="2"/>
  <c r="AH3" i="2"/>
  <c r="H7" i="1"/>
  <c r="H6" i="1"/>
  <c r="K55" i="2"/>
  <c r="K58" i="2" s="1"/>
  <c r="K60" i="2" s="1"/>
  <c r="K44" i="2"/>
  <c r="K50" i="2" s="1"/>
  <c r="K40" i="2"/>
  <c r="J55" i="2"/>
  <c r="J58" i="2" s="1"/>
  <c r="J60" i="2" s="1"/>
  <c r="J44" i="2"/>
  <c r="J50" i="2" s="1"/>
  <c r="J40" i="2"/>
  <c r="L55" i="2"/>
  <c r="L58" i="2" s="1"/>
  <c r="L60" i="2" s="1"/>
  <c r="L44" i="2"/>
  <c r="L50" i="2" s="1"/>
  <c r="L40" i="2"/>
  <c r="AA34" i="2"/>
  <c r="AB34" i="2" s="1"/>
  <c r="Z34" i="2"/>
  <c r="Y31" i="2"/>
  <c r="M17" i="2"/>
  <c r="Y17" i="2" s="1"/>
  <c r="M16" i="2"/>
  <c r="M15" i="2"/>
  <c r="W8" i="2"/>
  <c r="V8" i="2"/>
  <c r="U8" i="2"/>
  <c r="T8" i="2"/>
  <c r="S8" i="2"/>
  <c r="R8" i="2"/>
  <c r="J7" i="2"/>
  <c r="J6" i="2"/>
  <c r="J5" i="2"/>
  <c r="J4" i="2"/>
  <c r="J8" i="2" s="1"/>
  <c r="L8" i="2"/>
  <c r="H37" i="2"/>
  <c r="X25" i="2"/>
  <c r="X18" i="2"/>
  <c r="C25" i="2"/>
  <c r="C18" i="2"/>
  <c r="D25" i="2"/>
  <c r="D18" i="2"/>
  <c r="E25" i="2"/>
  <c r="E18" i="2"/>
  <c r="I25" i="2"/>
  <c r="I18" i="2"/>
  <c r="H25" i="2"/>
  <c r="H18" i="2"/>
  <c r="L25" i="2"/>
  <c r="L18" i="2"/>
  <c r="L10" i="2" s="1"/>
  <c r="G25" i="2"/>
  <c r="G18" i="2"/>
  <c r="G37" i="2" s="1"/>
  <c r="X8" i="2"/>
  <c r="I8" i="2"/>
  <c r="H8" i="2"/>
  <c r="G8" i="2"/>
  <c r="F8" i="2"/>
  <c r="E8" i="2"/>
  <c r="D8" i="2"/>
  <c r="C8" i="2"/>
  <c r="K8" i="2"/>
  <c r="K18" i="2"/>
  <c r="I6" i="1"/>
  <c r="I7" i="1" s="1"/>
  <c r="U65" i="2"/>
  <c r="V65" i="2"/>
  <c r="W65" i="2"/>
  <c r="X65" i="2" s="1"/>
  <c r="AL42" i="2"/>
  <c r="AL73" i="2" s="1"/>
  <c r="F33" i="2"/>
  <c r="F31" i="2"/>
  <c r="F29" i="2"/>
  <c r="F28" i="2"/>
  <c r="F27" i="2"/>
  <c r="F24" i="2"/>
  <c r="F23" i="2"/>
  <c r="F22" i="2"/>
  <c r="F21" i="2"/>
  <c r="F20" i="2"/>
  <c r="F19" i="2"/>
  <c r="F17" i="2"/>
  <c r="F16" i="2"/>
  <c r="F15" i="2"/>
  <c r="J33" i="2"/>
  <c r="J31" i="2"/>
  <c r="J29" i="2"/>
  <c r="J28" i="2"/>
  <c r="J27" i="2"/>
  <c r="J24" i="2"/>
  <c r="J23" i="2"/>
  <c r="J22" i="2"/>
  <c r="J21" i="2"/>
  <c r="J20" i="2"/>
  <c r="J19" i="2"/>
  <c r="J17" i="2"/>
  <c r="N17" i="2" s="1"/>
  <c r="J16" i="2"/>
  <c r="N16" i="2" s="1"/>
  <c r="Y16" i="2" s="1"/>
  <c r="J15" i="2"/>
  <c r="N15" i="2" s="1"/>
  <c r="R31" i="2"/>
  <c r="R25" i="2"/>
  <c r="S25" i="2"/>
  <c r="T25" i="2"/>
  <c r="U25" i="2"/>
  <c r="V25" i="2"/>
  <c r="W25" i="2"/>
  <c r="AH25" i="2" l="1"/>
  <c r="AH26" i="2" s="1"/>
  <c r="Z29" i="2"/>
  <c r="Z28" i="2"/>
  <c r="AB25" i="2"/>
  <c r="AB26" i="2" s="1"/>
  <c r="AC25" i="2"/>
  <c r="AC26" i="2" s="1"/>
  <c r="AD25" i="2"/>
  <c r="AD26" i="2" s="1"/>
  <c r="AG25" i="2"/>
  <c r="AG26" i="2" s="1"/>
  <c r="AE25" i="2"/>
  <c r="AE26" i="2" s="1"/>
  <c r="AF25" i="2"/>
  <c r="AF26" i="2" s="1"/>
  <c r="AA25" i="2"/>
  <c r="AA26" i="2" s="1"/>
  <c r="AB8" i="2"/>
  <c r="I10" i="2"/>
  <c r="AC34" i="2"/>
  <c r="H10" i="2"/>
  <c r="K10" i="2"/>
  <c r="I37" i="2"/>
  <c r="G10" i="2"/>
  <c r="M18" i="2"/>
  <c r="Y18" i="2" s="1"/>
  <c r="K37" i="2"/>
  <c r="N18" i="2"/>
  <c r="X26" i="2"/>
  <c r="X30" i="2" s="1"/>
  <c r="X32" i="2" s="1"/>
  <c r="C26" i="2"/>
  <c r="D26" i="2"/>
  <c r="E26" i="2"/>
  <c r="E36" i="2" s="1"/>
  <c r="I26" i="2"/>
  <c r="L37" i="2"/>
  <c r="H26" i="2"/>
  <c r="L26" i="2"/>
  <c r="G26" i="2"/>
  <c r="G30" i="2" s="1"/>
  <c r="G32" i="2" s="1"/>
  <c r="G34" i="2" s="1"/>
  <c r="F25" i="2"/>
  <c r="AI65" i="2"/>
  <c r="AJ65" i="2" s="1"/>
  <c r="AK65" i="2" s="1"/>
  <c r="AL65" i="2" s="1"/>
  <c r="AM65" i="2" s="1"/>
  <c r="AN65" i="2" s="1"/>
  <c r="AO65" i="2" s="1"/>
  <c r="AP65" i="2" s="1"/>
  <c r="AQ65" i="2" s="1"/>
  <c r="AR65" i="2" s="1"/>
  <c r="AS65" i="2" s="1"/>
  <c r="AT65" i="2" s="1"/>
  <c r="AU65" i="2" s="1"/>
  <c r="AV65" i="2" s="1"/>
  <c r="AW65" i="2" s="1"/>
  <c r="AX65" i="2" s="1"/>
  <c r="AY65" i="2" s="1"/>
  <c r="AZ65" i="2" s="1"/>
  <c r="BA65" i="2" s="1"/>
  <c r="BB65" i="2" s="1"/>
  <c r="BC65" i="2" s="1"/>
  <c r="BD65" i="2" s="1"/>
  <c r="BE65" i="2" s="1"/>
  <c r="BF65" i="2" s="1"/>
  <c r="BG65" i="2" s="1"/>
  <c r="BH65" i="2" s="1"/>
  <c r="BI65" i="2" s="1"/>
  <c r="BJ65" i="2" s="1"/>
  <c r="BK65" i="2" s="1"/>
  <c r="BL65" i="2" s="1"/>
  <c r="BM65" i="2" s="1"/>
  <c r="BN65" i="2" s="1"/>
  <c r="BO65" i="2" s="1"/>
  <c r="BP65" i="2" s="1"/>
  <c r="BQ65" i="2" s="1"/>
  <c r="BR65" i="2" s="1"/>
  <c r="BS65" i="2" s="1"/>
  <c r="BT65" i="2" s="1"/>
  <c r="BU65" i="2" s="1"/>
  <c r="BV65" i="2" s="1"/>
  <c r="BW65" i="2" s="1"/>
  <c r="BX65" i="2" s="1"/>
  <c r="BY65" i="2" s="1"/>
  <c r="BZ65" i="2" s="1"/>
  <c r="CA65" i="2" s="1"/>
  <c r="CB65" i="2" s="1"/>
  <c r="CC65" i="2" s="1"/>
  <c r="CD65" i="2" s="1"/>
  <c r="CE65" i="2" s="1"/>
  <c r="CF65" i="2" s="1"/>
  <c r="CG65" i="2" s="1"/>
  <c r="CH65" i="2" s="1"/>
  <c r="CI65" i="2" s="1"/>
  <c r="CJ65" i="2" s="1"/>
  <c r="CK65" i="2" s="1"/>
  <c r="CL65" i="2" s="1"/>
  <c r="CM65" i="2" s="1"/>
  <c r="CN65" i="2" s="1"/>
  <c r="CO65" i="2" s="1"/>
  <c r="CP65" i="2" s="1"/>
  <c r="CQ65" i="2" s="1"/>
  <c r="CR65" i="2" s="1"/>
  <c r="CS65" i="2" s="1"/>
  <c r="CT65" i="2" s="1"/>
  <c r="CU65" i="2" s="1"/>
  <c r="CV65" i="2" s="1"/>
  <c r="CW65" i="2" s="1"/>
  <c r="CX65" i="2" s="1"/>
  <c r="CY65" i="2" s="1"/>
  <c r="J25" i="2"/>
  <c r="R18" i="2"/>
  <c r="R26" i="2" s="1"/>
  <c r="S18" i="2"/>
  <c r="T18" i="2"/>
  <c r="W18" i="2"/>
  <c r="J18" i="2" s="1"/>
  <c r="V18" i="2"/>
  <c r="U18" i="2"/>
  <c r="S3" i="2"/>
  <c r="T3" i="2" s="1"/>
  <c r="U3" i="2" s="1"/>
  <c r="V3" i="2" s="1"/>
  <c r="W3" i="2" s="1"/>
  <c r="X3" i="2" s="1"/>
  <c r="Y3" i="2" s="1"/>
  <c r="Z3" i="2" s="1"/>
  <c r="AA3" i="2" s="1"/>
  <c r="AB3" i="2" s="1"/>
  <c r="AC3" i="2" s="1"/>
  <c r="AD3" i="2" s="1"/>
  <c r="AE3" i="2" s="1"/>
  <c r="AF3" i="2" s="1"/>
  <c r="AG3" i="2" s="1"/>
  <c r="H5" i="1"/>
  <c r="H8" i="1" s="1"/>
  <c r="AC8" i="2" l="1"/>
  <c r="AB9" i="2"/>
  <c r="Z20" i="2"/>
  <c r="AD34" i="2"/>
  <c r="X34" i="2"/>
  <c r="N37" i="2"/>
  <c r="M24" i="2"/>
  <c r="M23" i="2"/>
  <c r="M19" i="2"/>
  <c r="M22" i="2"/>
  <c r="Y22" i="2" s="1"/>
  <c r="M21" i="2"/>
  <c r="M20" i="2"/>
  <c r="M37" i="2"/>
  <c r="J10" i="2"/>
  <c r="N24" i="2"/>
  <c r="N21" i="2"/>
  <c r="Y21" i="2" s="1"/>
  <c r="N20" i="2"/>
  <c r="Y20" i="2" s="1"/>
  <c r="N23" i="2"/>
  <c r="N22" i="2"/>
  <c r="N19" i="2"/>
  <c r="C36" i="2"/>
  <c r="C30" i="2"/>
  <c r="C32" i="2" s="1"/>
  <c r="C34" i="2" s="1"/>
  <c r="D30" i="2"/>
  <c r="D32" i="2" s="1"/>
  <c r="D34" i="2" s="1"/>
  <c r="D36" i="2"/>
  <c r="E30" i="2"/>
  <c r="E32" i="2" s="1"/>
  <c r="E34" i="2" s="1"/>
  <c r="I30" i="2"/>
  <c r="I32" i="2" s="1"/>
  <c r="I34" i="2" s="1"/>
  <c r="I36" i="2"/>
  <c r="H36" i="2"/>
  <c r="H30" i="2"/>
  <c r="H32" i="2" s="1"/>
  <c r="H34" i="2" s="1"/>
  <c r="L36" i="2"/>
  <c r="L30" i="2"/>
  <c r="L32" i="2" s="1"/>
  <c r="L34" i="2" s="1"/>
  <c r="M34" i="2" s="1"/>
  <c r="N34" i="2" s="1"/>
  <c r="G36" i="2"/>
  <c r="AL71" i="2"/>
  <c r="AL74" i="2" s="1"/>
  <c r="T26" i="2"/>
  <c r="T37" i="2"/>
  <c r="S26" i="2"/>
  <c r="S37" i="2"/>
  <c r="R30" i="2"/>
  <c r="R32" i="2" s="1"/>
  <c r="R34" i="2" s="1"/>
  <c r="R36" i="2"/>
  <c r="U37" i="2"/>
  <c r="F18" i="2"/>
  <c r="J37" i="2" s="1"/>
  <c r="V37" i="2"/>
  <c r="W26" i="2"/>
  <c r="J26" i="2" s="1"/>
  <c r="J36" i="2" s="1"/>
  <c r="W37" i="2"/>
  <c r="U26" i="2"/>
  <c r="U36" i="2" s="1"/>
  <c r="V26" i="2"/>
  <c r="V36" i="2" s="1"/>
  <c r="AD8" i="2" l="1"/>
  <c r="AC9" i="2"/>
  <c r="AA20" i="2"/>
  <c r="AE34" i="2"/>
  <c r="M25" i="2"/>
  <c r="M26" i="2" s="1"/>
  <c r="N25" i="2"/>
  <c r="Y19" i="2"/>
  <c r="N26" i="2"/>
  <c r="Y25" i="2"/>
  <c r="K25" i="2"/>
  <c r="K26" i="2" s="1"/>
  <c r="W30" i="2"/>
  <c r="W36" i="2"/>
  <c r="S30" i="2"/>
  <c r="S32" i="2" s="1"/>
  <c r="S34" i="2" s="1"/>
  <c r="S36" i="2"/>
  <c r="T30" i="2"/>
  <c r="T32" i="2" s="1"/>
  <c r="T34" i="2" s="1"/>
  <c r="T36" i="2"/>
  <c r="V30" i="2"/>
  <c r="F26" i="2"/>
  <c r="F36" i="2" s="1"/>
  <c r="U30" i="2"/>
  <c r="AD9" i="2" l="1"/>
  <c r="AE8" i="2"/>
  <c r="AB20" i="2"/>
  <c r="AF34" i="2"/>
  <c r="N28" i="2"/>
  <c r="M27" i="2"/>
  <c r="N29" i="2"/>
  <c r="M28" i="2"/>
  <c r="Y28" i="2" s="1"/>
  <c r="M29" i="2"/>
  <c r="Y29" i="2" s="1"/>
  <c r="M36" i="2"/>
  <c r="N27" i="2"/>
  <c r="N36" i="2"/>
  <c r="W32" i="2"/>
  <c r="J30" i="2"/>
  <c r="K36" i="2"/>
  <c r="U32" i="2"/>
  <c r="U66" i="2" s="1"/>
  <c r="V32" i="2"/>
  <c r="V66" i="2" s="1"/>
  <c r="F30" i="2"/>
  <c r="AF8" i="2" l="1"/>
  <c r="AE9" i="2"/>
  <c r="AC20" i="2"/>
  <c r="AG34" i="2"/>
  <c r="M30" i="2"/>
  <c r="M31" i="2" s="1"/>
  <c r="M32" i="2" s="1"/>
  <c r="M33" i="2" s="1"/>
  <c r="Y27" i="2"/>
  <c r="N30" i="2"/>
  <c r="N31" i="2" s="1"/>
  <c r="W66" i="2"/>
  <c r="X37" i="2"/>
  <c r="K30" i="2"/>
  <c r="Y30" i="2" s="1"/>
  <c r="W34" i="2"/>
  <c r="J32" i="2"/>
  <c r="V34" i="2"/>
  <c r="F32" i="2"/>
  <c r="U34" i="2"/>
  <c r="AG8" i="2" l="1"/>
  <c r="AF9" i="2"/>
  <c r="N32" i="2"/>
  <c r="N33" i="2" s="1"/>
  <c r="Y37" i="2"/>
  <c r="AH8" i="2" l="1"/>
  <c r="AH9" i="2" s="1"/>
  <c r="AG9" i="2"/>
  <c r="Y33" i="2"/>
  <c r="AH37" i="2"/>
  <c r="Y32" i="2"/>
  <c r="Z21" i="2"/>
  <c r="Z22" i="2"/>
  <c r="Z37" i="2"/>
  <c r="K32" i="2"/>
  <c r="K34" i="2" s="1"/>
  <c r="Z19" i="2"/>
  <c r="AA19" i="2" s="1"/>
  <c r="X36" i="2"/>
  <c r="Y34" i="2" l="1"/>
  <c r="AA22" i="2"/>
  <c r="AA21" i="2"/>
  <c r="AA37" i="2"/>
  <c r="AB21" i="2" l="1"/>
  <c r="AB37" i="2"/>
  <c r="Y36" i="2"/>
  <c r="AB19" i="2"/>
  <c r="AB22" i="2"/>
  <c r="AC19" i="2" l="1"/>
  <c r="Z36" i="2"/>
  <c r="AC37" i="2"/>
  <c r="AC22" i="2"/>
  <c r="AC21" i="2"/>
  <c r="AA29" i="2" l="1"/>
  <c r="Y40" i="2"/>
  <c r="Z27" i="2" s="1"/>
  <c r="Z30" i="2" s="1"/>
  <c r="Z31" i="2" s="1"/>
  <c r="Z32" i="2" s="1"/>
  <c r="Z33" i="2" s="1"/>
  <c r="AD37" i="2"/>
  <c r="AD20" i="2"/>
  <c r="AD21" i="2"/>
  <c r="AD22" i="2"/>
  <c r="AA36" i="2"/>
  <c r="AD19" i="2"/>
  <c r="AA28" i="2"/>
  <c r="AE19" i="2" l="1"/>
  <c r="AE20" i="2"/>
  <c r="AE21" i="2"/>
  <c r="AB29" i="2"/>
  <c r="AE22" i="2"/>
  <c r="AB28" i="2"/>
  <c r="AE37" i="2"/>
  <c r="AB36" i="2"/>
  <c r="AC29" i="2" l="1"/>
  <c r="AG37" i="2"/>
  <c r="AF37" i="2"/>
  <c r="AF19" i="2"/>
  <c r="AF21" i="2"/>
  <c r="AG21" i="2" s="1"/>
  <c r="AH21" i="2" s="1"/>
  <c r="AC36" i="2"/>
  <c r="AC28" i="2"/>
  <c r="AF20" i="2"/>
  <c r="AF22" i="2"/>
  <c r="Z40" i="2" l="1"/>
  <c r="AA27" i="2" s="1"/>
  <c r="AA30" i="2" s="1"/>
  <c r="AA31" i="2" s="1"/>
  <c r="AG20" i="2"/>
  <c r="AH20" i="2" s="1"/>
  <c r="AG19" i="2"/>
  <c r="AH19" i="2" s="1"/>
  <c r="AG22" i="2"/>
  <c r="AH22" i="2" s="1"/>
  <c r="AD36" i="2"/>
  <c r="AD28" i="2"/>
  <c r="AD29" i="2"/>
  <c r="AE28" i="2" l="1"/>
  <c r="AE29" i="2"/>
  <c r="AA32" i="2"/>
  <c r="AA33" i="2" s="1"/>
  <c r="AE36" i="2"/>
  <c r="AA40" i="2" l="1"/>
  <c r="AB27" i="2" s="1"/>
  <c r="AB30" i="2" s="1"/>
  <c r="AB31" i="2" s="1"/>
  <c r="AF36" i="2"/>
  <c r="AF29" i="2"/>
  <c r="AF28" i="2"/>
  <c r="AG36" i="2" l="1"/>
  <c r="AH36" i="2"/>
  <c r="AG28" i="2"/>
  <c r="AG29" i="2"/>
  <c r="AB32" i="2"/>
  <c r="AB33" i="2" s="1"/>
  <c r="AH29" i="2" l="1"/>
  <c r="AH28" i="2"/>
  <c r="AB40" i="2"/>
  <c r="AC27" i="2" s="1"/>
  <c r="AC30" i="2" s="1"/>
  <c r="AC31" i="2" s="1"/>
  <c r="AC32" i="2" l="1"/>
  <c r="AC33" i="2" s="1"/>
  <c r="AC40" i="2" l="1"/>
  <c r="AD27" i="2" s="1"/>
  <c r="AD30" i="2" s="1"/>
  <c r="AD31" i="2" s="1"/>
  <c r="AD32" i="2" l="1"/>
  <c r="AD33" i="2" s="1"/>
  <c r="AD40" i="2" l="1"/>
  <c r="AE27" i="2" s="1"/>
  <c r="AE30" i="2" s="1"/>
  <c r="AE31" i="2" l="1"/>
  <c r="AE32" i="2" l="1"/>
  <c r="AE33" i="2" l="1"/>
  <c r="AE40" i="2"/>
  <c r="AF27" i="2" s="1"/>
  <c r="AF30" i="2" s="1"/>
  <c r="AF31" i="2" l="1"/>
  <c r="AF32" i="2" s="1"/>
  <c r="AF33" i="2" l="1"/>
  <c r="AF40" i="2"/>
  <c r="AG27" i="2" l="1"/>
  <c r="AG30" i="2" s="1"/>
  <c r="AG31" i="2" l="1"/>
  <c r="AG32" i="2" l="1"/>
  <c r="AG33" i="2" s="1"/>
  <c r="AG40" i="2"/>
  <c r="AH27" i="2" l="1"/>
  <c r="AH30" i="2" s="1"/>
  <c r="AH31" i="2" l="1"/>
  <c r="AH32" i="2" s="1"/>
  <c r="AH33" i="2" l="1"/>
  <c r="AI32" i="2"/>
  <c r="AJ32" i="2" s="1"/>
  <c r="AK32" i="2" s="1"/>
  <c r="AL32" i="2" s="1"/>
  <c r="AM32" i="2" s="1"/>
  <c r="AN32" i="2" s="1"/>
  <c r="AO32" i="2" s="1"/>
  <c r="AP32" i="2" s="1"/>
  <c r="AQ32" i="2" s="1"/>
  <c r="AR32" i="2" s="1"/>
  <c r="AS32" i="2" s="1"/>
  <c r="AT32" i="2" s="1"/>
  <c r="AU32" i="2" s="1"/>
  <c r="AV32" i="2" s="1"/>
  <c r="AW32" i="2" s="1"/>
  <c r="AX32" i="2" s="1"/>
  <c r="AY32" i="2" s="1"/>
  <c r="AZ32" i="2" s="1"/>
  <c r="BA32" i="2" s="1"/>
  <c r="BB32" i="2" s="1"/>
  <c r="BC32" i="2" s="1"/>
  <c r="BD32" i="2" s="1"/>
  <c r="BE32" i="2" s="1"/>
  <c r="BF32" i="2" s="1"/>
  <c r="BG32" i="2" s="1"/>
  <c r="BH32" i="2" s="1"/>
  <c r="BI32" i="2" s="1"/>
  <c r="BJ32" i="2" s="1"/>
  <c r="BK32" i="2" s="1"/>
  <c r="BL32" i="2" s="1"/>
  <c r="BM32" i="2" s="1"/>
  <c r="BN32" i="2" s="1"/>
  <c r="BO32" i="2" s="1"/>
  <c r="BP32" i="2" s="1"/>
  <c r="BQ32" i="2" s="1"/>
  <c r="BR32" i="2" s="1"/>
  <c r="BS32" i="2" s="1"/>
  <c r="BT32" i="2" s="1"/>
  <c r="BU32" i="2" s="1"/>
  <c r="BV32" i="2" s="1"/>
  <c r="BW32" i="2" s="1"/>
  <c r="BX32" i="2" s="1"/>
  <c r="BY32" i="2" s="1"/>
  <c r="BZ32" i="2" s="1"/>
  <c r="CA32" i="2" s="1"/>
  <c r="CB32" i="2" s="1"/>
  <c r="CC32" i="2" s="1"/>
  <c r="CD32" i="2" s="1"/>
  <c r="CE32" i="2" s="1"/>
  <c r="CF32" i="2" s="1"/>
  <c r="CG32" i="2" s="1"/>
  <c r="CH32" i="2" s="1"/>
  <c r="CI32" i="2" s="1"/>
  <c r="CJ32" i="2" s="1"/>
  <c r="CK32" i="2" s="1"/>
  <c r="CL32" i="2" s="1"/>
  <c r="CM32" i="2" s="1"/>
  <c r="CN32" i="2" s="1"/>
  <c r="CO32" i="2" s="1"/>
  <c r="CP32" i="2" s="1"/>
  <c r="CQ32" i="2" s="1"/>
  <c r="CR32" i="2" s="1"/>
  <c r="CS32" i="2" s="1"/>
  <c r="CT32" i="2" s="1"/>
  <c r="CU32" i="2" s="1"/>
  <c r="CV32" i="2" s="1"/>
  <c r="CW32" i="2" s="1"/>
  <c r="CX32" i="2" s="1"/>
  <c r="CY32" i="2" s="1"/>
  <c r="AH40" i="2"/>
  <c r="AL41" i="2" l="1"/>
  <c r="AL43" i="2" s="1"/>
  <c r="AL45" i="2" s="1"/>
</calcChain>
</file>

<file path=xl/sharedStrings.xml><?xml version="1.0" encoding="utf-8"?>
<sst xmlns="http://schemas.openxmlformats.org/spreadsheetml/2006/main" count="85" uniqueCount="76">
  <si>
    <t>Price</t>
  </si>
  <si>
    <t>Shares</t>
  </si>
  <si>
    <t>MC</t>
  </si>
  <si>
    <t>Cash</t>
  </si>
  <si>
    <t>Debt</t>
  </si>
  <si>
    <t>EV</t>
  </si>
  <si>
    <t>Company Sales</t>
  </si>
  <si>
    <t>Franchise &amp; ppty revenues</t>
  </si>
  <si>
    <t>Franchise contributions</t>
  </si>
  <si>
    <t xml:space="preserve">Total Revenue </t>
  </si>
  <si>
    <t>Q120</t>
  </si>
  <si>
    <t>Q220</t>
  </si>
  <si>
    <t>Q320</t>
  </si>
  <si>
    <t>Q420</t>
  </si>
  <si>
    <t>Refranchise loss</t>
  </si>
  <si>
    <t>Company restaurant expense</t>
  </si>
  <si>
    <t>G&amp;A</t>
  </si>
  <si>
    <t>Franchise &amp; ppty exp</t>
  </si>
  <si>
    <t>Franchise adv</t>
  </si>
  <si>
    <t>Other expense</t>
  </si>
  <si>
    <t>Total costs and expense</t>
  </si>
  <si>
    <t xml:space="preserve">Operating profit </t>
  </si>
  <si>
    <t>Investment expense</t>
  </si>
  <si>
    <t>Other pension</t>
  </si>
  <si>
    <t>Interest expense</t>
  </si>
  <si>
    <t>Income Before Taxes</t>
  </si>
  <si>
    <t>Taxes</t>
  </si>
  <si>
    <t xml:space="preserve">Net Income </t>
  </si>
  <si>
    <t>Eps</t>
  </si>
  <si>
    <t>Q121</t>
  </si>
  <si>
    <t>Q221</t>
  </si>
  <si>
    <t>Q321</t>
  </si>
  <si>
    <t>Q421</t>
  </si>
  <si>
    <t>Maturity</t>
  </si>
  <si>
    <t>Discount</t>
  </si>
  <si>
    <t>NPV</t>
  </si>
  <si>
    <t>Estimate</t>
  </si>
  <si>
    <t>IN $M</t>
  </si>
  <si>
    <t xml:space="preserve">Cash </t>
  </si>
  <si>
    <t>Account &amp; note Rec.</t>
  </si>
  <si>
    <t>Prepaid expense</t>
  </si>
  <si>
    <t xml:space="preserve">Current Assets </t>
  </si>
  <si>
    <t>PP&amp;E</t>
  </si>
  <si>
    <t>Goodwill</t>
  </si>
  <si>
    <t>Intangible Assets</t>
  </si>
  <si>
    <t>Other Assets</t>
  </si>
  <si>
    <t>Deferred income tax</t>
  </si>
  <si>
    <t xml:space="preserve">Total Assets </t>
  </si>
  <si>
    <t>A/P &amp; other current Liab.</t>
  </si>
  <si>
    <t>Income Taxes Payable</t>
  </si>
  <si>
    <t>Short-term borrowings</t>
  </si>
  <si>
    <t>Current Liabilities</t>
  </si>
  <si>
    <t>Long term debt</t>
  </si>
  <si>
    <t>Other liabilities &amp; deferree cred</t>
  </si>
  <si>
    <t>Total Liabilities</t>
  </si>
  <si>
    <t>Equity</t>
  </si>
  <si>
    <t>TL+E</t>
  </si>
  <si>
    <t>Net Cash</t>
  </si>
  <si>
    <t>ROIC</t>
  </si>
  <si>
    <t>CFFO</t>
  </si>
  <si>
    <t>Capex</t>
  </si>
  <si>
    <t>Free Cash Flow</t>
  </si>
  <si>
    <t>Q122</t>
  </si>
  <si>
    <t>KFC</t>
  </si>
  <si>
    <t xml:space="preserve">Taco Bell </t>
  </si>
  <si>
    <t>Pizza Hut</t>
  </si>
  <si>
    <t>Habit Burger Grill</t>
  </si>
  <si>
    <t xml:space="preserve">YUM Units </t>
  </si>
  <si>
    <t>Q222</t>
  </si>
  <si>
    <t>Q322</t>
  </si>
  <si>
    <t>Q422</t>
  </si>
  <si>
    <t>RPU</t>
  </si>
  <si>
    <t>OM%</t>
  </si>
  <si>
    <t>Revenue y/y</t>
  </si>
  <si>
    <t>Current</t>
  </si>
  <si>
    <t>Delta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</si>
</sst>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#,##0.0"/>
  </numFmts>
  <fonts count="4">
    <font>
      <sz val="10"/>
      <color theme="1"/>
      <name val="ArialMT"/>
      <family val="2"/>
    </font>
    <font>
      <sz val="10"/>
      <color theme="1"/>
      <name val="ArialMT"/>
      <family val="2"/>
    </font>
    <font>
      <sz val="10"/>
      <color theme="1"/>
      <name val="Intel Clear"/>
      <family val="2"/>
    </font>
    <font>
      <b/>
      <sz val="10"/>
      <color theme="1"/>
      <name val="Intel Clear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3" fontId="2" fillId="0" borderId="0" xfId="0" applyNumberFormat="1" applyFont="1"/>
    <xf numFmtId="1" fontId="2" fillId="0" borderId="0" xfId="0" applyNumberFormat="1" applyFont="1"/>
    <xf numFmtId="3" fontId="3" fillId="0" borderId="0" xfId="0" applyNumberFormat="1" applyFont="1"/>
    <xf numFmtId="9" fontId="2" fillId="0" borderId="0" xfId="2" applyFont="1"/>
    <xf numFmtId="0" fontId="2" fillId="0" borderId="0" xfId="0" applyFont="1"/>
    <xf numFmtId="164" fontId="2" fillId="0" borderId="0" xfId="1" applyNumberFormat="1" applyFont="1"/>
    <xf numFmtId="165" fontId="2" fillId="0" borderId="0" xfId="0" applyNumberFormat="1" applyFont="1"/>
    <xf numFmtId="165" fontId="3" fillId="0" borderId="0" xfId="0" applyNumberFormat="1" applyFont="1"/>
    <xf numFmtId="14" fontId="2" fillId="0" borderId="0" xfId="0" applyNumberFormat="1" applyFont="1"/>
    <xf numFmtId="3" fontId="2" fillId="0" borderId="0" xfId="0" applyNumberFormat="1" applyFont="1" applyAlignment="1">
      <alignment horizontal="right"/>
    </xf>
    <xf numFmtId="1" fontId="2" fillId="0" borderId="0" xfId="0" applyNumberFormat="1" applyFont="1" applyAlignment="1">
      <alignment horizontal="right"/>
    </xf>
    <xf numFmtId="9" fontId="2" fillId="0" borderId="0" xfId="0" applyNumberFormat="1" applyFont="1"/>
    <xf numFmtId="9" fontId="3" fillId="0" borderId="0" xfId="2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16934</xdr:colOff>
      <xdr:row>0</xdr:row>
      <xdr:rowOff>0</xdr:rowOff>
    </xdr:from>
    <xdr:to>
      <xdr:col>13</xdr:col>
      <xdr:colOff>39021</xdr:colOff>
      <xdr:row>107</xdr:row>
      <xdr:rowOff>77304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2C8DB8C1-101A-7E43-830F-5074A6507112}"/>
            </a:ext>
          </a:extLst>
        </xdr:cNvPr>
        <xdr:cNvCxnSpPr/>
      </xdr:nvCxnSpPr>
      <xdr:spPr>
        <a:xfrm>
          <a:off x="8133389" y="0"/>
          <a:ext cx="22087" cy="18607759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0</xdr:colOff>
      <xdr:row>0</xdr:row>
      <xdr:rowOff>0</xdr:rowOff>
    </xdr:from>
    <xdr:to>
      <xdr:col>24</xdr:col>
      <xdr:colOff>12700</xdr:colOff>
      <xdr:row>97</xdr:row>
      <xdr:rowOff>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3D9573EB-4BBA-7D4B-8985-271B42A9BF80}"/>
            </a:ext>
          </a:extLst>
        </xdr:cNvPr>
        <xdr:cNvCxnSpPr/>
      </xdr:nvCxnSpPr>
      <xdr:spPr>
        <a:xfrm flipH="1">
          <a:off x="15654867" y="0"/>
          <a:ext cx="12700" cy="17424400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D87F5-6A72-034C-B2C6-F1A9655F11FB}">
  <dimension ref="G3:I13"/>
  <sheetViews>
    <sheetView tabSelected="1" zoomScale="140" zoomScaleNormal="140" workbookViewId="0">
      <selection activeCell="A9" sqref="A9"/>
    </sheetView>
  </sheetViews>
  <sheetFormatPr baseColWidth="10" defaultRowHeight="14"/>
  <cols>
    <col min="1" max="6" width="10.83203125" style="5"/>
    <col min="7" max="7" width="6.33203125" style="5" bestFit="1" customWidth="1"/>
    <col min="8" max="8" width="7.6640625" style="6" bestFit="1" customWidth="1"/>
    <col min="9" max="9" width="4.83203125" style="5" bestFit="1" customWidth="1"/>
    <col min="10" max="16384" width="10.83203125" style="5"/>
  </cols>
  <sheetData>
    <row r="3" spans="7:9">
      <c r="G3" s="5" t="s">
        <v>0</v>
      </c>
      <c r="H3" s="6">
        <v>126.53</v>
      </c>
    </row>
    <row r="4" spans="7:9">
      <c r="G4" s="5" t="s">
        <v>1</v>
      </c>
      <c r="H4" s="6">
        <v>281.68786599999999</v>
      </c>
      <c r="I4" s="5" t="s">
        <v>68</v>
      </c>
    </row>
    <row r="5" spans="7:9">
      <c r="G5" s="5" t="s">
        <v>2</v>
      </c>
      <c r="H5" s="6">
        <f>+H3*H4</f>
        <v>35641.965684980001</v>
      </c>
    </row>
    <row r="6" spans="7:9">
      <c r="G6" s="5" t="s">
        <v>3</v>
      </c>
      <c r="H6" s="6">
        <f>410+0</f>
        <v>410</v>
      </c>
      <c r="I6" s="5" t="str">
        <f>+I4</f>
        <v>Q222</v>
      </c>
    </row>
    <row r="7" spans="7:9">
      <c r="G7" s="5" t="s">
        <v>4</v>
      </c>
      <c r="H7" s="6">
        <f>72+11517</f>
        <v>11589</v>
      </c>
      <c r="I7" s="5" t="str">
        <f>+I6</f>
        <v>Q222</v>
      </c>
    </row>
    <row r="8" spans="7:9">
      <c r="G8" s="5" t="s">
        <v>5</v>
      </c>
      <c r="H8" s="6">
        <f>+H5-H6+H7</f>
        <v>46820.965684980001</v>
      </c>
    </row>
    <row r="12" spans="7:9">
      <c r="G12" s="1"/>
    </row>
    <row r="13" spans="7:9">
      <c r="G13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3B12E-E253-154A-9A6B-4C6C26B9C33B}">
  <dimension ref="B2:CY74"/>
  <sheetViews>
    <sheetView zoomScale="110" zoomScaleNormal="110" workbookViewId="0">
      <pane xSplit="2" ySplit="3" topLeftCell="E4" activePane="bottomRight" state="frozen"/>
      <selection pane="topRight" activeCell="B1" sqref="B1"/>
      <selection pane="bottomLeft" activeCell="A2" sqref="A2"/>
      <selection pane="bottomRight" activeCell="AL44" sqref="AL44"/>
    </sheetView>
  </sheetViews>
  <sheetFormatPr baseColWidth="10" defaultRowHeight="14"/>
  <cols>
    <col min="1" max="1" width="2.83203125" style="1" customWidth="1"/>
    <col min="2" max="2" width="25.1640625" style="1" bestFit="1" customWidth="1"/>
    <col min="3" max="5" width="7.5" style="1" bestFit="1" customWidth="1"/>
    <col min="6" max="6" width="5.6640625" style="1" bestFit="1" customWidth="1"/>
    <col min="7" max="9" width="7.5" style="1" bestFit="1" customWidth="1"/>
    <col min="10" max="10" width="6.6640625" style="1" bestFit="1" customWidth="1"/>
    <col min="11" max="12" width="7.5" style="1" bestFit="1" customWidth="1"/>
    <col min="13" max="13" width="6.6640625" style="1" bestFit="1" customWidth="1"/>
    <col min="14" max="14" width="6.83203125" style="1" bestFit="1" customWidth="1"/>
    <col min="15" max="17" width="8.1640625" style="1" customWidth="1"/>
    <col min="18" max="19" width="5.6640625" style="1" bestFit="1" customWidth="1"/>
    <col min="20" max="20" width="6.1640625" style="1" bestFit="1" customWidth="1"/>
    <col min="21" max="21" width="5.6640625" style="1" bestFit="1" customWidth="1"/>
    <col min="22" max="24" width="6.6640625" style="1" bestFit="1" customWidth="1"/>
    <col min="25" max="34" width="6.6640625" style="1" customWidth="1"/>
    <col min="35" max="35" width="7.83203125" style="1" bestFit="1" customWidth="1"/>
    <col min="36" max="36" width="6.6640625" style="1" bestFit="1" customWidth="1"/>
    <col min="37" max="37" width="8.1640625" style="1" bestFit="1" customWidth="1"/>
    <col min="38" max="38" width="6.5" style="1" bestFit="1" customWidth="1"/>
    <col min="39" max="103" width="5.6640625" style="1" bestFit="1" customWidth="1"/>
    <col min="104" max="16384" width="10.83203125" style="1"/>
  </cols>
  <sheetData>
    <row r="2" spans="2:34" s="9" customFormat="1">
      <c r="C2" s="9">
        <v>43921</v>
      </c>
      <c r="D2" s="9">
        <v>44012</v>
      </c>
      <c r="E2" s="9">
        <v>44104</v>
      </c>
      <c r="G2" s="9">
        <v>44286</v>
      </c>
      <c r="H2" s="9">
        <v>44377</v>
      </c>
      <c r="I2" s="9">
        <v>44469</v>
      </c>
      <c r="K2" s="9">
        <v>44651</v>
      </c>
      <c r="L2" s="9">
        <v>44742</v>
      </c>
    </row>
    <row r="3" spans="2:34" s="10" customFormat="1">
      <c r="B3" s="10" t="s">
        <v>37</v>
      </c>
      <c r="C3" s="10" t="s">
        <v>10</v>
      </c>
      <c r="D3" s="10" t="s">
        <v>11</v>
      </c>
      <c r="E3" s="10" t="s">
        <v>12</v>
      </c>
      <c r="F3" s="10" t="s">
        <v>13</v>
      </c>
      <c r="G3" s="10" t="s">
        <v>29</v>
      </c>
      <c r="H3" s="10" t="s">
        <v>30</v>
      </c>
      <c r="I3" s="10" t="s">
        <v>31</v>
      </c>
      <c r="J3" s="10" t="s">
        <v>32</v>
      </c>
      <c r="K3" s="10" t="s">
        <v>62</v>
      </c>
      <c r="L3" s="10" t="s">
        <v>68</v>
      </c>
      <c r="M3" s="10" t="s">
        <v>69</v>
      </c>
      <c r="N3" s="10" t="s">
        <v>70</v>
      </c>
      <c r="R3" s="11">
        <v>2015</v>
      </c>
      <c r="S3" s="11">
        <f>+R3+1</f>
        <v>2016</v>
      </c>
      <c r="T3" s="11">
        <f t="shared" ref="T3:AB3" si="0">+S3+1</f>
        <v>2017</v>
      </c>
      <c r="U3" s="11">
        <f t="shared" si="0"/>
        <v>2018</v>
      </c>
      <c r="V3" s="11">
        <f t="shared" si="0"/>
        <v>2019</v>
      </c>
      <c r="W3" s="11">
        <f t="shared" si="0"/>
        <v>2020</v>
      </c>
      <c r="X3" s="11">
        <f t="shared" si="0"/>
        <v>2021</v>
      </c>
      <c r="Y3" s="11">
        <f t="shared" si="0"/>
        <v>2022</v>
      </c>
      <c r="Z3" s="11">
        <f t="shared" si="0"/>
        <v>2023</v>
      </c>
      <c r="AA3" s="11">
        <f t="shared" si="0"/>
        <v>2024</v>
      </c>
      <c r="AB3" s="11">
        <f t="shared" si="0"/>
        <v>2025</v>
      </c>
      <c r="AC3" s="11">
        <f>+AB3+1</f>
        <v>2026</v>
      </c>
      <c r="AD3" s="11">
        <f t="shared" ref="AD3:AH3" si="1">+AC3+1</f>
        <v>2027</v>
      </c>
      <c r="AE3" s="11">
        <f t="shared" si="1"/>
        <v>2028</v>
      </c>
      <c r="AF3" s="11">
        <f t="shared" si="1"/>
        <v>2029</v>
      </c>
      <c r="AG3" s="11">
        <f t="shared" si="1"/>
        <v>2030</v>
      </c>
      <c r="AH3" s="11">
        <f t="shared" si="1"/>
        <v>2031</v>
      </c>
    </row>
    <row r="4" spans="2:34">
      <c r="B4" s="1" t="s">
        <v>63</v>
      </c>
      <c r="E4" s="1">
        <v>24602</v>
      </c>
      <c r="G4" s="1">
        <v>25292</v>
      </c>
      <c r="H4" s="1">
        <v>25720</v>
      </c>
      <c r="I4" s="1">
        <v>26222</v>
      </c>
      <c r="J4" s="1">
        <f>+X4</f>
        <v>26934</v>
      </c>
      <c r="K4" s="1">
        <v>27372</v>
      </c>
      <c r="L4" s="1">
        <v>26521</v>
      </c>
      <c r="M4" s="1">
        <v>26872</v>
      </c>
      <c r="R4" s="2"/>
      <c r="S4" s="2"/>
      <c r="T4" s="2"/>
      <c r="U4" s="2"/>
      <c r="V4" s="2">
        <v>24104</v>
      </c>
      <c r="W4" s="1">
        <v>25000</v>
      </c>
      <c r="X4" s="1">
        <v>26934</v>
      </c>
      <c r="Y4" s="2"/>
      <c r="Z4" s="2"/>
      <c r="AA4" s="2"/>
      <c r="AB4" s="2"/>
      <c r="AC4" s="2"/>
      <c r="AD4" s="2"/>
      <c r="AE4" s="2"/>
      <c r="AF4" s="2"/>
      <c r="AG4" s="2"/>
      <c r="AH4" s="2"/>
    </row>
    <row r="5" spans="2:34">
      <c r="B5" s="1" t="s">
        <v>64</v>
      </c>
      <c r="E5" s="1">
        <v>17842</v>
      </c>
      <c r="G5" s="1">
        <v>7493</v>
      </c>
      <c r="H5" s="1">
        <v>7567</v>
      </c>
      <c r="I5" s="1">
        <v>7619</v>
      </c>
      <c r="J5" s="1">
        <f>+X5</f>
        <v>7791</v>
      </c>
      <c r="K5" s="1">
        <v>7831</v>
      </c>
      <c r="L5" s="1">
        <v>7900</v>
      </c>
      <c r="M5" s="1">
        <v>7974</v>
      </c>
      <c r="R5" s="2"/>
      <c r="S5" s="2"/>
      <c r="T5" s="2"/>
      <c r="U5" s="2"/>
      <c r="V5" s="2">
        <v>7363</v>
      </c>
      <c r="W5" s="1">
        <v>7427</v>
      </c>
      <c r="X5" s="1">
        <v>7791</v>
      </c>
      <c r="Y5" s="2"/>
      <c r="Z5" s="2"/>
      <c r="AA5" s="2"/>
      <c r="AB5" s="2"/>
      <c r="AC5" s="2"/>
      <c r="AD5" s="2"/>
      <c r="AE5" s="2"/>
      <c r="AF5" s="2"/>
      <c r="AG5" s="2"/>
      <c r="AH5" s="2"/>
    </row>
    <row r="6" spans="2:34">
      <c r="B6" s="1" t="s">
        <v>65</v>
      </c>
      <c r="E6" s="1">
        <v>7400</v>
      </c>
      <c r="G6" s="1">
        <v>17710</v>
      </c>
      <c r="H6" s="1">
        <v>17809</v>
      </c>
      <c r="I6" s="1">
        <v>18007</v>
      </c>
      <c r="J6" s="1">
        <f>+X6</f>
        <v>18381</v>
      </c>
      <c r="K6" s="1">
        <v>18518</v>
      </c>
      <c r="L6" s="1">
        <v>18591</v>
      </c>
      <c r="M6" s="1">
        <v>18807</v>
      </c>
      <c r="R6" s="2"/>
      <c r="S6" s="2"/>
      <c r="T6" s="2"/>
      <c r="U6" s="2"/>
      <c r="V6" s="2">
        <v>18703</v>
      </c>
      <c r="W6" s="1">
        <v>17639</v>
      </c>
      <c r="X6" s="1">
        <v>18381</v>
      </c>
      <c r="Y6" s="2"/>
      <c r="Z6" s="2"/>
      <c r="AA6" s="2"/>
      <c r="AB6" s="2"/>
      <c r="AC6" s="2"/>
      <c r="AD6" s="2"/>
      <c r="AE6" s="2"/>
      <c r="AF6" s="2"/>
      <c r="AG6" s="2"/>
      <c r="AH6" s="2"/>
    </row>
    <row r="7" spans="2:34">
      <c r="B7" s="1" t="s">
        <v>66</v>
      </c>
      <c r="G7" s="1">
        <v>293</v>
      </c>
      <c r="H7" s="1">
        <v>295</v>
      </c>
      <c r="I7" s="1">
        <v>303</v>
      </c>
      <c r="J7" s="1">
        <f>+X7</f>
        <v>318</v>
      </c>
      <c r="K7" s="1">
        <v>331</v>
      </c>
      <c r="L7" s="1">
        <v>338</v>
      </c>
      <c r="M7" s="1">
        <v>341</v>
      </c>
      <c r="R7" s="2"/>
      <c r="S7" s="2"/>
      <c r="T7" s="2"/>
      <c r="U7" s="2"/>
      <c r="V7" s="2">
        <v>287</v>
      </c>
      <c r="W7" s="1">
        <v>318</v>
      </c>
      <c r="X7" s="1">
        <v>318</v>
      </c>
      <c r="Y7" s="2"/>
      <c r="Z7" s="2"/>
      <c r="AA7" s="2"/>
      <c r="AB7" s="2"/>
      <c r="AC7" s="2"/>
      <c r="AD7" s="2"/>
      <c r="AE7" s="2"/>
      <c r="AF7" s="2"/>
      <c r="AG7" s="2"/>
      <c r="AH7" s="2"/>
    </row>
    <row r="8" spans="2:34" s="3" customFormat="1">
      <c r="B8" s="3" t="s">
        <v>67</v>
      </c>
      <c r="C8" s="3">
        <f t="shared" ref="C8:J8" si="2">+SUM(C4:C7)</f>
        <v>0</v>
      </c>
      <c r="D8" s="3">
        <f t="shared" si="2"/>
        <v>0</v>
      </c>
      <c r="E8" s="3">
        <f t="shared" si="2"/>
        <v>49844</v>
      </c>
      <c r="F8" s="3">
        <f t="shared" si="2"/>
        <v>0</v>
      </c>
      <c r="G8" s="3">
        <f t="shared" si="2"/>
        <v>50788</v>
      </c>
      <c r="H8" s="3">
        <f t="shared" si="2"/>
        <v>51391</v>
      </c>
      <c r="I8" s="3">
        <f t="shared" si="2"/>
        <v>52151</v>
      </c>
      <c r="J8" s="3">
        <f t="shared" si="2"/>
        <v>53424</v>
      </c>
      <c r="K8" s="3">
        <f>+SUM(K4:K7)</f>
        <v>54052</v>
      </c>
      <c r="L8" s="3">
        <f>+SUM(L4:L7)</f>
        <v>53350</v>
      </c>
      <c r="M8" s="3">
        <f>+SUM(M4:M7)</f>
        <v>53994</v>
      </c>
      <c r="N8" s="3">
        <f>+M8</f>
        <v>53994</v>
      </c>
      <c r="R8" s="3">
        <f t="shared" ref="R8:W8" si="3">+SUM(R4:R7)</f>
        <v>0</v>
      </c>
      <c r="S8" s="3">
        <f t="shared" si="3"/>
        <v>0</v>
      </c>
      <c r="T8" s="3">
        <f t="shared" si="3"/>
        <v>0</v>
      </c>
      <c r="U8" s="3">
        <f t="shared" si="3"/>
        <v>0</v>
      </c>
      <c r="V8" s="3">
        <f t="shared" si="3"/>
        <v>50457</v>
      </c>
      <c r="W8" s="3">
        <f t="shared" si="3"/>
        <v>50384</v>
      </c>
      <c r="X8" s="3">
        <f>+SUM(X4:X7)</f>
        <v>53424</v>
      </c>
      <c r="Y8" s="3">
        <f>+N8</f>
        <v>53994</v>
      </c>
      <c r="Z8" s="3">
        <f>+Y8+300</f>
        <v>54294</v>
      </c>
      <c r="AA8" s="3">
        <f t="shared" ref="AA8:AH8" si="4">+Z8+300</f>
        <v>54594</v>
      </c>
      <c r="AB8" s="3">
        <f t="shared" si="4"/>
        <v>54894</v>
      </c>
      <c r="AC8" s="3">
        <f t="shared" si="4"/>
        <v>55194</v>
      </c>
      <c r="AD8" s="3">
        <f t="shared" si="4"/>
        <v>55494</v>
      </c>
      <c r="AE8" s="3">
        <f t="shared" si="4"/>
        <v>55794</v>
      </c>
      <c r="AF8" s="3">
        <f t="shared" si="4"/>
        <v>56094</v>
      </c>
      <c r="AG8" s="3">
        <f t="shared" si="4"/>
        <v>56394</v>
      </c>
      <c r="AH8" s="3">
        <f t="shared" si="4"/>
        <v>56694</v>
      </c>
    </row>
    <row r="9" spans="2:34">
      <c r="I9" s="1">
        <f t="shared" ref="I9:J9" si="5">+I8-H8</f>
        <v>760</v>
      </c>
      <c r="J9" s="1">
        <f t="shared" si="5"/>
        <v>1273</v>
      </c>
      <c r="K9" s="1">
        <f>+K8-J8</f>
        <v>628</v>
      </c>
      <c r="L9" s="1">
        <f>+L8-K8</f>
        <v>-702</v>
      </c>
      <c r="M9" s="1">
        <f>+M8-L8</f>
        <v>644</v>
      </c>
      <c r="O9" s="1">
        <f>+M8-J8</f>
        <v>570</v>
      </c>
      <c r="R9" s="2"/>
      <c r="S9" s="2"/>
      <c r="T9" s="2"/>
      <c r="U9" s="2"/>
      <c r="V9" s="2"/>
      <c r="W9" s="2">
        <f>+W8-V8</f>
        <v>-73</v>
      </c>
      <c r="X9" s="2">
        <f>+X8-W8</f>
        <v>3040</v>
      </c>
      <c r="Y9" s="2">
        <f>+Y8-X8</f>
        <v>570</v>
      </c>
      <c r="Z9" s="2">
        <f t="shared" ref="Z9:AH9" si="6">+Z8-Y8</f>
        <v>300</v>
      </c>
      <c r="AA9" s="2">
        <f t="shared" si="6"/>
        <v>300</v>
      </c>
      <c r="AB9" s="2">
        <f t="shared" si="6"/>
        <v>300</v>
      </c>
      <c r="AC9" s="2">
        <f t="shared" si="6"/>
        <v>300</v>
      </c>
      <c r="AD9" s="2">
        <f t="shared" si="6"/>
        <v>300</v>
      </c>
      <c r="AE9" s="2">
        <f t="shared" si="6"/>
        <v>300</v>
      </c>
      <c r="AF9" s="2">
        <f t="shared" si="6"/>
        <v>300</v>
      </c>
      <c r="AG9" s="2">
        <f t="shared" si="6"/>
        <v>300</v>
      </c>
      <c r="AH9" s="2">
        <f t="shared" si="6"/>
        <v>300</v>
      </c>
    </row>
    <row r="10" spans="2:34">
      <c r="B10" s="1" t="s">
        <v>71</v>
      </c>
      <c r="G10" s="1">
        <f t="shared" ref="G10:K10" si="7">(G18*1000)/G8</f>
        <v>29.258880050405608</v>
      </c>
      <c r="H10" s="1">
        <f t="shared" si="7"/>
        <v>31.172773442820727</v>
      </c>
      <c r="I10" s="1">
        <f t="shared" si="7"/>
        <v>30.795190887998313</v>
      </c>
      <c r="J10" s="1">
        <f t="shared" si="7"/>
        <v>17.932015573525007</v>
      </c>
      <c r="K10" s="1">
        <f t="shared" si="7"/>
        <v>28.620587582328127</v>
      </c>
      <c r="L10" s="1">
        <f>(L18*1000)/L8</f>
        <v>30.665417057169634</v>
      </c>
      <c r="M10" s="1">
        <f>(M18*1000)/M8</f>
        <v>30.041486091047155</v>
      </c>
      <c r="R10" s="2"/>
      <c r="S10" s="2"/>
      <c r="T10" s="2"/>
      <c r="U10" s="2"/>
      <c r="V10" s="2">
        <f>+V18*1000/V8</f>
        <v>110.92613512495788</v>
      </c>
      <c r="W10" s="2">
        <f t="shared" ref="W10:Y10" si="8">+W18*1000/W8</f>
        <v>112.1784693553509</v>
      </c>
      <c r="X10" s="2">
        <f t="shared" si="8"/>
        <v>123.24049116501946</v>
      </c>
      <c r="Y10" s="2">
        <f t="shared" si="8"/>
        <v>107.09004704226393</v>
      </c>
      <c r="Z10" s="2">
        <f t="shared" ref="Z10:AH10" si="9">+Y10*(1+3%)</f>
        <v>110.30274845353185</v>
      </c>
      <c r="AA10" s="2">
        <f t="shared" si="9"/>
        <v>113.6118309071378</v>
      </c>
      <c r="AB10" s="2">
        <f t="shared" si="9"/>
        <v>117.02018583435193</v>
      </c>
      <c r="AC10" s="2">
        <f t="shared" si="9"/>
        <v>120.5307914093825</v>
      </c>
      <c r="AD10" s="2">
        <f t="shared" si="9"/>
        <v>124.14671515166398</v>
      </c>
      <c r="AE10" s="2">
        <f t="shared" si="9"/>
        <v>127.8711166062139</v>
      </c>
      <c r="AF10" s="2">
        <f t="shared" si="9"/>
        <v>131.70725010440032</v>
      </c>
      <c r="AG10" s="2">
        <f t="shared" si="9"/>
        <v>135.65846760753232</v>
      </c>
      <c r="AH10" s="2">
        <f t="shared" si="9"/>
        <v>139.7282216357583</v>
      </c>
    </row>
    <row r="11" spans="2:34"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</row>
    <row r="12" spans="2:34"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</row>
    <row r="13" spans="2:34"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</row>
    <row r="14" spans="2:34"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</row>
    <row r="15" spans="2:34">
      <c r="B15" s="1" t="s">
        <v>6</v>
      </c>
      <c r="C15" s="1">
        <v>355</v>
      </c>
      <c r="D15" s="1">
        <v>403</v>
      </c>
      <c r="E15" s="1">
        <v>486</v>
      </c>
      <c r="F15" s="1">
        <f t="shared" ref="F15:F33" si="10">+V15-SUM(C15:E15)</f>
        <v>302</v>
      </c>
      <c r="G15" s="1">
        <v>476</v>
      </c>
      <c r="H15" s="1">
        <v>520</v>
      </c>
      <c r="I15" s="1">
        <v>513</v>
      </c>
      <c r="J15" s="1">
        <f t="shared" ref="J15:J33" si="11">+W15-SUM(G15:I15)</f>
        <v>301</v>
      </c>
      <c r="K15" s="1">
        <v>470</v>
      </c>
      <c r="L15" s="1">
        <v>499</v>
      </c>
      <c r="M15" s="1">
        <f>+I15*1.01</f>
        <v>518.13</v>
      </c>
      <c r="N15" s="1">
        <f>+J15*1.02</f>
        <v>307.02</v>
      </c>
      <c r="R15" s="1">
        <v>4336</v>
      </c>
      <c r="S15" s="1">
        <v>4189</v>
      </c>
      <c r="T15" s="1">
        <v>3572</v>
      </c>
      <c r="U15" s="1">
        <v>2000</v>
      </c>
      <c r="V15" s="1">
        <v>1546</v>
      </c>
      <c r="W15" s="1">
        <v>1810</v>
      </c>
      <c r="X15" s="1">
        <v>2106</v>
      </c>
      <c r="Y15" s="1">
        <f>+SUM(K15:N15)</f>
        <v>1794.15</v>
      </c>
      <c r="Z15" s="1">
        <f>+$Z$18*(Y15/$Y$18)</f>
        <v>1858.242165851761</v>
      </c>
      <c r="AA15" s="1">
        <f t="shared" ref="AA15:AH15" si="12">+$Z$18*(Z15/$Y$18)</f>
        <v>1924.6238870492675</v>
      </c>
      <c r="AB15" s="1">
        <f t="shared" si="12"/>
        <v>1993.3769530532375</v>
      </c>
      <c r="AC15" s="1">
        <f t="shared" si="12"/>
        <v>2064.5860750776869</v>
      </c>
      <c r="AD15" s="1">
        <f t="shared" si="12"/>
        <v>2138.3389904633095</v>
      </c>
      <c r="AE15" s="1">
        <f t="shared" si="12"/>
        <v>2214.7265707793708</v>
      </c>
      <c r="AF15" s="1">
        <f t="shared" si="12"/>
        <v>2293.8429337873094</v>
      </c>
      <c r="AG15" s="1">
        <f t="shared" si="12"/>
        <v>2375.7855594040007</v>
      </c>
      <c r="AH15" s="1">
        <f t="shared" si="12"/>
        <v>2460.6554098075567</v>
      </c>
    </row>
    <row r="16" spans="2:34">
      <c r="B16" s="1" t="s">
        <v>7</v>
      </c>
      <c r="C16" s="1">
        <v>596</v>
      </c>
      <c r="D16" s="1">
        <v>525</v>
      </c>
      <c r="E16" s="1">
        <v>639</v>
      </c>
      <c r="F16" s="1">
        <f t="shared" si="10"/>
        <v>900</v>
      </c>
      <c r="G16" s="1">
        <v>658</v>
      </c>
      <c r="H16" s="1">
        <v>706</v>
      </c>
      <c r="I16" s="1">
        <v>716</v>
      </c>
      <c r="J16" s="1">
        <f t="shared" si="11"/>
        <v>430</v>
      </c>
      <c r="K16" s="1">
        <v>714</v>
      </c>
      <c r="L16" s="1">
        <v>737</v>
      </c>
      <c r="M16" s="1">
        <f t="shared" ref="M16:M17" si="13">+I16*1.01</f>
        <v>723.16</v>
      </c>
      <c r="N16" s="1">
        <f t="shared" ref="N16:N17" si="14">+J16*1.02</f>
        <v>438.6</v>
      </c>
      <c r="R16" s="1">
        <v>2082</v>
      </c>
      <c r="S16" s="1">
        <v>2167</v>
      </c>
      <c r="T16" s="1">
        <v>2306</v>
      </c>
      <c r="U16" s="1">
        <v>2482</v>
      </c>
      <c r="V16" s="1">
        <v>2660</v>
      </c>
      <c r="W16" s="1">
        <v>2510</v>
      </c>
      <c r="X16" s="1">
        <v>2900</v>
      </c>
      <c r="Y16" s="1">
        <f t="shared" ref="Y16:Y33" si="15">+SUM(K16:N16)</f>
        <v>2612.7599999999998</v>
      </c>
      <c r="Z16" s="1">
        <f>+$Z$18*(Y16/$Y$18)</f>
        <v>2706.0952547171901</v>
      </c>
      <c r="AA16" s="1">
        <f t="shared" ref="AA16:AH16" si="16">+$Z$18*(Z16/$Y$18)</f>
        <v>2802.7647114939355</v>
      </c>
      <c r="AB16" s="1">
        <f t="shared" si="16"/>
        <v>2902.8874775572704</v>
      </c>
      <c r="AC16" s="1">
        <f t="shared" si="16"/>
        <v>3006.586914984799</v>
      </c>
      <c r="AD16" s="1">
        <f t="shared" si="16"/>
        <v>3113.9907927001182</v>
      </c>
      <c r="AE16" s="1">
        <f t="shared" si="16"/>
        <v>3225.231443897952</v>
      </c>
      <c r="AF16" s="1">
        <f t="shared" si="16"/>
        <v>3340.445929092959</v>
      </c>
      <c r="AG16" s="1">
        <f t="shared" si="16"/>
        <v>3459.7762049931157</v>
      </c>
      <c r="AH16" s="1">
        <f t="shared" si="16"/>
        <v>3583.3692994057315</v>
      </c>
    </row>
    <row r="17" spans="2:103">
      <c r="B17" s="1" t="s">
        <v>8</v>
      </c>
      <c r="C17" s="1">
        <v>312</v>
      </c>
      <c r="D17" s="1">
        <v>270</v>
      </c>
      <c r="E17" s="1">
        <v>323</v>
      </c>
      <c r="F17" s="1">
        <f t="shared" si="10"/>
        <v>486</v>
      </c>
      <c r="G17" s="1">
        <v>352</v>
      </c>
      <c r="H17" s="1">
        <v>376</v>
      </c>
      <c r="I17" s="1">
        <v>377</v>
      </c>
      <c r="J17" s="1">
        <f t="shared" si="11"/>
        <v>227</v>
      </c>
      <c r="K17" s="1">
        <v>363</v>
      </c>
      <c r="L17" s="1">
        <v>400</v>
      </c>
      <c r="M17" s="1">
        <f t="shared" si="13"/>
        <v>380.77</v>
      </c>
      <c r="N17" s="1">
        <f t="shared" si="14"/>
        <v>231.54</v>
      </c>
      <c r="R17" s="1">
        <v>0</v>
      </c>
      <c r="S17" s="1">
        <v>0</v>
      </c>
      <c r="T17" s="1">
        <v>0</v>
      </c>
      <c r="U17" s="1">
        <v>1206</v>
      </c>
      <c r="V17" s="1">
        <v>1391</v>
      </c>
      <c r="W17" s="1">
        <v>1332</v>
      </c>
      <c r="X17" s="1">
        <v>1578</v>
      </c>
      <c r="Y17" s="1">
        <f t="shared" si="15"/>
        <v>1375.31</v>
      </c>
      <c r="Z17" s="1">
        <f>+$Z$18*(Y17/$Y$18)</f>
        <v>1424.4400039671073</v>
      </c>
      <c r="AA17" s="1">
        <f t="shared" ref="AA17:AH17" si="17">+$Z$18*(Z17/$Y$18)</f>
        <v>1475.3250720941553</v>
      </c>
      <c r="AB17" s="1">
        <f t="shared" si="17"/>
        <v>1528.0279002890775</v>
      </c>
      <c r="AC17" s="1">
        <f t="shared" si="17"/>
        <v>1582.6134241368304</v>
      </c>
      <c r="AD17" s="1">
        <f t="shared" si="17"/>
        <v>1639.1488989070565</v>
      </c>
      <c r="AE17" s="1">
        <f t="shared" si="17"/>
        <v>1697.7039824198521</v>
      </c>
      <c r="AF17" s="1">
        <f t="shared" si="17"/>
        <v>1758.3508208717365</v>
      </c>
      <c r="AG17" s="1">
        <f t="shared" si="17"/>
        <v>1821.1641377275687</v>
      </c>
      <c r="AH17" s="1">
        <f t="shared" si="17"/>
        <v>1886.2213257879396</v>
      </c>
    </row>
    <row r="18" spans="2:103" s="3" customFormat="1">
      <c r="B18" s="3" t="s">
        <v>9</v>
      </c>
      <c r="C18" s="3">
        <f>+SUM(C15:C17)</f>
        <v>1263</v>
      </c>
      <c r="D18" s="3">
        <f>+SUM(D15:D17)</f>
        <v>1198</v>
      </c>
      <c r="E18" s="3">
        <f>+SUM(E15:E17)</f>
        <v>1448</v>
      </c>
      <c r="F18" s="3">
        <f t="shared" si="10"/>
        <v>1688</v>
      </c>
      <c r="G18" s="3">
        <f>+SUM(G15:G17)</f>
        <v>1486</v>
      </c>
      <c r="H18" s="3">
        <f>+SUM(H15:H17)</f>
        <v>1602</v>
      </c>
      <c r="I18" s="3">
        <f>+SUM(I15:I17)</f>
        <v>1606</v>
      </c>
      <c r="J18" s="3">
        <f t="shared" si="11"/>
        <v>958</v>
      </c>
      <c r="K18" s="3">
        <f>+SUM(K15:K17)</f>
        <v>1547</v>
      </c>
      <c r="L18" s="3">
        <f>+SUM(L15:L17)</f>
        <v>1636</v>
      </c>
      <c r="M18" s="3">
        <f>+SUM(M15:M17)</f>
        <v>1622.06</v>
      </c>
      <c r="N18" s="3">
        <f>+SUM(N15:N17)</f>
        <v>977.16</v>
      </c>
      <c r="R18" s="3">
        <f t="shared" ref="R18:W18" si="18">+SUM(R15:R17)</f>
        <v>6418</v>
      </c>
      <c r="S18" s="3">
        <f t="shared" si="18"/>
        <v>6356</v>
      </c>
      <c r="T18" s="3">
        <f t="shared" si="18"/>
        <v>5878</v>
      </c>
      <c r="U18" s="3">
        <f t="shared" si="18"/>
        <v>5688</v>
      </c>
      <c r="V18" s="3">
        <f t="shared" si="18"/>
        <v>5597</v>
      </c>
      <c r="W18" s="3">
        <f t="shared" si="18"/>
        <v>5652</v>
      </c>
      <c r="X18" s="3">
        <f t="shared" ref="X18" si="19">+SUM(X15:X17)</f>
        <v>6584</v>
      </c>
      <c r="Y18" s="3">
        <f t="shared" si="15"/>
        <v>5782.2199999999993</v>
      </c>
      <c r="Z18" s="3">
        <f>+Z8*Z10/1000</f>
        <v>5988.7774245360579</v>
      </c>
      <c r="AA18" s="3">
        <f t="shared" ref="AA18:AH18" si="20">+AA8*AA10/1000</f>
        <v>6202.5242965442812</v>
      </c>
      <c r="AB18" s="3">
        <f t="shared" si="20"/>
        <v>6423.706081190915</v>
      </c>
      <c r="AC18" s="3">
        <f t="shared" si="20"/>
        <v>6652.5765010494579</v>
      </c>
      <c r="AD18" s="3">
        <f t="shared" si="20"/>
        <v>6889.3978106264403</v>
      </c>
      <c r="AE18" s="3">
        <f t="shared" si="20"/>
        <v>7134.4410799270991</v>
      </c>
      <c r="AF18" s="3">
        <f t="shared" si="20"/>
        <v>7387.9864873562319</v>
      </c>
      <c r="AG18" s="3">
        <f t="shared" si="20"/>
        <v>7650.3236222591777</v>
      </c>
      <c r="AH18" s="3">
        <f t="shared" si="20"/>
        <v>7921.7517974176817</v>
      </c>
    </row>
    <row r="19" spans="2:103">
      <c r="B19" s="1" t="s">
        <v>15</v>
      </c>
      <c r="C19" s="1">
        <v>298</v>
      </c>
      <c r="D19" s="1">
        <v>349</v>
      </c>
      <c r="E19" s="1">
        <v>399</v>
      </c>
      <c r="F19" s="1">
        <f t="shared" si="10"/>
        <v>189</v>
      </c>
      <c r="G19" s="1">
        <v>392</v>
      </c>
      <c r="H19" s="1">
        <v>417</v>
      </c>
      <c r="I19" s="1">
        <v>421</v>
      </c>
      <c r="J19" s="1">
        <f t="shared" si="11"/>
        <v>276</v>
      </c>
      <c r="K19" s="1">
        <v>402</v>
      </c>
      <c r="L19" s="1">
        <v>415</v>
      </c>
      <c r="M19" s="1">
        <f>+M$18*(I19/I$18)</f>
        <v>425.21</v>
      </c>
      <c r="N19" s="1">
        <f>+N$18*(L19/L$18)</f>
        <v>247.87371638141806</v>
      </c>
      <c r="R19" s="1">
        <v>3627</v>
      </c>
      <c r="S19" s="1">
        <v>3489</v>
      </c>
      <c r="T19" s="1">
        <v>2954</v>
      </c>
      <c r="U19" s="1">
        <v>1634</v>
      </c>
      <c r="V19" s="1">
        <v>1235</v>
      </c>
      <c r="W19" s="1">
        <v>1506</v>
      </c>
      <c r="X19" s="1">
        <v>1725</v>
      </c>
      <c r="Y19" s="1">
        <f t="shared" si="15"/>
        <v>1490.0837163814181</v>
      </c>
      <c r="Z19" s="1">
        <f t="shared" ref="Z19:AH19" si="21">(Y19/Y$18)*Z$18</f>
        <v>1543.313765531894</v>
      </c>
      <c r="AA19" s="1">
        <f>(Z19/Z$18)*AA$18</f>
        <v>1598.3965422866554</v>
      </c>
      <c r="AB19" s="1">
        <f t="shared" si="21"/>
        <v>1655.3953032577238</v>
      </c>
      <c r="AC19" s="1">
        <f t="shared" si="21"/>
        <v>1714.3754329989983</v>
      </c>
      <c r="AD19" s="1">
        <f t="shared" si="21"/>
        <v>1775.4045147518173</v>
      </c>
      <c r="AE19" s="1">
        <f t="shared" si="21"/>
        <v>1838.5524035201065</v>
      </c>
      <c r="AF19" s="1">
        <f t="shared" si="21"/>
        <v>1903.8913015512162</v>
      </c>
      <c r="AG19" s="1">
        <f t="shared" si="21"/>
        <v>1971.4958363010244</v>
      </c>
      <c r="AH19" s="1">
        <f t="shared" si="21"/>
        <v>2041.4431409644253</v>
      </c>
    </row>
    <row r="20" spans="2:103">
      <c r="B20" s="1" t="s">
        <v>16</v>
      </c>
      <c r="C20" s="1">
        <v>208</v>
      </c>
      <c r="D20" s="1">
        <v>259</v>
      </c>
      <c r="E20" s="1">
        <v>257</v>
      </c>
      <c r="F20" s="1">
        <f t="shared" si="10"/>
        <v>193</v>
      </c>
      <c r="G20" s="1">
        <v>206</v>
      </c>
      <c r="H20" s="1">
        <v>230</v>
      </c>
      <c r="I20" s="1">
        <v>253</v>
      </c>
      <c r="J20" s="1">
        <f t="shared" si="11"/>
        <v>375</v>
      </c>
      <c r="K20" s="1">
        <v>253</v>
      </c>
      <c r="L20" s="1">
        <v>254</v>
      </c>
      <c r="M20" s="1">
        <f t="shared" ref="M20:M24" si="22">+$M$18*(I20/$I$18)</f>
        <v>255.52999999999997</v>
      </c>
      <c r="N20" s="1">
        <f t="shared" ref="N20:N24" si="23">+N$18*(L20/L$18)</f>
        <v>151.71066014669927</v>
      </c>
      <c r="R20" s="1">
        <v>1058</v>
      </c>
      <c r="S20" s="1">
        <v>1129</v>
      </c>
      <c r="T20" s="1">
        <v>999</v>
      </c>
      <c r="U20" s="1">
        <v>895</v>
      </c>
      <c r="V20" s="1">
        <v>917</v>
      </c>
      <c r="W20" s="1">
        <v>1064</v>
      </c>
      <c r="X20" s="1">
        <v>1060</v>
      </c>
      <c r="Y20" s="1">
        <f t="shared" si="15"/>
        <v>914.24066014669927</v>
      </c>
      <c r="Z20" s="1">
        <f>(Y20/Y$18)*Z$18</f>
        <v>946.89994951411313</v>
      </c>
      <c r="AA20" s="1">
        <f>(Z20/Z$18)*AA$18</f>
        <v>980.69597964944012</v>
      </c>
      <c r="AB20" s="1">
        <f>(AA20/AA$18)*AB$18</f>
        <v>1015.6675616383238</v>
      </c>
      <c r="AC20" s="1">
        <f>(AB20/AB$18)*AC$18</f>
        <v>1051.8548121648564</v>
      </c>
      <c r="AD20" s="1">
        <f t="shared" ref="Z20:AH24" si="24">(AC20/AC$18)*AD$18</f>
        <v>1089.2991969175062</v>
      </c>
      <c r="AE20" s="1">
        <f t="shared" si="24"/>
        <v>1128.043575424367</v>
      </c>
      <c r="AF20" s="1">
        <f t="shared" si="24"/>
        <v>1168.1322473644132</v>
      </c>
      <c r="AG20" s="1">
        <f t="shared" si="24"/>
        <v>1209.6110004029802</v>
      </c>
      <c r="AH20" s="1">
        <f t="shared" si="24"/>
        <v>1252.5271596012335</v>
      </c>
    </row>
    <row r="21" spans="2:103">
      <c r="B21" s="1" t="s">
        <v>17</v>
      </c>
      <c r="C21" s="1">
        <v>58</v>
      </c>
      <c r="D21" s="1">
        <v>36</v>
      </c>
      <c r="E21" s="1">
        <v>13</v>
      </c>
      <c r="F21" s="1">
        <f t="shared" si="10"/>
        <v>73</v>
      </c>
      <c r="G21" s="1">
        <v>23</v>
      </c>
      <c r="H21" s="1">
        <v>27</v>
      </c>
      <c r="I21" s="1">
        <v>31</v>
      </c>
      <c r="J21" s="1">
        <f t="shared" si="11"/>
        <v>64</v>
      </c>
      <c r="K21" s="1">
        <v>32</v>
      </c>
      <c r="L21" s="1">
        <v>29</v>
      </c>
      <c r="M21" s="1">
        <f t="shared" si="22"/>
        <v>31.31</v>
      </c>
      <c r="N21" s="1">
        <f t="shared" si="23"/>
        <v>17.32129584352078</v>
      </c>
      <c r="R21" s="1">
        <v>240</v>
      </c>
      <c r="S21" s="1">
        <v>201</v>
      </c>
      <c r="T21" s="1">
        <v>237</v>
      </c>
      <c r="U21" s="1">
        <v>188</v>
      </c>
      <c r="V21" s="1">
        <v>180</v>
      </c>
      <c r="W21" s="1">
        <v>145</v>
      </c>
      <c r="X21" s="1">
        <v>117</v>
      </c>
      <c r="Y21" s="1">
        <f t="shared" si="15"/>
        <v>109.63129584352077</v>
      </c>
      <c r="Z21" s="1">
        <f t="shared" si="24"/>
        <v>113.54763906774753</v>
      </c>
      <c r="AA21" s="1">
        <f t="shared" si="24"/>
        <v>117.60029471916873</v>
      </c>
      <c r="AB21" s="1">
        <f t="shared" si="24"/>
        <v>121.79391683451422</v>
      </c>
      <c r="AC21" s="1">
        <f t="shared" si="24"/>
        <v>126.13331601153321</v>
      </c>
      <c r="AD21" s="1">
        <f t="shared" si="24"/>
        <v>130.62346461402225</v>
      </c>
      <c r="AE21" s="1">
        <f t="shared" si="24"/>
        <v>135.2695021482503</v>
      </c>
      <c r="AF21" s="1">
        <f t="shared" si="24"/>
        <v>140.07674081637936</v>
      </c>
      <c r="AG21" s="1">
        <f t="shared" si="24"/>
        <v>145.05067125266274</v>
      </c>
      <c r="AH21" s="1">
        <f t="shared" si="24"/>
        <v>150.19696844838842</v>
      </c>
    </row>
    <row r="22" spans="2:103">
      <c r="B22" s="1" t="s">
        <v>18</v>
      </c>
      <c r="C22" s="1">
        <v>310</v>
      </c>
      <c r="D22" s="1">
        <v>264</v>
      </c>
      <c r="E22" s="1">
        <v>313</v>
      </c>
      <c r="F22" s="1">
        <f t="shared" si="10"/>
        <v>481</v>
      </c>
      <c r="G22" s="1">
        <v>343</v>
      </c>
      <c r="H22" s="1">
        <v>372</v>
      </c>
      <c r="I22" s="1">
        <v>375</v>
      </c>
      <c r="J22" s="1">
        <f t="shared" si="11"/>
        <v>224</v>
      </c>
      <c r="K22" s="1">
        <v>361</v>
      </c>
      <c r="L22" s="1">
        <v>396</v>
      </c>
      <c r="M22" s="1">
        <f t="shared" si="22"/>
        <v>378.74999999999994</v>
      </c>
      <c r="N22" s="1">
        <f t="shared" si="23"/>
        <v>236.52528117359412</v>
      </c>
      <c r="R22" s="1">
        <v>16</v>
      </c>
      <c r="S22" s="1">
        <v>0</v>
      </c>
      <c r="T22" s="1">
        <v>0</v>
      </c>
      <c r="U22" s="1">
        <v>1208</v>
      </c>
      <c r="V22" s="1">
        <v>1368</v>
      </c>
      <c r="W22" s="1">
        <v>1314</v>
      </c>
      <c r="X22" s="1">
        <v>1576</v>
      </c>
      <c r="Y22" s="1">
        <f t="shared" si="15"/>
        <v>1372.2752811735941</v>
      </c>
      <c r="Z22" s="1">
        <f>(Y22/Y$18)*Z$18</f>
        <v>1421.2968763107062</v>
      </c>
      <c r="AA22" s="1">
        <f t="shared" si="24"/>
        <v>1472.0247194029894</v>
      </c>
      <c r="AB22" s="1">
        <f t="shared" si="24"/>
        <v>1524.5170658921295</v>
      </c>
      <c r="AC22" s="1">
        <f t="shared" si="24"/>
        <v>1578.8341309231557</v>
      </c>
      <c r="AD22" s="1">
        <f>(AC22/AC$18)*AD$18</f>
        <v>1635.0381544967402</v>
      </c>
      <c r="AE22" s="1">
        <f t="shared" si="24"/>
        <v>1693.1934687669095</v>
      </c>
      <c r="AF22" s="1">
        <f t="shared" si="24"/>
        <v>1753.3665675542416</v>
      </c>
      <c r="AG22" s="1">
        <f t="shared" si="24"/>
        <v>1815.6261781469229</v>
      </c>
      <c r="AH22" s="1">
        <f t="shared" si="24"/>
        <v>1880.0433354643671</v>
      </c>
    </row>
    <row r="23" spans="2:103">
      <c r="B23" s="1" t="s">
        <v>14</v>
      </c>
      <c r="C23" s="1">
        <v>-13</v>
      </c>
      <c r="D23" s="1">
        <v>-8</v>
      </c>
      <c r="E23" s="1">
        <v>-9</v>
      </c>
      <c r="F23" s="1">
        <f t="shared" si="10"/>
        <v>-7</v>
      </c>
      <c r="G23" s="1">
        <v>-15</v>
      </c>
      <c r="H23" s="1">
        <v>-7</v>
      </c>
      <c r="I23" s="1">
        <v>1</v>
      </c>
      <c r="J23" s="1">
        <f t="shared" si="11"/>
        <v>-13</v>
      </c>
      <c r="K23" s="1">
        <v>-4</v>
      </c>
      <c r="L23" s="1">
        <v>-8</v>
      </c>
      <c r="M23" s="1">
        <f t="shared" si="22"/>
        <v>1.01</v>
      </c>
      <c r="N23" s="1">
        <f t="shared" si="23"/>
        <v>-4.7782885085574573</v>
      </c>
      <c r="R23" s="1">
        <v>23</v>
      </c>
      <c r="S23" s="1">
        <v>-163</v>
      </c>
      <c r="T23" s="1">
        <v>-1083</v>
      </c>
      <c r="U23" s="1">
        <v>-540</v>
      </c>
      <c r="V23" s="1">
        <v>-37</v>
      </c>
      <c r="W23" s="1">
        <v>-34</v>
      </c>
      <c r="X23" s="1">
        <v>-35</v>
      </c>
      <c r="Y23" s="1">
        <f>+SUM(K23:N23)</f>
        <v>-15.768288508557458</v>
      </c>
      <c r="Z23" s="1">
        <f>(Y23/Y$18)*Z$18</f>
        <v>-16.331576841355094</v>
      </c>
      <c r="AA23" s="1">
        <f>(Z23/Z$18)*AA$18</f>
        <v>-16.914471014462894</v>
      </c>
      <c r="AB23" s="1">
        <f>(AA23/AA$18)*AB$18</f>
        <v>-17.517640418799939</v>
      </c>
      <c r="AC23" s="1">
        <f>(AB23/AB$18)*AC$18</f>
        <v>-18.141776963484194</v>
      </c>
      <c r="AD23" s="1">
        <f>(AC23/AC$18)*AD$18</f>
        <v>-18.787595824472579</v>
      </c>
      <c r="AE23" s="1">
        <f>(AD23/AD$18)*AE$18</f>
        <v>-19.455836217853136</v>
      </c>
      <c r="AF23" s="1">
        <f>(AE23/AE$18)*AF$18</f>
        <v>-20.147262198594497</v>
      </c>
      <c r="AG23" s="1">
        <f t="shared" si="24"/>
        <v>-20.862663485584271</v>
      </c>
      <c r="AH23" s="1">
        <f t="shared" si="24"/>
        <v>-21.602856313814701</v>
      </c>
    </row>
    <row r="24" spans="2:103">
      <c r="B24" s="1" t="s">
        <v>19</v>
      </c>
      <c r="C24" s="1">
        <v>152</v>
      </c>
      <c r="D24" s="1">
        <v>-2</v>
      </c>
      <c r="E24" s="1">
        <v>4</v>
      </c>
      <c r="F24" s="1">
        <f t="shared" si="10"/>
        <v>-150</v>
      </c>
      <c r="G24" s="1">
        <v>-6</v>
      </c>
      <c r="H24" s="1">
        <v>-4</v>
      </c>
      <c r="I24" s="1">
        <v>-2</v>
      </c>
      <c r="J24" s="1">
        <f t="shared" si="11"/>
        <v>166</v>
      </c>
      <c r="K24" s="1">
        <v>-6</v>
      </c>
      <c r="L24" s="1">
        <v>-4</v>
      </c>
      <c r="M24" s="1">
        <f t="shared" si="22"/>
        <v>-2.02</v>
      </c>
      <c r="N24" s="1">
        <f t="shared" si="23"/>
        <v>-2.3891442542787287</v>
      </c>
      <c r="R24" s="1">
        <v>20</v>
      </c>
      <c r="S24" s="1">
        <v>18</v>
      </c>
      <c r="T24" s="1">
        <v>10</v>
      </c>
      <c r="U24" s="1">
        <v>7</v>
      </c>
      <c r="V24" s="1">
        <v>4</v>
      </c>
      <c r="W24" s="1">
        <v>154</v>
      </c>
      <c r="X24" s="1">
        <v>2</v>
      </c>
      <c r="Y24" s="1">
        <f t="shared" si="15"/>
        <v>-14.409144254278729</v>
      </c>
      <c r="Z24" s="1">
        <f t="shared" si="24"/>
        <v>-14.923880069749666</v>
      </c>
      <c r="AA24" s="1">
        <f t="shared" si="24"/>
        <v>-15.456531804320012</v>
      </c>
      <c r="AB24" s="1">
        <f>(AA24/AA$18)*AB$18</f>
        <v>-16.007711150901802</v>
      </c>
      <c r="AC24" s="1">
        <f t="shared" si="24"/>
        <v>-16.578050379654613</v>
      </c>
      <c r="AD24" s="1">
        <f t="shared" si="24"/>
        <v>-17.168203022096776</v>
      </c>
      <c r="AE24" s="1">
        <f>(AD24/AD$18)*AE$18</f>
        <v>-17.77884457774379</v>
      </c>
      <c r="AF24" s="1">
        <f>(AE24/AE$18)*AF$18</f>
        <v>-18.410673244009729</v>
      </c>
      <c r="AG24" s="1">
        <f>(AF24/AF$18)*AG$18</f>
        <v>-19.064410670131657</v>
      </c>
      <c r="AH24" s="1">
        <f>(AG24/AG$18)*AH$18</f>
        <v>-19.740802735901294</v>
      </c>
    </row>
    <row r="25" spans="2:103">
      <c r="B25" s="1" t="s">
        <v>20</v>
      </c>
      <c r="C25" s="1">
        <f>SUM(C19:C24)</f>
        <v>1013</v>
      </c>
      <c r="D25" s="1">
        <f>SUM(D19:D24)</f>
        <v>898</v>
      </c>
      <c r="E25" s="1">
        <f>SUM(E19:E24)</f>
        <v>977</v>
      </c>
      <c r="F25" s="1">
        <f t="shared" si="10"/>
        <v>779</v>
      </c>
      <c r="G25" s="1">
        <f>SUM(G19:G24)</f>
        <v>943</v>
      </c>
      <c r="H25" s="1">
        <f>SUM(H19:H24)</f>
        <v>1035</v>
      </c>
      <c r="I25" s="1">
        <f>SUM(I19:I24)</f>
        <v>1079</v>
      </c>
      <c r="J25" s="1">
        <f t="shared" si="11"/>
        <v>1092</v>
      </c>
      <c r="K25" s="1">
        <f>SUM(K19:K24)</f>
        <v>1038</v>
      </c>
      <c r="L25" s="1">
        <f>SUM(L19:L24)</f>
        <v>1082</v>
      </c>
      <c r="M25" s="1">
        <f>SUM(M19:M24)</f>
        <v>1089.79</v>
      </c>
      <c r="N25" s="1">
        <f>SUM(N19:N24)</f>
        <v>646.26352078239609</v>
      </c>
      <c r="R25" s="1">
        <f t="shared" ref="R25:W25" si="25">SUM(R19:R24)</f>
        <v>4984</v>
      </c>
      <c r="S25" s="1">
        <f t="shared" si="25"/>
        <v>4674</v>
      </c>
      <c r="T25" s="1">
        <f t="shared" si="25"/>
        <v>3117</v>
      </c>
      <c r="U25" s="1">
        <f t="shared" si="25"/>
        <v>3392</v>
      </c>
      <c r="V25" s="1">
        <f t="shared" si="25"/>
        <v>3667</v>
      </c>
      <c r="W25" s="1">
        <f t="shared" si="25"/>
        <v>4149</v>
      </c>
      <c r="X25" s="1">
        <f t="shared" ref="X25" si="26">SUM(X19:X24)</f>
        <v>4445</v>
      </c>
      <c r="Y25" s="1">
        <f t="shared" si="15"/>
        <v>3856.0535207823959</v>
      </c>
      <c r="Z25" s="1">
        <f t="shared" ref="Z25:AH25" si="27">SUM(Z19:Z24)</f>
        <v>3993.802773513356</v>
      </c>
      <c r="AA25" s="1">
        <f t="shared" si="27"/>
        <v>4136.3465332394708</v>
      </c>
      <c r="AB25" s="1">
        <f t="shared" si="27"/>
        <v>4283.8484960529895</v>
      </c>
      <c r="AC25" s="1">
        <f t="shared" si="27"/>
        <v>4436.477864755404</v>
      </c>
      <c r="AD25" s="1">
        <f t="shared" si="27"/>
        <v>4594.4095319335174</v>
      </c>
      <c r="AE25" s="1">
        <f t="shared" si="27"/>
        <v>4757.8242690640354</v>
      </c>
      <c r="AF25" s="1">
        <f t="shared" si="27"/>
        <v>4926.9089218436457</v>
      </c>
      <c r="AG25" s="1">
        <f t="shared" si="27"/>
        <v>5101.8566119478737</v>
      </c>
      <c r="AH25" s="1">
        <f t="shared" si="27"/>
        <v>5282.8669454286983</v>
      </c>
    </row>
    <row r="26" spans="2:103" s="3" customFormat="1">
      <c r="B26" s="3" t="s">
        <v>21</v>
      </c>
      <c r="C26" s="3">
        <f>+C18-C25</f>
        <v>250</v>
      </c>
      <c r="D26" s="3">
        <f>+D18-D25</f>
        <v>300</v>
      </c>
      <c r="E26" s="3">
        <f>+E18-E25</f>
        <v>471</v>
      </c>
      <c r="F26" s="3">
        <f t="shared" si="10"/>
        <v>909</v>
      </c>
      <c r="G26" s="3">
        <f>+G18-G25</f>
        <v>543</v>
      </c>
      <c r="H26" s="3">
        <f>+H18-H25</f>
        <v>567</v>
      </c>
      <c r="I26" s="3">
        <f>+I18-I25</f>
        <v>527</v>
      </c>
      <c r="J26" s="3">
        <f t="shared" si="11"/>
        <v>-134</v>
      </c>
      <c r="K26" s="3">
        <f>+K18-K25</f>
        <v>509</v>
      </c>
      <c r="L26" s="3">
        <f>+L18-L25</f>
        <v>554</v>
      </c>
      <c r="M26" s="3">
        <f>+M18-M25</f>
        <v>532.27</v>
      </c>
      <c r="N26" s="3">
        <f>+N18-N25</f>
        <v>330.89647921760388</v>
      </c>
      <c r="R26" s="3">
        <f t="shared" ref="R26:W26" si="28">+R18-R25</f>
        <v>1434</v>
      </c>
      <c r="S26" s="3">
        <f t="shared" si="28"/>
        <v>1682</v>
      </c>
      <c r="T26" s="3">
        <f t="shared" si="28"/>
        <v>2761</v>
      </c>
      <c r="U26" s="3">
        <f t="shared" si="28"/>
        <v>2296</v>
      </c>
      <c r="V26" s="3">
        <f t="shared" si="28"/>
        <v>1930</v>
      </c>
      <c r="W26" s="3">
        <f t="shared" si="28"/>
        <v>1503</v>
      </c>
      <c r="X26" s="3">
        <f t="shared" ref="X26:AH26" si="29">+X18-X25</f>
        <v>2139</v>
      </c>
      <c r="Y26" s="3">
        <f>+SUM(K26:N26)</f>
        <v>1926.1664792176039</v>
      </c>
      <c r="Z26" s="3">
        <f t="shared" si="29"/>
        <v>1994.9746510227019</v>
      </c>
      <c r="AA26" s="3">
        <f t="shared" si="29"/>
        <v>2066.1777633048105</v>
      </c>
      <c r="AB26" s="3">
        <f t="shared" si="29"/>
        <v>2139.8575851379255</v>
      </c>
      <c r="AC26" s="3">
        <f t="shared" si="29"/>
        <v>2216.0986362940539</v>
      </c>
      <c r="AD26" s="3">
        <f t="shared" si="29"/>
        <v>2294.9882786929229</v>
      </c>
      <c r="AE26" s="3">
        <f t="shared" si="29"/>
        <v>2376.6168108630636</v>
      </c>
      <c r="AF26" s="3">
        <f t="shared" si="29"/>
        <v>2461.0775655125863</v>
      </c>
      <c r="AG26" s="3">
        <f t="shared" si="29"/>
        <v>2548.467010311304</v>
      </c>
      <c r="AH26" s="3">
        <f t="shared" si="29"/>
        <v>2638.8848519889834</v>
      </c>
    </row>
    <row r="27" spans="2:103">
      <c r="B27" s="1" t="s">
        <v>22</v>
      </c>
      <c r="C27" s="1">
        <v>34</v>
      </c>
      <c r="D27" s="1">
        <v>-91</v>
      </c>
      <c r="E27" s="1">
        <v>-10</v>
      </c>
      <c r="F27" s="1">
        <f t="shared" si="10"/>
        <v>134</v>
      </c>
      <c r="G27" s="1">
        <v>0</v>
      </c>
      <c r="H27" s="1">
        <v>-1</v>
      </c>
      <c r="I27" s="1">
        <v>-51</v>
      </c>
      <c r="J27" s="1">
        <f t="shared" si="11"/>
        <v>-22</v>
      </c>
      <c r="K27" s="1">
        <v>-7</v>
      </c>
      <c r="L27" s="1">
        <v>15</v>
      </c>
      <c r="M27" s="1">
        <f>+M$26*(I27/I$26)</f>
        <v>-51.51</v>
      </c>
      <c r="N27" s="1">
        <f>+N$26*(J27/J$26)</f>
        <v>54.326287632740936</v>
      </c>
      <c r="R27" s="1">
        <v>0</v>
      </c>
      <c r="S27" s="1">
        <v>-2</v>
      </c>
      <c r="T27" s="1">
        <v>-5</v>
      </c>
      <c r="U27" s="1">
        <v>-9</v>
      </c>
      <c r="V27" s="1">
        <v>67</v>
      </c>
      <c r="W27" s="1">
        <v>-74</v>
      </c>
      <c r="X27" s="1">
        <v>-86</v>
      </c>
      <c r="Y27" s="1">
        <f t="shared" si="15"/>
        <v>10.816287632740938</v>
      </c>
      <c r="Z27" s="1">
        <f t="shared" ref="Z27:AH27" si="30">+Y40*$AL$38</f>
        <v>5.0729740133636874</v>
      </c>
      <c r="AA27" s="1">
        <f t="shared" si="30"/>
        <v>15.112142802776317</v>
      </c>
      <c r="AB27" s="1">
        <f t="shared" si="30"/>
        <v>25.440860840900523</v>
      </c>
      <c r="AC27" s="1">
        <f t="shared" si="30"/>
        <v>36.069615796171831</v>
      </c>
      <c r="AD27" s="1">
        <f t="shared" si="30"/>
        <v>47.009249006625616</v>
      </c>
      <c r="AE27" s="1">
        <f t="shared" si="30"/>
        <v>58.270967365771106</v>
      </c>
      <c r="AF27" s="1">
        <f t="shared" si="30"/>
        <v>69.866355602585571</v>
      </c>
      <c r="AG27" s="1">
        <f t="shared" si="30"/>
        <v>81.807388968583695</v>
      </c>
      <c r="AH27" s="1">
        <f t="shared" si="30"/>
        <v>94.106446345339862</v>
      </c>
    </row>
    <row r="28" spans="2:103">
      <c r="B28" s="1" t="s">
        <v>23</v>
      </c>
      <c r="C28" s="1">
        <v>3</v>
      </c>
      <c r="D28" s="1">
        <v>2</v>
      </c>
      <c r="E28" s="1">
        <v>4</v>
      </c>
      <c r="F28" s="1">
        <f t="shared" si="10"/>
        <v>-5</v>
      </c>
      <c r="G28" s="1">
        <v>3</v>
      </c>
      <c r="H28" s="1">
        <v>2</v>
      </c>
      <c r="I28" s="1">
        <v>1</v>
      </c>
      <c r="J28" s="1">
        <f t="shared" si="11"/>
        <v>8</v>
      </c>
      <c r="K28" s="1">
        <v>0</v>
      </c>
      <c r="L28" s="1">
        <v>1</v>
      </c>
      <c r="M28" s="1">
        <f t="shared" ref="M28:N29" si="31">+$M$26*(I28/$I$26)</f>
        <v>1.01</v>
      </c>
      <c r="N28" s="1">
        <f t="shared" si="31"/>
        <v>8.08</v>
      </c>
      <c r="R28" s="1">
        <v>40</v>
      </c>
      <c r="S28" s="1">
        <v>32</v>
      </c>
      <c r="T28" s="1">
        <v>47</v>
      </c>
      <c r="U28" s="1">
        <v>14</v>
      </c>
      <c r="V28" s="1">
        <v>4</v>
      </c>
      <c r="W28" s="1">
        <v>14</v>
      </c>
      <c r="X28" s="1">
        <v>7</v>
      </c>
      <c r="Y28" s="1">
        <f t="shared" si="15"/>
        <v>10.09</v>
      </c>
      <c r="Z28" s="1">
        <f>(Y28/Y$26)*Z$26</f>
        <v>10.450443638182016</v>
      </c>
      <c r="AA28" s="1">
        <f t="shared" ref="AA28:AH29" si="32">(Z28/Z$26)*AA$26</f>
        <v>10.823432894654957</v>
      </c>
      <c r="AB28" s="1">
        <f t="shared" si="32"/>
        <v>11.209396107241911</v>
      </c>
      <c r="AC28" s="1">
        <f t="shared" si="32"/>
        <v>11.608776022978898</v>
      </c>
      <c r="AD28" s="1">
        <f t="shared" si="32"/>
        <v>12.022030277163571</v>
      </c>
      <c r="AE28" s="1">
        <f t="shared" si="32"/>
        <v>12.449631888178665</v>
      </c>
      <c r="AF28" s="1">
        <f t="shared" si="32"/>
        <v>12.892069768605204</v>
      </c>
      <c r="AG28" s="1">
        <f t="shared" si="32"/>
        <v>13.349849253157975</v>
      </c>
      <c r="AH28" s="1">
        <f t="shared" si="32"/>
        <v>13.823492643992168</v>
      </c>
    </row>
    <row r="29" spans="2:103">
      <c r="B29" s="1" t="s">
        <v>24</v>
      </c>
      <c r="C29" s="1">
        <v>118</v>
      </c>
      <c r="D29" s="1">
        <v>132</v>
      </c>
      <c r="E29" s="1">
        <v>161</v>
      </c>
      <c r="F29" s="1">
        <f t="shared" si="10"/>
        <v>75</v>
      </c>
      <c r="G29" s="1">
        <v>131</v>
      </c>
      <c r="H29" s="1">
        <v>159</v>
      </c>
      <c r="I29" s="1">
        <v>126</v>
      </c>
      <c r="J29" s="1">
        <f t="shared" si="11"/>
        <v>127</v>
      </c>
      <c r="K29" s="1">
        <v>118</v>
      </c>
      <c r="L29" s="1">
        <v>148</v>
      </c>
      <c r="M29" s="1">
        <f t="shared" si="31"/>
        <v>127.25999999999999</v>
      </c>
      <c r="N29" s="1">
        <f t="shared" si="31"/>
        <v>128.27000000000001</v>
      </c>
      <c r="R29" s="1">
        <v>141</v>
      </c>
      <c r="S29" s="1">
        <v>307</v>
      </c>
      <c r="T29" s="1">
        <v>445</v>
      </c>
      <c r="U29" s="1">
        <v>452</v>
      </c>
      <c r="V29" s="1">
        <v>486</v>
      </c>
      <c r="W29" s="1">
        <v>543</v>
      </c>
      <c r="X29" s="1">
        <v>544</v>
      </c>
      <c r="Y29" s="1">
        <f t="shared" si="15"/>
        <v>521.53</v>
      </c>
      <c r="Z29" s="1">
        <f>(Y29/Y$26)*Z$26</f>
        <v>540.1605421824645</v>
      </c>
      <c r="AA29" s="1">
        <f t="shared" si="32"/>
        <v>559.43953989587715</v>
      </c>
      <c r="AB29" s="1">
        <f t="shared" si="32"/>
        <v>579.38913298413024</v>
      </c>
      <c r="AC29" s="1">
        <f t="shared" si="32"/>
        <v>600.03220607177263</v>
      </c>
      <c r="AD29" s="1">
        <f t="shared" si="32"/>
        <v>621.39241332498693</v>
      </c>
      <c r="AE29" s="1">
        <f t="shared" si="32"/>
        <v>643.49420402793066</v>
      </c>
      <c r="AF29" s="1">
        <f t="shared" si="32"/>
        <v>666.36284900105773</v>
      </c>
      <c r="AG29" s="1">
        <f t="shared" si="32"/>
        <v>690.02446788894736</v>
      </c>
      <c r="AH29" s="1">
        <f t="shared" si="32"/>
        <v>714.50605734600958</v>
      </c>
    </row>
    <row r="30" spans="2:103" s="3" customFormat="1">
      <c r="B30" s="3" t="s">
        <v>25</v>
      </c>
      <c r="C30" s="3">
        <f>+C26-SUM(C27:C29)</f>
        <v>95</v>
      </c>
      <c r="D30" s="3">
        <f>+D26-SUM(D27:D29)</f>
        <v>257</v>
      </c>
      <c r="E30" s="3">
        <f>+E26-SUM(E27:E29)</f>
        <v>316</v>
      </c>
      <c r="F30" s="3">
        <f t="shared" si="10"/>
        <v>705</v>
      </c>
      <c r="G30" s="3">
        <f>+G26-SUM(G27:G29)</f>
        <v>409</v>
      </c>
      <c r="H30" s="3">
        <f>+H26-SUM(H27:H29)</f>
        <v>407</v>
      </c>
      <c r="I30" s="3">
        <f>+I26-SUM(I27:I29)</f>
        <v>451</v>
      </c>
      <c r="J30" s="3">
        <f t="shared" si="11"/>
        <v>-247</v>
      </c>
      <c r="K30" s="3">
        <f>+K26-SUM(K27:K29)</f>
        <v>398</v>
      </c>
      <c r="L30" s="3">
        <f>+L26-SUM(L27:L29)</f>
        <v>390</v>
      </c>
      <c r="M30" s="3">
        <f>+M26-SUM(M27:M29)</f>
        <v>455.51</v>
      </c>
      <c r="N30" s="3">
        <f>+N26-SUM(N27:N29)</f>
        <v>140.22019158486293</v>
      </c>
      <c r="R30" s="3">
        <f t="shared" ref="R30:W30" si="33">+R26-SUM(R27:R29)</f>
        <v>1253</v>
      </c>
      <c r="S30" s="3">
        <f t="shared" si="33"/>
        <v>1345</v>
      </c>
      <c r="T30" s="3">
        <f t="shared" si="33"/>
        <v>2274</v>
      </c>
      <c r="U30" s="3">
        <f t="shared" si="33"/>
        <v>1839</v>
      </c>
      <c r="V30" s="3">
        <f t="shared" si="33"/>
        <v>1373</v>
      </c>
      <c r="W30" s="3">
        <f t="shared" si="33"/>
        <v>1020</v>
      </c>
      <c r="X30" s="3">
        <f t="shared" ref="X30" si="34">+X26-SUM(X27:X29)</f>
        <v>1674</v>
      </c>
      <c r="Y30" s="1">
        <f t="shared" si="15"/>
        <v>1383.730191584863</v>
      </c>
      <c r="Z30" s="3">
        <f>+Z26-SUM(Z27:Z29)</f>
        <v>1439.2906911886917</v>
      </c>
      <c r="AA30" s="3">
        <f t="shared" ref="AA30:AG30" si="35">+AA26-SUM(AA27:AA29)</f>
        <v>1480.802647711502</v>
      </c>
      <c r="AB30" s="3">
        <f t="shared" si="35"/>
        <v>1523.818195205653</v>
      </c>
      <c r="AC30" s="3">
        <f t="shared" si="35"/>
        <v>1568.3880384031304</v>
      </c>
      <c r="AD30" s="3">
        <f t="shared" si="35"/>
        <v>1614.5645860841469</v>
      </c>
      <c r="AE30" s="3">
        <f t="shared" si="35"/>
        <v>1662.4020075811832</v>
      </c>
      <c r="AF30" s="3">
        <f t="shared" si="35"/>
        <v>1711.9562911403377</v>
      </c>
      <c r="AG30" s="3">
        <f t="shared" si="35"/>
        <v>1763.285304200615</v>
      </c>
      <c r="AH30" s="3">
        <f t="shared" ref="AH30" si="36">+AH26-SUM(AH27:AH29)</f>
        <v>1816.4488556536417</v>
      </c>
    </row>
    <row r="31" spans="2:103">
      <c r="B31" s="1" t="s">
        <v>26</v>
      </c>
      <c r="C31" s="1">
        <v>12</v>
      </c>
      <c r="D31" s="1">
        <v>51</v>
      </c>
      <c r="E31" s="1">
        <v>33</v>
      </c>
      <c r="F31" s="1">
        <f t="shared" si="10"/>
        <v>-17</v>
      </c>
      <c r="G31" s="1">
        <v>83</v>
      </c>
      <c r="H31" s="1">
        <v>16</v>
      </c>
      <c r="I31" s="1">
        <v>-77</v>
      </c>
      <c r="J31" s="1">
        <f t="shared" si="11"/>
        <v>94</v>
      </c>
      <c r="K31" s="1">
        <v>-1</v>
      </c>
      <c r="L31" s="1">
        <v>166</v>
      </c>
      <c r="M31" s="1">
        <f>+M30*(L31/L30)</f>
        <v>193.88374358974357</v>
      </c>
      <c r="N31" s="1">
        <f>+N30*(M31/M30)</f>
        <v>59.683466161762169</v>
      </c>
      <c r="R31" s="1">
        <f>-327+357</f>
        <v>30</v>
      </c>
      <c r="S31" s="1">
        <v>327</v>
      </c>
      <c r="T31" s="1">
        <v>934</v>
      </c>
      <c r="U31" s="1">
        <v>297</v>
      </c>
      <c r="V31" s="1">
        <v>79</v>
      </c>
      <c r="W31" s="1">
        <v>116</v>
      </c>
      <c r="X31" s="1">
        <v>99</v>
      </c>
      <c r="Y31" s="1">
        <f>+SUM(K31:N31)</f>
        <v>418.56720975150574</v>
      </c>
      <c r="Z31" s="1">
        <f>(Y31/Y30)*Z30</f>
        <v>435.37381224742882</v>
      </c>
      <c r="AA31" s="1">
        <f t="shared" ref="AA31:AH31" si="37">(Z31/Z30)*AA30</f>
        <v>447.93084389908148</v>
      </c>
      <c r="AB31" s="1">
        <f t="shared" si="37"/>
        <v>460.94269967852222</v>
      </c>
      <c r="AC31" s="1">
        <f t="shared" si="37"/>
        <v>474.42471735775138</v>
      </c>
      <c r="AD31" s="1">
        <f t="shared" si="37"/>
        <v>488.39275016959817</v>
      </c>
      <c r="AE31" s="1">
        <f t="shared" si="37"/>
        <v>502.86318389973707</v>
      </c>
      <c r="AF31" s="1">
        <f t="shared" si="37"/>
        <v>517.85295454052471</v>
      </c>
      <c r="AG31" s="1">
        <f t="shared" si="37"/>
        <v>533.37956652499793</v>
      </c>
      <c r="AH31" s="1">
        <f t="shared" si="37"/>
        <v>549.46111155993503</v>
      </c>
    </row>
    <row r="32" spans="2:103" s="3" customFormat="1">
      <c r="B32" s="3" t="s">
        <v>27</v>
      </c>
      <c r="C32" s="3">
        <f>+C30+C31</f>
        <v>107</v>
      </c>
      <c r="D32" s="3">
        <f>+D30+D31</f>
        <v>308</v>
      </c>
      <c r="E32" s="3">
        <f>+E30+E31</f>
        <v>349</v>
      </c>
      <c r="F32" s="3">
        <f t="shared" si="10"/>
        <v>530</v>
      </c>
      <c r="G32" s="3">
        <f>+G30+G31</f>
        <v>492</v>
      </c>
      <c r="H32" s="3">
        <f>+H30+H31</f>
        <v>423</v>
      </c>
      <c r="I32" s="3">
        <f>+I30+I31</f>
        <v>374</v>
      </c>
      <c r="J32" s="3">
        <f t="shared" si="11"/>
        <v>-385</v>
      </c>
      <c r="K32" s="3">
        <f>+K30+K31</f>
        <v>397</v>
      </c>
      <c r="L32" s="3">
        <f>+L30+L31</f>
        <v>556</v>
      </c>
      <c r="M32" s="3">
        <f>+M30+M31</f>
        <v>649.39374358974351</v>
      </c>
      <c r="N32" s="3">
        <f>+N30+N31</f>
        <v>199.9036577466251</v>
      </c>
      <c r="R32" s="3">
        <f>+R30+R31</f>
        <v>1283</v>
      </c>
      <c r="S32" s="3">
        <f t="shared" ref="S32:X32" si="38">+S30-S31</f>
        <v>1018</v>
      </c>
      <c r="T32" s="3">
        <f t="shared" si="38"/>
        <v>1340</v>
      </c>
      <c r="U32" s="3">
        <f t="shared" si="38"/>
        <v>1542</v>
      </c>
      <c r="V32" s="3">
        <f t="shared" si="38"/>
        <v>1294</v>
      </c>
      <c r="W32" s="3">
        <f t="shared" si="38"/>
        <v>904</v>
      </c>
      <c r="X32" s="3">
        <f t="shared" si="38"/>
        <v>1575</v>
      </c>
      <c r="Y32" s="3">
        <f t="shared" si="15"/>
        <v>1802.2974013363687</v>
      </c>
      <c r="Z32" s="3">
        <f>+Z30-Z31</f>
        <v>1003.9168789412629</v>
      </c>
      <c r="AA32" s="3">
        <f t="shared" ref="AA32:AG32" si="39">+AA30-AA31</f>
        <v>1032.8718038124205</v>
      </c>
      <c r="AB32" s="3">
        <f t="shared" si="39"/>
        <v>1062.8754955271306</v>
      </c>
      <c r="AC32" s="3">
        <f t="shared" si="39"/>
        <v>1093.963321045379</v>
      </c>
      <c r="AD32" s="3">
        <f t="shared" si="39"/>
        <v>1126.1718359145486</v>
      </c>
      <c r="AE32" s="3">
        <f t="shared" si="39"/>
        <v>1159.538823681446</v>
      </c>
      <c r="AF32" s="3">
        <f t="shared" si="39"/>
        <v>1194.103336599813</v>
      </c>
      <c r="AG32" s="3">
        <f t="shared" si="39"/>
        <v>1229.905737675617</v>
      </c>
      <c r="AH32" s="3">
        <f t="shared" ref="AH32" si="40">+AH30-AH31</f>
        <v>1266.9877440937066</v>
      </c>
      <c r="AI32" s="3">
        <f t="shared" ref="AI32:BN32" si="41">AH32*(1+$AL$39)</f>
        <v>1279.6576215346438</v>
      </c>
      <c r="AJ32" s="3">
        <f t="shared" si="41"/>
        <v>1292.4541977499903</v>
      </c>
      <c r="AK32" s="3">
        <f t="shared" si="41"/>
        <v>1305.3787397274903</v>
      </c>
      <c r="AL32" s="3">
        <f t="shared" si="41"/>
        <v>1318.4325271247651</v>
      </c>
      <c r="AM32" s="3">
        <f t="shared" si="41"/>
        <v>1331.6168523960127</v>
      </c>
      <c r="AN32" s="3">
        <f t="shared" si="41"/>
        <v>1344.9330209199729</v>
      </c>
      <c r="AO32" s="3">
        <f t="shared" si="41"/>
        <v>1358.3823511291728</v>
      </c>
      <c r="AP32" s="3">
        <f t="shared" si="41"/>
        <v>1371.9661746404645</v>
      </c>
      <c r="AQ32" s="3">
        <f t="shared" si="41"/>
        <v>1385.6858363868691</v>
      </c>
      <c r="AR32" s="3">
        <f t="shared" si="41"/>
        <v>1399.5426947507378</v>
      </c>
      <c r="AS32" s="3">
        <f t="shared" si="41"/>
        <v>1413.5381216982453</v>
      </c>
      <c r="AT32" s="3">
        <f t="shared" si="41"/>
        <v>1427.6735029152278</v>
      </c>
      <c r="AU32" s="3">
        <f t="shared" si="41"/>
        <v>1441.95023794438</v>
      </c>
      <c r="AV32" s="3">
        <f t="shared" si="41"/>
        <v>1456.3697403238239</v>
      </c>
      <c r="AW32" s="3">
        <f t="shared" si="41"/>
        <v>1470.933437727062</v>
      </c>
      <c r="AX32" s="3">
        <f t="shared" si="41"/>
        <v>1485.6427721043326</v>
      </c>
      <c r="AY32" s="3">
        <f t="shared" si="41"/>
        <v>1500.4991998253759</v>
      </c>
      <c r="AZ32" s="3">
        <f t="shared" si="41"/>
        <v>1515.5041918236295</v>
      </c>
      <c r="BA32" s="3">
        <f t="shared" si="41"/>
        <v>1530.6592337418658</v>
      </c>
      <c r="BB32" s="3">
        <f t="shared" si="41"/>
        <v>1545.9658260792844</v>
      </c>
      <c r="BC32" s="3">
        <f t="shared" si="41"/>
        <v>1561.4254843400772</v>
      </c>
      <c r="BD32" s="3">
        <f t="shared" si="41"/>
        <v>1577.0397391834781</v>
      </c>
      <c r="BE32" s="3">
        <f t="shared" si="41"/>
        <v>1592.810136575313</v>
      </c>
      <c r="BF32" s="3">
        <f t="shared" si="41"/>
        <v>1608.738237941066</v>
      </c>
      <c r="BG32" s="3">
        <f t="shared" si="41"/>
        <v>1624.8256203204767</v>
      </c>
      <c r="BH32" s="3">
        <f t="shared" si="41"/>
        <v>1641.0738765236815</v>
      </c>
      <c r="BI32" s="3">
        <f t="shared" si="41"/>
        <v>1657.4846152889183</v>
      </c>
      <c r="BJ32" s="3">
        <f t="shared" si="41"/>
        <v>1674.0594614418076</v>
      </c>
      <c r="BK32" s="3">
        <f t="shared" si="41"/>
        <v>1690.8000560562257</v>
      </c>
      <c r="BL32" s="3">
        <f t="shared" si="41"/>
        <v>1707.7080566167879</v>
      </c>
      <c r="BM32" s="3">
        <f t="shared" si="41"/>
        <v>1724.7851371829559</v>
      </c>
      <c r="BN32" s="3">
        <f t="shared" si="41"/>
        <v>1742.0329885547853</v>
      </c>
      <c r="BO32" s="3">
        <f t="shared" ref="BO32:CY32" si="42">BN32*(1+$AL$39)</f>
        <v>1759.4533184403333</v>
      </c>
      <c r="BP32" s="3">
        <f t="shared" si="42"/>
        <v>1777.0478516247367</v>
      </c>
      <c r="BQ32" s="3">
        <f t="shared" si="42"/>
        <v>1794.818330140984</v>
      </c>
      <c r="BR32" s="3">
        <f t="shared" si="42"/>
        <v>1812.7665134423939</v>
      </c>
      <c r="BS32" s="3">
        <f t="shared" si="42"/>
        <v>1830.8941785768179</v>
      </c>
      <c r="BT32" s="3">
        <f t="shared" si="42"/>
        <v>1849.2031203625861</v>
      </c>
      <c r="BU32" s="3">
        <f t="shared" si="42"/>
        <v>1867.695151566212</v>
      </c>
      <c r="BV32" s="3">
        <f t="shared" si="42"/>
        <v>1886.372103081874</v>
      </c>
      <c r="BW32" s="3">
        <f t="shared" si="42"/>
        <v>1905.2358241126929</v>
      </c>
      <c r="BX32" s="3">
        <f t="shared" si="42"/>
        <v>1924.2881823538198</v>
      </c>
      <c r="BY32" s="3">
        <f t="shared" si="42"/>
        <v>1943.5310641773581</v>
      </c>
      <c r="BZ32" s="3">
        <f t="shared" si="42"/>
        <v>1962.9663748191317</v>
      </c>
      <c r="CA32" s="3">
        <f t="shared" si="42"/>
        <v>1982.5960385673231</v>
      </c>
      <c r="CB32" s="3">
        <f t="shared" si="42"/>
        <v>2002.4219989529963</v>
      </c>
      <c r="CC32" s="3">
        <f t="shared" si="42"/>
        <v>2022.4462189425262</v>
      </c>
      <c r="CD32" s="3">
        <f t="shared" si="42"/>
        <v>2042.6706811319516</v>
      </c>
      <c r="CE32" s="3">
        <f t="shared" si="42"/>
        <v>2063.0973879432713</v>
      </c>
      <c r="CF32" s="3">
        <f t="shared" si="42"/>
        <v>2083.7283618227038</v>
      </c>
      <c r="CG32" s="3">
        <f t="shared" si="42"/>
        <v>2104.5656454409309</v>
      </c>
      <c r="CH32" s="3">
        <f t="shared" si="42"/>
        <v>2125.6113018953401</v>
      </c>
      <c r="CI32" s="3">
        <f t="shared" si="42"/>
        <v>2146.8674149142935</v>
      </c>
      <c r="CJ32" s="3">
        <f t="shared" si="42"/>
        <v>2168.3360890634362</v>
      </c>
      <c r="CK32" s="3">
        <f t="shared" si="42"/>
        <v>2190.0194499540708</v>
      </c>
      <c r="CL32" s="3">
        <f t="shared" si="42"/>
        <v>2211.9196444536115</v>
      </c>
      <c r="CM32" s="3">
        <f t="shared" si="42"/>
        <v>2234.0388408981476</v>
      </c>
      <c r="CN32" s="3">
        <f t="shared" si="42"/>
        <v>2256.3792293071292</v>
      </c>
      <c r="CO32" s="3">
        <f t="shared" si="42"/>
        <v>2278.9430216002006</v>
      </c>
      <c r="CP32" s="3">
        <f t="shared" si="42"/>
        <v>2301.7324518162027</v>
      </c>
      <c r="CQ32" s="3">
        <f t="shared" si="42"/>
        <v>2324.7497763343649</v>
      </c>
      <c r="CR32" s="3">
        <f t="shared" si="42"/>
        <v>2347.9972740977087</v>
      </c>
      <c r="CS32" s="3">
        <f t="shared" si="42"/>
        <v>2371.4772468386859</v>
      </c>
      <c r="CT32" s="3">
        <f t="shared" si="42"/>
        <v>2395.1920193070728</v>
      </c>
      <c r="CU32" s="3">
        <f t="shared" si="42"/>
        <v>2419.1439395001435</v>
      </c>
      <c r="CV32" s="3">
        <f t="shared" si="42"/>
        <v>2443.3353788951449</v>
      </c>
      <c r="CW32" s="3">
        <f t="shared" si="42"/>
        <v>2467.7687326840964</v>
      </c>
      <c r="CX32" s="3">
        <f t="shared" si="42"/>
        <v>2492.4464200109373</v>
      </c>
      <c r="CY32" s="3">
        <f t="shared" si="42"/>
        <v>2517.3708842110468</v>
      </c>
    </row>
    <row r="33" spans="2:38" s="8" customFormat="1">
      <c r="B33" s="7" t="s">
        <v>28</v>
      </c>
      <c r="C33" s="8">
        <v>0.27</v>
      </c>
      <c r="D33" s="8">
        <v>0.67</v>
      </c>
      <c r="E33" s="8">
        <v>0.92</v>
      </c>
      <c r="F33" s="7">
        <f t="shared" si="10"/>
        <v>2.2799999999999994</v>
      </c>
      <c r="G33" s="8">
        <v>1.07</v>
      </c>
      <c r="H33" s="8">
        <v>1.29</v>
      </c>
      <c r="I33" s="8">
        <v>1.75</v>
      </c>
      <c r="J33" s="7">
        <f t="shared" si="11"/>
        <v>-2.2300000000000004</v>
      </c>
      <c r="K33" s="8">
        <v>1.36</v>
      </c>
      <c r="L33" s="8">
        <v>0.77</v>
      </c>
      <c r="M33" s="8">
        <f>+M32/M34</f>
        <v>0.89934025641025639</v>
      </c>
      <c r="N33" s="8">
        <f>+N32/N34</f>
        <v>0.2768449936419089</v>
      </c>
      <c r="R33" s="8">
        <v>2.9</v>
      </c>
      <c r="S33" s="8">
        <v>4.0999999999999996</v>
      </c>
      <c r="T33" s="8">
        <v>3.77</v>
      </c>
      <c r="U33" s="8">
        <v>4.6900000000000004</v>
      </c>
      <c r="V33" s="8">
        <v>4.1399999999999997</v>
      </c>
      <c r="W33" s="8">
        <v>1.88</v>
      </c>
      <c r="X33" s="8">
        <v>5.21</v>
      </c>
      <c r="Y33" s="8">
        <f t="shared" si="15"/>
        <v>3.3061852500521649</v>
      </c>
      <c r="Z33" s="8">
        <f>+Z32/Z34</f>
        <v>1.8416134734328162</v>
      </c>
      <c r="AA33" s="8">
        <f t="shared" ref="AA33:AG33" si="43">+AA32/AA34</f>
        <v>1.8947292053061504</v>
      </c>
      <c r="AB33" s="8">
        <f t="shared" si="43"/>
        <v>1.9497688246945677</v>
      </c>
      <c r="AC33" s="8">
        <f t="shared" si="43"/>
        <v>2.0067972097482314</v>
      </c>
      <c r="AD33" s="8">
        <f t="shared" si="43"/>
        <v>2.0658814189955934</v>
      </c>
      <c r="AE33" s="8">
        <f t="shared" si="43"/>
        <v>2.1270907636419256</v>
      </c>
      <c r="AF33" s="8">
        <f t="shared" si="43"/>
        <v>2.1904968822443323</v>
      </c>
      <c r="AG33" s="8">
        <f t="shared" si="43"/>
        <v>2.2561738178408137</v>
      </c>
      <c r="AH33" s="8">
        <f t="shared" ref="AH33" si="44">+AH32/AH34</f>
        <v>2.3241980976133543</v>
      </c>
    </row>
    <row r="34" spans="2:38">
      <c r="B34" s="1" t="s">
        <v>1</v>
      </c>
      <c r="C34" s="1">
        <f>+C32/C33</f>
        <v>396.29629629629625</v>
      </c>
      <c r="D34" s="1">
        <f>+D32/D33</f>
        <v>459.70149253731341</v>
      </c>
      <c r="E34" s="1">
        <f>+E32/E33</f>
        <v>379.3478260869565</v>
      </c>
      <c r="G34" s="1">
        <f>+G32/G33</f>
        <v>459.81308411214951</v>
      </c>
      <c r="H34" s="1">
        <f>+H32/H33</f>
        <v>327.90697674418601</v>
      </c>
      <c r="I34" s="1">
        <f>+I32/I33</f>
        <v>213.71428571428572</v>
      </c>
      <c r="K34" s="1">
        <f>+K32/K33</f>
        <v>291.91176470588232</v>
      </c>
      <c r="L34" s="1">
        <f>+L32/L33</f>
        <v>722.07792207792204</v>
      </c>
      <c r="M34" s="1">
        <f>+L34</f>
        <v>722.07792207792204</v>
      </c>
      <c r="N34" s="1">
        <f>+M34</f>
        <v>722.07792207792204</v>
      </c>
      <c r="R34" s="1">
        <f t="shared" ref="R34:W34" si="45">+R32/R33</f>
        <v>442.41379310344831</v>
      </c>
      <c r="S34" s="1">
        <f t="shared" si="45"/>
        <v>248.29268292682929</v>
      </c>
      <c r="T34" s="1">
        <f t="shared" si="45"/>
        <v>355.43766578249335</v>
      </c>
      <c r="U34" s="1">
        <f t="shared" si="45"/>
        <v>328.78464818763325</v>
      </c>
      <c r="V34" s="1">
        <f t="shared" si="45"/>
        <v>312.56038647342996</v>
      </c>
      <c r="W34" s="1">
        <f t="shared" si="45"/>
        <v>480.85106382978728</v>
      </c>
      <c r="X34" s="1">
        <f t="shared" ref="X34" si="46">+X32/X33</f>
        <v>302.30326295585411</v>
      </c>
      <c r="Y34" s="1">
        <f>+Y32/Y33</f>
        <v>545.1289825057238</v>
      </c>
      <c r="Z34" s="1">
        <f>+Y34</f>
        <v>545.1289825057238</v>
      </c>
      <c r="AA34" s="1">
        <f t="shared" ref="AA34:AH34" si="47">+Z34</f>
        <v>545.1289825057238</v>
      </c>
      <c r="AB34" s="1">
        <f t="shared" si="47"/>
        <v>545.1289825057238</v>
      </c>
      <c r="AC34" s="1">
        <f t="shared" si="47"/>
        <v>545.1289825057238</v>
      </c>
      <c r="AD34" s="1">
        <f t="shared" si="47"/>
        <v>545.1289825057238</v>
      </c>
      <c r="AE34" s="1">
        <f t="shared" si="47"/>
        <v>545.1289825057238</v>
      </c>
      <c r="AF34" s="1">
        <f t="shared" si="47"/>
        <v>545.1289825057238</v>
      </c>
      <c r="AG34" s="1">
        <f t="shared" si="47"/>
        <v>545.1289825057238</v>
      </c>
      <c r="AH34" s="1">
        <f t="shared" si="47"/>
        <v>545.1289825057238</v>
      </c>
    </row>
    <row r="36" spans="2:38">
      <c r="B36" s="1" t="s">
        <v>72</v>
      </c>
      <c r="C36" s="4">
        <f t="shared" ref="C36" si="48">+C26/C18</f>
        <v>0.19794140934283452</v>
      </c>
      <c r="D36" s="4">
        <f t="shared" ref="D36" si="49">+D26/D18</f>
        <v>0.25041736227045075</v>
      </c>
      <c r="E36" s="4">
        <f t="shared" ref="E36" si="50">+E26/E18</f>
        <v>0.32527624309392267</v>
      </c>
      <c r="F36" s="4">
        <f t="shared" ref="F36:I36" si="51">+F26/F18</f>
        <v>0.5385071090047393</v>
      </c>
      <c r="G36" s="4">
        <f t="shared" si="51"/>
        <v>0.36541049798115749</v>
      </c>
      <c r="H36" s="4">
        <f t="shared" si="51"/>
        <v>0.3539325842696629</v>
      </c>
      <c r="I36" s="4">
        <f t="shared" si="51"/>
        <v>0.32814445828144456</v>
      </c>
      <c r="J36" s="4">
        <f>+J26/J18</f>
        <v>-0.13987473903966596</v>
      </c>
      <c r="K36" s="4">
        <f t="shared" ref="K36:L36" si="52">+K26/K18</f>
        <v>0.32902391725921137</v>
      </c>
      <c r="L36" s="4">
        <f t="shared" si="52"/>
        <v>0.33863080684596575</v>
      </c>
      <c r="M36" s="4">
        <f t="shared" ref="M36:N36" si="53">+M26/M18</f>
        <v>0.32814445828144456</v>
      </c>
      <c r="N36" s="4">
        <f t="shared" si="53"/>
        <v>0.33863080684596575</v>
      </c>
      <c r="R36" s="4">
        <f t="shared" ref="R36:W36" si="54">+R26/R18</f>
        <v>0.22343409161732627</v>
      </c>
      <c r="S36" s="4">
        <f t="shared" si="54"/>
        <v>0.26463184392699812</v>
      </c>
      <c r="T36" s="4">
        <f t="shared" si="54"/>
        <v>0.46971759101735283</v>
      </c>
      <c r="U36" s="4">
        <f t="shared" si="54"/>
        <v>0.40365682137834036</v>
      </c>
      <c r="V36" s="4">
        <f t="shared" si="54"/>
        <v>0.34482758620689657</v>
      </c>
      <c r="W36" s="4">
        <f t="shared" si="54"/>
        <v>0.26592356687898089</v>
      </c>
      <c r="X36" s="4">
        <f t="shared" ref="X36:AG36" si="55">+X26/X18</f>
        <v>0.32487849331713242</v>
      </c>
      <c r="Y36" s="4">
        <f t="shared" si="55"/>
        <v>0.33311885040998163</v>
      </c>
      <c r="Z36" s="4">
        <f t="shared" si="55"/>
        <v>0.33311885040998157</v>
      </c>
      <c r="AA36" s="4">
        <f t="shared" si="55"/>
        <v>0.33311885040998157</v>
      </c>
      <c r="AB36" s="4">
        <f t="shared" si="55"/>
        <v>0.33311885040998157</v>
      </c>
      <c r="AC36" s="4">
        <f t="shared" si="55"/>
        <v>0.33311885040998174</v>
      </c>
      <c r="AD36" s="4">
        <f t="shared" si="55"/>
        <v>0.33311885040998146</v>
      </c>
      <c r="AE36" s="4">
        <f t="shared" si="55"/>
        <v>0.33311885040998168</v>
      </c>
      <c r="AF36" s="4">
        <f t="shared" si="55"/>
        <v>0.33311885040998163</v>
      </c>
      <c r="AG36" s="4">
        <f t="shared" si="55"/>
        <v>0.33311885040998163</v>
      </c>
      <c r="AH36" s="4">
        <f t="shared" ref="AH36" si="56">+AH26/AH18</f>
        <v>0.33311885040998157</v>
      </c>
    </row>
    <row r="37" spans="2:38">
      <c r="B37" s="1" t="s">
        <v>73</v>
      </c>
      <c r="C37" s="4"/>
      <c r="D37" s="4"/>
      <c r="E37" s="4"/>
      <c r="F37" s="4"/>
      <c r="G37" s="4">
        <f t="shared" ref="G37:N37" si="57">+G18/C18-1</f>
        <v>0.17656373713380846</v>
      </c>
      <c r="H37" s="4">
        <f t="shared" si="57"/>
        <v>0.337228714524207</v>
      </c>
      <c r="I37" s="4">
        <f t="shared" si="57"/>
        <v>0.1091160220994476</v>
      </c>
      <c r="J37" s="4">
        <f t="shared" si="57"/>
        <v>-0.43246445497630337</v>
      </c>
      <c r="K37" s="4">
        <f t="shared" si="57"/>
        <v>4.1049798115746938E-2</v>
      </c>
      <c r="L37" s="4">
        <f t="shared" si="57"/>
        <v>2.1223470661672961E-2</v>
      </c>
      <c r="M37" s="4">
        <f t="shared" si="57"/>
        <v>1.0000000000000009E-2</v>
      </c>
      <c r="N37" s="4">
        <f t="shared" si="57"/>
        <v>2.0000000000000018E-2</v>
      </c>
      <c r="S37" s="4">
        <f t="shared" ref="S37:AH37" si="58">+S18/R18-1</f>
        <v>-9.6603303209722435E-3</v>
      </c>
      <c r="T37" s="4">
        <f t="shared" si="58"/>
        <v>-7.5204531151667697E-2</v>
      </c>
      <c r="U37" s="4">
        <f t="shared" si="58"/>
        <v>-3.2323919700578463E-2</v>
      </c>
      <c r="V37" s="4">
        <f t="shared" si="58"/>
        <v>-1.5998593530239136E-2</v>
      </c>
      <c r="W37" s="4">
        <f t="shared" si="58"/>
        <v>9.8266928711809864E-3</v>
      </c>
      <c r="X37" s="4">
        <f t="shared" si="58"/>
        <v>0.1648973814578909</v>
      </c>
      <c r="Y37" s="4">
        <f t="shared" si="58"/>
        <v>-0.12177703523693817</v>
      </c>
      <c r="Z37" s="4">
        <f t="shared" si="58"/>
        <v>3.5722858095343701E-2</v>
      </c>
      <c r="AA37" s="4">
        <f t="shared" si="58"/>
        <v>3.569123660072937E-2</v>
      </c>
      <c r="AB37" s="4">
        <f t="shared" si="58"/>
        <v>3.5659962633256326E-2</v>
      </c>
      <c r="AC37" s="4">
        <f t="shared" si="58"/>
        <v>3.5629030495136105E-2</v>
      </c>
      <c r="AD37" s="4">
        <f t="shared" si="58"/>
        <v>3.5598434612457819E-2</v>
      </c>
      <c r="AE37" s="4">
        <f t="shared" si="58"/>
        <v>3.5568169531841498E-2</v>
      </c>
      <c r="AF37" s="4">
        <f t="shared" si="58"/>
        <v>3.5538229917195352E-2</v>
      </c>
      <c r="AG37" s="4">
        <f t="shared" si="58"/>
        <v>3.5508610546582497E-2</v>
      </c>
      <c r="AH37" s="4">
        <f t="shared" si="58"/>
        <v>3.5479306309182057E-2</v>
      </c>
    </row>
    <row r="38" spans="2:38">
      <c r="AK38" s="1" t="s">
        <v>58</v>
      </c>
      <c r="AL38" s="4">
        <v>0.01</v>
      </c>
    </row>
    <row r="39" spans="2:38">
      <c r="AK39" s="1" t="s">
        <v>33</v>
      </c>
      <c r="AL39" s="4">
        <v>0.01</v>
      </c>
    </row>
    <row r="40" spans="2:38" s="3" customFormat="1">
      <c r="B40" s="3" t="s">
        <v>57</v>
      </c>
      <c r="J40" s="3">
        <f>+J41-J54-J57</f>
        <v>-1328</v>
      </c>
      <c r="K40" s="3">
        <f>+K41-K54-K57</f>
        <v>-1381</v>
      </c>
      <c r="L40" s="3">
        <f>+L41-L54-L57</f>
        <v>-1295</v>
      </c>
      <c r="X40" s="3">
        <f>+L40</f>
        <v>-1295</v>
      </c>
      <c r="Y40" s="3">
        <f t="shared" ref="Y40:AH40" si="59">+X40+Y32</f>
        <v>507.29740133636869</v>
      </c>
      <c r="Z40" s="3">
        <f t="shared" si="59"/>
        <v>1511.2142802776316</v>
      </c>
      <c r="AA40" s="3">
        <f t="shared" si="59"/>
        <v>2544.0860840900523</v>
      </c>
      <c r="AB40" s="3">
        <f t="shared" si="59"/>
        <v>3606.9615796171829</v>
      </c>
      <c r="AC40" s="3">
        <f t="shared" si="59"/>
        <v>4700.9249006625614</v>
      </c>
      <c r="AD40" s="3">
        <f t="shared" si="59"/>
        <v>5827.0967365771103</v>
      </c>
      <c r="AE40" s="3">
        <f t="shared" si="59"/>
        <v>6986.6355602585563</v>
      </c>
      <c r="AF40" s="3">
        <f t="shared" si="59"/>
        <v>8180.7388968583691</v>
      </c>
      <c r="AG40" s="3">
        <f t="shared" si="59"/>
        <v>9410.6446345339864</v>
      </c>
      <c r="AH40" s="3">
        <f t="shared" si="59"/>
        <v>10677.632378627693</v>
      </c>
      <c r="AK40" s="3" t="s">
        <v>34</v>
      </c>
      <c r="AL40" s="13">
        <v>0.04</v>
      </c>
    </row>
    <row r="41" spans="2:38">
      <c r="B41" s="1" t="s">
        <v>38</v>
      </c>
      <c r="J41" s="1">
        <v>486</v>
      </c>
      <c r="K41" s="1">
        <v>365</v>
      </c>
      <c r="L41" s="1">
        <v>412</v>
      </c>
      <c r="AK41" s="1" t="s">
        <v>35</v>
      </c>
      <c r="AL41" s="1">
        <f>NPV(AL40,X32:CY32)</f>
        <v>34921.378944362572</v>
      </c>
    </row>
    <row r="42" spans="2:38">
      <c r="B42" s="1" t="s">
        <v>39</v>
      </c>
      <c r="J42" s="1">
        <v>596</v>
      </c>
      <c r="K42" s="1">
        <v>565</v>
      </c>
      <c r="L42" s="1">
        <v>598</v>
      </c>
      <c r="AK42" s="1" t="s">
        <v>1</v>
      </c>
      <c r="AL42" s="1">
        <f>Main!H4</f>
        <v>281.68786599999999</v>
      </c>
    </row>
    <row r="43" spans="2:38">
      <c r="B43" s="1" t="s">
        <v>40</v>
      </c>
      <c r="J43" s="1">
        <v>450</v>
      </c>
      <c r="K43" s="1">
        <v>426</v>
      </c>
      <c r="L43" s="1">
        <v>419</v>
      </c>
      <c r="AK43" s="1" t="s">
        <v>36</v>
      </c>
      <c r="AL43" s="1">
        <f>+AL41/AL42</f>
        <v>123.97189641233099</v>
      </c>
    </row>
    <row r="44" spans="2:38" s="3" customFormat="1">
      <c r="B44" s="3" t="s">
        <v>41</v>
      </c>
      <c r="J44" s="3">
        <f>+SUM(J41:J43)</f>
        <v>1532</v>
      </c>
      <c r="K44" s="3">
        <f>+SUM(K41:K43)</f>
        <v>1356</v>
      </c>
      <c r="L44" s="3">
        <f>+SUM(L41:L43)</f>
        <v>1429</v>
      </c>
      <c r="AK44" s="3" t="s">
        <v>74</v>
      </c>
      <c r="AL44" s="3">
        <f>+Main!H3</f>
        <v>126.53</v>
      </c>
    </row>
    <row r="45" spans="2:38">
      <c r="B45" s="1" t="s">
        <v>42</v>
      </c>
      <c r="J45" s="1">
        <v>1207</v>
      </c>
      <c r="K45" s="1">
        <v>1181</v>
      </c>
      <c r="L45" s="1">
        <v>1192</v>
      </c>
      <c r="AK45" s="1" t="s">
        <v>75</v>
      </c>
      <c r="AL45" s="12">
        <f>+AL43/AL44-1</f>
        <v>-2.0217368115616918E-2</v>
      </c>
    </row>
    <row r="46" spans="2:38">
      <c r="B46" s="1" t="s">
        <v>43</v>
      </c>
      <c r="J46" s="1">
        <v>657</v>
      </c>
      <c r="K46" s="1">
        <v>656</v>
      </c>
      <c r="L46" s="1">
        <v>649</v>
      </c>
    </row>
    <row r="47" spans="2:38">
      <c r="B47" s="1" t="s">
        <v>44</v>
      </c>
      <c r="J47" s="1">
        <v>359</v>
      </c>
      <c r="K47" s="1">
        <v>354</v>
      </c>
      <c r="L47" s="1">
        <v>361</v>
      </c>
    </row>
    <row r="48" spans="2:38">
      <c r="B48" s="1" t="s">
        <v>45</v>
      </c>
      <c r="J48" s="1">
        <v>1487</v>
      </c>
      <c r="K48" s="1">
        <v>1485</v>
      </c>
      <c r="L48" s="1">
        <v>1457</v>
      </c>
    </row>
    <row r="49" spans="2:23">
      <c r="B49" s="1" t="s">
        <v>46</v>
      </c>
      <c r="J49" s="1">
        <v>724</v>
      </c>
      <c r="K49" s="1">
        <v>784</v>
      </c>
      <c r="L49" s="1">
        <v>702</v>
      </c>
    </row>
    <row r="50" spans="2:23" s="3" customFormat="1">
      <c r="B50" s="3" t="s">
        <v>47</v>
      </c>
      <c r="J50" s="3">
        <f>+SUM(J44:J49)</f>
        <v>5966</v>
      </c>
      <c r="K50" s="3">
        <f>+SUM(K44:K49)</f>
        <v>5816</v>
      </c>
      <c r="L50" s="3">
        <f>+SUM(L44:L49)</f>
        <v>5790</v>
      </c>
    </row>
    <row r="52" spans="2:23">
      <c r="B52" s="1" t="s">
        <v>48</v>
      </c>
      <c r="J52" s="1">
        <v>1334</v>
      </c>
      <c r="K52" s="1">
        <v>1202</v>
      </c>
      <c r="L52" s="1">
        <v>1090</v>
      </c>
    </row>
    <row r="53" spans="2:23">
      <c r="B53" s="1" t="s">
        <v>49</v>
      </c>
      <c r="J53" s="1">
        <v>13</v>
      </c>
      <c r="K53" s="1">
        <v>27</v>
      </c>
      <c r="L53" s="1">
        <v>21</v>
      </c>
    </row>
    <row r="54" spans="2:23">
      <c r="B54" s="1" t="s">
        <v>50</v>
      </c>
      <c r="J54" s="1">
        <v>68</v>
      </c>
      <c r="K54" s="1">
        <v>73</v>
      </c>
      <c r="L54" s="1">
        <v>72</v>
      </c>
    </row>
    <row r="55" spans="2:23" s="3" customFormat="1">
      <c r="B55" s="3" t="s">
        <v>51</v>
      </c>
      <c r="J55" s="3">
        <f>+SUM(J52:J54)</f>
        <v>1415</v>
      </c>
      <c r="K55" s="3">
        <f>+SUM(K52:K54)</f>
        <v>1302</v>
      </c>
      <c r="L55" s="3">
        <f>+SUM(L52:L54)</f>
        <v>1183</v>
      </c>
    </row>
    <row r="56" spans="2:23">
      <c r="B56" s="1" t="s">
        <v>52</v>
      </c>
      <c r="J56" s="1">
        <v>11178</v>
      </c>
      <c r="K56" s="1">
        <v>11332</v>
      </c>
      <c r="L56" s="1">
        <v>11540</v>
      </c>
    </row>
    <row r="57" spans="2:23">
      <c r="B57" s="1" t="s">
        <v>53</v>
      </c>
      <c r="J57" s="1">
        <v>1746</v>
      </c>
      <c r="K57" s="1">
        <v>1673</v>
      </c>
      <c r="L57" s="1">
        <v>1635</v>
      </c>
    </row>
    <row r="58" spans="2:23" s="3" customFormat="1">
      <c r="B58" s="3" t="s">
        <v>54</v>
      </c>
      <c r="J58" s="3">
        <f>+SUM(J55:J57)</f>
        <v>14339</v>
      </c>
      <c r="K58" s="3">
        <f>+SUM(K55:K57)</f>
        <v>14307</v>
      </c>
      <c r="L58" s="3">
        <f>+SUM(L55:L57)</f>
        <v>14358</v>
      </c>
    </row>
    <row r="59" spans="2:23">
      <c r="B59" s="1" t="s">
        <v>55</v>
      </c>
      <c r="J59" s="1">
        <v>-8373</v>
      </c>
      <c r="K59" s="1">
        <v>-8491</v>
      </c>
      <c r="L59" s="1">
        <v>-8568</v>
      </c>
    </row>
    <row r="60" spans="2:23" s="3" customFormat="1">
      <c r="B60" s="3" t="s">
        <v>56</v>
      </c>
      <c r="J60" s="3">
        <f>+J58+J59</f>
        <v>5966</v>
      </c>
      <c r="K60" s="3">
        <f>+K58+K59</f>
        <v>5816</v>
      </c>
      <c r="L60" s="3">
        <f>+L58+L59</f>
        <v>5790</v>
      </c>
    </row>
    <row r="63" spans="2:23">
      <c r="B63" s="1" t="s">
        <v>59</v>
      </c>
      <c r="U63" s="1">
        <v>1176</v>
      </c>
      <c r="V63" s="1">
        <v>1315</v>
      </c>
      <c r="W63" s="1">
        <v>1305</v>
      </c>
    </row>
    <row r="64" spans="2:23">
      <c r="B64" s="1" t="s">
        <v>60</v>
      </c>
      <c r="U64" s="1">
        <v>-234</v>
      </c>
      <c r="V64" s="1">
        <v>-196</v>
      </c>
      <c r="W64" s="1">
        <v>-160</v>
      </c>
    </row>
    <row r="65" spans="2:103" s="3" customFormat="1">
      <c r="B65" s="3" t="s">
        <v>61</v>
      </c>
      <c r="U65" s="3">
        <f>+U63+U64</f>
        <v>942</v>
      </c>
      <c r="V65" s="3">
        <f>+V63+V64</f>
        <v>1119</v>
      </c>
      <c r="W65" s="3">
        <f>+W63+W64</f>
        <v>1145</v>
      </c>
      <c r="X65" s="3">
        <f>+W65*(1+$X$67)</f>
        <v>1156.45</v>
      </c>
      <c r="Y65" s="3">
        <f>+X65*(1+$X$67)</f>
        <v>1168.0145</v>
      </c>
      <c r="Z65" s="3">
        <f t="shared" ref="Z65:AH65" si="60">+Y65*(1+$X$67)</f>
        <v>1179.694645</v>
      </c>
      <c r="AA65" s="3">
        <f t="shared" si="60"/>
        <v>1191.49159145</v>
      </c>
      <c r="AB65" s="3">
        <f t="shared" si="60"/>
        <v>1203.4065073644999</v>
      </c>
      <c r="AC65" s="3">
        <f t="shared" si="60"/>
        <v>1215.440572438145</v>
      </c>
      <c r="AD65" s="3">
        <f t="shared" si="60"/>
        <v>1227.5949781625263</v>
      </c>
      <c r="AE65" s="3">
        <f t="shared" si="60"/>
        <v>1239.8709279441516</v>
      </c>
      <c r="AF65" s="3">
        <f t="shared" si="60"/>
        <v>1252.2696372235932</v>
      </c>
      <c r="AG65" s="3">
        <f t="shared" si="60"/>
        <v>1264.7923335958292</v>
      </c>
      <c r="AH65" s="3">
        <f t="shared" si="60"/>
        <v>1277.4402569317874</v>
      </c>
      <c r="AI65" s="3">
        <f t="shared" ref="AI65:BN65" si="61">+AH65*(1+$AL$69)</f>
        <v>1290.2146595011052</v>
      </c>
      <c r="AJ65" s="3">
        <f t="shared" si="61"/>
        <v>1303.1168060961163</v>
      </c>
      <c r="AK65" s="3">
        <f t="shared" si="61"/>
        <v>1316.1479741570774</v>
      </c>
      <c r="AL65" s="3">
        <f t="shared" si="61"/>
        <v>1329.3094538986481</v>
      </c>
      <c r="AM65" s="3">
        <f t="shared" si="61"/>
        <v>1342.6025484376346</v>
      </c>
      <c r="AN65" s="3">
        <f t="shared" si="61"/>
        <v>1356.028573922011</v>
      </c>
      <c r="AO65" s="3">
        <f t="shared" si="61"/>
        <v>1369.588859661231</v>
      </c>
      <c r="AP65" s="3">
        <f t="shared" si="61"/>
        <v>1383.2847482578434</v>
      </c>
      <c r="AQ65" s="3">
        <f t="shared" si="61"/>
        <v>1397.1175957404218</v>
      </c>
      <c r="AR65" s="3">
        <f t="shared" si="61"/>
        <v>1411.0887716978261</v>
      </c>
      <c r="AS65" s="3">
        <f t="shared" si="61"/>
        <v>1425.1996594148045</v>
      </c>
      <c r="AT65" s="3">
        <f t="shared" si="61"/>
        <v>1439.4516560089526</v>
      </c>
      <c r="AU65" s="3">
        <f t="shared" si="61"/>
        <v>1453.8461725690422</v>
      </c>
      <c r="AV65" s="3">
        <f t="shared" si="61"/>
        <v>1468.3846342947327</v>
      </c>
      <c r="AW65" s="3">
        <f t="shared" si="61"/>
        <v>1483.0684806376801</v>
      </c>
      <c r="AX65" s="3">
        <f t="shared" si="61"/>
        <v>1497.899165444057</v>
      </c>
      <c r="AY65" s="3">
        <f t="shared" si="61"/>
        <v>1512.8781570984975</v>
      </c>
      <c r="AZ65" s="3">
        <f t="shared" si="61"/>
        <v>1528.0069386694825</v>
      </c>
      <c r="BA65" s="3">
        <f t="shared" si="61"/>
        <v>1543.2870080561772</v>
      </c>
      <c r="BB65" s="3">
        <f t="shared" si="61"/>
        <v>1558.719878136739</v>
      </c>
      <c r="BC65" s="3">
        <f t="shared" si="61"/>
        <v>1574.3070769181063</v>
      </c>
      <c r="BD65" s="3">
        <f t="shared" si="61"/>
        <v>1590.0501476872873</v>
      </c>
      <c r="BE65" s="3">
        <f t="shared" si="61"/>
        <v>1605.9506491641603</v>
      </c>
      <c r="BF65" s="3">
        <f t="shared" si="61"/>
        <v>1622.0101556558018</v>
      </c>
      <c r="BG65" s="3">
        <f t="shared" si="61"/>
        <v>1638.2302572123599</v>
      </c>
      <c r="BH65" s="3">
        <f t="shared" si="61"/>
        <v>1654.6125597844834</v>
      </c>
      <c r="BI65" s="3">
        <f t="shared" si="61"/>
        <v>1671.1586853823283</v>
      </c>
      <c r="BJ65" s="3">
        <f t="shared" si="61"/>
        <v>1687.8702722361515</v>
      </c>
      <c r="BK65" s="3">
        <f t="shared" si="61"/>
        <v>1704.7489749585131</v>
      </c>
      <c r="BL65" s="3">
        <f t="shared" si="61"/>
        <v>1721.7964647080983</v>
      </c>
      <c r="BM65" s="3">
        <f t="shared" si="61"/>
        <v>1739.0144293551793</v>
      </c>
      <c r="BN65" s="3">
        <f t="shared" si="61"/>
        <v>1756.4045736487312</v>
      </c>
      <c r="BO65" s="3">
        <f t="shared" ref="BO65:CY65" si="62">+BN65*(1+$AL$69)</f>
        <v>1773.9686193852185</v>
      </c>
      <c r="BP65" s="3">
        <f t="shared" si="62"/>
        <v>1791.7083055790706</v>
      </c>
      <c r="BQ65" s="3">
        <f t="shared" si="62"/>
        <v>1809.6253886348613</v>
      </c>
      <c r="BR65" s="3">
        <f t="shared" si="62"/>
        <v>1827.72164252121</v>
      </c>
      <c r="BS65" s="3">
        <f t="shared" si="62"/>
        <v>1845.9988589464222</v>
      </c>
      <c r="BT65" s="3">
        <f t="shared" si="62"/>
        <v>1864.4588475358864</v>
      </c>
      <c r="BU65" s="3">
        <f t="shared" si="62"/>
        <v>1883.1034360112453</v>
      </c>
      <c r="BV65" s="3">
        <f t="shared" si="62"/>
        <v>1901.9344703713577</v>
      </c>
      <c r="BW65" s="3">
        <f t="shared" si="62"/>
        <v>1920.9538150750714</v>
      </c>
      <c r="BX65" s="3">
        <f t="shared" si="62"/>
        <v>1940.163353225822</v>
      </c>
      <c r="BY65" s="3">
        <f t="shared" si="62"/>
        <v>1959.5649867580803</v>
      </c>
      <c r="BZ65" s="3">
        <f t="shared" si="62"/>
        <v>1979.160636625661</v>
      </c>
      <c r="CA65" s="3">
        <f t="shared" si="62"/>
        <v>1998.9522429919177</v>
      </c>
      <c r="CB65" s="3">
        <f t="shared" si="62"/>
        <v>2018.9417654218369</v>
      </c>
      <c r="CC65" s="3">
        <f t="shared" si="62"/>
        <v>2039.1311830760553</v>
      </c>
      <c r="CD65" s="3">
        <f t="shared" si="62"/>
        <v>2059.5224949068161</v>
      </c>
      <c r="CE65" s="3">
        <f t="shared" si="62"/>
        <v>2080.1177198558844</v>
      </c>
      <c r="CF65" s="3">
        <f t="shared" si="62"/>
        <v>2100.9188970544433</v>
      </c>
      <c r="CG65" s="3">
        <f t="shared" si="62"/>
        <v>2121.9280860249878</v>
      </c>
      <c r="CH65" s="3">
        <f t="shared" si="62"/>
        <v>2143.1473668852377</v>
      </c>
      <c r="CI65" s="3">
        <f t="shared" si="62"/>
        <v>2164.5788405540902</v>
      </c>
      <c r="CJ65" s="3">
        <f t="shared" si="62"/>
        <v>2186.224628959631</v>
      </c>
      <c r="CK65" s="3">
        <f t="shared" si="62"/>
        <v>2208.0868752492274</v>
      </c>
      <c r="CL65" s="3">
        <f t="shared" si="62"/>
        <v>2230.1677440017197</v>
      </c>
      <c r="CM65" s="3">
        <f t="shared" si="62"/>
        <v>2252.4694214417368</v>
      </c>
      <c r="CN65" s="3">
        <f t="shared" si="62"/>
        <v>2274.994115656154</v>
      </c>
      <c r="CO65" s="3">
        <f t="shared" si="62"/>
        <v>2297.7440568127154</v>
      </c>
      <c r="CP65" s="3">
        <f t="shared" si="62"/>
        <v>2320.7214973808427</v>
      </c>
      <c r="CQ65" s="3">
        <f t="shared" si="62"/>
        <v>2343.928712354651</v>
      </c>
      <c r="CR65" s="3">
        <f t="shared" si="62"/>
        <v>2367.3679994781974</v>
      </c>
      <c r="CS65" s="3">
        <f t="shared" si="62"/>
        <v>2391.0416794729795</v>
      </c>
      <c r="CT65" s="3">
        <f t="shared" si="62"/>
        <v>2414.9520962677093</v>
      </c>
      <c r="CU65" s="3">
        <f t="shared" si="62"/>
        <v>2439.1016172303862</v>
      </c>
      <c r="CV65" s="3">
        <f t="shared" si="62"/>
        <v>2463.49263340269</v>
      </c>
      <c r="CW65" s="3">
        <f t="shared" si="62"/>
        <v>2488.1275597367171</v>
      </c>
      <c r="CX65" s="3">
        <f t="shared" si="62"/>
        <v>2513.0088353340843</v>
      </c>
      <c r="CY65" s="3">
        <f t="shared" si="62"/>
        <v>2538.1389236874252</v>
      </c>
    </row>
    <row r="66" spans="2:103">
      <c r="B66" s="1" t="s">
        <v>27</v>
      </c>
      <c r="U66" s="1">
        <f>+U32</f>
        <v>1542</v>
      </c>
      <c r="V66" s="1">
        <f t="shared" ref="V66:W66" si="63">+V32</f>
        <v>1294</v>
      </c>
      <c r="W66" s="1">
        <f t="shared" si="63"/>
        <v>904</v>
      </c>
    </row>
    <row r="67" spans="2:103">
      <c r="X67" s="4">
        <v>0.01</v>
      </c>
    </row>
    <row r="69" spans="2:103">
      <c r="AK69" s="1" t="s">
        <v>33</v>
      </c>
      <c r="AL69" s="4">
        <v>0.01</v>
      </c>
    </row>
    <row r="70" spans="2:103">
      <c r="AK70" s="1" t="s">
        <v>34</v>
      </c>
      <c r="AL70" s="4">
        <v>0.06</v>
      </c>
    </row>
    <row r="71" spans="2:103">
      <c r="AK71" s="1" t="s">
        <v>35</v>
      </c>
      <c r="AL71" s="1">
        <f>NPV(AL70,X65:CY65)</f>
        <v>22644.384235536694</v>
      </c>
    </row>
    <row r="73" spans="2:103">
      <c r="AK73" s="1" t="s">
        <v>1</v>
      </c>
      <c r="AL73" s="1">
        <f>AL42</f>
        <v>281.68786599999999</v>
      </c>
    </row>
    <row r="74" spans="2:103">
      <c r="AK74" s="1" t="s">
        <v>36</v>
      </c>
      <c r="AL74" s="1">
        <f>+AL71/AL73</f>
        <v>80.388213227248826</v>
      </c>
    </row>
  </sheetData>
  <pageMargins left="0.7" right="0.7" top="0.75" bottom="0.75" header="0.3" footer="0.3"/>
  <ignoredErrors>
    <ignoredError sqref="R18" formulaRange="1"/>
    <ignoredError sqref="F18:F30 J25:J26 J30 J32 AA27:AG27 J18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Brannon, Jameel A.</dc:creator>
  <cp:lastModifiedBy>Brannon, Jameel A.</cp:lastModifiedBy>
  <dcterms:created xsi:type="dcterms:W3CDTF">2021-03-21T05:00:49Z</dcterms:created>
  <dcterms:modified xsi:type="dcterms:W3CDTF">2022-11-26T17:26:54Z</dcterms:modified>
</cp:coreProperties>
</file>