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883A4D88-FB8A-2944-B1A9-F29EC13640E9}" xr6:coauthVersionLast="47" xr6:coauthVersionMax="47" xr10:uidLastSave="{00000000-0000-0000-0000-000000000000}"/>
  <bookViews>
    <workbookView xWindow="4160" yWindow="1320" windowWidth="43640" windowHeight="24700" xr2:uid="{68853114-4A9D-F642-8668-56CE329F4C0C}"/>
  </bookViews>
  <sheets>
    <sheet name="O" sheetId="1" r:id="rId1"/>
    <sheet name="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105" i="2" l="1"/>
  <c r="AR104" i="2"/>
  <c r="AR102" i="2"/>
  <c r="AR100" i="2"/>
  <c r="AS105" i="2"/>
  <c r="AS104" i="2"/>
  <c r="AS102" i="2"/>
  <c r="AS100" i="2"/>
  <c r="R36" i="2"/>
  <c r="AS35" i="2"/>
  <c r="AS34" i="2"/>
  <c r="AS33" i="2"/>
  <c r="AR35" i="2"/>
  <c r="AR34" i="2"/>
  <c r="AR33" i="2"/>
  <c r="AS36" i="2"/>
  <c r="AR36" i="2"/>
  <c r="AV5" i="2"/>
  <c r="AU5" i="2"/>
  <c r="AS5" i="2"/>
  <c r="BC28" i="2"/>
  <c r="BC2" i="2"/>
  <c r="BB28" i="2"/>
  <c r="BB2" i="2"/>
  <c r="AR8" i="2"/>
  <c r="AR9" i="2" s="1"/>
  <c r="AR6" i="2"/>
  <c r="U72" i="2"/>
  <c r="T72" i="2"/>
  <c r="S72" i="2"/>
  <c r="R72" i="2"/>
  <c r="U55" i="2"/>
  <c r="T55" i="2"/>
  <c r="S55" i="2"/>
  <c r="R55" i="2"/>
  <c r="V45" i="2"/>
  <c r="U45" i="2"/>
  <c r="T45" i="2"/>
  <c r="S45" i="2"/>
  <c r="R45" i="2"/>
  <c r="Q45" i="2"/>
  <c r="P45" i="2"/>
  <c r="O45" i="2"/>
  <c r="N45" i="2"/>
  <c r="M45" i="2"/>
  <c r="Q72" i="2"/>
  <c r="P72" i="2"/>
  <c r="O72" i="2"/>
  <c r="N72" i="2"/>
  <c r="M72" i="2"/>
  <c r="L72" i="2"/>
  <c r="K72" i="2"/>
  <c r="J72" i="2"/>
  <c r="Q55" i="2"/>
  <c r="P55" i="2"/>
  <c r="O55" i="2"/>
  <c r="N55" i="2"/>
  <c r="M55" i="2"/>
  <c r="L55" i="2"/>
  <c r="K55" i="2"/>
  <c r="J55" i="2"/>
  <c r="J45" i="2"/>
  <c r="K45" i="2"/>
  <c r="L45" i="2"/>
  <c r="V35" i="2"/>
  <c r="U35" i="2"/>
  <c r="T35" i="2"/>
  <c r="S35" i="2"/>
  <c r="V34" i="2"/>
  <c r="U34" i="2"/>
  <c r="T34" i="2"/>
  <c r="S34" i="2"/>
  <c r="V33" i="2"/>
  <c r="U33" i="2"/>
  <c r="T33" i="2"/>
  <c r="S33" i="2"/>
  <c r="N4" i="2"/>
  <c r="N3" i="2"/>
  <c r="R4" i="2"/>
  <c r="R3" i="2"/>
  <c r="J3" i="2"/>
  <c r="O5" i="2"/>
  <c r="V5" i="2"/>
  <c r="U5" i="2"/>
  <c r="T5" i="2"/>
  <c r="S5" i="2"/>
  <c r="AS28" i="2"/>
  <c r="AS26" i="2"/>
  <c r="AS24" i="2"/>
  <c r="AS23" i="2"/>
  <c r="AS20" i="2"/>
  <c r="AS19" i="2"/>
  <c r="AS18" i="2"/>
  <c r="AS17" i="2"/>
  <c r="AS16" i="2"/>
  <c r="AS15" i="2"/>
  <c r="AS13" i="2"/>
  <c r="AS12" i="2"/>
  <c r="AS11" i="2"/>
  <c r="AR26" i="2"/>
  <c r="AR24" i="2"/>
  <c r="AR23" i="2"/>
  <c r="AR20" i="2"/>
  <c r="AR19" i="2"/>
  <c r="AR18" i="2"/>
  <c r="AR17" i="2"/>
  <c r="AR16" i="2"/>
  <c r="AR15" i="2"/>
  <c r="AR13" i="2"/>
  <c r="AR12" i="2"/>
  <c r="AR11" i="2"/>
  <c r="R35" i="2"/>
  <c r="Q35" i="2"/>
  <c r="R34" i="2"/>
  <c r="Q34" i="2"/>
  <c r="R33" i="2"/>
  <c r="Q33" i="2"/>
  <c r="R21" i="2"/>
  <c r="R14" i="2"/>
  <c r="V21" i="2"/>
  <c r="V14" i="2"/>
  <c r="S21" i="2"/>
  <c r="S14" i="2"/>
  <c r="T21" i="2"/>
  <c r="T14" i="2"/>
  <c r="U21" i="2"/>
  <c r="U14" i="2"/>
  <c r="N99" i="2"/>
  <c r="N97" i="2"/>
  <c r="N96" i="2"/>
  <c r="N95" i="2"/>
  <c r="N94" i="2"/>
  <c r="N93" i="2"/>
  <c r="N92" i="2"/>
  <c r="N91" i="2"/>
  <c r="N89" i="2"/>
  <c r="N88" i="2"/>
  <c r="N87" i="2"/>
  <c r="N86" i="2"/>
  <c r="N81" i="2"/>
  <c r="N82" i="2"/>
  <c r="N77" i="2"/>
  <c r="AQ101" i="2"/>
  <c r="AQ98" i="2"/>
  <c r="AQ85" i="2"/>
  <c r="AQ90" i="2" s="1"/>
  <c r="AQ83" i="2"/>
  <c r="AQ84" i="2" s="1"/>
  <c r="N84" i="2" s="1"/>
  <c r="AQ100" i="2"/>
  <c r="AQ104" i="2"/>
  <c r="K100" i="2"/>
  <c r="K102" i="2" s="1"/>
  <c r="L100" i="2"/>
  <c r="L102" i="2" s="1"/>
  <c r="P100" i="2"/>
  <c r="P102" i="2" s="1"/>
  <c r="M100" i="2"/>
  <c r="M102" i="2" s="1"/>
  <c r="N101" i="2" s="1"/>
  <c r="R5" i="2"/>
  <c r="R7" i="2" s="1"/>
  <c r="P7" i="2"/>
  <c r="Q7" i="2"/>
  <c r="Q22" i="2"/>
  <c r="P22" i="2"/>
  <c r="O98" i="2"/>
  <c r="O90" i="2"/>
  <c r="O84" i="2"/>
  <c r="O104" i="2" s="1"/>
  <c r="K42" i="2"/>
  <c r="J42" i="2"/>
  <c r="M42" i="2"/>
  <c r="N42" i="2"/>
  <c r="L42" i="2"/>
  <c r="N21" i="2"/>
  <c r="N14" i="2"/>
  <c r="M33" i="2"/>
  <c r="N33" i="2"/>
  <c r="O33" i="2"/>
  <c r="M34" i="2"/>
  <c r="N34" i="2"/>
  <c r="O34" i="2"/>
  <c r="M35" i="2"/>
  <c r="N35" i="2"/>
  <c r="O35" i="2"/>
  <c r="O21" i="2"/>
  <c r="AR21" i="2" s="1"/>
  <c r="O14" i="2"/>
  <c r="M5" i="2"/>
  <c r="M14" i="2"/>
  <c r="Q36" i="2" s="1"/>
  <c r="BI38" i="2"/>
  <c r="BI36" i="2"/>
  <c r="AM21" i="2"/>
  <c r="AN21" i="2"/>
  <c r="AO26" i="2"/>
  <c r="AO24" i="2"/>
  <c r="AO23" i="2"/>
  <c r="AO20" i="2"/>
  <c r="AO19" i="2"/>
  <c r="AO17" i="2"/>
  <c r="AO16" i="2"/>
  <c r="AO15" i="2"/>
  <c r="AP26" i="2"/>
  <c r="AP24" i="2"/>
  <c r="AP23" i="2"/>
  <c r="AP20" i="2"/>
  <c r="AP19" i="2"/>
  <c r="AP17" i="2"/>
  <c r="AP16" i="2"/>
  <c r="AP15" i="2"/>
  <c r="F4" i="2"/>
  <c r="AO4" i="2" s="1"/>
  <c r="F3" i="2"/>
  <c r="J4" i="2"/>
  <c r="AP4" i="2" s="1"/>
  <c r="K5" i="2"/>
  <c r="I5" i="2"/>
  <c r="H5" i="2"/>
  <c r="G5" i="2"/>
  <c r="E5" i="2"/>
  <c r="D5" i="2"/>
  <c r="C5" i="2"/>
  <c r="L5" i="2"/>
  <c r="U9" i="2" l="1"/>
  <c r="V38" i="2"/>
  <c r="T9" i="2"/>
  <c r="N104" i="2"/>
  <c r="R8" i="2"/>
  <c r="Q25" i="2"/>
  <c r="Q27" i="2" s="1"/>
  <c r="Q105" i="2" s="1"/>
  <c r="Q38" i="2"/>
  <c r="S8" i="2"/>
  <c r="AR14" i="2"/>
  <c r="S36" i="2"/>
  <c r="AR5" i="2"/>
  <c r="S25" i="2"/>
  <c r="AS22" i="2"/>
  <c r="R25" i="2"/>
  <c r="R27" i="2" s="1"/>
  <c r="R29" i="2" s="1"/>
  <c r="U25" i="2"/>
  <c r="U27" i="2" s="1"/>
  <c r="U29" i="2" s="1"/>
  <c r="T25" i="2"/>
  <c r="T27" i="2" s="1"/>
  <c r="T29" i="2" s="1"/>
  <c r="N100" i="2"/>
  <c r="N102" i="2" s="1"/>
  <c r="AQ102" i="2"/>
  <c r="O7" i="2"/>
  <c r="S9" i="2" s="1"/>
  <c r="O42" i="2"/>
  <c r="AP45" i="2"/>
  <c r="AQ45" i="2"/>
  <c r="P25" i="2"/>
  <c r="P27" i="2" s="1"/>
  <c r="P38" i="2"/>
  <c r="F5" i="2"/>
  <c r="AO5" i="2" s="1"/>
  <c r="Q8" i="2"/>
  <c r="P8" i="2"/>
  <c r="O100" i="2"/>
  <c r="O102" i="2" s="1"/>
  <c r="O22" i="2"/>
  <c r="O38" i="2" s="1"/>
  <c r="N22" i="2"/>
  <c r="N38" i="2" s="1"/>
  <c r="AO3" i="2"/>
  <c r="J5" i="2"/>
  <c r="AP5" i="2" s="1"/>
  <c r="AN36" i="2"/>
  <c r="M7" i="2"/>
  <c r="AP3" i="2"/>
  <c r="AN22" i="2"/>
  <c r="AN5" i="2"/>
  <c r="AM5" i="2"/>
  <c r="AM22" i="2"/>
  <c r="AM38" i="2" s="1"/>
  <c r="L35" i="2"/>
  <c r="K35" i="2"/>
  <c r="J35" i="2"/>
  <c r="I35" i="2"/>
  <c r="H35" i="2"/>
  <c r="G35" i="2"/>
  <c r="L34" i="2"/>
  <c r="K34" i="2"/>
  <c r="J34" i="2"/>
  <c r="I34" i="2"/>
  <c r="H34" i="2"/>
  <c r="G34" i="2"/>
  <c r="K33" i="2"/>
  <c r="J33" i="2"/>
  <c r="I33" i="2"/>
  <c r="H33" i="2"/>
  <c r="G33" i="2"/>
  <c r="L33" i="2"/>
  <c r="AM2" i="2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C21" i="2"/>
  <c r="C14" i="2"/>
  <c r="C7" i="2" s="1"/>
  <c r="C8" i="2" s="1"/>
  <c r="D21" i="2"/>
  <c r="D14" i="2"/>
  <c r="D7" i="2" s="1"/>
  <c r="D8" i="2" s="1"/>
  <c r="F21" i="2"/>
  <c r="F14" i="2"/>
  <c r="J21" i="2"/>
  <c r="J14" i="2"/>
  <c r="N36" i="2" s="1"/>
  <c r="E21" i="2"/>
  <c r="E14" i="2"/>
  <c r="E7" i="2" s="1"/>
  <c r="E8" i="2" s="1"/>
  <c r="I21" i="2"/>
  <c r="I14" i="2"/>
  <c r="G21" i="2"/>
  <c r="G14" i="2"/>
  <c r="K21" i="2"/>
  <c r="K14" i="2"/>
  <c r="H21" i="2"/>
  <c r="H14" i="2"/>
  <c r="H7" i="2" s="1"/>
  <c r="L21" i="2"/>
  <c r="L14" i="2"/>
  <c r="K16" i="1"/>
  <c r="K17" i="1" s="1"/>
  <c r="J15" i="1"/>
  <c r="AR22" i="2" l="1"/>
  <c r="Q77" i="2"/>
  <c r="Q84" i="2" s="1"/>
  <c r="Q104" i="2" s="1"/>
  <c r="Q29" i="2"/>
  <c r="O8" i="2"/>
  <c r="S27" i="2"/>
  <c r="AS25" i="2"/>
  <c r="AP14" i="2"/>
  <c r="P29" i="2"/>
  <c r="P105" i="2"/>
  <c r="J18" i="1"/>
  <c r="Q41" i="2"/>
  <c r="Q9" i="2"/>
  <c r="AP6" i="2"/>
  <c r="F7" i="2"/>
  <c r="F8" i="2" s="1"/>
  <c r="AN25" i="2"/>
  <c r="AN27" i="2" s="1"/>
  <c r="AN105" i="2" s="1"/>
  <c r="AN38" i="2"/>
  <c r="O25" i="2"/>
  <c r="N25" i="2"/>
  <c r="N27" i="2" s="1"/>
  <c r="P36" i="2"/>
  <c r="AQ14" i="2"/>
  <c r="J7" i="2"/>
  <c r="I7" i="2"/>
  <c r="M9" i="2" s="1"/>
  <c r="M36" i="2"/>
  <c r="M8" i="2"/>
  <c r="O36" i="2"/>
  <c r="G7" i="2"/>
  <c r="G8" i="2" s="1"/>
  <c r="J36" i="2"/>
  <c r="K36" i="2"/>
  <c r="K7" i="2"/>
  <c r="O9" i="2" s="1"/>
  <c r="AN6" i="2"/>
  <c r="AN8" i="2"/>
  <c r="H8" i="2"/>
  <c r="H9" i="2"/>
  <c r="AO6" i="2"/>
  <c r="AO14" i="2"/>
  <c r="AM25" i="2"/>
  <c r="AP21" i="2"/>
  <c r="AO21" i="2"/>
  <c r="L22" i="2"/>
  <c r="L38" i="2" s="1"/>
  <c r="L7" i="2"/>
  <c r="P9" i="2" s="1"/>
  <c r="G36" i="2"/>
  <c r="H36" i="2"/>
  <c r="I36" i="2"/>
  <c r="L36" i="2"/>
  <c r="C22" i="2"/>
  <c r="C38" i="2" s="1"/>
  <c r="D22" i="2"/>
  <c r="F22" i="2"/>
  <c r="J22" i="2"/>
  <c r="J38" i="2" s="1"/>
  <c r="E22" i="2"/>
  <c r="I22" i="2"/>
  <c r="I38" i="2" s="1"/>
  <c r="G22" i="2"/>
  <c r="G38" i="2" s="1"/>
  <c r="K22" i="2"/>
  <c r="K38" i="2" s="1"/>
  <c r="H22" i="2"/>
  <c r="Q100" i="2" l="1"/>
  <c r="Q102" i="2" s="1"/>
  <c r="O27" i="2"/>
  <c r="AR27" i="2" s="1"/>
  <c r="AR25" i="2"/>
  <c r="S29" i="2"/>
  <c r="AS29" i="2" s="1"/>
  <c r="AS27" i="2"/>
  <c r="J9" i="2"/>
  <c r="O29" i="2"/>
  <c r="AR29" i="2" s="1"/>
  <c r="O105" i="2"/>
  <c r="N29" i="2"/>
  <c r="N105" i="2"/>
  <c r="I9" i="2"/>
  <c r="I8" i="2"/>
  <c r="J8" i="2"/>
  <c r="D25" i="2"/>
  <c r="D27" i="2" s="1"/>
  <c r="D29" i="2" s="1"/>
  <c r="D38" i="2"/>
  <c r="E25" i="2"/>
  <c r="E27" i="2" s="1"/>
  <c r="E29" i="2" s="1"/>
  <c r="E38" i="2"/>
  <c r="F25" i="2"/>
  <c r="F27" i="2" s="1"/>
  <c r="F29" i="2" s="1"/>
  <c r="F38" i="2"/>
  <c r="H25" i="2"/>
  <c r="H27" i="2" s="1"/>
  <c r="H29" i="2" s="1"/>
  <c r="H38" i="2"/>
  <c r="G9" i="2"/>
  <c r="AP8" i="2"/>
  <c r="AP36" i="2"/>
  <c r="L8" i="2"/>
  <c r="L9" i="2"/>
  <c r="K8" i="2"/>
  <c r="K9" i="2"/>
  <c r="AO8" i="2"/>
  <c r="AO9" i="2" s="1"/>
  <c r="AO36" i="2"/>
  <c r="C25" i="2"/>
  <c r="AO22" i="2"/>
  <c r="AO38" i="2" s="1"/>
  <c r="G25" i="2"/>
  <c r="AP22" i="2"/>
  <c r="AP38" i="2" s="1"/>
  <c r="I25" i="2"/>
  <c r="K25" i="2"/>
  <c r="J25" i="2"/>
  <c r="L25" i="2"/>
  <c r="AM27" i="2"/>
  <c r="AP9" i="2" l="1"/>
  <c r="Q108" i="2"/>
  <c r="AR28" i="2"/>
  <c r="L27" i="2"/>
  <c r="I27" i="2"/>
  <c r="I29" i="2" s="1"/>
  <c r="J27" i="2"/>
  <c r="J29" i="2" s="1"/>
  <c r="G27" i="2"/>
  <c r="AP25" i="2"/>
  <c r="K27" i="2"/>
  <c r="K105" i="2" s="1"/>
  <c r="C27" i="2"/>
  <c r="AO25" i="2"/>
  <c r="L29" i="2" l="1"/>
  <c r="L105" i="2"/>
  <c r="AQ19" i="2"/>
  <c r="AQ16" i="2"/>
  <c r="C29" i="2"/>
  <c r="AO27" i="2"/>
  <c r="AO105" i="2" s="1"/>
  <c r="G29" i="2"/>
  <c r="AP27" i="2"/>
  <c r="AP105" i="2" s="1"/>
  <c r="K29" i="2"/>
  <c r="AO28" i="2" l="1"/>
  <c r="AO41" i="2" s="1"/>
  <c r="AO42" i="2" s="1"/>
  <c r="AQ36" i="2"/>
  <c r="AQ15" i="2"/>
  <c r="M21" i="2"/>
  <c r="M22" i="2" s="1"/>
  <c r="M38" i="2" s="1"/>
  <c r="AQ17" i="2"/>
  <c r="AQ20" i="2"/>
  <c r="AP28" i="2"/>
  <c r="AP41" i="2" s="1"/>
  <c r="AP42" i="2" s="1"/>
  <c r="AQ21" i="2" l="1"/>
  <c r="AQ22" i="2" l="1"/>
  <c r="AQ38" i="2" s="1"/>
  <c r="Q42" i="2" l="1"/>
  <c r="AQ24" i="2"/>
  <c r="AQ23" i="2"/>
  <c r="M25" i="2"/>
  <c r="AQ25" i="2" l="1"/>
  <c r="M27" i="2"/>
  <c r="AQ27" i="2" l="1"/>
  <c r="AQ105" i="2" s="1"/>
  <c r="M105" i="2"/>
  <c r="M29" i="2"/>
  <c r="P108" i="2" l="1"/>
  <c r="O108" i="2"/>
  <c r="N108" i="2"/>
  <c r="AQ26" i="2"/>
  <c r="AQ29" i="2"/>
  <c r="AQ28" i="2"/>
  <c r="AT28" i="2" l="1"/>
  <c r="AU28" i="2" s="1"/>
  <c r="AV28" i="2" s="1"/>
  <c r="AW28" i="2" s="1"/>
  <c r="AX28" i="2" s="1"/>
  <c r="AY28" i="2" s="1"/>
  <c r="AZ28" i="2" s="1"/>
  <c r="BA28" i="2" s="1"/>
  <c r="AQ41" i="2"/>
  <c r="AQ42" i="2" s="1"/>
  <c r="AR38" i="2" l="1"/>
  <c r="AR45" i="2" l="1"/>
  <c r="AS38" i="2" l="1"/>
  <c r="AS45" i="2" l="1"/>
  <c r="AT20" i="2" l="1"/>
  <c r="N5" i="2" l="1"/>
  <c r="N7" i="2" s="1"/>
  <c r="R9" i="2" l="1"/>
  <c r="N8" i="2"/>
  <c r="AQ5" i="2"/>
  <c r="N9" i="2"/>
  <c r="AQ8" i="2" l="1"/>
  <c r="AQ6" i="2"/>
  <c r="AQ9" i="2" l="1"/>
  <c r="K101" i="2"/>
  <c r="K98" i="2"/>
  <c r="K90" i="2"/>
  <c r="K84" i="2"/>
  <c r="K104" i="2" s="1"/>
  <c r="O101" i="2"/>
  <c r="L101" i="2"/>
  <c r="L98" i="2"/>
  <c r="L90" i="2"/>
  <c r="L84" i="2"/>
  <c r="L104" i="2" s="1"/>
  <c r="P101" i="2"/>
  <c r="M101" i="2"/>
  <c r="M98" i="2"/>
  <c r="M90" i="2"/>
  <c r="M84" i="2"/>
  <c r="M104" i="2" s="1"/>
  <c r="Q101" i="2"/>
  <c r="Q98" i="2"/>
  <c r="P98" i="2"/>
  <c r="Q90" i="2"/>
  <c r="P90" i="2"/>
  <c r="R84" i="2"/>
  <c r="P84" i="2"/>
  <c r="P104" i="2" s="1"/>
  <c r="J20" i="1"/>
  <c r="AN104" i="2"/>
  <c r="AO104" i="2"/>
  <c r="AP104" i="2"/>
  <c r="AL14" i="2"/>
  <c r="AM14" i="2"/>
  <c r="AN14" i="2"/>
  <c r="AU6" i="2"/>
  <c r="AV6" i="2" s="1"/>
  <c r="AW6" i="2" s="1"/>
  <c r="AX6" i="2" s="1"/>
  <c r="AY6" i="2" s="1"/>
  <c r="AZ6" i="2" s="1"/>
  <c r="BA6" i="2" s="1"/>
  <c r="BB6" i="2" s="1"/>
  <c r="BC6" i="2" s="1"/>
  <c r="AP35" i="2"/>
  <c r="AP34" i="2"/>
  <c r="AO34" i="2"/>
  <c r="AN34" i="2"/>
  <c r="AP33" i="2"/>
  <c r="AO33" i="2"/>
  <c r="AN33" i="2"/>
  <c r="AQ35" i="2"/>
  <c r="AQ34" i="2"/>
  <c r="AQ33" i="2"/>
  <c r="O41" i="2"/>
  <c r="Q5" i="2"/>
  <c r="Q21" i="2"/>
  <c r="Q14" i="2"/>
  <c r="P5" i="2"/>
  <c r="P35" i="2"/>
  <c r="P34" i="2"/>
  <c r="P33" i="2"/>
  <c r="P21" i="2"/>
  <c r="P14" i="2"/>
  <c r="AN41" i="2"/>
  <c r="AN42" i="2" s="1"/>
  <c r="AM41" i="2"/>
  <c r="AM42" i="2" s="1"/>
  <c r="U7" i="2" l="1"/>
  <c r="U8" i="2" s="1"/>
  <c r="V22" i="2"/>
  <c r="V25" i="2" s="1"/>
  <c r="V27" i="2" s="1"/>
  <c r="V29" i="2" s="1"/>
  <c r="T7" i="2"/>
  <c r="T8" i="2" s="1"/>
  <c r="T36" i="2"/>
  <c r="U36" i="2"/>
  <c r="AS14" i="2"/>
  <c r="V36" i="2"/>
  <c r="AS21" i="2"/>
  <c r="S7" i="2"/>
  <c r="U22" i="2"/>
  <c r="U38" i="2" s="1"/>
  <c r="R22" i="2"/>
  <c r="R38" i="2" s="1"/>
  <c r="S22" i="2"/>
  <c r="S38" i="2" s="1"/>
  <c r="T22" i="2"/>
  <c r="T38" i="2" s="1"/>
  <c r="N98" i="2"/>
  <c r="N85" i="2"/>
  <c r="N90" i="2"/>
  <c r="N83" i="2"/>
  <c r="AT5" i="2"/>
  <c r="AS6" i="2"/>
  <c r="AS8" i="2"/>
  <c r="AT8" i="2" s="1"/>
  <c r="AX5" i="2" l="1"/>
  <c r="AU8" i="2"/>
  <c r="AV8" i="2" s="1"/>
  <c r="AT14" i="2"/>
  <c r="AS9" i="2"/>
  <c r="AY5" i="2" l="1"/>
  <c r="AW8" i="2"/>
  <c r="AV14" i="2"/>
  <c r="AT19" i="2"/>
  <c r="AT36" i="2"/>
  <c r="AT15" i="2"/>
  <c r="AT17" i="2"/>
  <c r="AT16" i="2"/>
  <c r="AU14" i="2"/>
  <c r="AT21" i="2" l="1"/>
  <c r="AT22" i="2" s="1"/>
  <c r="AT38" i="2" s="1"/>
  <c r="AX8" i="2"/>
  <c r="AW14" i="2"/>
  <c r="AV36" i="2"/>
  <c r="AU19" i="2"/>
  <c r="AV19" i="2" s="1"/>
  <c r="AU16" i="2"/>
  <c r="AV16" i="2" s="1"/>
  <c r="AU17" i="2"/>
  <c r="AV17" i="2" s="1"/>
  <c r="AU36" i="2"/>
  <c r="AU15" i="2"/>
  <c r="AV15" i="2" s="1"/>
  <c r="AZ5" i="2"/>
  <c r="AT23" i="2" l="1"/>
  <c r="AT24" i="2"/>
  <c r="AT25" i="2" s="1"/>
  <c r="AT26" i="2" s="1"/>
  <c r="AT27" i="2" s="1"/>
  <c r="AY8" i="2"/>
  <c r="AX14" i="2"/>
  <c r="AW17" i="2"/>
  <c r="AW36" i="2"/>
  <c r="AW19" i="2"/>
  <c r="AW15" i="2"/>
  <c r="AW16" i="2"/>
  <c r="BA5" i="2"/>
  <c r="BB5" i="2" s="1"/>
  <c r="BC5" i="2" l="1"/>
  <c r="AX17" i="2"/>
  <c r="AX19" i="2"/>
  <c r="AX36" i="2"/>
  <c r="AX15" i="2"/>
  <c r="AX16" i="2"/>
  <c r="AT45" i="2"/>
  <c r="AT29" i="2"/>
  <c r="AZ8" i="2"/>
  <c r="AY14" i="2"/>
  <c r="AU20" i="2" l="1"/>
  <c r="AU21" i="2" s="1"/>
  <c r="AU22" i="2" s="1"/>
  <c r="AY17" i="2"/>
  <c r="AY19" i="2"/>
  <c r="AY15" i="2"/>
  <c r="AY16" i="2"/>
  <c r="AY36" i="2"/>
  <c r="BA8" i="2"/>
  <c r="AZ14" i="2"/>
  <c r="BA14" i="2" l="1"/>
  <c r="BB8" i="2"/>
  <c r="AZ19" i="2"/>
  <c r="BA19" i="2" s="1"/>
  <c r="AZ36" i="2"/>
  <c r="AZ15" i="2"/>
  <c r="AZ16" i="2"/>
  <c r="AZ17" i="2"/>
  <c r="BA17" i="2" s="1"/>
  <c r="BA16" i="2"/>
  <c r="BA36" i="2"/>
  <c r="AU24" i="2"/>
  <c r="AU38" i="2"/>
  <c r="AU23" i="2"/>
  <c r="AU25" i="2" l="1"/>
  <c r="BC8" i="2"/>
  <c r="BC14" i="2" s="1"/>
  <c r="BB14" i="2"/>
  <c r="BB36" i="2" s="1"/>
  <c r="AU26" i="2"/>
  <c r="AU27" i="2" s="1"/>
  <c r="BA15" i="2"/>
  <c r="BB15" i="2" s="1"/>
  <c r="BC36" i="2" l="1"/>
  <c r="BB17" i="2"/>
  <c r="BC17" i="2" s="1"/>
  <c r="BB19" i="2"/>
  <c r="BC19" i="2" s="1"/>
  <c r="BB16" i="2"/>
  <c r="BC16" i="2" s="1"/>
  <c r="BC15" i="2"/>
  <c r="AU29" i="2"/>
  <c r="AU45" i="2"/>
  <c r="AV20" i="2" l="1"/>
  <c r="AV21" i="2" s="1"/>
  <c r="AV22" i="2" s="1"/>
  <c r="AV23" i="2" l="1"/>
  <c r="AV38" i="2"/>
  <c r="AV24" i="2"/>
  <c r="AV25" i="2" s="1"/>
  <c r="AV26" i="2" l="1"/>
  <c r="AV27" i="2" s="1"/>
  <c r="AV29" i="2" l="1"/>
  <c r="AV45" i="2"/>
  <c r="AW20" i="2" l="1"/>
  <c r="AW21" i="2" s="1"/>
  <c r="AW22" i="2" s="1"/>
  <c r="AW23" i="2" l="1"/>
  <c r="AW38" i="2"/>
  <c r="AW24" i="2"/>
  <c r="AW25" i="2" l="1"/>
  <c r="AW26" i="2" s="1"/>
  <c r="AW27" i="2" l="1"/>
  <c r="AW29" i="2" s="1"/>
  <c r="AW45" i="2"/>
  <c r="AX20" i="2" l="1"/>
  <c r="AX21" i="2" s="1"/>
  <c r="AX22" i="2" s="1"/>
  <c r="AX38" i="2" l="1"/>
  <c r="AX23" i="2"/>
  <c r="AX24" i="2"/>
  <c r="AX25" i="2" l="1"/>
  <c r="AX26" i="2"/>
  <c r="AX27" i="2"/>
  <c r="AX29" i="2" l="1"/>
  <c r="AX45" i="2"/>
  <c r="AY20" i="2" l="1"/>
  <c r="AY21" i="2" s="1"/>
  <c r="AY22" i="2" s="1"/>
  <c r="AY38" i="2" l="1"/>
  <c r="AY23" i="2"/>
  <c r="AY24" i="2"/>
  <c r="AY25" i="2" l="1"/>
  <c r="AY26" i="2"/>
  <c r="AY27" i="2"/>
  <c r="AY29" i="2" l="1"/>
  <c r="AY45" i="2"/>
  <c r="AZ20" i="2" l="1"/>
  <c r="AZ21" i="2" s="1"/>
  <c r="AZ22" i="2" s="1"/>
  <c r="AZ24" i="2" l="1"/>
  <c r="AZ23" i="2"/>
  <c r="AZ38" i="2"/>
  <c r="AZ25" i="2" l="1"/>
  <c r="AZ26" i="2"/>
  <c r="AZ27" i="2" s="1"/>
  <c r="AZ29" i="2" l="1"/>
  <c r="AZ45" i="2"/>
  <c r="BA20" i="2" l="1"/>
  <c r="BA21" i="2" s="1"/>
  <c r="BA22" i="2" s="1"/>
  <c r="BA23" i="2" l="1"/>
  <c r="BA24" i="2"/>
  <c r="BA38" i="2"/>
  <c r="BA25" i="2" l="1"/>
  <c r="BA26" i="2" s="1"/>
  <c r="BA27" i="2" s="1"/>
  <c r="BA29" i="2" l="1"/>
  <c r="BA45" i="2"/>
  <c r="BB20" i="2" l="1"/>
  <c r="BB21" i="2" s="1"/>
  <c r="BB22" i="2" s="1"/>
  <c r="BB24" i="2" l="1"/>
  <c r="BB38" i="2"/>
  <c r="BB23" i="2"/>
  <c r="BB25" i="2" s="1"/>
  <c r="BB26" i="2" s="1"/>
  <c r="BB27" i="2" s="1"/>
  <c r="BB29" i="2" l="1"/>
  <c r="BB45" i="2"/>
  <c r="BC20" i="2" l="1"/>
  <c r="BC21" i="2" s="1"/>
  <c r="BC22" i="2" s="1"/>
  <c r="BC24" i="2" l="1"/>
  <c r="BC38" i="2"/>
  <c r="BC23" i="2"/>
  <c r="BC25" i="2" s="1"/>
  <c r="BC26" i="2" s="1"/>
  <c r="BC27" i="2" s="1"/>
  <c r="BC29" i="2" l="1"/>
  <c r="BD27" i="2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EU27" i="2" s="1"/>
  <c r="EV27" i="2" s="1"/>
  <c r="EW27" i="2" s="1"/>
  <c r="EX27" i="2" s="1"/>
  <c r="EY27" i="2" s="1"/>
  <c r="EZ27" i="2" s="1"/>
  <c r="FA27" i="2" s="1"/>
  <c r="FB27" i="2" s="1"/>
  <c r="FC27" i="2" s="1"/>
  <c r="FD27" i="2" s="1"/>
  <c r="FE27" i="2" s="1"/>
  <c r="FF27" i="2" s="1"/>
  <c r="FG27" i="2" s="1"/>
  <c r="FH27" i="2" s="1"/>
  <c r="FI27" i="2" s="1"/>
  <c r="FJ27" i="2" s="1"/>
  <c r="FK27" i="2" s="1"/>
  <c r="FL27" i="2" s="1"/>
  <c r="FM27" i="2" s="1"/>
  <c r="FN27" i="2" s="1"/>
  <c r="FO27" i="2" s="1"/>
  <c r="FP27" i="2" s="1"/>
  <c r="FQ27" i="2" s="1"/>
  <c r="FR27" i="2" s="1"/>
  <c r="FS27" i="2" s="1"/>
  <c r="FT27" i="2" s="1"/>
  <c r="FU27" i="2" s="1"/>
  <c r="FV27" i="2" s="1"/>
  <c r="FW27" i="2" s="1"/>
  <c r="FX27" i="2" s="1"/>
  <c r="FY27" i="2" s="1"/>
  <c r="FZ27" i="2" s="1"/>
  <c r="GA27" i="2" s="1"/>
  <c r="GB27" i="2" s="1"/>
  <c r="GC27" i="2" s="1"/>
  <c r="GD27" i="2" s="1"/>
  <c r="GE27" i="2" s="1"/>
  <c r="GF27" i="2" s="1"/>
  <c r="GG27" i="2" s="1"/>
  <c r="GH27" i="2" s="1"/>
  <c r="GI27" i="2" s="1"/>
  <c r="GJ27" i="2" s="1"/>
  <c r="GK27" i="2" s="1"/>
  <c r="GL27" i="2" s="1"/>
  <c r="GM27" i="2" s="1"/>
  <c r="GN27" i="2" s="1"/>
  <c r="GO27" i="2" s="1"/>
  <c r="GP27" i="2" s="1"/>
  <c r="GQ27" i="2" s="1"/>
  <c r="GR27" i="2" s="1"/>
  <c r="GS27" i="2" s="1"/>
  <c r="GT27" i="2" s="1"/>
  <c r="GU27" i="2" s="1"/>
  <c r="GV27" i="2" s="1"/>
  <c r="GW27" i="2" s="1"/>
  <c r="GX27" i="2" s="1"/>
  <c r="GY27" i="2" s="1"/>
  <c r="GZ27" i="2" s="1"/>
  <c r="HA27" i="2" s="1"/>
  <c r="HB27" i="2" s="1"/>
  <c r="HC27" i="2" s="1"/>
  <c r="HD27" i="2" s="1"/>
  <c r="HE27" i="2" s="1"/>
  <c r="HF27" i="2" s="1"/>
  <c r="HG27" i="2" s="1"/>
  <c r="HH27" i="2" s="1"/>
  <c r="HI27" i="2" s="1"/>
  <c r="HJ27" i="2" s="1"/>
  <c r="HK27" i="2" s="1"/>
  <c r="HL27" i="2" s="1"/>
  <c r="HM27" i="2" s="1"/>
  <c r="HN27" i="2" s="1"/>
  <c r="HO27" i="2" s="1"/>
  <c r="HP27" i="2" s="1"/>
  <c r="HQ27" i="2" s="1"/>
  <c r="HR27" i="2" s="1"/>
  <c r="HS27" i="2" s="1"/>
  <c r="HT27" i="2" s="1"/>
  <c r="HU27" i="2" s="1"/>
  <c r="HV27" i="2" s="1"/>
  <c r="HW27" i="2" s="1"/>
  <c r="HX27" i="2" s="1"/>
  <c r="HY27" i="2" s="1"/>
  <c r="BI35" i="2" s="1"/>
  <c r="BI37" i="2" s="1"/>
  <c r="BI39" i="2" s="1"/>
  <c r="BC4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tc={063507D9-2EC7-FA48-A145-A3A377D11A02}</author>
  </authors>
  <commentList>
    <comment ref="AW5" authorId="0" shapeId="0" xr:uid="{063507D9-2EC7-FA48-A145-A3A377D11A02}">
      <text>
        <t>[Threaded comment]
Your version of Excel allows you to read this threaded comment; however, any edits to it will get removed if the file is opened in a newer version of Excel. Learn more: https://go.microsoft.com/fwlink/?linkid=870924
Comment:
    GOAL</t>
      </text>
    </comment>
  </commentList>
</comments>
</file>

<file path=xl/sharedStrings.xml><?xml version="1.0" encoding="utf-8"?>
<sst xmlns="http://schemas.openxmlformats.org/spreadsheetml/2006/main" count="174" uniqueCount="163">
  <si>
    <t>Price</t>
  </si>
  <si>
    <t>Shares</t>
  </si>
  <si>
    <t>MC</t>
  </si>
  <si>
    <t>Cash</t>
  </si>
  <si>
    <t>Debt</t>
  </si>
  <si>
    <t>EV</t>
  </si>
  <si>
    <t>Q221</t>
  </si>
  <si>
    <t>PR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</si>
  <si>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</si>
  <si>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</si>
  <si>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</si>
  <si>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</si>
  <si>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</si>
  <si>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</si>
  <si>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</si>
  <si>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</si>
  <si>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</si>
  <si>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Q321</t>
  </si>
  <si>
    <t>Q421</t>
  </si>
  <si>
    <t xml:space="preserve">Sales by company op restaurants </t>
  </si>
  <si>
    <t>Revenues by franchisees</t>
  </si>
  <si>
    <t xml:space="preserve">Other revenues </t>
  </si>
  <si>
    <t xml:space="preserve">Total Revenue </t>
  </si>
  <si>
    <t>co op expenses</t>
  </si>
  <si>
    <t>Franchise expenses</t>
  </si>
  <si>
    <t>Other restaurant expenses</t>
  </si>
  <si>
    <t>D&amp;A</t>
  </si>
  <si>
    <t>Other</t>
  </si>
  <si>
    <t xml:space="preserve">Other income </t>
  </si>
  <si>
    <t>Total operating costs + E</t>
  </si>
  <si>
    <t xml:space="preserve">Operating Income </t>
  </si>
  <si>
    <t>Interest expense</t>
  </si>
  <si>
    <t>Nonoperating expense</t>
  </si>
  <si>
    <t>Income Before Taxes</t>
  </si>
  <si>
    <t>Taxes</t>
  </si>
  <si>
    <t xml:space="preserve">Net Income </t>
  </si>
  <si>
    <t>Diluted</t>
  </si>
  <si>
    <t>EPS</t>
  </si>
  <si>
    <t>Sales by Co. owned Y/Y</t>
  </si>
  <si>
    <t>Sales  by Franchise Y/Y</t>
  </si>
  <si>
    <t>Other Y/Y</t>
  </si>
  <si>
    <t>Total Revenue Y/Y</t>
  </si>
  <si>
    <t xml:space="preserve">Total Franchised Restaurants </t>
  </si>
  <si>
    <t xml:space="preserve">Company Operated Restaurants </t>
  </si>
  <si>
    <t xml:space="preserve">Total Restaurants </t>
  </si>
  <si>
    <t>Revenue Per Restaurants Pr Q</t>
  </si>
  <si>
    <t>Maturity</t>
  </si>
  <si>
    <t>Discount</t>
  </si>
  <si>
    <t>NPV</t>
  </si>
  <si>
    <t>Estimate</t>
  </si>
  <si>
    <t>Current</t>
  </si>
  <si>
    <t>Delta</t>
  </si>
  <si>
    <t xml:space="preserve">Cash </t>
  </si>
  <si>
    <t xml:space="preserve">Total Assets </t>
  </si>
  <si>
    <t>Accounts/Notes recievable</t>
  </si>
  <si>
    <t xml:space="preserve">Inventories </t>
  </si>
  <si>
    <t>Prepaid expenses</t>
  </si>
  <si>
    <t>Investments in advanced affiliates</t>
  </si>
  <si>
    <t>Goodwill</t>
  </si>
  <si>
    <t xml:space="preserve">Miscellaneous </t>
  </si>
  <si>
    <t>Lease right of use</t>
  </si>
  <si>
    <t>Net, PP&amp;E</t>
  </si>
  <si>
    <t xml:space="preserve">Accounts payable </t>
  </si>
  <si>
    <t>Lease liability</t>
  </si>
  <si>
    <t>Income taxes</t>
  </si>
  <si>
    <t>Other taxes</t>
  </si>
  <si>
    <t xml:space="preserve">Accrued interest </t>
  </si>
  <si>
    <t>Accrued payroll &amp; other liabilities</t>
  </si>
  <si>
    <t xml:space="preserve">Current debt </t>
  </si>
  <si>
    <t xml:space="preserve">Equity </t>
  </si>
  <si>
    <t>TL +E</t>
  </si>
  <si>
    <t xml:space="preserve">Long Term Debt </t>
  </si>
  <si>
    <t>Long Term Lease</t>
  </si>
  <si>
    <t>Deferred income taxes</t>
  </si>
  <si>
    <t>ROIC</t>
  </si>
  <si>
    <t xml:space="preserve">Contains </t>
  </si>
  <si>
    <t xml:space="preserve">Leadership Updates. </t>
  </si>
  <si>
    <t>Announcing Saweetie Marketing Effort (Merchandise)</t>
  </si>
  <si>
    <t xml:space="preserve">Menu innovation…..donuts to breakfast menu </t>
  </si>
  <si>
    <t>Wage hikes.</t>
  </si>
  <si>
    <t>Q122</t>
  </si>
  <si>
    <t>Q222</t>
  </si>
  <si>
    <t>Q322</t>
  </si>
  <si>
    <t>Q422</t>
  </si>
  <si>
    <t>Dividend payable</t>
  </si>
  <si>
    <t>NI</t>
  </si>
  <si>
    <t>Changes in WC</t>
  </si>
  <si>
    <t>CFFO</t>
  </si>
  <si>
    <t>Capex</t>
  </si>
  <si>
    <t>Acquisitions</t>
  </si>
  <si>
    <t>Sales of restaurants</t>
  </si>
  <si>
    <t>Sales of PPE</t>
  </si>
  <si>
    <t>CFFI</t>
  </si>
  <si>
    <t>Short term borrowings</t>
  </si>
  <si>
    <t>Long term financing issues</t>
  </si>
  <si>
    <t>Long term financing payments</t>
  </si>
  <si>
    <t>Treasury stock purchases</t>
  </si>
  <si>
    <t>Common stock dividends</t>
  </si>
  <si>
    <t>Proceeds from stock options</t>
  </si>
  <si>
    <t>FX</t>
  </si>
  <si>
    <t>Cash Increase</t>
  </si>
  <si>
    <t>FCF</t>
  </si>
  <si>
    <t>Founded</t>
  </si>
  <si>
    <t>CEO</t>
  </si>
  <si>
    <t>Chris Kempczinski</t>
  </si>
  <si>
    <t>Dividend</t>
  </si>
  <si>
    <t>OM%</t>
  </si>
  <si>
    <t>Growth Pillars</t>
  </si>
  <si>
    <t>Core Commits</t>
  </si>
  <si>
    <t>3Ds</t>
  </si>
  <si>
    <t>Maximizing Marketing</t>
  </si>
  <si>
    <t>Brand/Affordability</t>
  </si>
  <si>
    <t>Burger, Chicken, Coffee focus</t>
  </si>
  <si>
    <t>Delivery, Digital, Drive Thru</t>
  </si>
  <si>
    <t xml:space="preserve">Quarter End Price </t>
  </si>
  <si>
    <t>Revenue Per Restaurants Pr Y</t>
  </si>
  <si>
    <t xml:space="preserve">Net Cash </t>
  </si>
  <si>
    <t>Deferred revenues</t>
  </si>
  <si>
    <t>LT Taxes</t>
  </si>
  <si>
    <t>Other LT Liab</t>
  </si>
  <si>
    <t>Div-Y</t>
  </si>
  <si>
    <t>IR</t>
  </si>
  <si>
    <t>https://corporate.mcdonalds.com/corpmcd/investors.html</t>
  </si>
  <si>
    <t>Addt'l News</t>
  </si>
  <si>
    <t>Holiday Deals</t>
  </si>
  <si>
    <t>Cash @ Begin</t>
  </si>
  <si>
    <t xml:space="preserve">Cash @ End </t>
  </si>
  <si>
    <t>Gain on sale</t>
  </si>
  <si>
    <t>.</t>
  </si>
  <si>
    <t xml:space="preserve">CEO </t>
  </si>
  <si>
    <t>Richard/Maurice Mcdonald ---&gt; Ray Kroc</t>
  </si>
  <si>
    <t xml:space="preserve">History </t>
  </si>
  <si>
    <t>https://en.wikipedia.org/wiki/Richard_and_Maurice_McDonald</t>
  </si>
  <si>
    <t>HQ</t>
  </si>
  <si>
    <t>Chicago IL</t>
  </si>
  <si>
    <t xml:space="preserve">Movie </t>
  </si>
  <si>
    <t>https://en.wikipedia.org/wiki/The_Founder</t>
  </si>
  <si>
    <t>Q323</t>
  </si>
  <si>
    <t>Q123</t>
  </si>
  <si>
    <t>Q223</t>
  </si>
  <si>
    <t>Q423</t>
  </si>
  <si>
    <t>Q124</t>
  </si>
  <si>
    <t>Q224</t>
  </si>
  <si>
    <t>Q324</t>
  </si>
  <si>
    <t>Q424</t>
  </si>
  <si>
    <t>$M</t>
  </si>
  <si>
    <t>Transcript</t>
  </si>
  <si>
    <t xml:space="preserve">Q423 </t>
  </si>
  <si>
    <t xml:space="preserve"> 11/1/22</t>
  </si>
  <si>
    <t xml:space="preserve"> 8/24/21</t>
  </si>
  <si>
    <t xml:space="preserve"> 8/23/21</t>
  </si>
  <si>
    <t xml:space="preserve"> 8/17/21</t>
  </si>
  <si>
    <t xml:space="preserve"> 5/13/21</t>
  </si>
  <si>
    <t>Q4 results</t>
  </si>
  <si>
    <t>Acquire carlyle's stake</t>
  </si>
  <si>
    <t>12//6/2023</t>
  </si>
  <si>
    <t xml:space="preserve">Generative Ai Solutions w/ Google cloud </t>
  </si>
  <si>
    <t xml:space="preserve">Impact </t>
  </si>
  <si>
    <t xml:space="preserve">California Impact report </t>
  </si>
  <si>
    <t>Catalyst</t>
  </si>
  <si>
    <t>Cosmcs</t>
  </si>
  <si>
    <t>Competing with Starbuckas, Dunkin, other Café's/bakeries</t>
  </si>
  <si>
    <t>Brand 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</si>
</sst>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\x"/>
  </numFmts>
  <fonts count="10">
    <font>
      <sz val="10"/>
      <color theme="1"/>
      <name val="ArialMT"/>
      <family val="2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u/>
      <sz val="10"/>
      <color theme="10"/>
      <name val="ArialMT"/>
      <family val="2"/>
    </font>
    <font>
      <sz val="10"/>
      <color theme="1"/>
      <name val="Intel Clear"/>
      <family val="2"/>
    </font>
    <font>
      <b/>
      <sz val="10"/>
      <color theme="1"/>
      <name val="Intel Clear"/>
      <family val="2"/>
    </font>
    <font>
      <b/>
      <sz val="10"/>
      <color rgb="FF0432FF"/>
      <name val="Intel Clear"/>
      <family val="2"/>
    </font>
    <font>
      <strike/>
      <sz val="10"/>
      <color theme="1"/>
      <name val="Intel Clear"/>
      <family val="2"/>
    </font>
    <font>
      <sz val="10"/>
      <color rgb="FF0432FF"/>
      <name val="Intel Clear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9" fontId="0" fillId="0" borderId="0" xfId="0" applyNumberFormat="1"/>
    <xf numFmtId="3" fontId="3" fillId="0" borderId="0" xfId="0" applyNumberFormat="1" applyFont="1"/>
    <xf numFmtId="3" fontId="4" fillId="0" borderId="0" xfId="2" applyNumberFormat="1"/>
    <xf numFmtId="3" fontId="5" fillId="0" borderId="0" xfId="0" applyNumberFormat="1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0" fontId="0" fillId="0" borderId="0" xfId="0" applyNumberFormat="1"/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/>
    <xf numFmtId="9" fontId="5" fillId="0" borderId="0" xfId="0" applyNumberFormat="1" applyFont="1"/>
    <xf numFmtId="165" fontId="5" fillId="0" borderId="0" xfId="0" applyNumberFormat="1" applyFont="1" applyAlignment="1">
      <alignment horizontal="left"/>
    </xf>
    <xf numFmtId="4" fontId="5" fillId="0" borderId="0" xfId="0" applyNumberFormat="1" applyFont="1"/>
    <xf numFmtId="9" fontId="6" fillId="0" borderId="0" xfId="0" applyNumberFormat="1" applyFont="1"/>
    <xf numFmtId="9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center"/>
    </xf>
    <xf numFmtId="1" fontId="6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1" fontId="6" fillId="0" borderId="0" xfId="0" applyNumberFormat="1" applyFont="1" applyAlignment="1">
      <alignment horizontal="left"/>
    </xf>
    <xf numFmtId="164" fontId="6" fillId="0" borderId="0" xfId="0" applyNumberFormat="1" applyFont="1"/>
    <xf numFmtId="1" fontId="7" fillId="0" borderId="0" xfId="0" applyNumberFormat="1" applyFont="1"/>
    <xf numFmtId="9" fontId="7" fillId="0" borderId="0" xfId="0" applyNumberFormat="1" applyFont="1"/>
    <xf numFmtId="2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9" fontId="8" fillId="0" borderId="0" xfId="0" applyNumberFormat="1" applyFont="1"/>
    <xf numFmtId="9" fontId="9" fillId="0" borderId="0" xfId="0" applyNumberFormat="1" applyFont="1"/>
    <xf numFmtId="9" fontId="5" fillId="0" borderId="0" xfId="1" applyFont="1" applyFill="1"/>
    <xf numFmtId="9" fontId="6" fillId="0" borderId="0" xfId="0" applyNumberFormat="1" applyFont="1" applyAlignment="1">
      <alignment horizontal="left"/>
    </xf>
    <xf numFmtId="14" fontId="4" fillId="0" borderId="0" xfId="2" applyNumberFormat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548468</xdr:colOff>
      <xdr:row>0</xdr:row>
      <xdr:rowOff>0</xdr:rowOff>
    </xdr:from>
    <xdr:to>
      <xdr:col>22</xdr:col>
      <xdr:colOff>939</xdr:colOff>
      <xdr:row>115</xdr:row>
      <xdr:rowOff>108857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07D499-CF55-714A-8A1E-8417A70D209F}"/>
            </a:ext>
          </a:extLst>
        </xdr:cNvPr>
        <xdr:cNvCxnSpPr/>
      </xdr:nvCxnSpPr>
      <xdr:spPr>
        <a:xfrm flipH="1">
          <a:off x="13396635" y="0"/>
          <a:ext cx="13387" cy="220586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539750</xdr:colOff>
      <xdr:row>0</xdr:row>
      <xdr:rowOff>0</xdr:rowOff>
    </xdr:from>
    <xdr:to>
      <xdr:col>45</xdr:col>
      <xdr:colOff>26458</xdr:colOff>
      <xdr:row>116</xdr:row>
      <xdr:rowOff>111125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671D3C-C800-8D48-ABC7-7999F05BC2CE}"/>
            </a:ext>
          </a:extLst>
        </xdr:cNvPr>
        <xdr:cNvCxnSpPr/>
      </xdr:nvCxnSpPr>
      <xdr:spPr>
        <a:xfrm flipH="1">
          <a:off x="25569333" y="0"/>
          <a:ext cx="47625" cy="222408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B601343A-17AF-8346-8CED-12A8238501D9}" userId="jameel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W5" dT="2024-02-17T05:22:17.12" personId="{B601343A-17AF-8346-8CED-12A8238501D9}" id="{063507D9-2EC7-FA48-A145-A3A377D11A02}">
    <text>GOAL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ichard_and_Maurice_McDonald" TargetMode="External"/><Relationship Id="rId13" Type="http://schemas.openxmlformats.org/officeDocument/2006/relationships/hyperlink" Target="https://corporate.mcdonalds.com/corpmcd/our-stories/article/mcd-google-cloud-announce-partnership.html" TargetMode="External"/><Relationship Id="rId3" Type="http://schemas.openxmlformats.org/officeDocument/2006/relationships/hyperlink" Target="https://corporate.mcdonalds.com/corpmcd/en-us/our-stories/article/press-releases.McDonalds-donut.html" TargetMode="External"/><Relationship Id="rId7" Type="http://schemas.openxmlformats.org/officeDocument/2006/relationships/hyperlink" Target="https://www.cnbc.com/2022/12/07/mcdonalds-seasonal-promotions-digital-sales-growth.html" TargetMode="External"/><Relationship Id="rId12" Type="http://schemas.openxmlformats.org/officeDocument/2006/relationships/hyperlink" Target="https://corporate.mcdonalds.com/corpmcd/our-stories/article/mcd-to-acquire-carlyles-stake-mcdonalds-china.html" TargetMode="External"/><Relationship Id="rId2" Type="http://schemas.openxmlformats.org/officeDocument/2006/relationships/hyperlink" Target="https://corporate.mcdonalds.com/corpmcd/en-us/our-stories/article/press-releases.saweetie-merch.html" TargetMode="External"/><Relationship Id="rId1" Type="http://schemas.openxmlformats.org/officeDocument/2006/relationships/hyperlink" Target="https://corporate.mcdonalds.com/corpmcd/en-us/our-stories/article/press-releases.leadership-updates.html" TargetMode="External"/><Relationship Id="rId6" Type="http://schemas.openxmlformats.org/officeDocument/2006/relationships/hyperlink" Target="https://corporate.mcdonalds.com/corpmcd/investors.html" TargetMode="External"/><Relationship Id="rId11" Type="http://schemas.openxmlformats.org/officeDocument/2006/relationships/hyperlink" Target="https://corporate.mcdonalds.com/content/dam/sites/corp/nfl/pdf/Exhibit%2099.1%20-%20Q4-23.pdf" TargetMode="External"/><Relationship Id="rId5" Type="http://schemas.openxmlformats.org/officeDocument/2006/relationships/hyperlink" Target="https://corporate.mcdonalds.com/corpmcd/our-stories/article/wakanda-happymeal.html" TargetMode="External"/><Relationship Id="rId15" Type="http://schemas.openxmlformats.org/officeDocument/2006/relationships/hyperlink" Target="https://corporate.mcdonalds.com/corpmcd/our-stories/article/mcdonalds-welcomes-cosmcs-to-its-universe.html" TargetMode="External"/><Relationship Id="rId10" Type="http://schemas.openxmlformats.org/officeDocument/2006/relationships/hyperlink" Target="https://seekingalpha.com/article/4667570-mcdonalds-corporation-mcd-q4-2023-earnings-call-transcript" TargetMode="External"/><Relationship Id="rId4" Type="http://schemas.openxmlformats.org/officeDocument/2006/relationships/hyperlink" Target="https://corporate.mcdonalds.com/corpmcd/en-us/our-stories/article/press-releases.mcopco-wage-raise.html" TargetMode="External"/><Relationship Id="rId9" Type="http://schemas.openxmlformats.org/officeDocument/2006/relationships/hyperlink" Target="https://en.wikipedia.org/wiki/The_Founder" TargetMode="External"/><Relationship Id="rId14" Type="http://schemas.openxmlformats.org/officeDocument/2006/relationships/hyperlink" Target="https://corporate.mcdonalds.com/content/dam/sites/corp/nfl/newsroom/McDonalds_Impact_CA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766-D9B8-FB40-B5C7-D36C974DF243}">
  <dimension ref="B2:L39"/>
  <sheetViews>
    <sheetView tabSelected="1" zoomScale="140" zoomScaleNormal="140" workbookViewId="0">
      <selection activeCell="J14" sqref="J14"/>
    </sheetView>
  </sheetViews>
  <sheetFormatPr baseColWidth="10" defaultRowHeight="13"/>
  <cols>
    <col min="1" max="2" width="10.83203125" style="1"/>
    <col min="3" max="3" width="19" style="1" bestFit="1" customWidth="1"/>
    <col min="4" max="4" width="10.83203125" style="1"/>
    <col min="5" max="5" width="12.33203125" style="1" customWidth="1"/>
    <col min="6" max="8" width="10.83203125" style="1"/>
    <col min="9" max="9" width="8.1640625" style="1" bestFit="1" customWidth="1"/>
    <col min="10" max="10" width="15" style="1" bestFit="1" customWidth="1"/>
    <col min="11" max="11" width="5.83203125" style="2" bestFit="1" customWidth="1"/>
    <col min="12" max="16384" width="10.83203125" style="1"/>
  </cols>
  <sheetData>
    <row r="2" spans="3:12">
      <c r="C2" s="1" t="s">
        <v>102</v>
      </c>
      <c r="D2" s="1" t="s">
        <v>130</v>
      </c>
    </row>
    <row r="3" spans="3:12">
      <c r="C3" s="1" t="s">
        <v>131</v>
      </c>
      <c r="D3" s="6" t="s">
        <v>132</v>
      </c>
    </row>
    <row r="4" spans="3:12">
      <c r="C4" s="5" t="s">
        <v>121</v>
      </c>
      <c r="D4" s="6" t="s">
        <v>122</v>
      </c>
    </row>
    <row r="5" spans="3:12">
      <c r="C5" s="5" t="s">
        <v>135</v>
      </c>
      <c r="D5" s="6" t="s">
        <v>136</v>
      </c>
    </row>
    <row r="6" spans="3:12">
      <c r="C6" s="3"/>
      <c r="D6" s="6"/>
    </row>
    <row r="7" spans="3:12">
      <c r="C7" s="1" t="s">
        <v>129</v>
      </c>
      <c r="D7" s="1" t="s">
        <v>104</v>
      </c>
    </row>
    <row r="8" spans="3:12">
      <c r="C8" s="5" t="s">
        <v>133</v>
      </c>
      <c r="D8" s="1" t="s">
        <v>134</v>
      </c>
    </row>
    <row r="11" spans="3:12">
      <c r="I11" s="1" t="s">
        <v>103</v>
      </c>
      <c r="J11" s="1" t="s">
        <v>104</v>
      </c>
    </row>
    <row r="12" spans="3:12">
      <c r="C12" s="3" t="s">
        <v>107</v>
      </c>
      <c r="I12" s="1" t="s">
        <v>102</v>
      </c>
      <c r="J12" s="1">
        <v>1955</v>
      </c>
      <c r="L12" s="4"/>
    </row>
    <row r="13" spans="3:12">
      <c r="C13" s="8" t="s">
        <v>110</v>
      </c>
      <c r="D13" s="9" t="s">
        <v>111</v>
      </c>
      <c r="E13" s="10"/>
      <c r="I13" s="1" t="s">
        <v>0</v>
      </c>
      <c r="J13" s="1">
        <v>293.76</v>
      </c>
    </row>
    <row r="14" spans="3:12">
      <c r="C14" s="11" t="s">
        <v>108</v>
      </c>
      <c r="D14" s="1" t="s">
        <v>112</v>
      </c>
      <c r="E14" s="12"/>
      <c r="I14" s="1" t="s">
        <v>1</v>
      </c>
      <c r="J14" s="1">
        <v>725.34203000000002</v>
      </c>
      <c r="K14" s="2" t="s">
        <v>137</v>
      </c>
    </row>
    <row r="15" spans="3:12">
      <c r="C15" s="13" t="s">
        <v>109</v>
      </c>
      <c r="D15" s="14" t="s">
        <v>113</v>
      </c>
      <c r="E15" s="15"/>
      <c r="I15" s="1" t="s">
        <v>2</v>
      </c>
      <c r="J15" s="1">
        <f>+J13*J14</f>
        <v>213076.47473280001</v>
      </c>
    </row>
    <row r="16" spans="3:12">
      <c r="I16" s="1" t="s">
        <v>3</v>
      </c>
      <c r="J16" s="1">
        <v>3496.3</v>
      </c>
      <c r="K16" s="2" t="str">
        <f>+K14</f>
        <v>Q323</v>
      </c>
    </row>
    <row r="17" spans="2:11">
      <c r="I17" s="1" t="s">
        <v>4</v>
      </c>
      <c r="J17" s="1">
        <v>37274.6</v>
      </c>
      <c r="K17" s="2" t="str">
        <f>+K16</f>
        <v>Q323</v>
      </c>
    </row>
    <row r="18" spans="2:11">
      <c r="I18" s="1" t="s">
        <v>5</v>
      </c>
      <c r="J18" s="1">
        <f>+J15-J16+J17</f>
        <v>246854.77473280003</v>
      </c>
    </row>
    <row r="20" spans="2:11">
      <c r="I20" s="1" t="s">
        <v>120</v>
      </c>
      <c r="J20" s="16">
        <f>(1.52*4)/J13</f>
        <v>2.0697167755991286E-2</v>
      </c>
    </row>
    <row r="22" spans="2:11">
      <c r="B22" s="1" t="s">
        <v>146</v>
      </c>
      <c r="C22" s="3" t="s">
        <v>7</v>
      </c>
      <c r="D22" s="3" t="s">
        <v>75</v>
      </c>
      <c r="E22" s="3" t="s">
        <v>157</v>
      </c>
    </row>
    <row r="23" spans="2:11">
      <c r="B23" s="6" t="s">
        <v>147</v>
      </c>
      <c r="C23" s="42">
        <v>45327</v>
      </c>
      <c r="D23" s="1" t="s">
        <v>153</v>
      </c>
      <c r="E23" s="6" t="s">
        <v>158</v>
      </c>
    </row>
    <row r="24" spans="2:11">
      <c r="B24" s="6"/>
      <c r="C24" s="42" t="s">
        <v>155</v>
      </c>
      <c r="D24" s="1" t="s">
        <v>156</v>
      </c>
    </row>
    <row r="25" spans="2:11">
      <c r="B25" s="6"/>
      <c r="C25" s="42">
        <v>45250</v>
      </c>
      <c r="D25" s="1" t="s">
        <v>154</v>
      </c>
    </row>
    <row r="26" spans="2:11">
      <c r="C26" s="6" t="s">
        <v>148</v>
      </c>
      <c r="D26" s="3"/>
      <c r="H26" s="6"/>
    </row>
    <row r="27" spans="2:11">
      <c r="C27" s="6" t="s">
        <v>149</v>
      </c>
      <c r="D27" s="1" t="s">
        <v>76</v>
      </c>
      <c r="H27" s="6"/>
    </row>
    <row r="28" spans="2:11">
      <c r="C28" s="6" t="s">
        <v>150</v>
      </c>
      <c r="D28" s="1" t="s">
        <v>77</v>
      </c>
    </row>
    <row r="29" spans="2:11">
      <c r="C29" s="6" t="s">
        <v>151</v>
      </c>
      <c r="D29" s="1" t="s">
        <v>78</v>
      </c>
    </row>
    <row r="30" spans="2:11">
      <c r="C30" s="6" t="s">
        <v>152</v>
      </c>
      <c r="D30" s="1" t="s">
        <v>79</v>
      </c>
    </row>
    <row r="32" spans="2:11">
      <c r="C32" s="3" t="s">
        <v>123</v>
      </c>
    </row>
    <row r="33" spans="2:3">
      <c r="C33" s="6" t="s">
        <v>124</v>
      </c>
    </row>
    <row r="37" spans="2:3">
      <c r="B37" s="3" t="s">
        <v>159</v>
      </c>
    </row>
    <row r="38" spans="2:3">
      <c r="B38" s="6" t="s">
        <v>160</v>
      </c>
      <c r="C38" s="1" t="s">
        <v>161</v>
      </c>
    </row>
    <row r="39" spans="2:3">
      <c r="B39" s="1" t="s">
        <v>162</v>
      </c>
    </row>
  </sheetData>
  <hyperlinks>
    <hyperlink ref="C27" r:id="rId1" display="Press Release 8/24/21" xr:uid="{D72FFBBB-8C7F-794F-AE1A-440F5563FA9E}"/>
    <hyperlink ref="C28" r:id="rId2" display="Press Release 8/23/21" xr:uid="{BAB8D9DC-EEB5-7640-A71C-970EFDCC76E3}"/>
    <hyperlink ref="C29" r:id="rId3" display="Press Release 8/17/21" xr:uid="{EA0D4B25-29FB-0D4A-BA96-AB5FE06B663F}"/>
    <hyperlink ref="C30" r:id="rId4" display="Press Release 5/13/21" xr:uid="{2E7BD89E-83BF-724E-A075-085ED0D197EF}"/>
    <hyperlink ref="C26" r:id="rId5" display="Press Release 11/1/22" xr:uid="{7C6DD1EA-9EF8-3446-B52B-F8D7AABA2447}"/>
    <hyperlink ref="D4" r:id="rId6" xr:uid="{76C3B4E3-0B2D-B740-9CCC-3C0402955EDE}"/>
    <hyperlink ref="C33" r:id="rId7" xr:uid="{9357CE5F-ECA1-3744-92A2-6E2A6DE58C3B}"/>
    <hyperlink ref="D3" r:id="rId8" xr:uid="{0D1D7A66-C79F-B547-B4AB-19B1C3F947AF}"/>
    <hyperlink ref="D5" r:id="rId9" xr:uid="{393E2B7B-16A0-0C47-BFB4-C2D8AE1C2775}"/>
    <hyperlink ref="B23" r:id="rId10" xr:uid="{E33EDE6D-980A-CF4F-A59D-3FAC9727221E}"/>
    <hyperlink ref="C23" r:id="rId11" display="https://corporate.mcdonalds.com/content/dam/sites/corp/nfl/pdf/Exhibit 99.1 - Q4-23.pdf" xr:uid="{FE4A4FCE-1A34-DB43-B810-2B0D9DCCE5E8}"/>
    <hyperlink ref="C25" r:id="rId12" display="https://corporate.mcdonalds.com/corpmcd/our-stories/article/mcd-to-acquire-carlyles-stake-mcdonalds-china.html" xr:uid="{C8823DD8-447E-BE40-9E8D-BDFF9493FCFA}"/>
    <hyperlink ref="C24" r:id="rId13" xr:uid="{1A961DB5-B1F3-E34C-B7B0-6FE87CFEFC47}"/>
    <hyperlink ref="E23" r:id="rId14" xr:uid="{EF1BE2F8-FF37-1B43-B81E-62A2C48722BF}"/>
    <hyperlink ref="B38" r:id="rId15" xr:uid="{A021232C-1DBA-8844-82BC-C4927AF9B5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B3F7-7021-914A-A508-B96F72023C96}">
  <dimension ref="A2:HY110"/>
  <sheetViews>
    <sheetView zoomScale="120" zoomScaleNormal="120" workbookViewId="0">
      <pane xSplit="2" ySplit="2" topLeftCell="O3" activePane="bottomRight" state="frozen"/>
      <selection pane="topRight" activeCell="B1" sqref="B1"/>
      <selection pane="bottomLeft" activeCell="A3" sqref="A3"/>
      <selection pane="bottomRight" activeCell="R23" sqref="R23"/>
    </sheetView>
  </sheetViews>
  <sheetFormatPr baseColWidth="10" defaultColWidth="8.1640625" defaultRowHeight="14"/>
  <cols>
    <col min="1" max="1" width="3.1640625" style="7" customWidth="1"/>
    <col min="2" max="2" width="28" style="19" bestFit="1" customWidth="1"/>
    <col min="3" max="4" width="6.6640625" style="7" bestFit="1" customWidth="1"/>
    <col min="5" max="6" width="6.83203125" style="7" bestFit="1" customWidth="1"/>
    <col min="7" max="9" width="7" style="7" bestFit="1" customWidth="1"/>
    <col min="10" max="14" width="7.5" style="7" bestFit="1" customWidth="1"/>
    <col min="15" max="15" width="8" style="7" bestFit="1" customWidth="1"/>
    <col min="16" max="16" width="7.5" style="7" bestFit="1" customWidth="1"/>
    <col min="17" max="17" width="7.83203125" style="7" bestFit="1" customWidth="1"/>
    <col min="18" max="18" width="7.33203125" style="7" bestFit="1" customWidth="1"/>
    <col min="19" max="19" width="6.6640625" style="7" customWidth="1"/>
    <col min="20" max="30" width="7.33203125" style="7" customWidth="1"/>
    <col min="31" max="31" width="6" style="7" customWidth="1"/>
    <col min="32" max="37" width="5.6640625" style="7" customWidth="1"/>
    <col min="38" max="38" width="6.83203125" style="7" bestFit="1" customWidth="1"/>
    <col min="39" max="42" width="7.83203125" style="7" bestFit="1" customWidth="1"/>
    <col min="43" max="43" width="8.1640625" style="7" bestFit="1" customWidth="1"/>
    <col min="44" max="46" width="7.33203125" style="7" bestFit="1" customWidth="1"/>
    <col min="47" max="55" width="6.83203125" style="7" bestFit="1" customWidth="1"/>
    <col min="56" max="56" width="8" style="7" bestFit="1" customWidth="1"/>
    <col min="57" max="57" width="10.83203125" style="7" bestFit="1" customWidth="1"/>
    <col min="58" max="58" width="8" style="7" bestFit="1" customWidth="1"/>
    <col min="59" max="59" width="8.1640625" style="7" bestFit="1" customWidth="1"/>
    <col min="60" max="60" width="7.83203125" style="7" bestFit="1" customWidth="1"/>
    <col min="61" max="61" width="7.5" style="7" bestFit="1" customWidth="1"/>
    <col min="62" max="156" width="6.83203125" style="7" bestFit="1" customWidth="1"/>
    <col min="157" max="177" width="7.6640625" style="7" bestFit="1" customWidth="1"/>
    <col min="178" max="233" width="7.83203125" style="7" bestFit="1" customWidth="1"/>
    <col min="234" max="16384" width="8.1640625" style="7"/>
  </cols>
  <sheetData>
    <row r="2" spans="1:55" s="18" customFormat="1">
      <c r="A2" s="18" t="s">
        <v>145</v>
      </c>
      <c r="B2" s="17"/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8" t="s">
        <v>15</v>
      </c>
      <c r="K2" s="18" t="s">
        <v>16</v>
      </c>
      <c r="L2" s="18" t="s">
        <v>6</v>
      </c>
      <c r="M2" s="18" t="s">
        <v>17</v>
      </c>
      <c r="N2" s="18" t="s">
        <v>18</v>
      </c>
      <c r="O2" s="18" t="s">
        <v>80</v>
      </c>
      <c r="P2" s="18" t="s">
        <v>81</v>
      </c>
      <c r="Q2" s="18" t="s">
        <v>82</v>
      </c>
      <c r="R2" s="18" t="s">
        <v>83</v>
      </c>
      <c r="S2" s="18" t="s">
        <v>138</v>
      </c>
      <c r="T2" s="18" t="s">
        <v>139</v>
      </c>
      <c r="U2" s="18" t="s">
        <v>137</v>
      </c>
      <c r="V2" s="18" t="s">
        <v>140</v>
      </c>
      <c r="W2" s="18" t="s">
        <v>141</v>
      </c>
      <c r="X2" s="18" t="s">
        <v>142</v>
      </c>
      <c r="Y2" s="18" t="s">
        <v>143</v>
      </c>
      <c r="Z2" s="18" t="s">
        <v>144</v>
      </c>
      <c r="AE2" s="18">
        <v>2009</v>
      </c>
      <c r="AF2" s="18">
        <v>2010</v>
      </c>
      <c r="AG2" s="18">
        <v>2011</v>
      </c>
      <c r="AH2" s="18">
        <v>2012</v>
      </c>
      <c r="AI2" s="18">
        <v>2013</v>
      </c>
      <c r="AJ2" s="18">
        <v>2014</v>
      </c>
      <c r="AK2" s="18">
        <v>2015</v>
      </c>
      <c r="AL2" s="18">
        <v>2016</v>
      </c>
      <c r="AM2" s="18">
        <f>+AL2+1</f>
        <v>2017</v>
      </c>
      <c r="AN2" s="18">
        <f t="shared" ref="AN2:AZ2" si="0">+AM2+1</f>
        <v>2018</v>
      </c>
      <c r="AO2" s="18">
        <f t="shared" si="0"/>
        <v>2019</v>
      </c>
      <c r="AP2" s="18">
        <f t="shared" si="0"/>
        <v>2020</v>
      </c>
      <c r="AQ2" s="18">
        <f t="shared" si="0"/>
        <v>2021</v>
      </c>
      <c r="AR2" s="18">
        <f t="shared" si="0"/>
        <v>2022</v>
      </c>
      <c r="AS2" s="18">
        <f t="shared" si="0"/>
        <v>2023</v>
      </c>
      <c r="AT2" s="18">
        <f t="shared" si="0"/>
        <v>2024</v>
      </c>
      <c r="AU2" s="18">
        <f t="shared" si="0"/>
        <v>2025</v>
      </c>
      <c r="AV2" s="18">
        <f t="shared" si="0"/>
        <v>2026</v>
      </c>
      <c r="AW2" s="18">
        <f t="shared" si="0"/>
        <v>2027</v>
      </c>
      <c r="AX2" s="18">
        <f t="shared" si="0"/>
        <v>2028</v>
      </c>
      <c r="AY2" s="18">
        <f t="shared" si="0"/>
        <v>2029</v>
      </c>
      <c r="AZ2" s="18">
        <f t="shared" si="0"/>
        <v>2030</v>
      </c>
      <c r="BA2" s="18">
        <f t="shared" ref="BA2:BC2" si="1">+AZ2+1</f>
        <v>2031</v>
      </c>
      <c r="BB2" s="18">
        <f t="shared" si="1"/>
        <v>2032</v>
      </c>
      <c r="BC2" s="18">
        <f t="shared" si="1"/>
        <v>2033</v>
      </c>
    </row>
    <row r="3" spans="1:55">
      <c r="B3" s="19" t="s">
        <v>42</v>
      </c>
      <c r="C3" s="7">
        <v>35278</v>
      </c>
      <c r="D3" s="7">
        <v>35461</v>
      </c>
      <c r="E3" s="7">
        <v>35663</v>
      </c>
      <c r="F3" s="7">
        <f>13185+8787+14087</f>
        <v>36059</v>
      </c>
      <c r="G3" s="7">
        <v>36347</v>
      </c>
      <c r="H3" s="7">
        <v>36371</v>
      </c>
      <c r="I3" s="7">
        <v>36438</v>
      </c>
      <c r="J3" s="7">
        <f>13025+8841+14655</f>
        <v>36521</v>
      </c>
      <c r="K3" s="7">
        <v>36484</v>
      </c>
      <c r="L3" s="7">
        <v>36717</v>
      </c>
      <c r="M3" s="7">
        <v>36986</v>
      </c>
      <c r="N3" s="7">
        <f>12775+9020+15500</f>
        <v>37295</v>
      </c>
      <c r="O3" s="7">
        <v>37552</v>
      </c>
      <c r="P3" s="7">
        <v>37664</v>
      </c>
      <c r="Q3" s="7">
        <v>37930</v>
      </c>
      <c r="R3" s="7">
        <f>12751+9006+16412</f>
        <v>38169</v>
      </c>
      <c r="S3" s="7">
        <v>38417</v>
      </c>
      <c r="T3" s="7">
        <v>38674</v>
      </c>
      <c r="U3" s="7">
        <v>39054</v>
      </c>
      <c r="AM3" s="7">
        <v>34108</v>
      </c>
      <c r="AN3" s="7">
        <v>35085</v>
      </c>
      <c r="AO3" s="7">
        <f t="shared" ref="AO3:AO4" si="2">+F3</f>
        <v>36059</v>
      </c>
      <c r="AP3" s="7">
        <f>+J3</f>
        <v>36521</v>
      </c>
    </row>
    <row r="4" spans="1:55">
      <c r="B4" s="19" t="s">
        <v>43</v>
      </c>
      <c r="C4" s="7">
        <v>2693</v>
      </c>
      <c r="D4" s="7">
        <v>2647</v>
      </c>
      <c r="E4" s="7">
        <v>2635</v>
      </c>
      <c r="F4" s="7">
        <f>661+1678+297</f>
        <v>2636</v>
      </c>
      <c r="G4" s="7">
        <v>2637</v>
      </c>
      <c r="H4" s="7">
        <v>2649</v>
      </c>
      <c r="I4" s="7">
        <v>2658</v>
      </c>
      <c r="J4" s="7">
        <f>657+1719+301</f>
        <v>2677</v>
      </c>
      <c r="K4" s="7">
        <v>2676</v>
      </c>
      <c r="L4" s="7">
        <v>2679</v>
      </c>
      <c r="M4" s="7">
        <v>2690</v>
      </c>
      <c r="N4" s="7">
        <f>663+1765+308</f>
        <v>2736</v>
      </c>
      <c r="O4" s="7">
        <v>2792</v>
      </c>
      <c r="P4" s="7">
        <v>2032</v>
      </c>
      <c r="Q4" s="7">
        <v>2050</v>
      </c>
      <c r="R4" s="7">
        <f>693+1097+316</f>
        <v>2106</v>
      </c>
      <c r="S4" s="7">
        <v>2118</v>
      </c>
      <c r="T4" s="7">
        <v>2127</v>
      </c>
      <c r="U4" s="7">
        <v>2144</v>
      </c>
      <c r="AM4" s="7">
        <v>3133</v>
      </c>
      <c r="AN4" s="7">
        <v>2770</v>
      </c>
      <c r="AO4" s="7">
        <f t="shared" si="2"/>
        <v>2636</v>
      </c>
      <c r="AP4" s="7">
        <f>+J4</f>
        <v>2677</v>
      </c>
    </row>
    <row r="5" spans="1:55" s="21" customFormat="1">
      <c r="B5" s="20" t="s">
        <v>44</v>
      </c>
      <c r="C5" s="21">
        <f t="shared" ref="C5:K5" si="3">+C3+C4</f>
        <v>37971</v>
      </c>
      <c r="D5" s="21">
        <f t="shared" si="3"/>
        <v>38108</v>
      </c>
      <c r="E5" s="21">
        <f t="shared" si="3"/>
        <v>38298</v>
      </c>
      <c r="F5" s="21">
        <f t="shared" si="3"/>
        <v>38695</v>
      </c>
      <c r="G5" s="21">
        <f t="shared" si="3"/>
        <v>38984</v>
      </c>
      <c r="H5" s="21">
        <f t="shared" si="3"/>
        <v>39020</v>
      </c>
      <c r="I5" s="21">
        <f t="shared" si="3"/>
        <v>39096</v>
      </c>
      <c r="J5" s="21">
        <f t="shared" si="3"/>
        <v>39198</v>
      </c>
      <c r="K5" s="21">
        <f t="shared" si="3"/>
        <v>39160</v>
      </c>
      <c r="L5" s="21">
        <f>+L3+L4</f>
        <v>39396</v>
      </c>
      <c r="M5" s="21">
        <f t="shared" ref="M5:R5" si="4">+SUM(M3:M4)</f>
        <v>39676</v>
      </c>
      <c r="N5" s="21">
        <f t="shared" si="4"/>
        <v>40031</v>
      </c>
      <c r="O5" s="21">
        <f t="shared" si="4"/>
        <v>40344</v>
      </c>
      <c r="P5" s="21">
        <f t="shared" si="4"/>
        <v>39696</v>
      </c>
      <c r="Q5" s="21">
        <f t="shared" si="4"/>
        <v>39980</v>
      </c>
      <c r="R5" s="21">
        <f t="shared" si="4"/>
        <v>40275</v>
      </c>
      <c r="S5" s="21">
        <f t="shared" ref="S5:V5" si="5">+SUM(S3:S4)</f>
        <v>40535</v>
      </c>
      <c r="T5" s="21">
        <f t="shared" si="5"/>
        <v>40801</v>
      </c>
      <c r="U5" s="21">
        <f t="shared" si="5"/>
        <v>41198</v>
      </c>
      <c r="V5" s="21">
        <f t="shared" si="5"/>
        <v>0</v>
      </c>
      <c r="AM5" s="21">
        <f>+D5</f>
        <v>38108</v>
      </c>
      <c r="AN5" s="21">
        <f>+E5</f>
        <v>38298</v>
      </c>
      <c r="AO5" s="21">
        <f>+F5</f>
        <v>38695</v>
      </c>
      <c r="AP5" s="21">
        <f>+J5</f>
        <v>39198</v>
      </c>
      <c r="AQ5" s="21">
        <f>+N5</f>
        <v>40031</v>
      </c>
      <c r="AR5" s="21">
        <f>+R5</f>
        <v>40275</v>
      </c>
      <c r="AS5" s="21">
        <f>+U5</f>
        <v>41198</v>
      </c>
      <c r="AT5" s="21">
        <f t="shared" ref="AT5:BC5" si="6">+AS5+AT6</f>
        <v>43298</v>
      </c>
      <c r="AU5" s="21">
        <f>+AT5+AU6</f>
        <v>45408</v>
      </c>
      <c r="AV5" s="21">
        <f>+AU5+AV6</f>
        <v>47528</v>
      </c>
      <c r="AW5" s="21">
        <v>50000</v>
      </c>
      <c r="AX5" s="21">
        <f t="shared" si="6"/>
        <v>52140</v>
      </c>
      <c r="AY5" s="21">
        <f t="shared" si="6"/>
        <v>54290</v>
      </c>
      <c r="AZ5" s="21">
        <f t="shared" si="6"/>
        <v>56450</v>
      </c>
      <c r="BA5" s="21">
        <f t="shared" si="6"/>
        <v>58620</v>
      </c>
      <c r="BB5" s="21">
        <f t="shared" si="6"/>
        <v>60800</v>
      </c>
      <c r="BC5" s="21">
        <f t="shared" si="6"/>
        <v>62990</v>
      </c>
    </row>
    <row r="6" spans="1:55" s="29" customFormat="1">
      <c r="B6" s="32"/>
      <c r="G6" s="33"/>
      <c r="H6" s="33"/>
      <c r="I6" s="33"/>
      <c r="J6" s="33"/>
      <c r="K6" s="33"/>
      <c r="L6" s="33"/>
      <c r="AN6" s="29">
        <f t="shared" ref="AN6:AO6" si="7">+AN5-AM5</f>
        <v>190</v>
      </c>
      <c r="AO6" s="29">
        <f t="shared" si="7"/>
        <v>397</v>
      </c>
      <c r="AP6" s="29">
        <f>+AP5-AO5</f>
        <v>503</v>
      </c>
      <c r="AQ6" s="29">
        <f>+AQ5-AP5</f>
        <v>833</v>
      </c>
      <c r="AR6" s="29">
        <f>+AR5-AQ5</f>
        <v>244</v>
      </c>
      <c r="AS6" s="29">
        <f>+AS5-AR5</f>
        <v>923</v>
      </c>
      <c r="AT6" s="34">
        <v>2100</v>
      </c>
      <c r="AU6" s="34">
        <f>+AT6+10</f>
        <v>2110</v>
      </c>
      <c r="AV6" s="34">
        <f t="shared" ref="AV6:BC6" si="8">+AU6+10</f>
        <v>2120</v>
      </c>
      <c r="AW6" s="34">
        <f t="shared" si="8"/>
        <v>2130</v>
      </c>
      <c r="AX6" s="34">
        <f t="shared" si="8"/>
        <v>2140</v>
      </c>
      <c r="AY6" s="34">
        <f t="shared" si="8"/>
        <v>2150</v>
      </c>
      <c r="AZ6" s="34">
        <f t="shared" si="8"/>
        <v>2160</v>
      </c>
      <c r="BA6" s="34">
        <f t="shared" si="8"/>
        <v>2170</v>
      </c>
      <c r="BB6" s="34">
        <f t="shared" si="8"/>
        <v>2180</v>
      </c>
      <c r="BC6" s="34">
        <f t="shared" si="8"/>
        <v>2190</v>
      </c>
    </row>
    <row r="7" spans="1:55" s="30" customFormat="1">
      <c r="B7" s="17" t="s">
        <v>45</v>
      </c>
      <c r="C7" s="30">
        <f t="shared" ref="C7:K7" si="9">+C14/(C5/1000)</f>
        <v>132.3141344710437</v>
      </c>
      <c r="D7" s="30">
        <f t="shared" si="9"/>
        <v>141.95969350267663</v>
      </c>
      <c r="E7" s="30">
        <f t="shared" si="9"/>
        <v>143.67068776437412</v>
      </c>
      <c r="F7" s="30">
        <f t="shared" si="9"/>
        <v>140.28169014084506</v>
      </c>
      <c r="G7" s="30">
        <f t="shared" si="9"/>
        <v>120.93166427252207</v>
      </c>
      <c r="H7" s="30">
        <f t="shared" si="9"/>
        <v>96.399282419272154</v>
      </c>
      <c r="I7" s="30">
        <f t="shared" si="9"/>
        <v>138.58450992428894</v>
      </c>
      <c r="J7" s="30">
        <f t="shared" si="9"/>
        <v>135.5630389305577</v>
      </c>
      <c r="K7" s="30">
        <f t="shared" si="9"/>
        <v>130.86312563840653</v>
      </c>
      <c r="L7" s="30">
        <f>+L14/(L5/1000)</f>
        <v>149.45425931566655</v>
      </c>
      <c r="M7" s="30">
        <f>+M14/(M5/1000)</f>
        <v>156.29851799576571</v>
      </c>
      <c r="N7" s="30">
        <f>+N14/(N5/1000)</f>
        <v>150.11116384801778</v>
      </c>
      <c r="O7" s="30">
        <f t="shared" ref="O7:Q7" si="10">+O14/(O5/1000)</f>
        <v>140.4322823716042</v>
      </c>
      <c r="P7" s="30">
        <f t="shared" si="10"/>
        <v>144.0548166062072</v>
      </c>
      <c r="Q7" s="30">
        <f t="shared" si="10"/>
        <v>146.87593796898452</v>
      </c>
      <c r="R7" s="30">
        <f t="shared" ref="R7:U7" si="11">+R14/(R5/1000)</f>
        <v>147.15083798882682</v>
      </c>
      <c r="S7" s="30">
        <f t="shared" si="11"/>
        <v>145.49895152337487</v>
      </c>
      <c r="T7" s="30">
        <f t="shared" si="11"/>
        <v>159.24854782971005</v>
      </c>
      <c r="U7" s="30">
        <f t="shared" si="11"/>
        <v>162.43992426816834</v>
      </c>
    </row>
    <row r="8" spans="1:55" s="30" customFormat="1">
      <c r="B8" s="17" t="s">
        <v>115</v>
      </c>
      <c r="C8" s="30">
        <f t="shared" ref="C8:K8" si="12">+C7*4</f>
        <v>529.2565378841748</v>
      </c>
      <c r="D8" s="30">
        <f t="shared" si="12"/>
        <v>567.83877401070652</v>
      </c>
      <c r="E8" s="30">
        <f t="shared" si="12"/>
        <v>574.68275105749649</v>
      </c>
      <c r="F8" s="30">
        <f t="shared" si="12"/>
        <v>561.12676056338023</v>
      </c>
      <c r="G8" s="30">
        <f t="shared" si="12"/>
        <v>483.72665709008828</v>
      </c>
      <c r="H8" s="30">
        <f t="shared" si="12"/>
        <v>385.59712967708862</v>
      </c>
      <c r="I8" s="30">
        <f t="shared" si="12"/>
        <v>554.33803969715575</v>
      </c>
      <c r="J8" s="30">
        <f t="shared" si="12"/>
        <v>542.25215572223078</v>
      </c>
      <c r="K8" s="30">
        <f t="shared" si="12"/>
        <v>523.45250255362612</v>
      </c>
      <c r="L8" s="30">
        <f>+L7*4</f>
        <v>597.81703726266619</v>
      </c>
      <c r="M8" s="30">
        <f>+M7*4</f>
        <v>625.19407198306283</v>
      </c>
      <c r="N8" s="30">
        <f t="shared" ref="N8" si="13">+N7*4</f>
        <v>600.44465539207113</v>
      </c>
      <c r="O8" s="30">
        <f t="shared" ref="O8" si="14">+O7*4</f>
        <v>561.72912948641681</v>
      </c>
      <c r="P8" s="30">
        <f t="shared" ref="P8" si="15">+P7*4</f>
        <v>576.21926642482879</v>
      </c>
      <c r="Q8" s="30">
        <f t="shared" ref="Q8" si="16">+Q7*4</f>
        <v>587.50375187593806</v>
      </c>
      <c r="R8" s="30">
        <f t="shared" ref="R8:U8" si="17">+R7*4</f>
        <v>588.60335195530729</v>
      </c>
      <c r="S8" s="30">
        <f t="shared" si="17"/>
        <v>581.99580609349948</v>
      </c>
      <c r="T8" s="30">
        <f t="shared" si="17"/>
        <v>636.99419131884019</v>
      </c>
      <c r="U8" s="30">
        <f t="shared" si="17"/>
        <v>649.75969707267336</v>
      </c>
      <c r="AN8" s="30">
        <f t="shared" ref="AN8:AS8" si="18">+AN14/(AN5/1000)</f>
        <v>555.073371977649</v>
      </c>
      <c r="AO8" s="30">
        <f t="shared" si="18"/>
        <v>552.12301330921309</v>
      </c>
      <c r="AP8" s="30">
        <f t="shared" si="18"/>
        <v>490.01989897443752</v>
      </c>
      <c r="AQ8" s="30">
        <f t="shared" si="18"/>
        <v>580.12290474881968</v>
      </c>
      <c r="AR8" s="30">
        <f t="shared" si="18"/>
        <v>575.60769708255737</v>
      </c>
      <c r="AS8" s="30">
        <f t="shared" si="18"/>
        <v>618.80916549347057</v>
      </c>
      <c r="AT8" s="30">
        <f t="shared" ref="AT8:BC8" si="19">+AS8*(1+AT9)</f>
        <v>637.37344045827467</v>
      </c>
      <c r="AU8" s="30">
        <f t="shared" si="19"/>
        <v>656.4946436720229</v>
      </c>
      <c r="AV8" s="30">
        <f t="shared" si="19"/>
        <v>676.18948298218356</v>
      </c>
      <c r="AW8" s="30">
        <f t="shared" si="19"/>
        <v>696.47516747164912</v>
      </c>
      <c r="AX8" s="30">
        <f t="shared" si="19"/>
        <v>717.36942249579863</v>
      </c>
      <c r="AY8" s="30">
        <f t="shared" si="19"/>
        <v>738.89050517067255</v>
      </c>
      <c r="AZ8" s="30">
        <f t="shared" si="19"/>
        <v>761.05722032579274</v>
      </c>
      <c r="BA8" s="30">
        <f t="shared" si="19"/>
        <v>783.88893693556656</v>
      </c>
      <c r="BB8" s="30">
        <f t="shared" si="19"/>
        <v>807.40560504363361</v>
      </c>
      <c r="BC8" s="30">
        <f t="shared" si="19"/>
        <v>831.62777319494262</v>
      </c>
    </row>
    <row r="9" spans="1:55" s="30" customFormat="1">
      <c r="B9" s="17"/>
      <c r="G9" s="22">
        <f t="shared" ref="G9:K9" si="20">+G7/C7-1</f>
        <v>-8.6026109334620071E-2</v>
      </c>
      <c r="H9" s="22">
        <f t="shared" si="20"/>
        <v>-0.32093906347117773</v>
      </c>
      <c r="I9" s="22">
        <f t="shared" si="20"/>
        <v>-3.5401639118111006E-2</v>
      </c>
      <c r="J9" s="22">
        <f t="shared" si="20"/>
        <v>-3.3636971478956057E-2</v>
      </c>
      <c r="K9" s="22">
        <f t="shared" si="20"/>
        <v>8.212457362286596E-2</v>
      </c>
      <c r="L9" s="22">
        <f>+L7/H7-1</f>
        <v>0.55036692768770701</v>
      </c>
      <c r="M9" s="22">
        <f t="shared" ref="M9:O9" si="21">+M7/I7-1</f>
        <v>0.12782098144413268</v>
      </c>
      <c r="N9" s="22">
        <f t="shared" si="21"/>
        <v>0.10731630857664953</v>
      </c>
      <c r="O9" s="22">
        <f t="shared" si="21"/>
        <v>7.3123400396522875E-2</v>
      </c>
      <c r="P9" s="22">
        <f t="shared" ref="P9" si="22">+P7/L7-1</f>
        <v>-3.6127727200166548E-2</v>
      </c>
      <c r="Q9" s="22">
        <f t="shared" ref="Q9" si="23">+Q7/M7-1</f>
        <v>-6.0285792518112391E-2</v>
      </c>
      <c r="R9" s="22">
        <f t="shared" ref="R9" si="24">+R7/N7-1</f>
        <v>-1.9720890727275897E-2</v>
      </c>
      <c r="S9" s="22">
        <f t="shared" ref="S9" si="25">+S7/O7-1</f>
        <v>3.6079091404094044E-2</v>
      </c>
      <c r="T9" s="22">
        <f t="shared" ref="T9" si="26">+T7/P7-1</f>
        <v>0.10547187231536248</v>
      </c>
      <c r="U9" s="22">
        <f t="shared" ref="U9" si="27">+U7/Q7-1</f>
        <v>0.10596688956955247</v>
      </c>
      <c r="V9" s="22"/>
      <c r="W9" s="22"/>
      <c r="X9" s="22"/>
      <c r="Y9" s="22"/>
      <c r="AO9" s="22">
        <f t="shared" ref="AO9:AS9" si="28">+AO8/AN8-1</f>
        <v>-5.3152588781627541E-3</v>
      </c>
      <c r="AP9" s="22">
        <f t="shared" si="28"/>
        <v>-0.11248057559230029</v>
      </c>
      <c r="AQ9" s="22">
        <f t="shared" si="28"/>
        <v>0.18387621801269449</v>
      </c>
      <c r="AR9" s="22">
        <f t="shared" si="28"/>
        <v>-7.7831915087326342E-3</v>
      </c>
      <c r="AS9" s="22">
        <f t="shared" si="28"/>
        <v>7.5053666985132272E-2</v>
      </c>
      <c r="AT9" s="35">
        <v>0.03</v>
      </c>
      <c r="AU9" s="35">
        <v>0.03</v>
      </c>
      <c r="AV9" s="35">
        <v>0.03</v>
      </c>
      <c r="AW9" s="35">
        <v>0.03</v>
      </c>
      <c r="AX9" s="35">
        <v>0.03</v>
      </c>
      <c r="AY9" s="35">
        <v>0.03</v>
      </c>
      <c r="AZ9" s="35">
        <v>0.03</v>
      </c>
      <c r="BA9" s="35">
        <v>0.03</v>
      </c>
      <c r="BB9" s="35">
        <v>0.03</v>
      </c>
      <c r="BC9" s="35">
        <v>0.03</v>
      </c>
    </row>
    <row r="10" spans="1:55" s="30" customFormat="1">
      <c r="B10" s="17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</row>
    <row r="11" spans="1:55">
      <c r="B11" s="19" t="s">
        <v>19</v>
      </c>
      <c r="C11" s="7">
        <v>2240.5</v>
      </c>
      <c r="D11" s="7">
        <v>2400.4</v>
      </c>
      <c r="E11" s="7">
        <v>2416.6</v>
      </c>
      <c r="F11" s="7">
        <v>2363.3000000000002</v>
      </c>
      <c r="G11" s="7">
        <v>2025.8</v>
      </c>
      <c r="H11" s="7">
        <v>1593.7</v>
      </c>
      <c r="I11" s="7">
        <v>2286.4</v>
      </c>
      <c r="J11" s="7">
        <v>2233.3000000000002</v>
      </c>
      <c r="K11" s="7">
        <v>2161.5</v>
      </c>
      <c r="L11" s="7">
        <v>2488.6999999999998</v>
      </c>
      <c r="M11" s="7">
        <v>2598.4</v>
      </c>
      <c r="N11" s="7">
        <v>2538.8000000000002</v>
      </c>
      <c r="O11" s="7">
        <v>2302.4</v>
      </c>
      <c r="P11" s="7">
        <v>2112.8000000000002</v>
      </c>
      <c r="Q11" s="7">
        <v>2124.8000000000002</v>
      </c>
      <c r="R11" s="7">
        <v>2208.4</v>
      </c>
      <c r="S11" s="7">
        <v>2224.3000000000002</v>
      </c>
      <c r="T11" s="7">
        <v>2487</v>
      </c>
      <c r="U11" s="7">
        <v>2556.1999999999998</v>
      </c>
      <c r="V11" s="7">
        <v>2474.1</v>
      </c>
      <c r="AL11" s="7">
        <v>15295</v>
      </c>
      <c r="AM11" s="7">
        <v>12718.9</v>
      </c>
      <c r="AN11" s="7">
        <v>10012.700000000001</v>
      </c>
      <c r="AO11" s="7">
        <v>9420.7999999999993</v>
      </c>
      <c r="AP11" s="7">
        <v>8139.2</v>
      </c>
      <c r="AQ11" s="7">
        <v>9787.4</v>
      </c>
      <c r="AR11" s="7">
        <f>SUM(O11:R11)</f>
        <v>8748.4000000000015</v>
      </c>
      <c r="AS11" s="7">
        <f t="shared" ref="AS11:AS29" si="29">SUM(S11:V11)</f>
        <v>9741.6</v>
      </c>
    </row>
    <row r="12" spans="1:55">
      <c r="B12" s="19" t="s">
        <v>20</v>
      </c>
      <c r="C12" s="7">
        <v>2715.1</v>
      </c>
      <c r="D12" s="7">
        <v>2940.9</v>
      </c>
      <c r="E12" s="7">
        <v>3014</v>
      </c>
      <c r="F12" s="7">
        <v>2985.7</v>
      </c>
      <c r="G12" s="7">
        <v>2608</v>
      </c>
      <c r="H12" s="7">
        <v>2088</v>
      </c>
      <c r="I12" s="7">
        <v>3044.8</v>
      </c>
      <c r="J12" s="7">
        <v>2985.3</v>
      </c>
      <c r="K12" s="7">
        <v>2877.4</v>
      </c>
      <c r="L12" s="7">
        <v>3306.2</v>
      </c>
      <c r="M12" s="7">
        <v>3510.2</v>
      </c>
      <c r="N12" s="7">
        <v>3391.6</v>
      </c>
      <c r="O12" s="7">
        <v>3262.8</v>
      </c>
      <c r="P12" s="7">
        <v>3526.8</v>
      </c>
      <c r="Q12" s="7">
        <v>3671.2</v>
      </c>
      <c r="R12" s="7">
        <v>3645</v>
      </c>
      <c r="S12" s="7">
        <v>3587.5</v>
      </c>
      <c r="T12" s="7">
        <v>3933.3</v>
      </c>
      <c r="U12" s="7">
        <v>4047.1</v>
      </c>
      <c r="V12" s="7">
        <v>3868.6</v>
      </c>
      <c r="AL12" s="7">
        <v>9327</v>
      </c>
      <c r="AM12" s="7">
        <v>10101.5</v>
      </c>
      <c r="AN12" s="7">
        <v>11012.5</v>
      </c>
      <c r="AO12" s="7">
        <v>11655.7</v>
      </c>
      <c r="AP12" s="7">
        <v>10726.1</v>
      </c>
      <c r="AQ12" s="7">
        <v>13085.4</v>
      </c>
      <c r="AR12" s="7">
        <f t="shared" ref="AR12:AR29" si="30">SUM(O12:R12)</f>
        <v>14105.8</v>
      </c>
      <c r="AS12" s="7">
        <f t="shared" si="29"/>
        <v>15436.5</v>
      </c>
    </row>
    <row r="13" spans="1:55">
      <c r="B13" s="19" t="s">
        <v>21</v>
      </c>
      <c r="C13" s="7">
        <v>68.5</v>
      </c>
      <c r="D13" s="7">
        <v>68.5</v>
      </c>
      <c r="E13" s="7">
        <v>71.7</v>
      </c>
      <c r="F13" s="7">
        <v>79.2</v>
      </c>
      <c r="G13" s="7">
        <v>80.599999999999994</v>
      </c>
      <c r="H13" s="7">
        <v>79.8</v>
      </c>
      <c r="I13" s="7">
        <v>86.9</v>
      </c>
      <c r="J13" s="7">
        <v>95.2</v>
      </c>
      <c r="K13" s="7">
        <v>85.7</v>
      </c>
      <c r="L13" s="7">
        <v>93</v>
      </c>
      <c r="M13" s="7">
        <v>92.7</v>
      </c>
      <c r="N13" s="7">
        <v>78.7</v>
      </c>
      <c r="O13" s="7">
        <v>100.4</v>
      </c>
      <c r="P13" s="7">
        <v>78.8</v>
      </c>
      <c r="Q13" s="7">
        <v>76.099999999999994</v>
      </c>
      <c r="R13" s="7">
        <v>73.099999999999994</v>
      </c>
      <c r="S13" s="7">
        <v>86</v>
      </c>
      <c r="T13" s="7">
        <v>77.2</v>
      </c>
      <c r="U13" s="7">
        <v>88.9</v>
      </c>
      <c r="V13" s="7">
        <v>63.5</v>
      </c>
      <c r="AL13" s="7">
        <v>151</v>
      </c>
      <c r="AM13" s="7">
        <v>140</v>
      </c>
      <c r="AN13" s="7">
        <v>233</v>
      </c>
      <c r="AO13" s="7">
        <v>287.89999999999998</v>
      </c>
      <c r="AP13" s="7">
        <v>342.5</v>
      </c>
      <c r="AQ13" s="7">
        <v>350.1</v>
      </c>
      <c r="AR13" s="7">
        <f t="shared" si="30"/>
        <v>328.4</v>
      </c>
      <c r="AS13" s="7">
        <f t="shared" si="29"/>
        <v>315.60000000000002</v>
      </c>
    </row>
    <row r="14" spans="1:55">
      <c r="B14" s="19" t="s">
        <v>22</v>
      </c>
      <c r="C14" s="7">
        <f t="shared" ref="C14:L14" si="31">+SUM(C11:C13)</f>
        <v>5024.1000000000004</v>
      </c>
      <c r="D14" s="7">
        <f t="shared" si="31"/>
        <v>5409.8</v>
      </c>
      <c r="E14" s="7">
        <f t="shared" si="31"/>
        <v>5502.3</v>
      </c>
      <c r="F14" s="7">
        <f t="shared" si="31"/>
        <v>5428.2</v>
      </c>
      <c r="G14" s="7">
        <f t="shared" si="31"/>
        <v>4714.4000000000005</v>
      </c>
      <c r="H14" s="7">
        <f t="shared" si="31"/>
        <v>3761.5</v>
      </c>
      <c r="I14" s="7">
        <f t="shared" si="31"/>
        <v>5418.1</v>
      </c>
      <c r="J14" s="7">
        <f t="shared" si="31"/>
        <v>5313.8</v>
      </c>
      <c r="K14" s="7">
        <f t="shared" si="31"/>
        <v>5124.5999999999995</v>
      </c>
      <c r="L14" s="7">
        <f t="shared" si="31"/>
        <v>5887.9</v>
      </c>
      <c r="M14" s="7">
        <f t="shared" ref="M14:V14" si="32">+SUM(M11:M13)</f>
        <v>6201.3</v>
      </c>
      <c r="N14" s="7">
        <f t="shared" si="32"/>
        <v>6009.0999999999995</v>
      </c>
      <c r="O14" s="7">
        <f t="shared" si="32"/>
        <v>5665.6</v>
      </c>
      <c r="P14" s="7">
        <f t="shared" si="32"/>
        <v>5718.4000000000005</v>
      </c>
      <c r="Q14" s="7">
        <f t="shared" si="32"/>
        <v>5872.1</v>
      </c>
      <c r="R14" s="7">
        <f t="shared" si="32"/>
        <v>5926.5</v>
      </c>
      <c r="S14" s="7">
        <f t="shared" si="32"/>
        <v>5897.8</v>
      </c>
      <c r="T14" s="7">
        <f t="shared" si="32"/>
        <v>6497.5</v>
      </c>
      <c r="U14" s="7">
        <f t="shared" si="32"/>
        <v>6692.1999999999989</v>
      </c>
      <c r="V14" s="7">
        <f t="shared" si="32"/>
        <v>6406.2</v>
      </c>
      <c r="AL14" s="7">
        <f>+SUM(AL11:AL13)</f>
        <v>24773</v>
      </c>
      <c r="AM14" s="7">
        <f>+SUM(AM11:AM13)</f>
        <v>22960.400000000001</v>
      </c>
      <c r="AN14" s="7">
        <f>+SUM(AN11:AN13)</f>
        <v>21258.2</v>
      </c>
      <c r="AO14" s="7">
        <f>SUM(C14:F14)</f>
        <v>21364.400000000001</v>
      </c>
      <c r="AP14" s="7">
        <f>SUM(G14:J14)</f>
        <v>19207.800000000003</v>
      </c>
      <c r="AQ14" s="7">
        <f>SUM(K14:N14)</f>
        <v>23222.899999999998</v>
      </c>
      <c r="AR14" s="7">
        <f t="shared" si="30"/>
        <v>23182.6</v>
      </c>
      <c r="AS14" s="7">
        <f t="shared" si="29"/>
        <v>25493.7</v>
      </c>
      <c r="AT14" s="7">
        <f>+AT5*AT8/1000</f>
        <v>27596.995224962375</v>
      </c>
      <c r="AU14" s="7">
        <f>+AU5*AU8/1000</f>
        <v>29810.108779859216</v>
      </c>
      <c r="AV14" s="7">
        <f>+AV5*AV8/1000</f>
        <v>32137.93374717722</v>
      </c>
      <c r="AW14" s="7">
        <f>+AW5*AW8/1000</f>
        <v>34823.758373582452</v>
      </c>
      <c r="AX14" s="7">
        <f t="shared" ref="AX14:AZ14" si="33">+AX5*AX8/1000</f>
        <v>37403.64168893094</v>
      </c>
      <c r="AY14" s="7">
        <f t="shared" si="33"/>
        <v>40114.36552571581</v>
      </c>
      <c r="AZ14" s="7">
        <f t="shared" si="33"/>
        <v>42961.680087391003</v>
      </c>
      <c r="BA14" s="7">
        <f t="shared" ref="BA14:BB14" si="34">+BA5*BA8/1000</f>
        <v>45951.569483162908</v>
      </c>
      <c r="BB14" s="7">
        <f t="shared" si="34"/>
        <v>49090.260786652922</v>
      </c>
      <c r="BC14" s="7">
        <f t="shared" ref="BC14" si="35">+BC5*BC8/1000</f>
        <v>52384.233433549431</v>
      </c>
    </row>
    <row r="15" spans="1:55">
      <c r="B15" s="19" t="s">
        <v>23</v>
      </c>
      <c r="C15" s="7">
        <v>1886.2</v>
      </c>
      <c r="D15" s="7">
        <v>1967.1</v>
      </c>
      <c r="E15" s="7">
        <v>1967.7</v>
      </c>
      <c r="F15" s="7">
        <v>1939.6</v>
      </c>
      <c r="G15" s="7">
        <v>1752.8</v>
      </c>
      <c r="H15" s="7">
        <v>1448.4</v>
      </c>
      <c r="I15" s="7">
        <v>1876.3</v>
      </c>
      <c r="J15" s="7">
        <v>1903.7</v>
      </c>
      <c r="K15" s="7">
        <v>1817.6</v>
      </c>
      <c r="L15" s="7">
        <v>2021</v>
      </c>
      <c r="M15" s="7">
        <v>2108.4</v>
      </c>
      <c r="N15" s="7">
        <v>2100.3000000000002</v>
      </c>
      <c r="O15" s="7">
        <v>1959.2</v>
      </c>
      <c r="P15" s="7">
        <v>1769.8</v>
      </c>
      <c r="Q15" s="7">
        <v>1779.6</v>
      </c>
      <c r="R15" s="7">
        <v>1872.3</v>
      </c>
      <c r="S15" s="7">
        <v>1923.1</v>
      </c>
      <c r="T15" s="7">
        <v>2091.3000000000002</v>
      </c>
      <c r="U15" s="7">
        <v>2135</v>
      </c>
      <c r="V15" s="7">
        <v>2074.6999999999998</v>
      </c>
      <c r="AM15" s="7">
        <v>4033.5</v>
      </c>
      <c r="AN15" s="7">
        <v>3153.8</v>
      </c>
      <c r="AO15" s="7">
        <f t="shared" ref="AO15:AO27" si="36">SUM(C15:F15)</f>
        <v>7760.6</v>
      </c>
      <c r="AP15" s="7">
        <f t="shared" ref="AP15:AP27" si="37">SUM(G15:J15)</f>
        <v>6981.2</v>
      </c>
      <c r="AQ15" s="7">
        <f t="shared" ref="AQ15:AQ29" si="38">SUM(K15:N15)</f>
        <v>8047.3</v>
      </c>
      <c r="AR15" s="7">
        <f t="shared" si="30"/>
        <v>7380.9000000000005</v>
      </c>
      <c r="AS15" s="7">
        <f t="shared" si="29"/>
        <v>8224.0999999999985</v>
      </c>
      <c r="AT15" s="7">
        <f t="shared" ref="AT15:AZ15" si="39">+AT14*(AS15/AS14)</f>
        <v>8902.6092104956533</v>
      </c>
      <c r="AU15" s="7">
        <f t="shared" si="39"/>
        <v>9616.5450921772881</v>
      </c>
      <c r="AV15" s="7">
        <f t="shared" si="39"/>
        <v>10367.486121283302</v>
      </c>
      <c r="AW15" s="7">
        <f t="shared" si="39"/>
        <v>11233.915486578229</v>
      </c>
      <c r="AX15" s="7">
        <f t="shared" si="39"/>
        <v>12066.168881485892</v>
      </c>
      <c r="AY15" s="7">
        <f t="shared" si="39"/>
        <v>12940.630568338034</v>
      </c>
      <c r="AZ15" s="7">
        <f t="shared" si="39"/>
        <v>13859.15552496155</v>
      </c>
      <c r="BA15" s="7">
        <f t="shared" ref="BA15:BC15" si="40">+BA14*(AZ15/AZ14)</f>
        <v>14823.674185641159</v>
      </c>
      <c r="BB15" s="7">
        <f t="shared" si="40"/>
        <v>15836.195363384375</v>
      </c>
      <c r="BC15" s="7">
        <f t="shared" si="40"/>
        <v>16898.809281542257</v>
      </c>
    </row>
    <row r="16" spans="1:55">
      <c r="B16" s="19" t="s">
        <v>24</v>
      </c>
      <c r="C16" s="7">
        <v>533.1</v>
      </c>
      <c r="D16" s="7">
        <v>544.70000000000005</v>
      </c>
      <c r="E16" s="7">
        <v>559.5</v>
      </c>
      <c r="F16" s="7">
        <v>563.29999999999995</v>
      </c>
      <c r="G16" s="7">
        <v>554.20000000000005</v>
      </c>
      <c r="H16" s="7">
        <v>524.5</v>
      </c>
      <c r="I16" s="7">
        <v>567.9</v>
      </c>
      <c r="J16" s="7">
        <v>560.9</v>
      </c>
      <c r="K16" s="7">
        <v>571.6</v>
      </c>
      <c r="L16" s="7">
        <v>579.1</v>
      </c>
      <c r="M16" s="7">
        <v>592.6</v>
      </c>
      <c r="N16" s="7">
        <v>591.79999999999995</v>
      </c>
      <c r="O16" s="7">
        <v>584</v>
      </c>
      <c r="P16" s="7">
        <v>588.6</v>
      </c>
      <c r="Q16" s="7">
        <v>589</v>
      </c>
      <c r="R16" s="7">
        <v>588.1</v>
      </c>
      <c r="S16" s="7">
        <v>598.29999999999995</v>
      </c>
      <c r="T16" s="7">
        <v>618.20000000000005</v>
      </c>
      <c r="U16" s="7">
        <v>625.4</v>
      </c>
      <c r="V16" s="7">
        <v>632.70000000000005</v>
      </c>
      <c r="AM16" s="7">
        <v>3528.5</v>
      </c>
      <c r="AN16" s="7">
        <v>2937.9</v>
      </c>
      <c r="AO16" s="7">
        <f t="shared" si="36"/>
        <v>2200.6000000000004</v>
      </c>
      <c r="AP16" s="7">
        <f t="shared" si="37"/>
        <v>2207.5</v>
      </c>
      <c r="AQ16" s="7">
        <f t="shared" si="38"/>
        <v>2335.1000000000004</v>
      </c>
      <c r="AR16" s="7">
        <f t="shared" si="30"/>
        <v>2349.6999999999998</v>
      </c>
      <c r="AS16" s="7">
        <f t="shared" si="29"/>
        <v>2474.6000000000004</v>
      </c>
      <c r="AT16" s="7">
        <f t="shared" ref="AT16:AZ16" si="41">+AT$14*(AS16/AS$14)</f>
        <v>2678.7608069323755</v>
      </c>
      <c r="AU16" s="7">
        <f t="shared" si="41"/>
        <v>2893.5813627146954</v>
      </c>
      <c r="AV16" s="7">
        <f t="shared" si="41"/>
        <v>3119.5366247647362</v>
      </c>
      <c r="AW16" s="7">
        <f t="shared" si="41"/>
        <v>3380.2418821617557</v>
      </c>
      <c r="AX16" s="7">
        <f t="shared" si="41"/>
        <v>3630.6637217598277</v>
      </c>
      <c r="AY16" s="7">
        <f t="shared" si="41"/>
        <v>3893.7858737623947</v>
      </c>
      <c r="AZ16" s="7">
        <f t="shared" si="41"/>
        <v>4170.1664938497661</v>
      </c>
      <c r="BA16" s="7">
        <f t="shared" ref="BA16:BC17" si="42">+BA$14*(AZ16/AZ$14)</f>
        <v>4460.3864422596534</v>
      </c>
      <c r="BB16" s="7">
        <f t="shared" si="42"/>
        <v>4765.0501630854415</v>
      </c>
      <c r="BC16" s="7">
        <f t="shared" si="42"/>
        <v>5084.7865964791863</v>
      </c>
    </row>
    <row r="17" spans="2:233">
      <c r="B17" s="19" t="s">
        <v>25</v>
      </c>
      <c r="C17" s="7">
        <v>53.3</v>
      </c>
      <c r="D17" s="7">
        <v>55.4</v>
      </c>
      <c r="E17" s="7">
        <v>57.5</v>
      </c>
      <c r="F17" s="7">
        <v>57.6</v>
      </c>
      <c r="G17" s="7">
        <v>65.5</v>
      </c>
      <c r="H17" s="7">
        <v>63.3</v>
      </c>
      <c r="I17" s="7">
        <v>69.2</v>
      </c>
      <c r="J17" s="7">
        <v>69</v>
      </c>
      <c r="K17" s="7">
        <v>67.2</v>
      </c>
      <c r="L17" s="7">
        <v>68.3</v>
      </c>
      <c r="M17" s="7">
        <v>68.900000000000006</v>
      </c>
      <c r="N17" s="7">
        <v>56</v>
      </c>
      <c r="O17" s="7">
        <v>72.3</v>
      </c>
      <c r="P17" s="7">
        <v>57.9</v>
      </c>
      <c r="Q17" s="7">
        <v>57.4</v>
      </c>
      <c r="R17" s="7">
        <v>57.2</v>
      </c>
      <c r="S17" s="7">
        <v>62.8</v>
      </c>
      <c r="T17" s="7">
        <v>57</v>
      </c>
      <c r="U17" s="7">
        <v>68.099999999999994</v>
      </c>
      <c r="V17" s="7">
        <v>44.6</v>
      </c>
      <c r="AM17" s="7">
        <v>2847.6</v>
      </c>
      <c r="AN17" s="7">
        <v>2174.1999999999998</v>
      </c>
      <c r="AO17" s="7">
        <f t="shared" si="36"/>
        <v>223.79999999999998</v>
      </c>
      <c r="AP17" s="7">
        <f t="shared" si="37"/>
        <v>267</v>
      </c>
      <c r="AQ17" s="7">
        <f t="shared" si="38"/>
        <v>260.39999999999998</v>
      </c>
      <c r="AR17" s="7">
        <f t="shared" si="30"/>
        <v>244.8</v>
      </c>
      <c r="AS17" s="7">
        <f t="shared" si="29"/>
        <v>232.49999999999997</v>
      </c>
      <c r="AT17" s="7">
        <f t="shared" ref="AT17:AZ19" si="43">+AT$14*(AS17/AS$14)</f>
        <v>251.68184256517301</v>
      </c>
      <c r="AU17" s="7">
        <f t="shared" si="43"/>
        <v>271.86521734064758</v>
      </c>
      <c r="AV17" s="7">
        <f t="shared" si="43"/>
        <v>293.09474875042469</v>
      </c>
      <c r="AW17" s="7">
        <f t="shared" si="43"/>
        <v>317.58920132652059</v>
      </c>
      <c r="AX17" s="7">
        <f t="shared" si="43"/>
        <v>341.11747971759456</v>
      </c>
      <c r="AY17" s="7">
        <f t="shared" si="43"/>
        <v>365.83901060767653</v>
      </c>
      <c r="AZ17" s="7">
        <f t="shared" si="43"/>
        <v>391.80623527845722</v>
      </c>
      <c r="BA17" s="7">
        <f t="shared" si="42"/>
        <v>419.07372820874855</v>
      </c>
      <c r="BB17" s="7">
        <f t="shared" si="42"/>
        <v>447.69827968858192</v>
      </c>
      <c r="BC17" s="7">
        <f t="shared" si="42"/>
        <v>477.73898152485668</v>
      </c>
    </row>
    <row r="18" spans="2:233">
      <c r="B18" s="19" t="s">
        <v>26</v>
      </c>
      <c r="R18" s="7">
        <v>91.4</v>
      </c>
      <c r="S18" s="7">
        <v>99.3</v>
      </c>
      <c r="T18" s="7">
        <v>95.2</v>
      </c>
      <c r="U18" s="7">
        <v>96.7</v>
      </c>
      <c r="V18" s="7">
        <v>90.5</v>
      </c>
      <c r="AR18" s="7">
        <f t="shared" si="30"/>
        <v>91.4</v>
      </c>
      <c r="AS18" s="7">
        <f t="shared" si="29"/>
        <v>381.7</v>
      </c>
    </row>
    <row r="19" spans="2:233">
      <c r="B19" s="19" t="s">
        <v>27</v>
      </c>
      <c r="C19" s="7">
        <v>437.7</v>
      </c>
      <c r="D19" s="7">
        <v>469.9</v>
      </c>
      <c r="E19" s="7">
        <v>474.6</v>
      </c>
      <c r="F19" s="7">
        <v>584.70000000000005</v>
      </c>
      <c r="G19" s="7">
        <v>516.29999999999995</v>
      </c>
      <c r="H19" s="7">
        <v>576</v>
      </c>
      <c r="I19" s="7">
        <v>454.7</v>
      </c>
      <c r="J19" s="7">
        <v>698</v>
      </c>
      <c r="K19" s="7">
        <v>490.4</v>
      </c>
      <c r="L19" s="7">
        <v>572.4</v>
      </c>
      <c r="M19" s="7">
        <v>559.6</v>
      </c>
      <c r="N19" s="7">
        <v>755.4</v>
      </c>
      <c r="O19" s="7">
        <v>584.29999999999995</v>
      </c>
      <c r="P19" s="7">
        <v>611.20000000000005</v>
      </c>
      <c r="Q19" s="7">
        <v>576.4</v>
      </c>
      <c r="R19" s="7">
        <v>720.3</v>
      </c>
      <c r="S19" s="7">
        <v>553.29999999999995</v>
      </c>
      <c r="T19" s="7">
        <v>567.5</v>
      </c>
      <c r="U19" s="7">
        <v>583.5</v>
      </c>
      <c r="V19" s="7">
        <v>730.9</v>
      </c>
      <c r="AM19" s="7">
        <v>2231.3000000000002</v>
      </c>
      <c r="AN19" s="7">
        <v>2200.1999999999998</v>
      </c>
      <c r="AO19" s="7">
        <f t="shared" si="36"/>
        <v>1966.8999999999999</v>
      </c>
      <c r="AP19" s="7">
        <f t="shared" si="37"/>
        <v>2245</v>
      </c>
      <c r="AQ19" s="7">
        <f t="shared" si="38"/>
        <v>2377.8000000000002</v>
      </c>
      <c r="AR19" s="7">
        <f t="shared" si="30"/>
        <v>2492.1999999999998</v>
      </c>
      <c r="AS19" s="7">
        <f t="shared" si="29"/>
        <v>2435.1999999999998</v>
      </c>
      <c r="AT19" s="7">
        <f t="shared" si="43"/>
        <v>2636.1102065148789</v>
      </c>
      <c r="AU19" s="7">
        <f t="shared" si="43"/>
        <v>2847.5104398621288</v>
      </c>
      <c r="AV19" s="7">
        <f t="shared" si="43"/>
        <v>3069.8680952990721</v>
      </c>
      <c r="AW19" s="7">
        <f t="shared" si="43"/>
        <v>3326.4224648186801</v>
      </c>
      <c r="AX19" s="7">
        <f t="shared" si="43"/>
        <v>3572.8571467023075</v>
      </c>
      <c r="AY19" s="7">
        <f t="shared" si="43"/>
        <v>3831.7899295992001</v>
      </c>
      <c r="AZ19" s="7">
        <f t="shared" si="43"/>
        <v>4103.770082366018</v>
      </c>
      <c r="BA19" s="7">
        <f t="shared" ref="BA19:BC19" si="44">+BA$14*(AZ19/AZ$14)</f>
        <v>4389.3692169201913</v>
      </c>
      <c r="BB19" s="7">
        <f t="shared" si="44"/>
        <v>4689.1821535382142</v>
      </c>
      <c r="BC19" s="7">
        <f t="shared" si="44"/>
        <v>5003.8278185347572</v>
      </c>
    </row>
    <row r="20" spans="2:233">
      <c r="B20" s="19" t="s">
        <v>28</v>
      </c>
      <c r="C20" s="7">
        <v>-41.6</v>
      </c>
      <c r="D20" s="7">
        <v>35.6</v>
      </c>
      <c r="E20" s="7">
        <v>-35.299999999999997</v>
      </c>
      <c r="F20" s="7">
        <v>-78.5</v>
      </c>
      <c r="G20" s="7">
        <v>58.5</v>
      </c>
      <c r="H20" s="7">
        <v>117.2</v>
      </c>
      <c r="I20" s="7">
        <v>-152.19999999999999</v>
      </c>
      <c r="J20" s="7">
        <v>-141</v>
      </c>
      <c r="K20" s="7">
        <v>-179.4</v>
      </c>
      <c r="L20" s="7">
        <v>-127.1</v>
      </c>
      <c r="M20" s="7">
        <v>-198.8</v>
      </c>
      <c r="N20" s="7">
        <v>22</v>
      </c>
      <c r="O20" s="7">
        <v>60.5</v>
      </c>
      <c r="P20" s="7">
        <v>886.1</v>
      </c>
      <c r="Q20" s="7">
        <v>12.5</v>
      </c>
      <c r="R20" s="7">
        <v>14.5</v>
      </c>
      <c r="S20" s="7">
        <v>128.6</v>
      </c>
      <c r="T20" s="7">
        <v>-35.799999999999997</v>
      </c>
      <c r="U20" s="7">
        <v>-24.8</v>
      </c>
      <c r="V20" s="7">
        <v>30.9</v>
      </c>
      <c r="AM20" s="7">
        <v>-1163.2</v>
      </c>
      <c r="AN20" s="7">
        <v>-236.8</v>
      </c>
      <c r="AO20" s="7">
        <f t="shared" si="36"/>
        <v>-119.8</v>
      </c>
      <c r="AP20" s="7">
        <f t="shared" si="37"/>
        <v>-117.5</v>
      </c>
      <c r="AQ20" s="7">
        <f t="shared" si="38"/>
        <v>-483.3</v>
      </c>
      <c r="AR20" s="7">
        <f t="shared" si="30"/>
        <v>973.6</v>
      </c>
      <c r="AS20" s="7">
        <f t="shared" si="29"/>
        <v>98.9</v>
      </c>
      <c r="AT20" s="7">
        <f t="shared" ref="AT20:BC20" si="45">+AS45*$BI$32</f>
        <v>-237.86300000000003</v>
      </c>
      <c r="AU20" s="7">
        <f t="shared" si="45"/>
        <v>-140.67546393680811</v>
      </c>
      <c r="AV20" s="7">
        <f t="shared" si="45"/>
        <v>-36.53946479803777</v>
      </c>
      <c r="AW20" s="7">
        <f t="shared" si="45"/>
        <v>74.891258730651103</v>
      </c>
      <c r="AX20" s="7">
        <f t="shared" si="45"/>
        <v>194.80198357083873</v>
      </c>
      <c r="AY20" s="7">
        <f t="shared" si="45"/>
        <v>322.76459738433215</v>
      </c>
      <c r="AZ20" s="7">
        <f t="shared" si="45"/>
        <v>459.17312856326652</v>
      </c>
      <c r="BA20" s="7">
        <f t="shared" si="45"/>
        <v>604.43863029435215</v>
      </c>
      <c r="BB20" s="7">
        <f t="shared" si="45"/>
        <v>758.98986584390605</v>
      </c>
      <c r="BC20" s="7">
        <f t="shared" si="45"/>
        <v>923.27402019378087</v>
      </c>
    </row>
    <row r="21" spans="2:233">
      <c r="B21" s="19" t="s">
        <v>29</v>
      </c>
      <c r="C21" s="7">
        <f t="shared" ref="C21:L21" si="46">+SUM(C15:C20)</f>
        <v>2868.7000000000003</v>
      </c>
      <c r="D21" s="7">
        <f t="shared" si="46"/>
        <v>3072.7000000000003</v>
      </c>
      <c r="E21" s="7">
        <f t="shared" si="46"/>
        <v>3023.9999999999995</v>
      </c>
      <c r="F21" s="7">
        <f t="shared" si="46"/>
        <v>3066.7</v>
      </c>
      <c r="G21" s="7">
        <f t="shared" si="46"/>
        <v>2947.3</v>
      </c>
      <c r="H21" s="7">
        <f t="shared" si="46"/>
        <v>2729.3999999999996</v>
      </c>
      <c r="I21" s="7">
        <f t="shared" si="46"/>
        <v>2815.8999999999996</v>
      </c>
      <c r="J21" s="7">
        <f t="shared" si="46"/>
        <v>3090.6</v>
      </c>
      <c r="K21" s="7">
        <f t="shared" si="46"/>
        <v>2767.3999999999996</v>
      </c>
      <c r="L21" s="7">
        <f t="shared" si="46"/>
        <v>3113.7000000000003</v>
      </c>
      <c r="M21" s="7">
        <f t="shared" ref="M21:O21" si="47">+SUM(M15:M20)</f>
        <v>3130.7</v>
      </c>
      <c r="N21" s="7">
        <f t="shared" ref="N21" si="48">+SUM(N15:N20)</f>
        <v>3525.5000000000005</v>
      </c>
      <c r="O21" s="7">
        <f t="shared" si="47"/>
        <v>3260.3</v>
      </c>
      <c r="P21" s="7">
        <f t="shared" ref="P21:Q21" si="49">+SUM(P15:P20)</f>
        <v>3913.6</v>
      </c>
      <c r="Q21" s="7">
        <f t="shared" si="49"/>
        <v>3014.9</v>
      </c>
      <c r="R21" s="7">
        <f t="shared" ref="R21" si="50">+SUM(R15:R20)</f>
        <v>3343.8</v>
      </c>
      <c r="S21" s="7">
        <f t="shared" ref="S21" si="51">+SUM(S15:S20)</f>
        <v>3365.4</v>
      </c>
      <c r="T21" s="7">
        <f t="shared" ref="T21:U21" si="52">+SUM(T15:T20)</f>
        <v>3393.3999999999996</v>
      </c>
      <c r="U21" s="7">
        <f t="shared" si="52"/>
        <v>3483.8999999999996</v>
      </c>
      <c r="V21" s="7">
        <f t="shared" ref="V21" si="53">+SUM(V15:V20)</f>
        <v>3604.2999999999997</v>
      </c>
      <c r="AM21" s="7">
        <f>SUM(AM15:AM20)</f>
        <v>11477.7</v>
      </c>
      <c r="AN21" s="7">
        <f>SUM(AN15:AN20)</f>
        <v>10229.300000000003</v>
      </c>
      <c r="AO21" s="7">
        <f t="shared" si="36"/>
        <v>12032.099999999999</v>
      </c>
      <c r="AP21" s="7">
        <f t="shared" si="37"/>
        <v>11583.199999999999</v>
      </c>
      <c r="AQ21" s="7">
        <f t="shared" si="38"/>
        <v>12537.3</v>
      </c>
      <c r="AR21" s="7">
        <f t="shared" si="30"/>
        <v>13532.599999999999</v>
      </c>
      <c r="AS21" s="7">
        <f t="shared" si="29"/>
        <v>13846.999999999998</v>
      </c>
      <c r="AT21" s="7">
        <f t="shared" ref="AT21:BA21" si="54">+SUM(AT15:AT20)</f>
        <v>14231.299066508082</v>
      </c>
      <c r="AU21" s="7">
        <f t="shared" si="54"/>
        <v>15488.826648157952</v>
      </c>
      <c r="AV21" s="7">
        <f t="shared" si="54"/>
        <v>16813.446125299495</v>
      </c>
      <c r="AW21" s="7">
        <f t="shared" si="54"/>
        <v>18333.060293615836</v>
      </c>
      <c r="AX21" s="7">
        <f t="shared" si="54"/>
        <v>19805.609213236461</v>
      </c>
      <c r="AY21" s="7">
        <f t="shared" si="54"/>
        <v>21354.809979691636</v>
      </c>
      <c r="AZ21" s="7">
        <f t="shared" si="54"/>
        <v>22984.07146501906</v>
      </c>
      <c r="BA21" s="7">
        <f t="shared" si="54"/>
        <v>24696.942203324106</v>
      </c>
      <c r="BB21" s="7">
        <f t="shared" ref="BB21:BC21" si="55">+SUM(BB15:BB20)</f>
        <v>26497.115825540517</v>
      </c>
      <c r="BC21" s="7">
        <f t="shared" si="55"/>
        <v>28388.436698274836</v>
      </c>
    </row>
    <row r="22" spans="2:233">
      <c r="B22" s="19" t="s">
        <v>30</v>
      </c>
      <c r="C22" s="7">
        <f t="shared" ref="C22:L22" si="56">+C14-C21</f>
        <v>2155.4</v>
      </c>
      <c r="D22" s="7">
        <f t="shared" si="56"/>
        <v>2337.1</v>
      </c>
      <c r="E22" s="7">
        <f t="shared" si="56"/>
        <v>2478.3000000000006</v>
      </c>
      <c r="F22" s="7">
        <f t="shared" si="56"/>
        <v>2361.5</v>
      </c>
      <c r="G22" s="7">
        <f t="shared" si="56"/>
        <v>1767.1000000000004</v>
      </c>
      <c r="H22" s="7">
        <f t="shared" si="56"/>
        <v>1032.1000000000004</v>
      </c>
      <c r="I22" s="7">
        <f t="shared" si="56"/>
        <v>2602.2000000000007</v>
      </c>
      <c r="J22" s="7">
        <f t="shared" si="56"/>
        <v>2223.2000000000003</v>
      </c>
      <c r="K22" s="7">
        <f t="shared" si="56"/>
        <v>2357.1999999999998</v>
      </c>
      <c r="L22" s="7">
        <f t="shared" si="56"/>
        <v>2774.1999999999994</v>
      </c>
      <c r="M22" s="7">
        <f t="shared" ref="M22:V22" si="57">+M14-M21</f>
        <v>3070.6000000000004</v>
      </c>
      <c r="N22" s="7">
        <f t="shared" si="57"/>
        <v>2483.599999999999</v>
      </c>
      <c r="O22" s="7">
        <f t="shared" si="57"/>
        <v>2405.3000000000002</v>
      </c>
      <c r="P22" s="7">
        <f t="shared" si="57"/>
        <v>1804.8000000000006</v>
      </c>
      <c r="Q22" s="7">
        <f t="shared" si="57"/>
        <v>2857.2000000000003</v>
      </c>
      <c r="R22" s="7">
        <f t="shared" si="57"/>
        <v>2582.6999999999998</v>
      </c>
      <c r="S22" s="7">
        <f t="shared" si="57"/>
        <v>2532.4</v>
      </c>
      <c r="T22" s="7">
        <f t="shared" si="57"/>
        <v>3104.1000000000004</v>
      </c>
      <c r="U22" s="7">
        <f t="shared" si="57"/>
        <v>3208.2999999999993</v>
      </c>
      <c r="V22" s="7">
        <f t="shared" si="57"/>
        <v>2801.9</v>
      </c>
      <c r="AM22" s="7">
        <f>+AM14-AM21</f>
        <v>11482.7</v>
      </c>
      <c r="AN22" s="7">
        <f>+AN14-AN21</f>
        <v>11028.899999999998</v>
      </c>
      <c r="AO22" s="7">
        <f t="shared" si="36"/>
        <v>9332.3000000000011</v>
      </c>
      <c r="AP22" s="7">
        <f t="shared" si="37"/>
        <v>7624.6000000000022</v>
      </c>
      <c r="AQ22" s="7">
        <f t="shared" si="38"/>
        <v>10685.599999999999</v>
      </c>
      <c r="AR22" s="7">
        <f t="shared" si="30"/>
        <v>9650</v>
      </c>
      <c r="AS22" s="7">
        <f t="shared" si="29"/>
        <v>11646.699999999999</v>
      </c>
      <c r="AT22" s="7">
        <f t="shared" ref="AT22:BA22" si="58">+AT14-AT21</f>
        <v>13365.696158454293</v>
      </c>
      <c r="AU22" s="7">
        <f t="shared" si="58"/>
        <v>14321.282131701264</v>
      </c>
      <c r="AV22" s="7">
        <f t="shared" si="58"/>
        <v>15324.487621877724</v>
      </c>
      <c r="AW22" s="7">
        <f t="shared" si="58"/>
        <v>16490.698079966616</v>
      </c>
      <c r="AX22" s="7">
        <f t="shared" si="58"/>
        <v>17598.032475694479</v>
      </c>
      <c r="AY22" s="7">
        <f t="shared" si="58"/>
        <v>18759.555546024174</v>
      </c>
      <c r="AZ22" s="7">
        <f t="shared" si="58"/>
        <v>19977.608622371943</v>
      </c>
      <c r="BA22" s="7">
        <f t="shared" si="58"/>
        <v>21254.627279838802</v>
      </c>
      <c r="BB22" s="7">
        <f t="shared" ref="BB22:BC22" si="59">+BB14-BB21</f>
        <v>22593.144961112404</v>
      </c>
      <c r="BC22" s="7">
        <f t="shared" si="59"/>
        <v>23995.796735274595</v>
      </c>
    </row>
    <row r="23" spans="2:233">
      <c r="B23" s="19" t="s">
        <v>31</v>
      </c>
      <c r="C23" s="7">
        <v>274.10000000000002</v>
      </c>
      <c r="D23" s="7">
        <v>284.2</v>
      </c>
      <c r="E23" s="7">
        <v>280.60000000000002</v>
      </c>
      <c r="F23" s="7">
        <v>283</v>
      </c>
      <c r="G23" s="7">
        <v>280</v>
      </c>
      <c r="H23" s="7">
        <v>319.10000000000002</v>
      </c>
      <c r="I23" s="7">
        <v>310.10000000000002</v>
      </c>
      <c r="J23" s="7">
        <v>308.89999999999998</v>
      </c>
      <c r="K23" s="7">
        <v>300</v>
      </c>
      <c r="L23" s="7">
        <v>296.5</v>
      </c>
      <c r="M23" s="7">
        <v>293.7</v>
      </c>
      <c r="N23" s="7">
        <v>295.60000000000002</v>
      </c>
      <c r="O23" s="7">
        <v>287.3</v>
      </c>
      <c r="P23" s="7">
        <v>290.60000000000002</v>
      </c>
      <c r="Q23" s="7">
        <v>306.2</v>
      </c>
      <c r="R23" s="7">
        <v>322.89999999999998</v>
      </c>
      <c r="S23" s="7">
        <v>329.7</v>
      </c>
      <c r="T23" s="7">
        <v>330.2</v>
      </c>
      <c r="U23" s="7">
        <v>340.7</v>
      </c>
      <c r="V23" s="7">
        <v>360.2</v>
      </c>
      <c r="AM23" s="7">
        <v>921.3</v>
      </c>
      <c r="AN23" s="7">
        <v>981.2</v>
      </c>
      <c r="AO23" s="7">
        <f t="shared" si="36"/>
        <v>1121.9000000000001</v>
      </c>
      <c r="AP23" s="7">
        <f t="shared" si="37"/>
        <v>1218.0999999999999</v>
      </c>
      <c r="AQ23" s="7">
        <f t="shared" si="38"/>
        <v>1185.8000000000002</v>
      </c>
      <c r="AR23" s="7">
        <f t="shared" si="30"/>
        <v>1207</v>
      </c>
      <c r="AS23" s="7">
        <f t="shared" si="29"/>
        <v>1360.8</v>
      </c>
      <c r="AT23" s="7">
        <f t="shared" ref="AT23:AZ23" si="60">+AT22*(AS23/AS22)</f>
        <v>1561.6474479830856</v>
      </c>
      <c r="AU23" s="7">
        <f t="shared" si="60"/>
        <v>1673.2980779808083</v>
      </c>
      <c r="AV23" s="7">
        <f t="shared" si="60"/>
        <v>1790.5125705866219</v>
      </c>
      <c r="AW23" s="7">
        <f t="shared" si="60"/>
        <v>1926.7725576531184</v>
      </c>
      <c r="AX23" s="7">
        <f t="shared" si="60"/>
        <v>2056.1534677569653</v>
      </c>
      <c r="AY23" s="7">
        <f t="shared" si="60"/>
        <v>2191.8657806099318</v>
      </c>
      <c r="AZ23" s="7">
        <f t="shared" si="60"/>
        <v>2334.1830572886515</v>
      </c>
      <c r="BA23" s="7">
        <f t="shared" ref="BA23:BC23" si="61">+BA22*(AZ23/AZ22)</f>
        <v>2483.3898702984229</v>
      </c>
      <c r="BB23" s="7">
        <f t="shared" si="61"/>
        <v>2639.7822269897706</v>
      </c>
      <c r="BC23" s="7">
        <f t="shared" si="61"/>
        <v>2803.6680087373825</v>
      </c>
    </row>
    <row r="24" spans="2:233">
      <c r="B24" s="19" t="s">
        <v>32</v>
      </c>
      <c r="C24" s="7">
        <v>-11.4</v>
      </c>
      <c r="D24" s="7">
        <v>-18.100000000000001</v>
      </c>
      <c r="E24" s="7">
        <v>-23.5</v>
      </c>
      <c r="F24" s="7">
        <v>-17.2</v>
      </c>
      <c r="G24" s="7">
        <v>-31.3</v>
      </c>
      <c r="H24" s="7">
        <v>-6.7</v>
      </c>
      <c r="I24" s="7">
        <v>-0.8</v>
      </c>
      <c r="J24" s="7">
        <v>4</v>
      </c>
      <c r="K24" s="7">
        <v>28.6</v>
      </c>
      <c r="L24" s="7">
        <v>18.600000000000001</v>
      </c>
      <c r="M24" s="7">
        <v>1.4</v>
      </c>
      <c r="N24" s="7">
        <v>-6.3</v>
      </c>
      <c r="O24" s="7">
        <v>484.1</v>
      </c>
      <c r="P24" s="7">
        <v>12.1</v>
      </c>
      <c r="Q24" s="7">
        <v>-78.5</v>
      </c>
      <c r="R24" s="7">
        <v>-79.099999999999994</v>
      </c>
      <c r="S24" s="7">
        <v>-64.3</v>
      </c>
      <c r="T24" s="7">
        <v>-42.8</v>
      </c>
      <c r="U24" s="7">
        <v>-55.9</v>
      </c>
      <c r="V24" s="7">
        <v>-73.3</v>
      </c>
      <c r="AM24" s="7">
        <v>57.9</v>
      </c>
      <c r="AN24" s="7">
        <v>25.3</v>
      </c>
      <c r="AO24" s="7">
        <f t="shared" si="36"/>
        <v>-70.2</v>
      </c>
      <c r="AP24" s="7">
        <f t="shared" si="37"/>
        <v>-34.799999999999997</v>
      </c>
      <c r="AQ24" s="7">
        <f t="shared" si="38"/>
        <v>42.300000000000004</v>
      </c>
      <c r="AR24" s="7">
        <f t="shared" si="30"/>
        <v>338.6</v>
      </c>
      <c r="AS24" s="7">
        <f t="shared" si="29"/>
        <v>-236.3</v>
      </c>
      <c r="AT24" s="7">
        <f t="shared" ref="AT24:AZ24" si="62">+AT22*(AS24/AS22)</f>
        <v>-271.17672836449384</v>
      </c>
      <c r="AU24" s="7">
        <f t="shared" si="62"/>
        <v>-290.56462068405727</v>
      </c>
      <c r="AV24" s="7">
        <f t="shared" si="62"/>
        <v>-310.91866580659826</v>
      </c>
      <c r="AW24" s="7">
        <f t="shared" si="62"/>
        <v>-334.5799201744797</v>
      </c>
      <c r="AX24" s="7">
        <f t="shared" si="62"/>
        <v>-357.046637588897</v>
      </c>
      <c r="AY24" s="7">
        <f t="shared" si="62"/>
        <v>-380.61278950479652</v>
      </c>
      <c r="AZ24" s="7">
        <f t="shared" si="62"/>
        <v>-405.32587921612918</v>
      </c>
      <c r="BA24" s="7">
        <f t="shared" ref="BA24:BC24" si="63">+BA22*(AZ24/AZ22)</f>
        <v>-431.23532212780538</v>
      </c>
      <c r="BB24" s="7">
        <f t="shared" si="63"/>
        <v>-458.39251928107217</v>
      </c>
      <c r="BC24" s="7">
        <f t="shared" si="63"/>
        <v>-486.85093361599326</v>
      </c>
    </row>
    <row r="25" spans="2:233">
      <c r="B25" s="19" t="s">
        <v>33</v>
      </c>
      <c r="C25" s="7">
        <f t="shared" ref="C25:L25" si="64">+C22-SUM(C23:C24)</f>
        <v>1892.7</v>
      </c>
      <c r="D25" s="7">
        <f t="shared" si="64"/>
        <v>2071</v>
      </c>
      <c r="E25" s="7">
        <f t="shared" si="64"/>
        <v>2221.2000000000007</v>
      </c>
      <c r="F25" s="7">
        <f t="shared" si="64"/>
        <v>2095.6999999999998</v>
      </c>
      <c r="G25" s="7">
        <f t="shared" si="64"/>
        <v>1518.4000000000003</v>
      </c>
      <c r="H25" s="7">
        <f t="shared" si="64"/>
        <v>719.70000000000027</v>
      </c>
      <c r="I25" s="7">
        <f t="shared" si="64"/>
        <v>2292.9000000000005</v>
      </c>
      <c r="J25" s="7">
        <f t="shared" si="64"/>
        <v>1910.3000000000002</v>
      </c>
      <c r="K25" s="7">
        <f t="shared" si="64"/>
        <v>2028.6</v>
      </c>
      <c r="L25" s="7">
        <f t="shared" si="64"/>
        <v>2459.0999999999995</v>
      </c>
      <c r="M25" s="7">
        <f t="shared" ref="M25" si="65">+M22-SUM(M23:M24)</f>
        <v>2775.5000000000005</v>
      </c>
      <c r="N25" s="7">
        <f t="shared" ref="N25" si="66">+N22-SUM(N23:N24)</f>
        <v>2194.2999999999988</v>
      </c>
      <c r="O25" s="7">
        <f t="shared" ref="O25" si="67">+O22-SUM(O23:O24)</f>
        <v>1633.9</v>
      </c>
      <c r="P25" s="7">
        <f t="shared" ref="P25:R25" si="68">+P22-SUM(P23:P24)</f>
        <v>1502.1000000000006</v>
      </c>
      <c r="Q25" s="7">
        <f t="shared" si="68"/>
        <v>2629.5000000000005</v>
      </c>
      <c r="R25" s="7">
        <f t="shared" si="68"/>
        <v>2338.8999999999996</v>
      </c>
      <c r="S25" s="7">
        <f t="shared" ref="S25" si="69">+S22-SUM(S23:S24)</f>
        <v>2267</v>
      </c>
      <c r="T25" s="7">
        <f t="shared" ref="T25:U25" si="70">+T22-SUM(T23:T24)</f>
        <v>2816.7000000000003</v>
      </c>
      <c r="U25" s="7">
        <f t="shared" si="70"/>
        <v>2923.4999999999991</v>
      </c>
      <c r="V25" s="7">
        <f t="shared" ref="V25" si="71">+V22-SUM(V23:V24)</f>
        <v>2515</v>
      </c>
      <c r="AM25" s="7">
        <f>+AM22-SUM(AM23:AM24)</f>
        <v>10503.5</v>
      </c>
      <c r="AN25" s="7">
        <f>+AN22-SUM(AN23:AN24)</f>
        <v>10022.399999999998</v>
      </c>
      <c r="AO25" s="7">
        <f t="shared" si="36"/>
        <v>8280.6</v>
      </c>
      <c r="AP25" s="7">
        <f t="shared" si="37"/>
        <v>6441.3000000000011</v>
      </c>
      <c r="AQ25" s="7">
        <f t="shared" si="38"/>
        <v>9457.4999999999982</v>
      </c>
      <c r="AR25" s="7">
        <f t="shared" si="30"/>
        <v>8104.4000000000015</v>
      </c>
      <c r="AS25" s="7">
        <f t="shared" si="29"/>
        <v>10522.2</v>
      </c>
      <c r="AT25" s="7">
        <f t="shared" ref="AT25:BA25" si="72">+AT22-SUM(AT23:AT24)</f>
        <v>12075.225438835701</v>
      </c>
      <c r="AU25" s="7">
        <f t="shared" si="72"/>
        <v>12938.548674404512</v>
      </c>
      <c r="AV25" s="7">
        <f t="shared" si="72"/>
        <v>13844.893717097701</v>
      </c>
      <c r="AW25" s="7">
        <f t="shared" si="72"/>
        <v>14898.505442487978</v>
      </c>
      <c r="AX25" s="7">
        <f t="shared" si="72"/>
        <v>15898.925645526411</v>
      </c>
      <c r="AY25" s="7">
        <f t="shared" si="72"/>
        <v>16948.302554919039</v>
      </c>
      <c r="AZ25" s="7">
        <f t="shared" si="72"/>
        <v>18048.751444299422</v>
      </c>
      <c r="BA25" s="7">
        <f t="shared" si="72"/>
        <v>19202.472731668186</v>
      </c>
      <c r="BB25" s="7">
        <f t="shared" ref="BB25:BC25" si="73">+BB22-SUM(BB23:BB24)</f>
        <v>20411.755253403706</v>
      </c>
      <c r="BC25" s="7">
        <f t="shared" si="73"/>
        <v>21678.979660153207</v>
      </c>
    </row>
    <row r="26" spans="2:233">
      <c r="B26" s="19" t="s">
        <v>34</v>
      </c>
      <c r="C26" s="7">
        <v>502.9</v>
      </c>
      <c r="D26" s="7">
        <v>490.9</v>
      </c>
      <c r="E26" s="7">
        <v>544.29999999999995</v>
      </c>
      <c r="F26" s="7">
        <v>454.6</v>
      </c>
      <c r="G26" s="7">
        <v>338</v>
      </c>
      <c r="H26" s="7">
        <v>164.9</v>
      </c>
      <c r="I26" s="7">
        <v>454.5</v>
      </c>
      <c r="J26" s="7">
        <v>452.8</v>
      </c>
      <c r="K26" s="7">
        <v>415.5</v>
      </c>
      <c r="L26" s="7">
        <v>156.69999999999999</v>
      </c>
      <c r="M26" s="7">
        <v>541.5</v>
      </c>
      <c r="N26" s="7">
        <v>469</v>
      </c>
      <c r="O26" s="7">
        <v>436.8</v>
      </c>
      <c r="P26" s="7">
        <v>221.1</v>
      </c>
      <c r="Q26" s="7">
        <v>554.6</v>
      </c>
      <c r="R26" s="7">
        <v>435.5</v>
      </c>
      <c r="S26" s="7">
        <v>464.7</v>
      </c>
      <c r="T26" s="7">
        <v>506.3</v>
      </c>
      <c r="U26" s="7">
        <v>606.4</v>
      </c>
      <c r="V26" s="7">
        <v>476</v>
      </c>
      <c r="AM26" s="7">
        <v>3381.2</v>
      </c>
      <c r="AN26" s="7">
        <v>1891.8</v>
      </c>
      <c r="AO26" s="7">
        <f t="shared" si="36"/>
        <v>1992.6999999999998</v>
      </c>
      <c r="AP26" s="7">
        <f t="shared" si="37"/>
        <v>1410.2</v>
      </c>
      <c r="AQ26" s="7">
        <f t="shared" si="38"/>
        <v>1582.7</v>
      </c>
      <c r="AR26" s="7">
        <f t="shared" si="30"/>
        <v>1648</v>
      </c>
      <c r="AS26" s="7">
        <f t="shared" si="29"/>
        <v>2053.4</v>
      </c>
      <c r="AT26" s="7">
        <f t="shared" ref="AT26:AZ26" si="74">+AT25*(AS26/AS25)</f>
        <v>2356.4718325165109</v>
      </c>
      <c r="AU26" s="7">
        <f t="shared" si="74"/>
        <v>2524.9487605274776</v>
      </c>
      <c r="AV26" s="7">
        <f t="shared" si="74"/>
        <v>2701.8213642288133</v>
      </c>
      <c r="AW26" s="7">
        <f t="shared" si="74"/>
        <v>2907.4329584692191</v>
      </c>
      <c r="AX26" s="7">
        <f t="shared" si="74"/>
        <v>3102.6642641770673</v>
      </c>
      <c r="AY26" s="7">
        <f t="shared" si="74"/>
        <v>3307.4494370255993</v>
      </c>
      <c r="AZ26" s="7">
        <f t="shared" si="74"/>
        <v>3522.2012711908574</v>
      </c>
      <c r="BA26" s="7">
        <f t="shared" ref="BA26:BC26" si="75">+BA25*(AZ26/AZ25)</f>
        <v>3747.3491767128035</v>
      </c>
      <c r="BB26" s="7">
        <f t="shared" si="75"/>
        <v>3983.3398184162224</v>
      </c>
      <c r="BC26" s="7">
        <f t="shared" si="75"/>
        <v>4230.6377786165067</v>
      </c>
    </row>
    <row r="27" spans="2:233">
      <c r="B27" s="19" t="s">
        <v>35</v>
      </c>
      <c r="C27" s="7">
        <f t="shared" ref="C27:L27" si="76">+C25-C26</f>
        <v>1389.8000000000002</v>
      </c>
      <c r="D27" s="7">
        <f t="shared" si="76"/>
        <v>1580.1</v>
      </c>
      <c r="E27" s="7">
        <f t="shared" si="76"/>
        <v>1676.9000000000008</v>
      </c>
      <c r="F27" s="7">
        <f t="shared" si="76"/>
        <v>1641.1</v>
      </c>
      <c r="G27" s="7">
        <f t="shared" si="76"/>
        <v>1180.4000000000003</v>
      </c>
      <c r="H27" s="7">
        <f t="shared" si="76"/>
        <v>554.8000000000003</v>
      </c>
      <c r="I27" s="7">
        <f t="shared" si="76"/>
        <v>1838.4000000000005</v>
      </c>
      <c r="J27" s="7">
        <f t="shared" si="76"/>
        <v>1457.5000000000002</v>
      </c>
      <c r="K27" s="7">
        <f t="shared" si="76"/>
        <v>1613.1</v>
      </c>
      <c r="L27" s="7">
        <f t="shared" si="76"/>
        <v>2302.3999999999996</v>
      </c>
      <c r="M27" s="7">
        <f t="shared" ref="M27" si="77">+M25-M26</f>
        <v>2234.0000000000005</v>
      </c>
      <c r="N27" s="7">
        <f t="shared" ref="N27" si="78">+N25-N26</f>
        <v>1725.2999999999988</v>
      </c>
      <c r="O27" s="7">
        <f t="shared" ref="O27" si="79">+O25-O26</f>
        <v>1197.1000000000001</v>
      </c>
      <c r="P27" s="7">
        <f t="shared" ref="P27:R27" si="80">+P25-P26</f>
        <v>1281.0000000000007</v>
      </c>
      <c r="Q27" s="7">
        <f t="shared" si="80"/>
        <v>2074.9000000000005</v>
      </c>
      <c r="R27" s="7">
        <f t="shared" si="80"/>
        <v>1903.3999999999996</v>
      </c>
      <c r="S27" s="7">
        <f t="shared" ref="S27" si="81">+S25-S26</f>
        <v>1802.3</v>
      </c>
      <c r="T27" s="7">
        <f t="shared" ref="T27:U27" si="82">+T25-T26</f>
        <v>2310.4</v>
      </c>
      <c r="U27" s="7">
        <f t="shared" si="82"/>
        <v>2317.099999999999</v>
      </c>
      <c r="V27" s="7">
        <f t="shared" ref="V27" si="83">+V25-V26</f>
        <v>2039</v>
      </c>
      <c r="AM27" s="7">
        <f>+AM25-AM26</f>
        <v>7122.3</v>
      </c>
      <c r="AN27" s="7">
        <f>+AN25-AN26</f>
        <v>8130.5999999999976</v>
      </c>
      <c r="AO27" s="7">
        <f t="shared" si="36"/>
        <v>6287.9000000000015</v>
      </c>
      <c r="AP27" s="7">
        <f t="shared" si="37"/>
        <v>5031.1000000000013</v>
      </c>
      <c r="AQ27" s="7">
        <f>SUM(K27:N27)</f>
        <v>7874.7999999999993</v>
      </c>
      <c r="AR27" s="7">
        <f t="shared" si="30"/>
        <v>6456.4000000000015</v>
      </c>
      <c r="AS27" s="7">
        <f t="shared" si="29"/>
        <v>8468.7999999999993</v>
      </c>
      <c r="AT27" s="7">
        <f t="shared" ref="AT27:AZ27" si="84">+AT25-AT26</f>
        <v>9718.753606319191</v>
      </c>
      <c r="AU27" s="7">
        <f t="shared" si="84"/>
        <v>10413.599913877035</v>
      </c>
      <c r="AV27" s="7">
        <f t="shared" si="84"/>
        <v>11143.072352868887</v>
      </c>
      <c r="AW27" s="7">
        <f t="shared" si="84"/>
        <v>11991.072484018759</v>
      </c>
      <c r="AX27" s="7">
        <f t="shared" si="84"/>
        <v>12796.261381349344</v>
      </c>
      <c r="AY27" s="7">
        <f t="shared" si="84"/>
        <v>13640.853117893439</v>
      </c>
      <c r="AZ27" s="7">
        <f t="shared" si="84"/>
        <v>14526.550173108564</v>
      </c>
      <c r="BA27" s="7">
        <f t="shared" ref="BA27:BB27" si="85">+BA25-BA26</f>
        <v>15455.123554955382</v>
      </c>
      <c r="BB27" s="7">
        <f t="shared" si="85"/>
        <v>16428.415434987484</v>
      </c>
      <c r="BC27" s="7">
        <f t="shared" ref="BC27" si="86">+BC25-BC26</f>
        <v>17448.3418815367</v>
      </c>
      <c r="BD27" s="7">
        <f t="shared" ref="BD27:CI27" si="87">+BC27*(1+$BI$33)</f>
        <v>17622.825300352066</v>
      </c>
      <c r="BE27" s="7">
        <f t="shared" si="87"/>
        <v>17799.053553355585</v>
      </c>
      <c r="BF27" s="7">
        <f t="shared" si="87"/>
        <v>17977.044088889143</v>
      </c>
      <c r="BG27" s="7">
        <f t="shared" si="87"/>
        <v>18156.814529778036</v>
      </c>
      <c r="BH27" s="7">
        <f t="shared" si="87"/>
        <v>18338.382675075816</v>
      </c>
      <c r="BI27" s="7">
        <f t="shared" si="87"/>
        <v>18521.766501826576</v>
      </c>
      <c r="BJ27" s="7">
        <f t="shared" si="87"/>
        <v>18706.984166844843</v>
      </c>
      <c r="BK27" s="7">
        <f t="shared" si="87"/>
        <v>18894.054008513293</v>
      </c>
      <c r="BL27" s="7">
        <f t="shared" si="87"/>
        <v>19082.994548598424</v>
      </c>
      <c r="BM27" s="7">
        <f t="shared" si="87"/>
        <v>19273.824494084409</v>
      </c>
      <c r="BN27" s="7">
        <f t="shared" si="87"/>
        <v>19466.562739025252</v>
      </c>
      <c r="BO27" s="7">
        <f t="shared" si="87"/>
        <v>19661.228366415504</v>
      </c>
      <c r="BP27" s="7">
        <f t="shared" si="87"/>
        <v>19857.840650079659</v>
      </c>
      <c r="BQ27" s="7">
        <f t="shared" si="87"/>
        <v>20056.419056580457</v>
      </c>
      <c r="BR27" s="7">
        <f t="shared" si="87"/>
        <v>20256.983247146261</v>
      </c>
      <c r="BS27" s="7">
        <f t="shared" si="87"/>
        <v>20459.553079617723</v>
      </c>
      <c r="BT27" s="7">
        <f t="shared" si="87"/>
        <v>20664.1486104139</v>
      </c>
      <c r="BU27" s="7">
        <f t="shared" si="87"/>
        <v>20870.790096518038</v>
      </c>
      <c r="BV27" s="7">
        <f t="shared" si="87"/>
        <v>21079.497997483217</v>
      </c>
      <c r="BW27" s="7">
        <f t="shared" si="87"/>
        <v>21290.292977458048</v>
      </c>
      <c r="BX27" s="7">
        <f t="shared" si="87"/>
        <v>21503.195907232628</v>
      </c>
      <c r="BY27" s="7">
        <f t="shared" si="87"/>
        <v>21718.227866304955</v>
      </c>
      <c r="BZ27" s="7">
        <f t="shared" si="87"/>
        <v>21935.410144968006</v>
      </c>
      <c r="CA27" s="7">
        <f t="shared" si="87"/>
        <v>22154.764246417686</v>
      </c>
      <c r="CB27" s="7">
        <f t="shared" si="87"/>
        <v>22376.311888881864</v>
      </c>
      <c r="CC27" s="7">
        <f t="shared" si="87"/>
        <v>22600.075007770683</v>
      </c>
      <c r="CD27" s="7">
        <f t="shared" si="87"/>
        <v>22826.07575784839</v>
      </c>
      <c r="CE27" s="7">
        <f t="shared" si="87"/>
        <v>23054.336515426872</v>
      </c>
      <c r="CF27" s="7">
        <f t="shared" si="87"/>
        <v>23284.879880581142</v>
      </c>
      <c r="CG27" s="7">
        <f t="shared" si="87"/>
        <v>23517.728679386953</v>
      </c>
      <c r="CH27" s="7">
        <f t="shared" si="87"/>
        <v>23752.905966180824</v>
      </c>
      <c r="CI27" s="7">
        <f t="shared" si="87"/>
        <v>23990.435025842631</v>
      </c>
      <c r="CJ27" s="7">
        <f t="shared" ref="CJ27:DO27" si="88">+CI27*(1+$BI$33)</f>
        <v>24230.339376101059</v>
      </c>
      <c r="CK27" s="7">
        <f t="shared" si="88"/>
        <v>24472.642769862072</v>
      </c>
      <c r="CL27" s="7">
        <f t="shared" si="88"/>
        <v>24717.369197560693</v>
      </c>
      <c r="CM27" s="7">
        <f t="shared" si="88"/>
        <v>24964.5428895363</v>
      </c>
      <c r="CN27" s="7">
        <f t="shared" si="88"/>
        <v>25214.188318431665</v>
      </c>
      <c r="CO27" s="7">
        <f t="shared" si="88"/>
        <v>25466.330201615983</v>
      </c>
      <c r="CP27" s="7">
        <f t="shared" si="88"/>
        <v>25720.993503632144</v>
      </c>
      <c r="CQ27" s="7">
        <f t="shared" si="88"/>
        <v>25978.203438668465</v>
      </c>
      <c r="CR27" s="7">
        <f t="shared" si="88"/>
        <v>26237.985473055149</v>
      </c>
      <c r="CS27" s="7">
        <f t="shared" si="88"/>
        <v>26500.365327785701</v>
      </c>
      <c r="CT27" s="7">
        <f t="shared" si="88"/>
        <v>26765.368981063559</v>
      </c>
      <c r="CU27" s="7">
        <f t="shared" si="88"/>
        <v>27033.022670874194</v>
      </c>
      <c r="CV27" s="7">
        <f t="shared" si="88"/>
        <v>27303.352897582936</v>
      </c>
      <c r="CW27" s="7">
        <f t="shared" si="88"/>
        <v>27576.386426558765</v>
      </c>
      <c r="CX27" s="7">
        <f t="shared" si="88"/>
        <v>27852.150290824353</v>
      </c>
      <c r="CY27" s="7">
        <f t="shared" si="88"/>
        <v>28130.671793732596</v>
      </c>
      <c r="CZ27" s="7">
        <f t="shared" si="88"/>
        <v>28411.97851166992</v>
      </c>
      <c r="DA27" s="7">
        <f t="shared" si="88"/>
        <v>28696.098296786618</v>
      </c>
      <c r="DB27" s="7">
        <f t="shared" si="88"/>
        <v>28983.059279754485</v>
      </c>
      <c r="DC27" s="7">
        <f t="shared" si="88"/>
        <v>29272.88987255203</v>
      </c>
      <c r="DD27" s="7">
        <f t="shared" si="88"/>
        <v>29565.61877127755</v>
      </c>
      <c r="DE27" s="7">
        <f t="shared" si="88"/>
        <v>29861.274958990325</v>
      </c>
      <c r="DF27" s="7">
        <f t="shared" si="88"/>
        <v>30159.887708580227</v>
      </c>
      <c r="DG27" s="7">
        <f t="shared" si="88"/>
        <v>30461.486585666029</v>
      </c>
      <c r="DH27" s="7">
        <f t="shared" si="88"/>
        <v>30766.101451522689</v>
      </c>
      <c r="DI27" s="7">
        <f t="shared" si="88"/>
        <v>31073.762466037915</v>
      </c>
      <c r="DJ27" s="7">
        <f t="shared" si="88"/>
        <v>31384.500090698293</v>
      </c>
      <c r="DK27" s="7">
        <f t="shared" si="88"/>
        <v>31698.345091605275</v>
      </c>
      <c r="DL27" s="7">
        <f t="shared" si="88"/>
        <v>32015.328542521329</v>
      </c>
      <c r="DM27" s="7">
        <f t="shared" si="88"/>
        <v>32335.481827946543</v>
      </c>
      <c r="DN27" s="7">
        <f t="shared" si="88"/>
        <v>32658.836646226009</v>
      </c>
      <c r="DO27" s="7">
        <f t="shared" si="88"/>
        <v>32985.425012688269</v>
      </c>
      <c r="DP27" s="7">
        <f t="shared" ref="DP27:EU27" si="89">+DO27*(1+$BI$33)</f>
        <v>33315.279262815151</v>
      </c>
      <c r="DQ27" s="7">
        <f t="shared" si="89"/>
        <v>33648.4320554433</v>
      </c>
      <c r="DR27" s="7">
        <f t="shared" si="89"/>
        <v>33984.916375997731</v>
      </c>
      <c r="DS27" s="7">
        <f t="shared" si="89"/>
        <v>34324.765539757711</v>
      </c>
      <c r="DT27" s="7">
        <f t="shared" si="89"/>
        <v>34668.01319515529</v>
      </c>
      <c r="DU27" s="7">
        <f t="shared" si="89"/>
        <v>35014.693327106841</v>
      </c>
      <c r="DV27" s="7">
        <f t="shared" si="89"/>
        <v>35364.84026037791</v>
      </c>
      <c r="DW27" s="7">
        <f t="shared" si="89"/>
        <v>35718.48866298169</v>
      </c>
      <c r="DX27" s="7">
        <f t="shared" si="89"/>
        <v>36075.673549611507</v>
      </c>
      <c r="DY27" s="7">
        <f t="shared" si="89"/>
        <v>36436.430285107621</v>
      </c>
      <c r="DZ27" s="7">
        <f t="shared" si="89"/>
        <v>36800.794587958699</v>
      </c>
      <c r="EA27" s="7">
        <f t="shared" si="89"/>
        <v>37168.802533838287</v>
      </c>
      <c r="EB27" s="7">
        <f t="shared" si="89"/>
        <v>37540.490559176673</v>
      </c>
      <c r="EC27" s="7">
        <f t="shared" si="89"/>
        <v>37915.895464768437</v>
      </c>
      <c r="ED27" s="7">
        <f t="shared" si="89"/>
        <v>38295.054419416119</v>
      </c>
      <c r="EE27" s="7">
        <f t="shared" si="89"/>
        <v>38678.004963610278</v>
      </c>
      <c r="EF27" s="7">
        <f t="shared" si="89"/>
        <v>39064.785013246379</v>
      </c>
      <c r="EG27" s="7">
        <f t="shared" si="89"/>
        <v>39455.432863378846</v>
      </c>
      <c r="EH27" s="7">
        <f t="shared" si="89"/>
        <v>39849.987192012632</v>
      </c>
      <c r="EI27" s="7">
        <f t="shared" si="89"/>
        <v>40248.487063932756</v>
      </c>
      <c r="EJ27" s="7">
        <f t="shared" si="89"/>
        <v>40650.971934572088</v>
      </c>
      <c r="EK27" s="7">
        <f t="shared" si="89"/>
        <v>41057.481653917806</v>
      </c>
      <c r="EL27" s="7">
        <f t="shared" si="89"/>
        <v>41468.056470456984</v>
      </c>
      <c r="EM27" s="7">
        <f t="shared" si="89"/>
        <v>41882.737035161554</v>
      </c>
      <c r="EN27" s="7">
        <f t="shared" si="89"/>
        <v>42301.564405513171</v>
      </c>
      <c r="EO27" s="7">
        <f t="shared" si="89"/>
        <v>42724.5800495683</v>
      </c>
      <c r="EP27" s="7">
        <f t="shared" si="89"/>
        <v>43151.825850063986</v>
      </c>
      <c r="EQ27" s="7">
        <f t="shared" si="89"/>
        <v>43583.344108564626</v>
      </c>
      <c r="ER27" s="7">
        <f t="shared" si="89"/>
        <v>44019.177549650274</v>
      </c>
      <c r="ES27" s="7">
        <f t="shared" si="89"/>
        <v>44459.369325146778</v>
      </c>
      <c r="ET27" s="7">
        <f t="shared" si="89"/>
        <v>44903.963018398244</v>
      </c>
      <c r="EU27" s="7">
        <f t="shared" si="89"/>
        <v>45353.002648582231</v>
      </c>
      <c r="EV27" s="7">
        <f t="shared" ref="EV27:GA27" si="90">+EU27*(1+$BI$33)</f>
        <v>45806.532675068054</v>
      </c>
      <c r="EW27" s="7">
        <f t="shared" si="90"/>
        <v>46264.598001818733</v>
      </c>
      <c r="EX27" s="7">
        <f t="shared" si="90"/>
        <v>46727.243981836924</v>
      </c>
      <c r="EY27" s="7">
        <f t="shared" si="90"/>
        <v>47194.516421655295</v>
      </c>
      <c r="EZ27" s="7">
        <f t="shared" si="90"/>
        <v>47666.461585871846</v>
      </c>
      <c r="FA27" s="7">
        <f t="shared" si="90"/>
        <v>48143.126201730563</v>
      </c>
      <c r="FB27" s="7">
        <f t="shared" si="90"/>
        <v>48624.557463747871</v>
      </c>
      <c r="FC27" s="7">
        <f t="shared" si="90"/>
        <v>49110.803038385347</v>
      </c>
      <c r="FD27" s="7">
        <f t="shared" si="90"/>
        <v>49601.911068769201</v>
      </c>
      <c r="FE27" s="7">
        <f t="shared" si="90"/>
        <v>50097.930179456896</v>
      </c>
      <c r="FF27" s="7">
        <f t="shared" si="90"/>
        <v>50598.909481251467</v>
      </c>
      <c r="FG27" s="7">
        <f t="shared" si="90"/>
        <v>51104.898576063984</v>
      </c>
      <c r="FH27" s="7">
        <f t="shared" si="90"/>
        <v>51615.947561824622</v>
      </c>
      <c r="FI27" s="7">
        <f t="shared" si="90"/>
        <v>52132.107037442867</v>
      </c>
      <c r="FJ27" s="7">
        <f t="shared" si="90"/>
        <v>52653.428107817293</v>
      </c>
      <c r="FK27" s="7">
        <f t="shared" si="90"/>
        <v>53179.962388895467</v>
      </c>
      <c r="FL27" s="7">
        <f t="shared" si="90"/>
        <v>53711.76201278442</v>
      </c>
      <c r="FM27" s="7">
        <f t="shared" si="90"/>
        <v>54248.879632912263</v>
      </c>
      <c r="FN27" s="7">
        <f t="shared" si="90"/>
        <v>54791.368429241389</v>
      </c>
      <c r="FO27" s="7">
        <f t="shared" si="90"/>
        <v>55339.282113533802</v>
      </c>
      <c r="FP27" s="7">
        <f t="shared" si="90"/>
        <v>55892.674934669143</v>
      </c>
      <c r="FQ27" s="7">
        <f t="shared" si="90"/>
        <v>56451.601684015834</v>
      </c>
      <c r="FR27" s="7">
        <f t="shared" si="90"/>
        <v>57016.11770085599</v>
      </c>
      <c r="FS27" s="7">
        <f t="shared" si="90"/>
        <v>57586.278877864548</v>
      </c>
      <c r="FT27" s="7">
        <f t="shared" si="90"/>
        <v>58162.141666643191</v>
      </c>
      <c r="FU27" s="7">
        <f t="shared" si="90"/>
        <v>58743.763083309626</v>
      </c>
      <c r="FV27" s="7">
        <f t="shared" si="90"/>
        <v>59331.200714142724</v>
      </c>
      <c r="FW27" s="7">
        <f t="shared" si="90"/>
        <v>59924.512721284154</v>
      </c>
      <c r="FX27" s="7">
        <f t="shared" si="90"/>
        <v>60523.757848497</v>
      </c>
      <c r="FY27" s="7">
        <f t="shared" si="90"/>
        <v>61128.995426981972</v>
      </c>
      <c r="FZ27" s="7">
        <f t="shared" si="90"/>
        <v>61740.285381251793</v>
      </c>
      <c r="GA27" s="7">
        <f t="shared" si="90"/>
        <v>62357.688235064314</v>
      </c>
      <c r="GB27" s="7">
        <f t="shared" ref="GB27:HG27" si="91">+GA27*(1+$BI$33)</f>
        <v>62981.265117414958</v>
      </c>
      <c r="GC27" s="7">
        <f t="shared" si="91"/>
        <v>63611.077768589108</v>
      </c>
      <c r="GD27" s="7">
        <f t="shared" si="91"/>
        <v>64247.188546275</v>
      </c>
      <c r="GE27" s="7">
        <f t="shared" si="91"/>
        <v>64889.66043173775</v>
      </c>
      <c r="GF27" s="7">
        <f t="shared" si="91"/>
        <v>65538.557036055121</v>
      </c>
      <c r="GG27" s="7">
        <f t="shared" si="91"/>
        <v>66193.942606415672</v>
      </c>
      <c r="GH27" s="7">
        <f t="shared" si="91"/>
        <v>66855.882032479829</v>
      </c>
      <c r="GI27" s="7">
        <f t="shared" si="91"/>
        <v>67524.440852804633</v>
      </c>
      <c r="GJ27" s="7">
        <f t="shared" si="91"/>
        <v>68199.685261332677</v>
      </c>
      <c r="GK27" s="7">
        <f t="shared" si="91"/>
        <v>68881.682113946008</v>
      </c>
      <c r="GL27" s="7">
        <f t="shared" si="91"/>
        <v>69570.498935085474</v>
      </c>
      <c r="GM27" s="7">
        <f t="shared" si="91"/>
        <v>70266.203924436326</v>
      </c>
      <c r="GN27" s="7">
        <f t="shared" si="91"/>
        <v>70968.865963680684</v>
      </c>
      <c r="GO27" s="7">
        <f t="shared" si="91"/>
        <v>71678.554623317497</v>
      </c>
      <c r="GP27" s="7">
        <f t="shared" si="91"/>
        <v>72395.340169550676</v>
      </c>
      <c r="GQ27" s="7">
        <f t="shared" si="91"/>
        <v>73119.293571246177</v>
      </c>
      <c r="GR27" s="7">
        <f t="shared" si="91"/>
        <v>73850.486506958638</v>
      </c>
      <c r="GS27" s="7">
        <f t="shared" si="91"/>
        <v>74588.99137202822</v>
      </c>
      <c r="GT27" s="7">
        <f t="shared" si="91"/>
        <v>75334.881285748503</v>
      </c>
      <c r="GU27" s="7">
        <f t="shared" si="91"/>
        <v>76088.230098605985</v>
      </c>
      <c r="GV27" s="7">
        <f t="shared" si="91"/>
        <v>76849.11239959205</v>
      </c>
      <c r="GW27" s="7">
        <f t="shared" si="91"/>
        <v>77617.603523587968</v>
      </c>
      <c r="GX27" s="7">
        <f t="shared" si="91"/>
        <v>78393.779558823851</v>
      </c>
      <c r="GY27" s="7">
        <f t="shared" si="91"/>
        <v>79177.717354412089</v>
      </c>
      <c r="GZ27" s="7">
        <f t="shared" si="91"/>
        <v>79969.494527956209</v>
      </c>
      <c r="HA27" s="7">
        <f t="shared" si="91"/>
        <v>80769.189473235776</v>
      </c>
      <c r="HB27" s="7">
        <f t="shared" si="91"/>
        <v>81576.881367968133</v>
      </c>
      <c r="HC27" s="7">
        <f t="shared" si="91"/>
        <v>82392.650181647812</v>
      </c>
      <c r="HD27" s="7">
        <f t="shared" si="91"/>
        <v>83216.576683464285</v>
      </c>
      <c r="HE27" s="7">
        <f t="shared" si="91"/>
        <v>84048.742450298931</v>
      </c>
      <c r="HF27" s="7">
        <f t="shared" si="91"/>
        <v>84889.229874801924</v>
      </c>
      <c r="HG27" s="7">
        <f t="shared" si="91"/>
        <v>85738.122173549942</v>
      </c>
      <c r="HH27" s="7">
        <f t="shared" ref="HH27:HY27" si="92">+HG27*(1+$BI$33)</f>
        <v>86595.503395285443</v>
      </c>
      <c r="HI27" s="7">
        <f t="shared" si="92"/>
        <v>87461.458429238293</v>
      </c>
      <c r="HJ27" s="7">
        <f t="shared" si="92"/>
        <v>88336.07301353068</v>
      </c>
      <c r="HK27" s="7">
        <f t="shared" si="92"/>
        <v>89219.433743665984</v>
      </c>
      <c r="HL27" s="7">
        <f t="shared" si="92"/>
        <v>90111.628081102652</v>
      </c>
      <c r="HM27" s="7">
        <f t="shared" si="92"/>
        <v>91012.744361913676</v>
      </c>
      <c r="HN27" s="7">
        <f t="shared" si="92"/>
        <v>91922.871805532806</v>
      </c>
      <c r="HO27" s="7">
        <f t="shared" si="92"/>
        <v>92842.100523588131</v>
      </c>
      <c r="HP27" s="7">
        <f t="shared" si="92"/>
        <v>93770.521528824014</v>
      </c>
      <c r="HQ27" s="7">
        <f t="shared" si="92"/>
        <v>94708.226744112253</v>
      </c>
      <c r="HR27" s="7">
        <f t="shared" si="92"/>
        <v>95655.309011553371</v>
      </c>
      <c r="HS27" s="7">
        <f t="shared" si="92"/>
        <v>96611.862101668899</v>
      </c>
      <c r="HT27" s="7">
        <f t="shared" si="92"/>
        <v>97577.980722685592</v>
      </c>
      <c r="HU27" s="7">
        <f t="shared" si="92"/>
        <v>98553.760529912455</v>
      </c>
      <c r="HV27" s="7">
        <f t="shared" si="92"/>
        <v>99539.298135211575</v>
      </c>
      <c r="HW27" s="7">
        <f t="shared" si="92"/>
        <v>100534.69111656368</v>
      </c>
      <c r="HX27" s="7">
        <f t="shared" si="92"/>
        <v>101540.03802772933</v>
      </c>
      <c r="HY27" s="7">
        <f t="shared" si="92"/>
        <v>102555.43840800662</v>
      </c>
    </row>
    <row r="28" spans="2:233">
      <c r="B28" s="19" t="s">
        <v>36</v>
      </c>
      <c r="C28" s="7">
        <v>771.6</v>
      </c>
      <c r="D28" s="7">
        <v>768.7</v>
      </c>
      <c r="E28" s="7">
        <v>763.9</v>
      </c>
      <c r="F28" s="7">
        <v>755.6</v>
      </c>
      <c r="G28" s="7">
        <v>750.7</v>
      </c>
      <c r="H28" s="7">
        <v>748.6</v>
      </c>
      <c r="I28" s="7">
        <v>750</v>
      </c>
      <c r="J28" s="7">
        <v>751</v>
      </c>
      <c r="K28" s="7">
        <v>751</v>
      </c>
      <c r="L28" s="7">
        <v>752.1</v>
      </c>
      <c r="M28" s="7">
        <v>752.6</v>
      </c>
      <c r="N28" s="7">
        <v>751.6</v>
      </c>
      <c r="O28" s="7">
        <v>747.6</v>
      </c>
      <c r="P28" s="7">
        <v>742</v>
      </c>
      <c r="Q28" s="7">
        <v>739.5</v>
      </c>
      <c r="R28" s="7">
        <v>736</v>
      </c>
      <c r="S28" s="7">
        <v>735.5</v>
      </c>
      <c r="T28" s="7">
        <v>734.3</v>
      </c>
      <c r="U28" s="7">
        <v>731.6</v>
      </c>
      <c r="V28" s="7">
        <v>727.8</v>
      </c>
      <c r="AM28" s="7">
        <v>815.5</v>
      </c>
      <c r="AN28" s="7">
        <v>785.6</v>
      </c>
      <c r="AO28" s="7">
        <f>+AO27/AO29</f>
        <v>797.95685279187842</v>
      </c>
      <c r="AP28" s="7">
        <f>+AP27/AP29</f>
        <v>797.32171156893844</v>
      </c>
      <c r="AQ28" s="7">
        <f>+AQ27/AQ29</f>
        <v>751.90652423758263</v>
      </c>
      <c r="AR28" s="7">
        <f>+AR27/AR29</f>
        <v>740.4443897484631</v>
      </c>
      <c r="AS28" s="7">
        <f t="shared" si="29"/>
        <v>2929.2</v>
      </c>
      <c r="AT28" s="7">
        <f t="shared" ref="AT28:AZ28" si="93">+AS28</f>
        <v>2929.2</v>
      </c>
      <c r="AU28" s="7">
        <f t="shared" si="93"/>
        <v>2929.2</v>
      </c>
      <c r="AV28" s="7">
        <f t="shared" si="93"/>
        <v>2929.2</v>
      </c>
      <c r="AW28" s="7">
        <f t="shared" si="93"/>
        <v>2929.2</v>
      </c>
      <c r="AX28" s="7">
        <f t="shared" si="93"/>
        <v>2929.2</v>
      </c>
      <c r="AY28" s="7">
        <f t="shared" si="93"/>
        <v>2929.2</v>
      </c>
      <c r="AZ28" s="7">
        <f t="shared" si="93"/>
        <v>2929.2</v>
      </c>
      <c r="BA28" s="7">
        <f t="shared" ref="BA28:BC28" si="94">+AZ28</f>
        <v>2929.2</v>
      </c>
      <c r="BB28" s="7">
        <f t="shared" si="94"/>
        <v>2929.2</v>
      </c>
      <c r="BC28" s="7">
        <f t="shared" si="94"/>
        <v>2929.2</v>
      </c>
    </row>
    <row r="29" spans="2:233" s="31" customFormat="1">
      <c r="B29" s="36" t="s">
        <v>37</v>
      </c>
      <c r="C29" s="31">
        <f t="shared" ref="C29:M29" si="95">+C27/C28</f>
        <v>1.801192327630897</v>
      </c>
      <c r="D29" s="31">
        <f t="shared" si="95"/>
        <v>2.0555483283465588</v>
      </c>
      <c r="E29" s="31">
        <f t="shared" si="95"/>
        <v>2.1951826155255936</v>
      </c>
      <c r="F29" s="31">
        <f t="shared" si="95"/>
        <v>2.1719163578613019</v>
      </c>
      <c r="G29" s="31">
        <f t="shared" si="95"/>
        <v>1.5723990941787669</v>
      </c>
      <c r="H29" s="31">
        <f t="shared" si="95"/>
        <v>0.74111675126903587</v>
      </c>
      <c r="I29" s="31">
        <f t="shared" si="95"/>
        <v>2.4512000000000009</v>
      </c>
      <c r="J29" s="31">
        <f t="shared" si="95"/>
        <v>1.9407456724367513</v>
      </c>
      <c r="K29" s="31">
        <f t="shared" si="95"/>
        <v>2.1479360852197069</v>
      </c>
      <c r="L29" s="31">
        <f t="shared" si="95"/>
        <v>3.0612950405531172</v>
      </c>
      <c r="M29" s="31">
        <f t="shared" si="95"/>
        <v>2.9683762955089028</v>
      </c>
      <c r="N29" s="31">
        <f t="shared" ref="N29" si="96">+N27/N28</f>
        <v>2.2955029270888754</v>
      </c>
      <c r="O29" s="31">
        <f t="shared" ref="O29:P29" si="97">+O27/O28</f>
        <v>1.6012573568753345</v>
      </c>
      <c r="P29" s="31">
        <f t="shared" si="97"/>
        <v>1.7264150943396235</v>
      </c>
      <c r="Q29" s="31">
        <f t="shared" ref="Q29" si="98">+Q27/Q28</f>
        <v>2.8058147396889797</v>
      </c>
      <c r="R29" s="31">
        <f>+R27/R28</f>
        <v>2.5861413043478256</v>
      </c>
      <c r="S29" s="31">
        <f>+S27/S28</f>
        <v>2.4504418762746432</v>
      </c>
      <c r="T29" s="31">
        <f>+T27/T28</f>
        <v>3.146397930001362</v>
      </c>
      <c r="U29" s="31">
        <f>+U27/U28</f>
        <v>3.1671678512848538</v>
      </c>
      <c r="V29" s="31">
        <f>+V27/V28</f>
        <v>2.8015938444627646</v>
      </c>
      <c r="AH29" s="31">
        <v>5.36</v>
      </c>
      <c r="AI29" s="31">
        <v>5.55</v>
      </c>
      <c r="AJ29" s="31">
        <v>4.82</v>
      </c>
      <c r="AK29" s="31">
        <v>4.8</v>
      </c>
      <c r="AL29" s="31">
        <v>5.44</v>
      </c>
      <c r="AM29" s="31">
        <v>6.37</v>
      </c>
      <c r="AN29" s="31">
        <v>7.54</v>
      </c>
      <c r="AO29" s="31">
        <v>7.88</v>
      </c>
      <c r="AP29" s="31">
        <v>6.31</v>
      </c>
      <c r="AQ29" s="31">
        <f t="shared" si="38"/>
        <v>10.473110348370604</v>
      </c>
      <c r="AR29" s="31">
        <f t="shared" si="30"/>
        <v>8.7196284952517633</v>
      </c>
      <c r="AS29" s="31">
        <f t="shared" si="29"/>
        <v>11.565601502023624</v>
      </c>
      <c r="AT29" s="31">
        <f t="shared" ref="AT29:AZ29" si="99">+AT27/AT28</f>
        <v>3.317886660630613</v>
      </c>
      <c r="AU29" s="31">
        <f t="shared" si="99"/>
        <v>3.5551003392998211</v>
      </c>
      <c r="AV29" s="31">
        <f t="shared" si="99"/>
        <v>3.8041350378495453</v>
      </c>
      <c r="AW29" s="31">
        <f t="shared" si="99"/>
        <v>4.0936339218963402</v>
      </c>
      <c r="AX29" s="31">
        <f t="shared" si="99"/>
        <v>4.368517472808052</v>
      </c>
      <c r="AY29" s="31">
        <f t="shared" si="99"/>
        <v>4.6568527645409805</v>
      </c>
      <c r="AZ29" s="31">
        <f t="shared" si="99"/>
        <v>4.9592210067965876</v>
      </c>
      <c r="BA29" s="31">
        <f t="shared" ref="BA29:BB29" si="100">+BA27/BA28</f>
        <v>5.276226804231662</v>
      </c>
      <c r="BB29" s="31">
        <f t="shared" si="100"/>
        <v>5.608499056051989</v>
      </c>
      <c r="BC29" s="31">
        <f t="shared" ref="BC29" si="101">+BC27/BC28</f>
        <v>5.9566918890948726</v>
      </c>
    </row>
    <row r="30" spans="2:233" s="24" customFormat="1">
      <c r="B30" s="37"/>
      <c r="AM30" s="7"/>
      <c r="AN30" s="7"/>
      <c r="AO30" s="7"/>
      <c r="AP30" s="7"/>
      <c r="AQ30" s="7"/>
    </row>
    <row r="31" spans="2:233">
      <c r="J31" s="38"/>
      <c r="K31" s="38"/>
      <c r="L31" s="38"/>
      <c r="M31" s="38"/>
      <c r="N31" s="38"/>
      <c r="O31" s="38"/>
    </row>
    <row r="32" spans="2:233">
      <c r="BH32" s="25" t="s">
        <v>74</v>
      </c>
      <c r="BI32" s="33">
        <v>0.01</v>
      </c>
    </row>
    <row r="33" spans="2:63" s="22" customFormat="1">
      <c r="B33" s="26" t="s">
        <v>38</v>
      </c>
      <c r="G33" s="22">
        <f t="shared" ref="G33:V36" si="102">+G11/C11-1</f>
        <v>-9.5826824369560359E-2</v>
      </c>
      <c r="H33" s="22">
        <f t="shared" si="102"/>
        <v>-0.33606898850191635</v>
      </c>
      <c r="I33" s="22">
        <f t="shared" si="102"/>
        <v>-5.3877348340643838E-2</v>
      </c>
      <c r="J33" s="22">
        <f t="shared" si="102"/>
        <v>-5.500782803706683E-2</v>
      </c>
      <c r="K33" s="22">
        <f t="shared" si="102"/>
        <v>6.6985882120643714E-2</v>
      </c>
      <c r="L33" s="22">
        <f t="shared" si="102"/>
        <v>0.56158624584300676</v>
      </c>
      <c r="M33" s="22">
        <f t="shared" si="102"/>
        <v>0.13645906228131555</v>
      </c>
      <c r="N33" s="22">
        <f t="shared" si="102"/>
        <v>0.13679308646397703</v>
      </c>
      <c r="O33" s="22">
        <f t="shared" si="102"/>
        <v>6.5186213277816263E-2</v>
      </c>
      <c r="P33" s="22">
        <f t="shared" si="102"/>
        <v>-0.15104271306304484</v>
      </c>
      <c r="Q33" s="22">
        <f t="shared" si="102"/>
        <v>-0.18226600985221675</v>
      </c>
      <c r="R33" s="22">
        <f t="shared" si="102"/>
        <v>-0.13014022372774536</v>
      </c>
      <c r="S33" s="22">
        <f t="shared" si="102"/>
        <v>-3.3921125781792849E-2</v>
      </c>
      <c r="T33" s="22">
        <f t="shared" si="102"/>
        <v>0.17711094282468753</v>
      </c>
      <c r="U33" s="22">
        <f t="shared" si="102"/>
        <v>0.20303087349397564</v>
      </c>
      <c r="V33" s="22">
        <f t="shared" si="102"/>
        <v>0.12031334903097246</v>
      </c>
      <c r="AN33" s="22">
        <f t="shared" ref="AN33:AS34" si="103">+AN11/AM11-1</f>
        <v>-0.21276997224602745</v>
      </c>
      <c r="AO33" s="22">
        <f t="shared" si="103"/>
        <v>-5.9114924046461126E-2</v>
      </c>
      <c r="AP33" s="22">
        <f t="shared" si="103"/>
        <v>-0.13603940217391297</v>
      </c>
      <c r="AQ33" s="22">
        <f t="shared" si="103"/>
        <v>0.20250147434637311</v>
      </c>
      <c r="AR33" s="22">
        <f t="shared" si="103"/>
        <v>-0.10615689560046571</v>
      </c>
      <c r="AS33" s="22">
        <f t="shared" si="103"/>
        <v>0.11352933107768259</v>
      </c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H33" s="22" t="s">
        <v>46</v>
      </c>
      <c r="BI33" s="40">
        <v>0.01</v>
      </c>
    </row>
    <row r="34" spans="2:63" s="22" customFormat="1">
      <c r="B34" s="26" t="s">
        <v>39</v>
      </c>
      <c r="G34" s="22">
        <f t="shared" si="102"/>
        <v>-3.9446060918566506E-2</v>
      </c>
      <c r="H34" s="22">
        <f t="shared" si="102"/>
        <v>-0.29001326124655724</v>
      </c>
      <c r="I34" s="22">
        <f t="shared" si="102"/>
        <v>1.0218978102189746E-2</v>
      </c>
      <c r="J34" s="22">
        <f t="shared" si="102"/>
        <v>-1.3397193287989495E-4</v>
      </c>
      <c r="K34" s="22">
        <f t="shared" si="102"/>
        <v>0.10329754601227004</v>
      </c>
      <c r="L34" s="22">
        <f t="shared" si="102"/>
        <v>0.58342911877394621</v>
      </c>
      <c r="M34" s="22">
        <f t="shared" si="102"/>
        <v>0.15285076195480807</v>
      </c>
      <c r="N34" s="22">
        <f t="shared" si="102"/>
        <v>0.13610022443305514</v>
      </c>
      <c r="O34" s="22">
        <f t="shared" si="102"/>
        <v>0.13394036282755262</v>
      </c>
      <c r="P34" s="22">
        <f t="shared" si="102"/>
        <v>6.6723126247655973E-2</v>
      </c>
      <c r="Q34" s="22">
        <f t="shared" si="102"/>
        <v>4.5866332402712207E-2</v>
      </c>
      <c r="R34" s="22">
        <f t="shared" si="102"/>
        <v>7.4713999292369326E-2</v>
      </c>
      <c r="S34" s="22">
        <f t="shared" si="102"/>
        <v>9.9515753340688962E-2</v>
      </c>
      <c r="T34" s="22">
        <f t="shared" si="102"/>
        <v>0.11526029261653625</v>
      </c>
      <c r="U34" s="22">
        <f t="shared" si="102"/>
        <v>0.10239158858139041</v>
      </c>
      <c r="V34" s="22">
        <f t="shared" si="102"/>
        <v>6.13443072702331E-2</v>
      </c>
      <c r="AN34" s="22">
        <f t="shared" si="103"/>
        <v>9.0184626045636707E-2</v>
      </c>
      <c r="AO34" s="22">
        <f t="shared" si="103"/>
        <v>5.8406356413166938E-2</v>
      </c>
      <c r="AP34" s="22">
        <f t="shared" si="103"/>
        <v>-7.9754969671491205E-2</v>
      </c>
      <c r="AQ34" s="22">
        <f t="shared" si="103"/>
        <v>0.21995879210523861</v>
      </c>
      <c r="AR34" s="22">
        <f t="shared" si="103"/>
        <v>7.7980038821892972E-2</v>
      </c>
      <c r="AS34" s="22">
        <f t="shared" si="103"/>
        <v>9.4337081200640993E-2</v>
      </c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H34" s="22" t="s">
        <v>47</v>
      </c>
      <c r="BI34" s="40">
        <v>0.06</v>
      </c>
    </row>
    <row r="35" spans="2:63" s="22" customFormat="1">
      <c r="B35" s="26" t="s">
        <v>40</v>
      </c>
      <c r="G35" s="22">
        <f t="shared" si="102"/>
        <v>0.1766423357664233</v>
      </c>
      <c r="H35" s="22">
        <f t="shared" si="102"/>
        <v>0.16496350364963508</v>
      </c>
      <c r="I35" s="22">
        <f t="shared" si="102"/>
        <v>0.21199442119944223</v>
      </c>
      <c r="J35" s="22">
        <f t="shared" si="102"/>
        <v>0.20202020202020199</v>
      </c>
      <c r="K35" s="22">
        <f t="shared" si="102"/>
        <v>6.3275434243176276E-2</v>
      </c>
      <c r="L35" s="22">
        <f t="shared" si="102"/>
        <v>0.16541353383458657</v>
      </c>
      <c r="M35" s="22">
        <f t="shared" si="102"/>
        <v>6.6743383199079354E-2</v>
      </c>
      <c r="N35" s="22">
        <f t="shared" si="102"/>
        <v>-0.17331932773109238</v>
      </c>
      <c r="O35" s="22">
        <f t="shared" si="102"/>
        <v>0.17152858809801641</v>
      </c>
      <c r="P35" s="22">
        <f t="shared" si="102"/>
        <v>-0.15268817204301077</v>
      </c>
      <c r="Q35" s="22">
        <f t="shared" si="102"/>
        <v>-0.17907227615965493</v>
      </c>
      <c r="R35" s="22">
        <f t="shared" si="102"/>
        <v>-7.1156289707751008E-2</v>
      </c>
      <c r="S35" s="22">
        <f t="shared" si="102"/>
        <v>-0.14342629482071723</v>
      </c>
      <c r="T35" s="22">
        <f t="shared" si="102"/>
        <v>-2.0304568527918732E-2</v>
      </c>
      <c r="U35" s="22">
        <f t="shared" si="102"/>
        <v>0.1681997371879107</v>
      </c>
      <c r="V35" s="22">
        <f t="shared" si="102"/>
        <v>-0.13132694938440481</v>
      </c>
      <c r="AP35" s="22">
        <f t="shared" ref="AP35:AS36" si="104">+AP13/AO13-1</f>
        <v>0.18964918374435569</v>
      </c>
      <c r="AQ35" s="22">
        <f t="shared" si="104"/>
        <v>2.2189781021897836E-2</v>
      </c>
      <c r="AR35" s="22">
        <f t="shared" si="104"/>
        <v>-6.1982290774064697E-2</v>
      </c>
      <c r="AS35" s="22">
        <f t="shared" si="104"/>
        <v>-3.8976857490864658E-2</v>
      </c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H35" s="22" t="s">
        <v>48</v>
      </c>
      <c r="BI35" s="7">
        <f>NPV(BI34,AQ27:HY27)+O!J16-O!J17</f>
        <v>231732.97652718381</v>
      </c>
    </row>
    <row r="36" spans="2:63" s="25" customFormat="1">
      <c r="B36" s="41" t="s">
        <v>41</v>
      </c>
      <c r="G36" s="25">
        <f t="shared" si="102"/>
        <v>-6.1642881312075737E-2</v>
      </c>
      <c r="H36" s="25">
        <f t="shared" si="102"/>
        <v>-0.3046877888276831</v>
      </c>
      <c r="I36" s="25">
        <f t="shared" si="102"/>
        <v>-1.5302691601693841E-2</v>
      </c>
      <c r="J36" s="25">
        <f t="shared" si="102"/>
        <v>-2.1075126192844684E-2</v>
      </c>
      <c r="K36" s="25">
        <f t="shared" si="102"/>
        <v>8.7010011878499771E-2</v>
      </c>
      <c r="L36" s="25">
        <f t="shared" si="102"/>
        <v>0.56530639372590707</v>
      </c>
      <c r="M36" s="25">
        <f t="shared" si="102"/>
        <v>0.14455251841051298</v>
      </c>
      <c r="N36" s="25">
        <f t="shared" si="102"/>
        <v>0.13084798072942139</v>
      </c>
      <c r="O36" s="25">
        <f t="shared" si="102"/>
        <v>0.10556921515825635</v>
      </c>
      <c r="P36" s="25">
        <f t="shared" si="102"/>
        <v>-2.8787853054569434E-2</v>
      </c>
      <c r="Q36" s="25">
        <f t="shared" si="102"/>
        <v>-5.3085643332849486E-2</v>
      </c>
      <c r="R36" s="22">
        <f t="shared" si="102"/>
        <v>-1.3745818841423785E-2</v>
      </c>
      <c r="S36" s="25">
        <f t="shared" si="102"/>
        <v>4.098418525840164E-2</v>
      </c>
      <c r="T36" s="25">
        <f t="shared" si="102"/>
        <v>0.13624440402909888</v>
      </c>
      <c r="U36" s="25">
        <f t="shared" si="102"/>
        <v>0.1396604281262237</v>
      </c>
      <c r="V36" s="25">
        <f t="shared" si="102"/>
        <v>8.0941533788914111E-2</v>
      </c>
      <c r="AN36" s="25">
        <f>+AN14/AM14-1</f>
        <v>-7.413633908816919E-2</v>
      </c>
      <c r="AO36" s="25">
        <f>+AO14/AN14-1</f>
        <v>4.9957192989058541E-3</v>
      </c>
      <c r="AP36" s="25">
        <f t="shared" si="104"/>
        <v>-0.10094362584486338</v>
      </c>
      <c r="AQ36" s="25">
        <f t="shared" si="104"/>
        <v>0.20903487125022102</v>
      </c>
      <c r="AR36" s="25">
        <f t="shared" si="104"/>
        <v>-1.7353560494166587E-3</v>
      </c>
      <c r="AS36" s="25">
        <f t="shared" si="104"/>
        <v>9.9691147671098213E-2</v>
      </c>
      <c r="AT36" s="35">
        <f t="shared" ref="AT36:BC36" si="105">+AT14/AS14-1</f>
        <v>8.2502548667410913E-2</v>
      </c>
      <c r="AU36" s="35">
        <f t="shared" si="105"/>
        <v>8.0194004342001968E-2</v>
      </c>
      <c r="AV36" s="35">
        <f t="shared" si="105"/>
        <v>7.8088442565186655E-2</v>
      </c>
      <c r="AW36" s="35">
        <f t="shared" si="105"/>
        <v>8.3571789261067231E-2</v>
      </c>
      <c r="AX36" s="35">
        <f t="shared" si="105"/>
        <v>7.4084000000000261E-2</v>
      </c>
      <c r="AY36" s="35">
        <f t="shared" si="105"/>
        <v>7.2472190257000246E-2</v>
      </c>
      <c r="AZ36" s="35">
        <f t="shared" si="105"/>
        <v>7.0979922637686599E-2</v>
      </c>
      <c r="BA36" s="35">
        <f t="shared" si="105"/>
        <v>6.9594331266607412E-2</v>
      </c>
      <c r="BB36" s="35">
        <f t="shared" si="105"/>
        <v>6.8304332992152883E-2</v>
      </c>
      <c r="BC36" s="35">
        <f t="shared" si="105"/>
        <v>6.7100328947368393E-2</v>
      </c>
      <c r="BH36" s="7" t="s">
        <v>1</v>
      </c>
      <c r="BI36" s="7">
        <f>+O!J14</f>
        <v>725.34203000000002</v>
      </c>
    </row>
    <row r="37" spans="2:63">
      <c r="BH37" s="7" t="s">
        <v>49</v>
      </c>
      <c r="BI37" s="7">
        <f>+BI35/BI36</f>
        <v>319.48097165579088</v>
      </c>
    </row>
    <row r="38" spans="2:63">
      <c r="B38" s="19" t="s">
        <v>106</v>
      </c>
      <c r="C38" s="22">
        <f t="shared" ref="C38:V38" si="106">+C22/C14</f>
        <v>0.4290121613821381</v>
      </c>
      <c r="D38" s="22">
        <f t="shared" si="106"/>
        <v>0.43201227402122072</v>
      </c>
      <c r="E38" s="22">
        <f t="shared" si="106"/>
        <v>0.4504116460389293</v>
      </c>
      <c r="F38" s="22">
        <f t="shared" si="106"/>
        <v>0.43504292398953615</v>
      </c>
      <c r="G38" s="22">
        <f t="shared" si="106"/>
        <v>0.37483030714406929</v>
      </c>
      <c r="H38" s="22">
        <f t="shared" si="106"/>
        <v>0.2743852186627676</v>
      </c>
      <c r="I38" s="22">
        <f t="shared" si="106"/>
        <v>0.48027906461674769</v>
      </c>
      <c r="J38" s="22">
        <f t="shared" si="106"/>
        <v>0.41838232526628782</v>
      </c>
      <c r="K38" s="22">
        <f t="shared" si="106"/>
        <v>0.45997736408695317</v>
      </c>
      <c r="L38" s="22">
        <f t="shared" si="106"/>
        <v>0.47116968698517292</v>
      </c>
      <c r="M38" s="22">
        <f t="shared" si="106"/>
        <v>0.49515424185251483</v>
      </c>
      <c r="N38" s="22">
        <f t="shared" si="106"/>
        <v>0.41330648516416757</v>
      </c>
      <c r="O38" s="22">
        <f t="shared" si="106"/>
        <v>0.42454462016379552</v>
      </c>
      <c r="P38" s="22">
        <f t="shared" si="106"/>
        <v>0.31561275881365425</v>
      </c>
      <c r="Q38" s="22">
        <f t="shared" si="106"/>
        <v>0.48657209516186717</v>
      </c>
      <c r="R38" s="22">
        <f t="shared" si="106"/>
        <v>0.43578840799797519</v>
      </c>
      <c r="S38" s="22">
        <f t="shared" si="106"/>
        <v>0.42938044694631899</v>
      </c>
      <c r="T38" s="22">
        <f t="shared" si="106"/>
        <v>0.47773759138130056</v>
      </c>
      <c r="U38" s="22">
        <f t="shared" si="106"/>
        <v>0.47940886405068583</v>
      </c>
      <c r="V38" s="22">
        <f t="shared" si="106"/>
        <v>0.43737316974181267</v>
      </c>
      <c r="W38" s="22"/>
      <c r="X38" s="22"/>
      <c r="Y38" s="22"/>
      <c r="AM38" s="22">
        <f t="shared" ref="AM38:BA38" si="107">+AM22/AM14</f>
        <v>0.50010888312050317</v>
      </c>
      <c r="AN38" s="22">
        <f t="shared" si="107"/>
        <v>0.51880686041151169</v>
      </c>
      <c r="AO38" s="22">
        <f t="shared" si="107"/>
        <v>0.43681545000093613</v>
      </c>
      <c r="AP38" s="22">
        <f t="shared" si="107"/>
        <v>0.3969533210466582</v>
      </c>
      <c r="AQ38" s="22">
        <f t="shared" si="107"/>
        <v>0.46013202485477694</v>
      </c>
      <c r="AR38" s="22">
        <f t="shared" si="107"/>
        <v>0.4162604712154806</v>
      </c>
      <c r="AS38" s="22">
        <f t="shared" si="107"/>
        <v>0.45684620121834019</v>
      </c>
      <c r="AT38" s="22">
        <f t="shared" si="107"/>
        <v>0.48431708051913525</v>
      </c>
      <c r="AU38" s="22">
        <f t="shared" si="107"/>
        <v>0.48041696987624677</v>
      </c>
      <c r="AV38" s="22">
        <f t="shared" si="107"/>
        <v>0.47683487502440086</v>
      </c>
      <c r="AW38" s="22">
        <f t="shared" si="107"/>
        <v>0.47354733808618932</v>
      </c>
      <c r="AX38" s="22">
        <f t="shared" si="107"/>
        <v>0.4704898154583263</v>
      </c>
      <c r="AY38" s="22">
        <f t="shared" si="107"/>
        <v>0.4676518075301011</v>
      </c>
      <c r="AZ38" s="22">
        <f t="shared" si="107"/>
        <v>0.46500994797536449</v>
      </c>
      <c r="BA38" s="22">
        <f t="shared" si="107"/>
        <v>0.46254409846929601</v>
      </c>
      <c r="BB38" s="22">
        <f t="shared" ref="BB38:BC38" si="108">+BB22/BB14</f>
        <v>0.46023680866766187</v>
      </c>
      <c r="BC38" s="22">
        <f t="shared" si="108"/>
        <v>0.45807288114111278</v>
      </c>
      <c r="BH38" s="7" t="s">
        <v>50</v>
      </c>
      <c r="BI38" s="7">
        <f>+O!J13</f>
        <v>293.76</v>
      </c>
    </row>
    <row r="39" spans="2:63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BH39" s="21" t="s">
        <v>51</v>
      </c>
      <c r="BI39" s="25">
        <f>+BI37/BI38-1</f>
        <v>8.755777388273045E-2</v>
      </c>
    </row>
    <row r="40" spans="2:63">
      <c r="B40" s="19" t="s">
        <v>114</v>
      </c>
      <c r="O40" s="7">
        <v>244</v>
      </c>
      <c r="AM40" s="7">
        <v>172.12</v>
      </c>
      <c r="AN40" s="7">
        <v>177.57</v>
      </c>
      <c r="AO40" s="7">
        <v>197.61</v>
      </c>
      <c r="AP40" s="7">
        <v>214.58</v>
      </c>
      <c r="AQ40" s="7">
        <v>268.07</v>
      </c>
    </row>
    <row r="41" spans="2:63">
      <c r="B41" s="19" t="s">
        <v>2</v>
      </c>
      <c r="O41" s="7">
        <f>+C28*O40</f>
        <v>188270.4</v>
      </c>
      <c r="Q41" s="7">
        <f>+O!J15</f>
        <v>213076.47473280001</v>
      </c>
      <c r="AM41" s="7">
        <f>+AM28*AM40</f>
        <v>140363.86000000002</v>
      </c>
      <c r="AN41" s="7">
        <f>+AN28*AN40</f>
        <v>139498.992</v>
      </c>
      <c r="AO41" s="7">
        <f>+AO28*AO40</f>
        <v>157684.25368020311</v>
      </c>
      <c r="AP41" s="7">
        <f>+AP28*AP40</f>
        <v>171089.29286846283</v>
      </c>
      <c r="AQ41" s="7">
        <f>+AQ28*AQ40</f>
        <v>201563.58195236878</v>
      </c>
      <c r="BG41" s="22"/>
      <c r="BH41" s="27"/>
      <c r="BI41" s="22"/>
      <c r="BJ41" s="22"/>
      <c r="BK41" s="22"/>
    </row>
    <row r="42" spans="2:63">
      <c r="B42" s="19" t="s">
        <v>5</v>
      </c>
      <c r="J42" s="7">
        <f t="shared" ref="J42:O42" si="109">+J41+J45</f>
        <v>-32694.100000000002</v>
      </c>
      <c r="K42" s="7">
        <f t="shared" si="109"/>
        <v>-31492.399999999998</v>
      </c>
      <c r="L42" s="7">
        <f t="shared" si="109"/>
        <v>-31176.399999999998</v>
      </c>
      <c r="M42" s="7">
        <f t="shared" si="109"/>
        <v>-29650.799999999999</v>
      </c>
      <c r="N42" s="7">
        <f t="shared" si="109"/>
        <v>-29712.299999999996</v>
      </c>
      <c r="O42" s="7">
        <f t="shared" si="109"/>
        <v>157794.5</v>
      </c>
      <c r="Q42" s="7">
        <f>+Q41+Q45</f>
        <v>182002.3747328</v>
      </c>
      <c r="AM42" s="7">
        <f t="shared" ref="AM42:AP42" si="110">+AM41+AM45</f>
        <v>140363.86000000002</v>
      </c>
      <c r="AN42" s="7">
        <f t="shared" si="110"/>
        <v>139498.992</v>
      </c>
      <c r="AO42" s="7">
        <f t="shared" si="110"/>
        <v>157684.25368020311</v>
      </c>
      <c r="AP42" s="7">
        <f t="shared" si="110"/>
        <v>139912.89286846283</v>
      </c>
      <c r="AQ42" s="7">
        <f>+AQ41+AQ45</f>
        <v>171851.28195236879</v>
      </c>
      <c r="BD42" s="19"/>
    </row>
    <row r="43" spans="2:63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BD43" s="19"/>
    </row>
    <row r="44" spans="2:63"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BD44" s="26"/>
      <c r="BE44" s="21"/>
    </row>
    <row r="45" spans="2:63" s="21" customFormat="1">
      <c r="B45" s="20" t="s">
        <v>116</v>
      </c>
      <c r="J45" s="21">
        <f>+J46+J50-J64-J65</f>
        <v>-32694.100000000002</v>
      </c>
      <c r="K45" s="21">
        <f>+K46+K50-K64-K65</f>
        <v>-31492.399999999998</v>
      </c>
      <c r="L45" s="21">
        <f>+L46+L50-L64-L65</f>
        <v>-31176.399999999998</v>
      </c>
      <c r="M45" s="21">
        <f t="shared" ref="M45:V45" si="111">+M46+M50-M64-M65</f>
        <v>-29650.799999999999</v>
      </c>
      <c r="N45" s="21">
        <f t="shared" si="111"/>
        <v>-29712.299999999996</v>
      </c>
      <c r="O45" s="21">
        <f t="shared" si="111"/>
        <v>-30475.9</v>
      </c>
      <c r="P45" s="21">
        <f t="shared" si="111"/>
        <v>-31630</v>
      </c>
      <c r="Q45" s="21">
        <f t="shared" si="111"/>
        <v>-31074.1</v>
      </c>
      <c r="R45" s="21">
        <f t="shared" si="111"/>
        <v>-32255.100000000002</v>
      </c>
      <c r="S45" s="21">
        <f t="shared" si="111"/>
        <v>0</v>
      </c>
      <c r="T45" s="21">
        <f t="shared" si="111"/>
        <v>0</v>
      </c>
      <c r="U45" s="21">
        <f t="shared" si="111"/>
        <v>-32740.399999999998</v>
      </c>
      <c r="V45" s="21">
        <f t="shared" si="111"/>
        <v>-32573.600000000002</v>
      </c>
      <c r="AP45" s="21">
        <f>+L45</f>
        <v>-31176.399999999998</v>
      </c>
      <c r="AQ45" s="21">
        <f>+N45</f>
        <v>-29712.299999999996</v>
      </c>
      <c r="AR45" s="21">
        <f>+R45</f>
        <v>-32255.100000000002</v>
      </c>
      <c r="AS45" s="21">
        <f t="shared" ref="AS45:BC45" si="112">+AR45+AS27</f>
        <v>-23786.300000000003</v>
      </c>
      <c r="AT45" s="21">
        <f t="shared" si="112"/>
        <v>-14067.546393680812</v>
      </c>
      <c r="AU45" s="21">
        <f t="shared" si="112"/>
        <v>-3653.946479803777</v>
      </c>
      <c r="AV45" s="21">
        <f t="shared" si="112"/>
        <v>7489.1258730651098</v>
      </c>
      <c r="AW45" s="21">
        <f t="shared" si="112"/>
        <v>19480.198357083871</v>
      </c>
      <c r="AX45" s="21">
        <f t="shared" si="112"/>
        <v>32276.459738433216</v>
      </c>
      <c r="AY45" s="21">
        <f t="shared" si="112"/>
        <v>45917.312856326651</v>
      </c>
      <c r="AZ45" s="21">
        <f t="shared" si="112"/>
        <v>60443.863029435219</v>
      </c>
      <c r="BA45" s="21">
        <f t="shared" si="112"/>
        <v>75898.986584390601</v>
      </c>
      <c r="BB45" s="21">
        <f t="shared" si="112"/>
        <v>92327.402019378089</v>
      </c>
      <c r="BC45" s="21">
        <f t="shared" si="112"/>
        <v>109775.74390091479</v>
      </c>
      <c r="BD45" s="23"/>
      <c r="BE45" s="25"/>
    </row>
    <row r="46" spans="2:63">
      <c r="B46" s="19" t="s">
        <v>52</v>
      </c>
      <c r="J46" s="7">
        <v>3449.1</v>
      </c>
      <c r="K46" s="7">
        <v>3019.7</v>
      </c>
      <c r="L46" s="7">
        <v>3049.4</v>
      </c>
      <c r="M46" s="7">
        <v>4305.8</v>
      </c>
      <c r="N46" s="7">
        <v>4709.2</v>
      </c>
      <c r="O46" s="7">
        <v>2335.6999999999998</v>
      </c>
      <c r="P46" s="7">
        <v>1872.5</v>
      </c>
      <c r="Q46" s="7">
        <v>2828.3</v>
      </c>
      <c r="R46" s="7">
        <v>2583.8000000000002</v>
      </c>
      <c r="U46" s="7">
        <v>3496.3</v>
      </c>
      <c r="V46" s="7">
        <v>4579.3</v>
      </c>
      <c r="BD46" s="19"/>
    </row>
    <row r="47" spans="2:63">
      <c r="B47" s="19" t="s">
        <v>54</v>
      </c>
      <c r="J47" s="7">
        <v>2110.3000000000002</v>
      </c>
      <c r="K47" s="7">
        <v>1733.7</v>
      </c>
      <c r="L47" s="7">
        <v>1808.3</v>
      </c>
      <c r="M47" s="7">
        <v>1828.5</v>
      </c>
      <c r="N47" s="7">
        <v>1872.4</v>
      </c>
      <c r="O47" s="7">
        <v>1674.1</v>
      </c>
      <c r="P47" s="7">
        <v>1836.7</v>
      </c>
      <c r="Q47" s="7">
        <v>1889.9</v>
      </c>
      <c r="R47" s="7">
        <v>2115</v>
      </c>
      <c r="U47" s="7">
        <v>2247.1</v>
      </c>
      <c r="V47" s="7">
        <v>2488</v>
      </c>
    </row>
    <row r="48" spans="2:63">
      <c r="B48" s="19" t="s">
        <v>55</v>
      </c>
      <c r="J48" s="7">
        <v>51.1</v>
      </c>
      <c r="K48" s="7">
        <v>45.3</v>
      </c>
      <c r="L48" s="7">
        <v>47.8</v>
      </c>
      <c r="M48" s="7">
        <v>50.1</v>
      </c>
      <c r="N48" s="7">
        <v>55.6</v>
      </c>
      <c r="O48" s="7">
        <v>49.6</v>
      </c>
      <c r="P48" s="7">
        <v>43.3</v>
      </c>
      <c r="Q48" s="7">
        <v>43.4</v>
      </c>
      <c r="R48" s="7">
        <v>52</v>
      </c>
      <c r="U48" s="7">
        <v>47.6</v>
      </c>
      <c r="V48" s="7">
        <v>0</v>
      </c>
    </row>
    <row r="49" spans="2:22">
      <c r="B49" s="19" t="s">
        <v>56</v>
      </c>
      <c r="J49" s="7">
        <v>632.70000000000005</v>
      </c>
      <c r="K49" s="7">
        <v>669.2</v>
      </c>
      <c r="L49" s="7">
        <v>795.7</v>
      </c>
      <c r="M49" s="7">
        <v>611.5</v>
      </c>
      <c r="N49" s="7">
        <v>511.3</v>
      </c>
      <c r="O49" s="7">
        <v>597</v>
      </c>
      <c r="P49" s="7">
        <v>1166.8</v>
      </c>
      <c r="Q49" s="7">
        <v>979.2</v>
      </c>
      <c r="R49" s="7">
        <v>673.4</v>
      </c>
      <c r="U49" s="7">
        <v>1059</v>
      </c>
      <c r="V49" s="7">
        <v>0</v>
      </c>
    </row>
    <row r="50" spans="2:22">
      <c r="B50" s="19" t="s">
        <v>57</v>
      </c>
      <c r="J50" s="7">
        <v>1297.2</v>
      </c>
      <c r="K50" s="7">
        <v>1211.0999999999999</v>
      </c>
      <c r="L50" s="7">
        <v>1196.8</v>
      </c>
      <c r="M50" s="7">
        <v>1171.4000000000001</v>
      </c>
      <c r="N50" s="7">
        <v>1201.2</v>
      </c>
      <c r="O50" s="7">
        <v>1177.2</v>
      </c>
      <c r="P50" s="7">
        <v>1074</v>
      </c>
      <c r="Q50" s="7">
        <v>963.8</v>
      </c>
      <c r="R50" s="7">
        <v>1064.5</v>
      </c>
      <c r="U50" s="7">
        <v>1037.9000000000001</v>
      </c>
      <c r="V50" s="7">
        <v>0</v>
      </c>
    </row>
    <row r="51" spans="2:22">
      <c r="B51" s="19" t="s">
        <v>58</v>
      </c>
      <c r="J51" s="7">
        <v>2773.1</v>
      </c>
      <c r="K51" s="7">
        <v>2745.8</v>
      </c>
      <c r="L51" s="7">
        <v>2778.1</v>
      </c>
      <c r="M51" s="7">
        <v>2744.2</v>
      </c>
      <c r="N51" s="7">
        <v>2782.5</v>
      </c>
      <c r="O51" s="7">
        <v>2813.9</v>
      </c>
      <c r="P51" s="7">
        <v>2722.4</v>
      </c>
      <c r="Q51" s="7">
        <v>2651.3</v>
      </c>
      <c r="R51" s="7">
        <v>2900.4</v>
      </c>
      <c r="U51" s="7">
        <v>2965.2</v>
      </c>
      <c r="V51" s="7">
        <v>0</v>
      </c>
    </row>
    <row r="52" spans="2:22">
      <c r="B52" s="19" t="s">
        <v>59</v>
      </c>
      <c r="J52" s="7">
        <v>3527.4</v>
      </c>
      <c r="K52" s="7">
        <v>3499.1</v>
      </c>
      <c r="L52" s="7">
        <v>3889.5</v>
      </c>
      <c r="M52" s="7">
        <v>4057.9</v>
      </c>
      <c r="N52" s="7">
        <v>4449.5</v>
      </c>
      <c r="O52" s="7">
        <v>4416.8999999999996</v>
      </c>
      <c r="P52" s="7">
        <v>4403.3999999999996</v>
      </c>
      <c r="Q52" s="7">
        <v>4254.6000000000004</v>
      </c>
      <c r="R52" s="7">
        <v>4707.2</v>
      </c>
      <c r="U52" s="7">
        <v>5062.6000000000004</v>
      </c>
      <c r="V52" s="7">
        <v>0</v>
      </c>
    </row>
    <row r="53" spans="2:22">
      <c r="B53" s="19" t="s">
        <v>60</v>
      </c>
      <c r="J53" s="7">
        <v>13827.7</v>
      </c>
      <c r="K53" s="7">
        <v>13629.4</v>
      </c>
      <c r="L53" s="7">
        <v>13707.3</v>
      </c>
      <c r="M53" s="7">
        <v>13528.9</v>
      </c>
      <c r="N53" s="7">
        <v>13552</v>
      </c>
      <c r="O53" s="7">
        <v>13378.6</v>
      </c>
      <c r="P53" s="7">
        <v>12794.2</v>
      </c>
      <c r="Q53" s="7">
        <v>12192.8</v>
      </c>
      <c r="R53" s="7">
        <v>12565.7</v>
      </c>
      <c r="U53" s="7">
        <v>12249.5</v>
      </c>
      <c r="V53" s="7">
        <v>0</v>
      </c>
    </row>
    <row r="54" spans="2:22">
      <c r="B54" s="19" t="s">
        <v>61</v>
      </c>
      <c r="J54" s="7">
        <v>24958.2</v>
      </c>
      <c r="K54" s="7">
        <v>24549.8</v>
      </c>
      <c r="L54" s="7">
        <v>24620.2</v>
      </c>
      <c r="M54" s="7">
        <v>24428.7</v>
      </c>
      <c r="N54" s="7">
        <v>24720.6</v>
      </c>
      <c r="O54" s="7">
        <v>24434.7</v>
      </c>
      <c r="P54" s="7">
        <v>23334.5</v>
      </c>
      <c r="Q54" s="7">
        <v>22698.3</v>
      </c>
      <c r="R54" s="7">
        <v>23773.599999999999</v>
      </c>
      <c r="U54" s="7">
        <v>23924.1</v>
      </c>
      <c r="V54" s="7">
        <v>0</v>
      </c>
    </row>
    <row r="55" spans="2:22" s="21" customFormat="1">
      <c r="B55" s="20" t="s">
        <v>53</v>
      </c>
      <c r="J55" s="21">
        <f>SUM(J46:J54)</f>
        <v>52626.8</v>
      </c>
      <c r="K55" s="21">
        <f t="shared" ref="K55:Q55" si="113">SUM(K46:K54)</f>
        <v>51103.1</v>
      </c>
      <c r="L55" s="21">
        <f t="shared" si="113"/>
        <v>51893.100000000006</v>
      </c>
      <c r="M55" s="21">
        <f t="shared" si="113"/>
        <v>52727</v>
      </c>
      <c r="N55" s="21">
        <f t="shared" si="113"/>
        <v>53854.3</v>
      </c>
      <c r="O55" s="21">
        <f t="shared" si="113"/>
        <v>50877.7</v>
      </c>
      <c r="P55" s="21">
        <f t="shared" si="113"/>
        <v>49247.8</v>
      </c>
      <c r="Q55" s="21">
        <f t="shared" si="113"/>
        <v>48501.600000000006</v>
      </c>
      <c r="R55" s="21">
        <f t="shared" ref="R55" si="114">SUM(R46:R54)</f>
        <v>50435.6</v>
      </c>
      <c r="S55" s="21">
        <f t="shared" ref="S55" si="115">SUM(S46:S54)</f>
        <v>0</v>
      </c>
      <c r="T55" s="21">
        <f t="shared" ref="T55" si="116">SUM(T46:T54)</f>
        <v>0</v>
      </c>
      <c r="U55" s="21">
        <f t="shared" ref="U55" si="117">SUM(U46:U54)</f>
        <v>52089.299999999996</v>
      </c>
      <c r="V55" s="21">
        <v>56146.8</v>
      </c>
    </row>
    <row r="57" spans="2:22">
      <c r="B57" s="19" t="s">
        <v>62</v>
      </c>
      <c r="J57" s="7">
        <v>741.3</v>
      </c>
      <c r="K57" s="7">
        <v>670</v>
      </c>
      <c r="L57" s="7">
        <v>730.9</v>
      </c>
      <c r="M57" s="7">
        <v>772.6</v>
      </c>
      <c r="N57" s="7">
        <v>1006.8</v>
      </c>
      <c r="O57" s="7">
        <v>718.6</v>
      </c>
      <c r="P57" s="7">
        <v>739.4</v>
      </c>
      <c r="Q57" s="7">
        <v>794.8</v>
      </c>
      <c r="R57" s="7">
        <v>980.2</v>
      </c>
      <c r="U57" s="7">
        <v>862.4</v>
      </c>
    </row>
    <row r="58" spans="2:22">
      <c r="B58" s="19" t="s">
        <v>84</v>
      </c>
      <c r="J58" s="7">
        <v>0</v>
      </c>
      <c r="K58" s="7">
        <v>0</v>
      </c>
      <c r="M58" s="7">
        <v>1027.3</v>
      </c>
      <c r="P58" s="7">
        <v>0</v>
      </c>
      <c r="Q58" s="7">
        <v>0</v>
      </c>
      <c r="R58" s="7">
        <v>0</v>
      </c>
      <c r="U58" s="7">
        <v>0</v>
      </c>
    </row>
    <row r="59" spans="2:22">
      <c r="B59" s="19" t="s">
        <v>63</v>
      </c>
      <c r="J59" s="7">
        <v>701.5</v>
      </c>
      <c r="K59" s="7">
        <v>718.4</v>
      </c>
      <c r="L59" s="7">
        <v>720.4</v>
      </c>
      <c r="M59" s="7">
        <v>701.5</v>
      </c>
      <c r="N59" s="7">
        <v>705.5</v>
      </c>
      <c r="O59" s="7">
        <v>691.9</v>
      </c>
      <c r="P59" s="7">
        <v>689.6</v>
      </c>
      <c r="Q59" s="7">
        <v>654.9</v>
      </c>
      <c r="R59" s="7">
        <v>661.1</v>
      </c>
      <c r="U59" s="7">
        <v>668.1</v>
      </c>
    </row>
    <row r="60" spans="2:22">
      <c r="B60" s="19" t="s">
        <v>64</v>
      </c>
      <c r="J60" s="7">
        <v>741.1</v>
      </c>
      <c r="K60" s="7">
        <v>718.3</v>
      </c>
      <c r="L60" s="7">
        <v>281.39999999999998</v>
      </c>
      <c r="M60" s="7">
        <v>259.7</v>
      </c>
      <c r="N60" s="7">
        <v>360.7</v>
      </c>
      <c r="O60" s="7">
        <v>593.5</v>
      </c>
      <c r="P60" s="7">
        <v>503.8</v>
      </c>
      <c r="Q60" s="7">
        <v>386.3</v>
      </c>
      <c r="R60" s="7">
        <v>274.89999999999998</v>
      </c>
      <c r="U60" s="7">
        <v>535.29999999999995</v>
      </c>
    </row>
    <row r="61" spans="2:22">
      <c r="B61" s="19" t="s">
        <v>65</v>
      </c>
      <c r="J61" s="7">
        <v>227</v>
      </c>
      <c r="K61" s="7">
        <v>192</v>
      </c>
      <c r="L61" s="7">
        <v>241.2</v>
      </c>
      <c r="M61" s="7">
        <v>253.5</v>
      </c>
      <c r="N61" s="7">
        <v>236.7</v>
      </c>
      <c r="O61" s="7">
        <v>270.7</v>
      </c>
      <c r="P61" s="7">
        <v>215.9</v>
      </c>
      <c r="Q61" s="7">
        <v>203.6</v>
      </c>
      <c r="R61" s="7">
        <v>255.1</v>
      </c>
      <c r="U61" s="7">
        <v>242.2</v>
      </c>
    </row>
    <row r="62" spans="2:22">
      <c r="B62" s="19" t="s">
        <v>66</v>
      </c>
      <c r="J62" s="7">
        <v>388.4</v>
      </c>
      <c r="K62" s="7">
        <v>333.2</v>
      </c>
      <c r="L62" s="7">
        <v>323.8</v>
      </c>
      <c r="M62" s="7">
        <v>312.2</v>
      </c>
      <c r="N62" s="7">
        <v>363.3</v>
      </c>
      <c r="O62" s="7">
        <v>322.39999999999998</v>
      </c>
      <c r="P62" s="7">
        <v>312.8</v>
      </c>
      <c r="Q62" s="7">
        <v>318.39999999999998</v>
      </c>
      <c r="R62" s="7">
        <v>393.4</v>
      </c>
      <c r="U62" s="7">
        <v>346.4</v>
      </c>
    </row>
    <row r="63" spans="2:22">
      <c r="B63" s="19" t="s">
        <v>67</v>
      </c>
      <c r="J63" s="7">
        <v>1138.3</v>
      </c>
      <c r="K63" s="7">
        <v>1047.9000000000001</v>
      </c>
      <c r="L63" s="7">
        <v>1137.0999999999999</v>
      </c>
      <c r="M63" s="7">
        <v>1268.8</v>
      </c>
      <c r="N63" s="7">
        <v>1347</v>
      </c>
      <c r="O63" s="7">
        <v>1637.5</v>
      </c>
      <c r="P63" s="7">
        <v>1018.6</v>
      </c>
      <c r="Q63" s="7">
        <v>1128.0999999999999</v>
      </c>
      <c r="R63" s="7">
        <v>1237.4000000000001</v>
      </c>
      <c r="U63" s="7">
        <v>1348.3</v>
      </c>
    </row>
    <row r="64" spans="2:22">
      <c r="B64" s="19" t="s">
        <v>68</v>
      </c>
      <c r="J64" s="7">
        <v>2243.6</v>
      </c>
      <c r="K64" s="7">
        <v>900</v>
      </c>
      <c r="L64" s="7">
        <v>500</v>
      </c>
      <c r="M64" s="7">
        <v>500</v>
      </c>
      <c r="N64" s="7">
        <v>0</v>
      </c>
      <c r="O64" s="7">
        <v>0</v>
      </c>
      <c r="U64" s="7">
        <v>0</v>
      </c>
    </row>
    <row r="65" spans="2:43">
      <c r="B65" s="19" t="s">
        <v>71</v>
      </c>
      <c r="J65" s="7">
        <v>35196.800000000003</v>
      </c>
      <c r="K65" s="7">
        <v>34823.199999999997</v>
      </c>
      <c r="L65" s="7">
        <v>34922.6</v>
      </c>
      <c r="M65" s="7">
        <v>34628</v>
      </c>
      <c r="N65" s="7">
        <v>35622.699999999997</v>
      </c>
      <c r="O65" s="7">
        <v>33988.800000000003</v>
      </c>
      <c r="P65" s="7">
        <v>34576.5</v>
      </c>
      <c r="Q65" s="7">
        <v>34866.199999999997</v>
      </c>
      <c r="R65" s="7">
        <v>35903.4</v>
      </c>
      <c r="U65" s="7">
        <v>37274.6</v>
      </c>
      <c r="V65" s="7">
        <v>37152.9</v>
      </c>
    </row>
    <row r="66" spans="2:43">
      <c r="B66" s="19" t="s">
        <v>72</v>
      </c>
      <c r="J66" s="7">
        <v>13321.3</v>
      </c>
      <c r="K66" s="7">
        <v>13111</v>
      </c>
      <c r="L66" s="7">
        <v>13119</v>
      </c>
      <c r="M66" s="7">
        <v>12986.6</v>
      </c>
      <c r="N66" s="7">
        <v>13020.9</v>
      </c>
      <c r="O66" s="7">
        <v>12871.8</v>
      </c>
      <c r="P66" s="7">
        <v>12319.4</v>
      </c>
      <c r="Q66" s="7">
        <v>11766.8</v>
      </c>
      <c r="R66" s="7">
        <v>12134.4</v>
      </c>
      <c r="U66" s="7">
        <v>11807.2</v>
      </c>
      <c r="V66" s="7">
        <v>13057.7</v>
      </c>
    </row>
    <row r="67" spans="2:43">
      <c r="B67" s="19" t="s">
        <v>118</v>
      </c>
      <c r="J67" s="7">
        <v>1970.7</v>
      </c>
      <c r="K67" s="7">
        <v>1963.4</v>
      </c>
      <c r="L67" s="7">
        <v>1865.2</v>
      </c>
      <c r="M67" s="7">
        <v>1878.9</v>
      </c>
      <c r="N67" s="7">
        <v>1896.8</v>
      </c>
      <c r="O67" s="7">
        <v>1889.8</v>
      </c>
      <c r="P67" s="7">
        <v>1236.0999999999999</v>
      </c>
      <c r="Q67" s="7">
        <v>1085</v>
      </c>
      <c r="R67" s="7">
        <v>791.9</v>
      </c>
      <c r="U67" s="7">
        <v>490.6</v>
      </c>
    </row>
    <row r="68" spans="2:43">
      <c r="B68" s="19" t="s">
        <v>117</v>
      </c>
      <c r="J68" s="7">
        <v>702</v>
      </c>
      <c r="K68" s="7">
        <v>702.5</v>
      </c>
      <c r="L68" s="7">
        <v>714.9</v>
      </c>
      <c r="M68" s="7">
        <v>720.1</v>
      </c>
      <c r="N68" s="7">
        <v>738.3</v>
      </c>
      <c r="O68" s="7">
        <v>743</v>
      </c>
      <c r="P68" s="7">
        <v>733</v>
      </c>
      <c r="Q68" s="7">
        <v>727.8</v>
      </c>
      <c r="R68" s="7">
        <v>757.8</v>
      </c>
      <c r="U68" s="7">
        <v>767.6</v>
      </c>
    </row>
    <row r="69" spans="2:43">
      <c r="B69" s="19" t="s">
        <v>119</v>
      </c>
      <c r="J69" s="7">
        <v>1054.0999999999999</v>
      </c>
      <c r="K69" s="7">
        <v>1056.8</v>
      </c>
      <c r="L69" s="7">
        <v>1077.2</v>
      </c>
      <c r="M69" s="7">
        <v>1046.5999999999999</v>
      </c>
      <c r="N69" s="7">
        <v>1081</v>
      </c>
      <c r="O69" s="7">
        <v>1092</v>
      </c>
      <c r="P69" s="7">
        <v>1022.8</v>
      </c>
      <c r="Q69" s="7">
        <v>990.8</v>
      </c>
      <c r="R69" s="7">
        <v>1051.8</v>
      </c>
      <c r="U69" s="7">
        <v>984.2</v>
      </c>
      <c r="V69" s="7">
        <v>2103</v>
      </c>
    </row>
    <row r="70" spans="2:43">
      <c r="B70" s="19" t="s">
        <v>73</v>
      </c>
      <c r="J70" s="7">
        <v>2025.6</v>
      </c>
      <c r="K70" s="7">
        <v>2101.9</v>
      </c>
      <c r="L70" s="7">
        <v>2067.4</v>
      </c>
      <c r="M70" s="7">
        <v>2046.2</v>
      </c>
      <c r="N70" s="7">
        <v>2075.6</v>
      </c>
      <c r="O70" s="7">
        <v>2048.5</v>
      </c>
      <c r="P70" s="7">
        <v>2249.6999999999998</v>
      </c>
      <c r="Q70" s="7">
        <v>2145.1</v>
      </c>
      <c r="R70" s="7">
        <v>1997.5</v>
      </c>
      <c r="U70" s="7">
        <v>1617.2</v>
      </c>
      <c r="V70" s="7">
        <v>1680.9</v>
      </c>
    </row>
    <row r="71" spans="2:43">
      <c r="B71" s="19" t="s">
        <v>69</v>
      </c>
      <c r="J71" s="7">
        <v>-7824.9</v>
      </c>
      <c r="K71" s="7">
        <v>-7235.5</v>
      </c>
      <c r="L71" s="7">
        <v>-5808</v>
      </c>
      <c r="M71" s="7">
        <v>-5675</v>
      </c>
      <c r="N71" s="7">
        <v>-4601</v>
      </c>
      <c r="O71" s="7">
        <v>-5990.8</v>
      </c>
      <c r="P71" s="7">
        <v>-6369.8</v>
      </c>
      <c r="Q71" s="7">
        <v>-6566.2</v>
      </c>
      <c r="R71" s="7">
        <v>-6003.4</v>
      </c>
      <c r="U71" s="7">
        <v>-4854.8</v>
      </c>
      <c r="V71" s="7">
        <v>1680.9</v>
      </c>
    </row>
    <row r="72" spans="2:43" s="21" customFormat="1">
      <c r="B72" s="20" t="s">
        <v>70</v>
      </c>
      <c r="J72" s="21">
        <f>SUM(J57:J71)</f>
        <v>52626.799999999996</v>
      </c>
      <c r="K72" s="21">
        <f t="shared" ref="K72:Q72" si="118">SUM(K57:K71)</f>
        <v>51103.100000000006</v>
      </c>
      <c r="L72" s="21">
        <f t="shared" si="118"/>
        <v>51893.1</v>
      </c>
      <c r="M72" s="21">
        <f t="shared" si="118"/>
        <v>52726.999999999993</v>
      </c>
      <c r="N72" s="21">
        <f t="shared" si="118"/>
        <v>53854.3</v>
      </c>
      <c r="O72" s="21">
        <f t="shared" si="118"/>
        <v>50877.7</v>
      </c>
      <c r="P72" s="21">
        <f t="shared" si="118"/>
        <v>49247.799999999996</v>
      </c>
      <c r="Q72" s="21">
        <f t="shared" si="118"/>
        <v>48501.599999999999</v>
      </c>
      <c r="R72" s="21">
        <f t="shared" ref="R72" si="119">SUM(R57:R71)</f>
        <v>50435.500000000007</v>
      </c>
      <c r="S72" s="21">
        <f t="shared" ref="S72" si="120">SUM(S57:S71)</f>
        <v>0</v>
      </c>
      <c r="T72" s="21">
        <f t="shared" ref="T72" si="121">SUM(T57:T71)</f>
        <v>0</v>
      </c>
      <c r="U72" s="21">
        <f t="shared" ref="U72" si="122">SUM(U57:U71)</f>
        <v>52089.299999999988</v>
      </c>
      <c r="V72" s="21">
        <v>56146.8</v>
      </c>
    </row>
    <row r="73" spans="2:43" s="28" customFormat="1">
      <c r="B73" s="19"/>
    </row>
    <row r="77" spans="2:43">
      <c r="B77" s="19" t="s">
        <v>85</v>
      </c>
      <c r="K77" s="7">
        <v>1537.2</v>
      </c>
      <c r="L77" s="7">
        <v>2219.3000000000002</v>
      </c>
      <c r="M77" s="7">
        <v>2149.9</v>
      </c>
      <c r="N77" s="7">
        <f>+AQ77-SUM(K77:M77)</f>
        <v>1638.8000000000002</v>
      </c>
      <c r="O77" s="7">
        <v>1104.4000000000001</v>
      </c>
      <c r="P77" s="7">
        <v>1188</v>
      </c>
      <c r="Q77" s="7">
        <f>+Q27</f>
        <v>2074.9000000000005</v>
      </c>
      <c r="AQ77" s="7">
        <v>7545.2</v>
      </c>
    </row>
    <row r="81" spans="2:45">
      <c r="B81" s="19" t="s">
        <v>127</v>
      </c>
      <c r="N81" s="7">
        <f t="shared" ref="N81:N100" si="123">+AQ81-SUM(K81:M81)</f>
        <v>-97.8</v>
      </c>
      <c r="AQ81" s="7">
        <v>-97.8</v>
      </c>
    </row>
    <row r="82" spans="2:45">
      <c r="B82" s="19" t="s">
        <v>27</v>
      </c>
      <c r="K82" s="7">
        <v>-130</v>
      </c>
      <c r="L82" s="7">
        <v>-71.2</v>
      </c>
      <c r="M82" s="7">
        <v>-163.6</v>
      </c>
      <c r="N82" s="7">
        <f t="shared" si="123"/>
        <v>25.699999999999932</v>
      </c>
      <c r="O82" s="7">
        <v>72</v>
      </c>
      <c r="P82" s="7">
        <v>234.2</v>
      </c>
      <c r="Q82" s="7">
        <v>-45.6</v>
      </c>
      <c r="AQ82" s="7">
        <v>-339.1</v>
      </c>
    </row>
    <row r="83" spans="2:45">
      <c r="B83" s="19" t="s">
        <v>86</v>
      </c>
      <c r="K83" s="7">
        <v>237.1</v>
      </c>
      <c r="L83" s="7">
        <v>-545.9</v>
      </c>
      <c r="M83" s="7">
        <v>174</v>
      </c>
      <c r="N83" s="7">
        <f t="shared" si="123"/>
        <v>589</v>
      </c>
      <c r="O83" s="7">
        <v>473.4</v>
      </c>
      <c r="P83" s="7">
        <v>-1168.3</v>
      </c>
      <c r="Q83" s="7">
        <v>190.3</v>
      </c>
      <c r="AQ83" s="7">
        <f>309.9-62.2+225-302.5+284</f>
        <v>454.2</v>
      </c>
    </row>
    <row r="84" spans="2:45" s="21" customFormat="1">
      <c r="B84" s="20" t="s">
        <v>87</v>
      </c>
      <c r="K84" s="21">
        <f>+SUM(K77:K83)</f>
        <v>1644.3</v>
      </c>
      <c r="L84" s="21">
        <f t="shared" ref="L84" si="124">+SUM(L77:L83)</f>
        <v>1602.2000000000003</v>
      </c>
      <c r="M84" s="21">
        <f t="shared" ref="M84" si="125">+SUM(M77:M83)</f>
        <v>2160.3000000000002</v>
      </c>
      <c r="N84" s="21">
        <f t="shared" si="123"/>
        <v>2155.6999999999989</v>
      </c>
      <c r="O84" s="21">
        <f>+SUM(O77:O83)</f>
        <v>1649.8000000000002</v>
      </c>
      <c r="P84" s="21">
        <f t="shared" ref="P84:R84" si="126">+SUM(P77:P83)</f>
        <v>253.90000000000009</v>
      </c>
      <c r="Q84" s="21">
        <f t="shared" si="126"/>
        <v>2219.6000000000008</v>
      </c>
      <c r="R84" s="21">
        <f t="shared" si="126"/>
        <v>0</v>
      </c>
      <c r="AN84" s="21">
        <v>6966.7</v>
      </c>
      <c r="AO84" s="21">
        <v>8122.1</v>
      </c>
      <c r="AP84" s="21">
        <v>6265.2</v>
      </c>
      <c r="AQ84" s="21">
        <f>+SUM(AQ77:AQ83)</f>
        <v>7562.4999999999991</v>
      </c>
      <c r="AR84" s="21">
        <v>7386.7</v>
      </c>
      <c r="AS84" s="21">
        <v>9611.9</v>
      </c>
    </row>
    <row r="85" spans="2:45">
      <c r="B85" s="19" t="s">
        <v>88</v>
      </c>
      <c r="K85" s="7">
        <v>-368.7</v>
      </c>
      <c r="L85" s="7">
        <v>-482.6</v>
      </c>
      <c r="M85" s="7">
        <v>-501.5</v>
      </c>
      <c r="N85" s="7">
        <f t="shared" si="123"/>
        <v>-687.2</v>
      </c>
      <c r="O85" s="7">
        <v>-401.2</v>
      </c>
      <c r="P85" s="7">
        <v>-437.9</v>
      </c>
      <c r="Q85" s="7">
        <v>-531.20000000000005</v>
      </c>
      <c r="AN85" s="7">
        <v>-2741.7</v>
      </c>
      <c r="AO85" s="7">
        <v>-2393.6999999999998</v>
      </c>
      <c r="AP85" s="7">
        <v>-1640.8</v>
      </c>
      <c r="AQ85" s="7">
        <f>+-2040</f>
        <v>-2040</v>
      </c>
    </row>
    <row r="86" spans="2:45">
      <c r="B86" s="19" t="s">
        <v>89</v>
      </c>
      <c r="K86" s="7">
        <v>-38.700000000000003</v>
      </c>
      <c r="L86" s="7">
        <v>-49.4</v>
      </c>
      <c r="M86" s="7">
        <v>-28.6</v>
      </c>
      <c r="N86" s="7">
        <f t="shared" si="123"/>
        <v>-257.5</v>
      </c>
      <c r="O86" s="7">
        <v>-86.7</v>
      </c>
      <c r="P86" s="7">
        <v>-110.5</v>
      </c>
      <c r="Q86" s="7">
        <v>-152.30000000000001</v>
      </c>
      <c r="AQ86" s="7">
        <v>-374.2</v>
      </c>
    </row>
    <row r="87" spans="2:45">
      <c r="B87" s="19" t="s">
        <v>90</v>
      </c>
      <c r="K87" s="7">
        <v>29.6</v>
      </c>
      <c r="L87" s="7">
        <v>52.2</v>
      </c>
      <c r="M87" s="7">
        <v>60.1</v>
      </c>
      <c r="N87" s="7">
        <f t="shared" si="123"/>
        <v>54.299999999999983</v>
      </c>
      <c r="O87" s="7">
        <v>16.5</v>
      </c>
      <c r="P87" s="7">
        <v>351.7</v>
      </c>
      <c r="Q87" s="7">
        <v>33.21</v>
      </c>
      <c r="AQ87" s="7">
        <v>196.2</v>
      </c>
    </row>
    <row r="88" spans="2:45">
      <c r="B88" s="19" t="s">
        <v>91</v>
      </c>
      <c r="K88" s="7">
        <v>32.799999999999997</v>
      </c>
      <c r="L88" s="7">
        <v>23.8</v>
      </c>
      <c r="M88" s="7">
        <v>41.3</v>
      </c>
      <c r="N88" s="7">
        <f t="shared" si="123"/>
        <v>8.3000000000000114</v>
      </c>
      <c r="O88" s="7">
        <v>4.9000000000000004</v>
      </c>
      <c r="P88" s="7">
        <v>6.3</v>
      </c>
      <c r="Q88" s="7">
        <v>11.1</v>
      </c>
      <c r="AQ88" s="7">
        <v>106.2</v>
      </c>
    </row>
    <row r="89" spans="2:45">
      <c r="B89" s="19" t="s">
        <v>27</v>
      </c>
      <c r="K89" s="7">
        <v>100.4</v>
      </c>
      <c r="L89" s="7">
        <v>42.5</v>
      </c>
      <c r="M89" s="7">
        <v>43.8</v>
      </c>
      <c r="N89" s="7">
        <f t="shared" si="123"/>
        <v>-240.6</v>
      </c>
      <c r="O89" s="7">
        <v>-88</v>
      </c>
      <c r="P89" s="7">
        <v>-128.80000000000001</v>
      </c>
      <c r="Q89" s="7">
        <v>-93.8</v>
      </c>
      <c r="AQ89" s="7">
        <v>-53.9</v>
      </c>
    </row>
    <row r="90" spans="2:45" s="21" customFormat="1">
      <c r="B90" s="20" t="s">
        <v>92</v>
      </c>
      <c r="K90" s="21">
        <f>+SUM(K85:K89)</f>
        <v>-244.59999999999994</v>
      </c>
      <c r="L90" s="21">
        <f t="shared" ref="L90" si="127">+SUM(L85:L89)</f>
        <v>-413.5</v>
      </c>
      <c r="M90" s="21">
        <f t="shared" ref="M90" si="128">+SUM(M85:M89)</f>
        <v>-384.9</v>
      </c>
      <c r="N90" s="21">
        <f t="shared" si="123"/>
        <v>-1122.7000000000003</v>
      </c>
      <c r="O90" s="21">
        <f>+SUM(O85:O89)</f>
        <v>-554.5</v>
      </c>
      <c r="P90" s="21">
        <f t="shared" ref="P90:Q90" si="129">+SUM(P85:P89)</f>
        <v>-319.2</v>
      </c>
      <c r="Q90" s="21">
        <f t="shared" si="129"/>
        <v>-732.9899999999999</v>
      </c>
      <c r="AQ90" s="21">
        <f>+SUM(AQ85:AQ89)</f>
        <v>-2165.7000000000003</v>
      </c>
      <c r="AR90" s="21">
        <v>-2678.1</v>
      </c>
      <c r="AS90" s="21">
        <v>-3184.5</v>
      </c>
    </row>
    <row r="91" spans="2:45">
      <c r="B91" s="19" t="s">
        <v>93</v>
      </c>
      <c r="K91" s="7">
        <v>6.5</v>
      </c>
      <c r="L91" s="7">
        <v>1.4</v>
      </c>
      <c r="M91" s="7">
        <v>-0.3</v>
      </c>
      <c r="N91" s="7">
        <f t="shared" si="123"/>
        <v>7.4999999999999991</v>
      </c>
      <c r="O91" s="7">
        <v>6</v>
      </c>
      <c r="P91" s="7">
        <v>310.10000000000002</v>
      </c>
      <c r="Q91" s="7">
        <v>-305.39999999999998</v>
      </c>
      <c r="AQ91" s="7">
        <v>15.1</v>
      </c>
    </row>
    <row r="92" spans="2:45">
      <c r="B92" s="19" t="s">
        <v>94</v>
      </c>
      <c r="K92" s="7">
        <v>0</v>
      </c>
      <c r="L92" s="7">
        <v>0</v>
      </c>
      <c r="M92" s="7">
        <v>0</v>
      </c>
      <c r="N92" s="7">
        <f t="shared" si="123"/>
        <v>1154.4000000000001</v>
      </c>
      <c r="O92" s="7">
        <v>0</v>
      </c>
      <c r="P92" s="7">
        <v>1874.5</v>
      </c>
      <c r="Q92" s="7">
        <v>1500</v>
      </c>
      <c r="AQ92" s="7">
        <v>1154.4000000000001</v>
      </c>
    </row>
    <row r="93" spans="2:45">
      <c r="B93" s="19" t="s">
        <v>95</v>
      </c>
      <c r="K93" s="7">
        <v>-1337.8</v>
      </c>
      <c r="L93" s="7">
        <v>-401.2</v>
      </c>
      <c r="M93" s="7">
        <v>-0.4</v>
      </c>
      <c r="N93" s="7">
        <f t="shared" si="123"/>
        <v>-500.59999999999991</v>
      </c>
      <c r="O93" s="7">
        <v>-1350.6</v>
      </c>
      <c r="P93" s="7">
        <v>-850.8</v>
      </c>
      <c r="Q93" s="7">
        <v>-0.4</v>
      </c>
      <c r="AQ93" s="7">
        <v>-2240</v>
      </c>
    </row>
    <row r="94" spans="2:45">
      <c r="B94" s="19" t="s">
        <v>96</v>
      </c>
      <c r="K94" s="7">
        <v>-21.5</v>
      </c>
      <c r="L94" s="7">
        <v>-3</v>
      </c>
      <c r="M94" s="7">
        <v>-17.7</v>
      </c>
      <c r="N94" s="7">
        <f t="shared" si="123"/>
        <v>-803.3</v>
      </c>
      <c r="O94" s="7">
        <v>-1506.5</v>
      </c>
      <c r="P94" s="7">
        <v>-1031.2</v>
      </c>
      <c r="Q94" s="7">
        <v>-869.2</v>
      </c>
      <c r="AQ94" s="7">
        <v>-845.5</v>
      </c>
    </row>
    <row r="95" spans="2:45">
      <c r="B95" s="19" t="s">
        <v>97</v>
      </c>
      <c r="K95" s="7">
        <v>-962.3</v>
      </c>
      <c r="L95" s="7">
        <v>-963.3</v>
      </c>
      <c r="M95" s="7">
        <v>-963.9</v>
      </c>
      <c r="N95" s="7">
        <f t="shared" si="123"/>
        <v>-1029.0999999999999</v>
      </c>
      <c r="O95" s="7">
        <v>-1025.0999999999999</v>
      </c>
      <c r="P95" s="7">
        <v>-1016.9</v>
      </c>
      <c r="Q95" s="7">
        <v>-1014.7</v>
      </c>
      <c r="AQ95" s="7">
        <v>-3918.6</v>
      </c>
    </row>
    <row r="96" spans="2:45">
      <c r="B96" s="19" t="s">
        <v>98</v>
      </c>
      <c r="K96" s="7">
        <v>59.1</v>
      </c>
      <c r="L96" s="7">
        <v>72.900000000000006</v>
      </c>
      <c r="M96" s="7">
        <v>66.599999999999994</v>
      </c>
      <c r="N96" s="7">
        <f t="shared" si="123"/>
        <v>87.1</v>
      </c>
      <c r="O96" s="7">
        <v>58.7</v>
      </c>
      <c r="P96" s="7">
        <v>47.2</v>
      </c>
      <c r="Q96" s="7">
        <v>62.4</v>
      </c>
      <c r="AQ96" s="7">
        <v>285.7</v>
      </c>
    </row>
    <row r="97" spans="2:45">
      <c r="B97" s="19" t="s">
        <v>27</v>
      </c>
      <c r="K97" s="7">
        <v>-7.9</v>
      </c>
      <c r="L97" s="7">
        <v>-13.1</v>
      </c>
      <c r="M97" s="7">
        <v>-11.7</v>
      </c>
      <c r="N97" s="7">
        <f t="shared" si="123"/>
        <v>-14</v>
      </c>
      <c r="O97" s="7">
        <v>-12.6</v>
      </c>
      <c r="P97" s="7">
        <v>-19.600000000000001</v>
      </c>
      <c r="Q97" s="7">
        <v>80.900000000000006</v>
      </c>
      <c r="AQ97" s="7">
        <v>-46.7</v>
      </c>
    </row>
    <row r="98" spans="2:45" s="21" customFormat="1">
      <c r="B98" s="20" t="s">
        <v>92</v>
      </c>
      <c r="K98" s="21">
        <f>+SUM(K91:K97)</f>
        <v>-2263.9</v>
      </c>
      <c r="L98" s="21">
        <f t="shared" ref="L98" si="130">+SUM(L91:L97)</f>
        <v>-1306.2999999999997</v>
      </c>
      <c r="M98" s="21">
        <f t="shared" ref="M98" si="131">+SUM(M91:M97)</f>
        <v>-927.4</v>
      </c>
      <c r="N98" s="21">
        <f t="shared" si="123"/>
        <v>-1098.0000000000009</v>
      </c>
      <c r="O98" s="21">
        <f>+SUM(O91:O97)</f>
        <v>-3830.1</v>
      </c>
      <c r="P98" s="21">
        <f t="shared" ref="P98:Q98" si="132">+SUM(P91:P97)</f>
        <v>-686.7</v>
      </c>
      <c r="Q98" s="21">
        <f t="shared" si="132"/>
        <v>-546.40000000000032</v>
      </c>
      <c r="AQ98" s="21">
        <f>+SUM(AQ91:AQ97)</f>
        <v>-5595.6</v>
      </c>
      <c r="AR98" s="21">
        <v>-6580.2</v>
      </c>
      <c r="AS98" s="21">
        <v>-4374.1000000000004</v>
      </c>
    </row>
    <row r="99" spans="2:45">
      <c r="B99" s="19" t="s">
        <v>99</v>
      </c>
      <c r="K99" s="7">
        <v>-44.9</v>
      </c>
      <c r="L99" s="7">
        <v>16.3</v>
      </c>
      <c r="M99" s="7">
        <v>-49.1</v>
      </c>
      <c r="N99" s="7">
        <f t="shared" si="123"/>
        <v>-42.399999999999991</v>
      </c>
      <c r="O99" s="7">
        <v>-122.2</v>
      </c>
      <c r="P99" s="7">
        <v>-75.400000000000006</v>
      </c>
      <c r="Q99" s="7">
        <v>-198.6</v>
      </c>
      <c r="AQ99" s="7">
        <v>-120.1</v>
      </c>
      <c r="AR99" s="7">
        <v>-253.8</v>
      </c>
      <c r="AS99" s="7">
        <v>-57.8</v>
      </c>
    </row>
    <row r="100" spans="2:45">
      <c r="B100" s="19" t="s">
        <v>100</v>
      </c>
      <c r="K100" s="7">
        <f>+K84+K90+K98+K99</f>
        <v>-909.1</v>
      </c>
      <c r="L100" s="7">
        <f t="shared" ref="L100" si="133">+L84+L90+L98+L99</f>
        <v>-101.29999999999946</v>
      </c>
      <c r="M100" s="7">
        <f t="shared" ref="M100" si="134">+M84+M90+M98+M99</f>
        <v>798.90000000000009</v>
      </c>
      <c r="N100" s="7">
        <f t="shared" si="123"/>
        <v>-107.40000000000168</v>
      </c>
      <c r="O100" s="7">
        <f>+O84+O90+O98+O99</f>
        <v>-2856.9999999999995</v>
      </c>
      <c r="P100" s="7">
        <f t="shared" ref="P100:Q100" si="135">+P84+P90+P98+P99</f>
        <v>-827.4</v>
      </c>
      <c r="Q100" s="7">
        <f t="shared" si="135"/>
        <v>741.6100000000007</v>
      </c>
      <c r="AQ100" s="7">
        <f t="shared" ref="AQ100:AS100" si="136">+AQ84+AQ90+AQ98+AQ99</f>
        <v>-318.90000000000111</v>
      </c>
      <c r="AR100" s="7">
        <f t="shared" ref="AR100" si="137">+AR84+AR90+AR98+AR99</f>
        <v>-2125.3999999999996</v>
      </c>
      <c r="AS100" s="7">
        <f t="shared" si="136"/>
        <v>1995.4999999999993</v>
      </c>
    </row>
    <row r="101" spans="2:45">
      <c r="B101" s="19" t="s">
        <v>125</v>
      </c>
      <c r="K101" s="7">
        <f>+J46</f>
        <v>3449.1</v>
      </c>
      <c r="L101" s="7">
        <f>+K46</f>
        <v>3019.7</v>
      </c>
      <c r="M101" s="7">
        <f>+L46</f>
        <v>3049.4</v>
      </c>
      <c r="N101" s="7">
        <f>+M102</f>
        <v>3848.3</v>
      </c>
      <c r="O101" s="7">
        <f>+N46</f>
        <v>4709.2</v>
      </c>
      <c r="P101" s="7">
        <f>+O46</f>
        <v>2335.6999999999998</v>
      </c>
      <c r="Q101" s="7">
        <f>+P46</f>
        <v>1872.5</v>
      </c>
      <c r="AQ101" s="7">
        <f>+J46</f>
        <v>3449.1</v>
      </c>
      <c r="AR101" s="7">
        <v>4709.2</v>
      </c>
      <c r="AS101" s="7">
        <v>2583.8000000000002</v>
      </c>
    </row>
    <row r="102" spans="2:45" s="21" customFormat="1">
      <c r="B102" s="20" t="s">
        <v>126</v>
      </c>
      <c r="K102" s="21">
        <f t="shared" ref="K102:Q102" si="138">+SUM(K100:K101)</f>
        <v>2540</v>
      </c>
      <c r="L102" s="21">
        <f t="shared" si="138"/>
        <v>2918.4000000000005</v>
      </c>
      <c r="M102" s="21">
        <f t="shared" si="138"/>
        <v>3848.3</v>
      </c>
      <c r="N102" s="21">
        <f t="shared" si="138"/>
        <v>3740.8999999999987</v>
      </c>
      <c r="O102" s="21">
        <f t="shared" si="138"/>
        <v>1852.2000000000003</v>
      </c>
      <c r="P102" s="21">
        <f t="shared" si="138"/>
        <v>1508.2999999999997</v>
      </c>
      <c r="Q102" s="21">
        <f t="shared" si="138"/>
        <v>2614.1100000000006</v>
      </c>
      <c r="AQ102" s="21">
        <f>+SUM(AQ100:AQ101)</f>
        <v>3130.1999999999989</v>
      </c>
      <c r="AR102" s="21">
        <f>+SUM(AR100:AR101)</f>
        <v>2583.8000000000002</v>
      </c>
      <c r="AS102" s="21">
        <f>+SUM(AS100:AS101)</f>
        <v>4579.2999999999993</v>
      </c>
    </row>
    <row r="103" spans="2:45">
      <c r="N103" s="7" t="s">
        <v>128</v>
      </c>
    </row>
    <row r="104" spans="2:45">
      <c r="B104" s="19" t="s">
        <v>101</v>
      </c>
      <c r="K104" s="7">
        <f t="shared" ref="K104:N104" si="139">+K84+K85</f>
        <v>1275.5999999999999</v>
      </c>
      <c r="L104" s="7">
        <f t="shared" si="139"/>
        <v>1119.6000000000004</v>
      </c>
      <c r="M104" s="7">
        <f t="shared" si="139"/>
        <v>1658.8000000000002</v>
      </c>
      <c r="N104" s="7">
        <f t="shared" si="139"/>
        <v>1468.4999999999989</v>
      </c>
      <c r="O104" s="7">
        <f>+O84+O85</f>
        <v>1248.6000000000001</v>
      </c>
      <c r="P104" s="7">
        <f t="shared" ref="P104:Q104" si="140">+P84+P85</f>
        <v>-183.99999999999989</v>
      </c>
      <c r="Q104" s="7">
        <f t="shared" si="140"/>
        <v>1688.4000000000008</v>
      </c>
      <c r="AN104" s="7">
        <f t="shared" ref="AN104:AS104" si="141">+SUM(AN84:AN85)</f>
        <v>4225</v>
      </c>
      <c r="AO104" s="7">
        <f t="shared" si="141"/>
        <v>5728.4000000000005</v>
      </c>
      <c r="AP104" s="7">
        <f t="shared" si="141"/>
        <v>4624.3999999999996</v>
      </c>
      <c r="AQ104" s="7">
        <f t="shared" si="141"/>
        <v>5522.4999999999991</v>
      </c>
      <c r="AR104" s="7">
        <f t="shared" si="141"/>
        <v>7386.7</v>
      </c>
      <c r="AS104" s="7">
        <f t="shared" si="141"/>
        <v>9611.9</v>
      </c>
    </row>
    <row r="105" spans="2:45">
      <c r="B105" s="19" t="s">
        <v>85</v>
      </c>
      <c r="K105" s="7">
        <f t="shared" ref="K105:Q105" si="142">+K27</f>
        <v>1613.1</v>
      </c>
      <c r="L105" s="7">
        <f t="shared" si="142"/>
        <v>2302.3999999999996</v>
      </c>
      <c r="M105" s="7">
        <f t="shared" si="142"/>
        <v>2234.0000000000005</v>
      </c>
      <c r="N105" s="7">
        <f t="shared" si="142"/>
        <v>1725.2999999999988</v>
      </c>
      <c r="O105" s="7">
        <f t="shared" si="142"/>
        <v>1197.1000000000001</v>
      </c>
      <c r="P105" s="7">
        <f t="shared" si="142"/>
        <v>1281.0000000000007</v>
      </c>
      <c r="Q105" s="7">
        <f t="shared" si="142"/>
        <v>2074.9000000000005</v>
      </c>
      <c r="AN105" s="7">
        <f t="shared" ref="AN105:AS105" si="143">+AN27</f>
        <v>8130.5999999999976</v>
      </c>
      <c r="AO105" s="7">
        <f t="shared" si="143"/>
        <v>6287.9000000000015</v>
      </c>
      <c r="AP105" s="7">
        <f t="shared" si="143"/>
        <v>5031.1000000000013</v>
      </c>
      <c r="AQ105" s="7">
        <f t="shared" si="143"/>
        <v>7874.7999999999993</v>
      </c>
      <c r="AR105" s="7">
        <f t="shared" si="143"/>
        <v>6456.4000000000015</v>
      </c>
      <c r="AS105" s="7">
        <f t="shared" si="143"/>
        <v>8468.7999999999993</v>
      </c>
    </row>
    <row r="106" spans="2:45">
      <c r="O106" s="22"/>
    </row>
    <row r="107" spans="2:45" s="21" customFormat="1">
      <c r="B107" s="1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2:45">
      <c r="N108" s="21">
        <f t="shared" ref="N108" si="144">SUM(K105:N105)</f>
        <v>7874.7999999999993</v>
      </c>
      <c r="O108" s="21">
        <f t="shared" ref="O108" si="145">SUM(L105:O105)</f>
        <v>7458.7999999999993</v>
      </c>
      <c r="P108" s="21">
        <f t="shared" ref="P108" si="146">SUM(M105:P105)</f>
        <v>6437.4000000000005</v>
      </c>
      <c r="Q108" s="21">
        <f>SUM(N105:Q105)</f>
        <v>6278.3</v>
      </c>
    </row>
    <row r="110" spans="2:45">
      <c r="B110" s="19" t="s">
        <v>105</v>
      </c>
      <c r="K110" s="24">
        <v>1.29</v>
      </c>
      <c r="L110" s="24">
        <v>1.29</v>
      </c>
      <c r="M110" s="24">
        <v>1.29</v>
      </c>
      <c r="N110" s="24">
        <v>1.38</v>
      </c>
      <c r="O110" s="24">
        <v>1.38</v>
      </c>
      <c r="P110" s="24">
        <v>1.38</v>
      </c>
      <c r="Q110" s="24">
        <v>1.52</v>
      </c>
    </row>
  </sheetData>
  <pageMargins left="0.7" right="0.7" top="0.75" bottom="0.75" header="0.3" footer="0.3"/>
  <ignoredErrors>
    <ignoredError sqref="AM11:AS27 AM29:AS30 AM28:AP28 AR28:AS28" formulaRange="1"/>
    <ignoredError sqref="AQ28" formula="1" formulaRange="1"/>
    <ignoredError sqref="N21 N83:N101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</cp:lastModifiedBy>
  <dcterms:created xsi:type="dcterms:W3CDTF">2021-09-14T03:21:58Z</dcterms:created>
  <dcterms:modified xsi:type="dcterms:W3CDTF">2024-02-28T05:08:23Z</dcterms:modified>
</cp:coreProperties>
</file>