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231F71A1-2F42-8E44-A788-0C2A541721AC}" xr6:coauthVersionLast="47" xr6:coauthVersionMax="47" xr10:uidLastSave="{00000000-0000-0000-0000-000000000000}"/>
  <bookViews>
    <workbookView xWindow="8880" yWindow="2020" windowWidth="43900" windowHeight="24660" xr2:uid="{00000000-000D-0000-FFFF-FFFF00000000}"/>
  </bookViews>
  <sheets>
    <sheet name="Main" sheetId="1" r:id="rId1"/>
    <sheet name="Model" sheetId="2" r:id="rId2"/>
    <sheet name="Bonds" sheetId="3" r:id="rId3"/>
    <sheet name="GOOG4358366" sheetId="5" r:id="rId4"/>
    <sheet name="GOOG4390254" sheetId="6" r:id="rId5"/>
    <sheet name="GOOG5025299" sheetId="7" r:id="rId6"/>
    <sheet name="GOOG5025300" sheetId="8" r:id="rId7"/>
    <sheet name="GOOG5025306" sheetId="9" r:id="rId8"/>
    <sheet name="GOOG5025303" sheetId="10" r:id="rId9"/>
    <sheet name="GOOG5025304" sheetId="11" r:id="rId10"/>
    <sheet name="eg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27" i="2" l="1"/>
  <c r="L9" i="1"/>
  <c r="AQ30" i="2"/>
  <c r="AQ29" i="2"/>
  <c r="AQ28" i="2"/>
  <c r="AQ25" i="2"/>
  <c r="AQ20" i="2"/>
  <c r="AQ10" i="2"/>
  <c r="AQ9" i="2"/>
  <c r="AQ32" i="2" s="1"/>
  <c r="AQ7" i="2"/>
  <c r="AQ8" i="2" s="1"/>
  <c r="AQ12" i="2" s="1"/>
  <c r="AQ6" i="2"/>
  <c r="AQ5" i="2"/>
  <c r="AQ4" i="2"/>
  <c r="AQ3" i="2"/>
  <c r="AQ2" i="2"/>
  <c r="R104" i="2"/>
  <c r="R103" i="2"/>
  <c r="R102" i="2"/>
  <c r="R95" i="2"/>
  <c r="R99" i="2"/>
  <c r="Q99" i="2"/>
  <c r="R97" i="2"/>
  <c r="R88" i="2"/>
  <c r="R87" i="2"/>
  <c r="R86" i="2"/>
  <c r="R82" i="2"/>
  <c r="R85" i="2" s="1"/>
  <c r="R70" i="2"/>
  <c r="R77" i="2" s="1"/>
  <c r="R83" i="2" s="1"/>
  <c r="R84" i="2" s="1"/>
  <c r="R49" i="2"/>
  <c r="R54" i="2" s="1"/>
  <c r="R62" i="2" s="1"/>
  <c r="AH10" i="2"/>
  <c r="AI10" i="2" s="1"/>
  <c r="AJ10" i="2" s="1"/>
  <c r="AK10" i="2" s="1"/>
  <c r="AL10" i="2" s="1"/>
  <c r="AM10" i="2" s="1"/>
  <c r="AN10" i="2" s="1"/>
  <c r="AO10" i="2" s="1"/>
  <c r="AP10" i="2" s="1"/>
  <c r="AH9" i="2"/>
  <c r="AI9" i="2" s="1"/>
  <c r="AH7" i="2"/>
  <c r="AI7" i="2" s="1"/>
  <c r="AJ7" i="2" s="1"/>
  <c r="AK7" i="2" s="1"/>
  <c r="AL7" i="2" s="1"/>
  <c r="AM7" i="2" s="1"/>
  <c r="AN7" i="2" s="1"/>
  <c r="AO7" i="2" s="1"/>
  <c r="AP7" i="2" s="1"/>
  <c r="AH5" i="2"/>
  <c r="AI5" i="2" s="1"/>
  <c r="AJ5" i="2" s="1"/>
  <c r="AK5" i="2" s="1"/>
  <c r="AL5" i="2" s="1"/>
  <c r="AM5" i="2" s="1"/>
  <c r="AN5" i="2" s="1"/>
  <c r="AO5" i="2" s="1"/>
  <c r="AP5" i="2" s="1"/>
  <c r="AH4" i="2"/>
  <c r="AI4" i="2" s="1"/>
  <c r="AJ4" i="2" s="1"/>
  <c r="AK4" i="2" s="1"/>
  <c r="AL4" i="2" s="1"/>
  <c r="AM4" i="2" s="1"/>
  <c r="AN4" i="2" s="1"/>
  <c r="AO4" i="2" s="1"/>
  <c r="AP4" i="2" s="1"/>
  <c r="AH3" i="2"/>
  <c r="AI3" i="2" s="1"/>
  <c r="AJ3" i="2" s="1"/>
  <c r="AK3" i="2" s="1"/>
  <c r="AL3" i="2" s="1"/>
  <c r="AM3" i="2" s="1"/>
  <c r="AN3" i="2" s="1"/>
  <c r="AO3" i="2" s="1"/>
  <c r="AP3" i="2" s="1"/>
  <c r="Q110" i="2"/>
  <c r="Q109" i="2"/>
  <c r="Q95" i="2"/>
  <c r="Q34" i="2"/>
  <c r="Q88" i="2"/>
  <c r="Q82" i="2"/>
  <c r="Q70" i="2"/>
  <c r="Q77" i="2" s="1"/>
  <c r="Q49" i="2"/>
  <c r="O34" i="2"/>
  <c r="M34" i="2"/>
  <c r="L34" i="2"/>
  <c r="K34" i="2"/>
  <c r="I34" i="2"/>
  <c r="H34" i="2"/>
  <c r="G34" i="2"/>
  <c r="P34" i="2"/>
  <c r="P110" i="2"/>
  <c r="P109" i="2"/>
  <c r="P95" i="2"/>
  <c r="P97" i="2" s="1"/>
  <c r="P88" i="2"/>
  <c r="P82" i="2"/>
  <c r="P70" i="2"/>
  <c r="P77" i="2" s="1"/>
  <c r="P49" i="2"/>
  <c r="R9" i="3"/>
  <c r="G11" i="3"/>
  <c r="G10" i="3"/>
  <c r="P32" i="2"/>
  <c r="M88" i="2"/>
  <c r="L88" i="2"/>
  <c r="K88" i="2"/>
  <c r="I88" i="2"/>
  <c r="H88" i="2"/>
  <c r="G88" i="2"/>
  <c r="O88" i="2"/>
  <c r="Q33" i="2"/>
  <c r="P33" i="2"/>
  <c r="Q31" i="2"/>
  <c r="P31" i="2"/>
  <c r="Q30" i="2"/>
  <c r="P30" i="2"/>
  <c r="Q29" i="2"/>
  <c r="P29" i="2"/>
  <c r="Q28" i="2"/>
  <c r="P28" i="2"/>
  <c r="O95" i="2"/>
  <c r="O97" i="2" s="1"/>
  <c r="O110" i="2"/>
  <c r="O109" i="2"/>
  <c r="AF6" i="2"/>
  <c r="AF8" i="2" s="1"/>
  <c r="AF12" i="2" s="1"/>
  <c r="AF39" i="2" s="1"/>
  <c r="AE6" i="2"/>
  <c r="AE8" i="2" s="1"/>
  <c r="AE12" i="2" s="1"/>
  <c r="AE39" i="2" s="1"/>
  <c r="AD6" i="2"/>
  <c r="AD8" i="2" s="1"/>
  <c r="AD12" i="2" s="1"/>
  <c r="AD42" i="2" s="1"/>
  <c r="AC6" i="2"/>
  <c r="AC8" i="2" s="1"/>
  <c r="AC12" i="2" s="1"/>
  <c r="AC42" i="2" s="1"/>
  <c r="AB6" i="2"/>
  <c r="AB8" i="2" s="1"/>
  <c r="AB12" i="2" s="1"/>
  <c r="AA6" i="2"/>
  <c r="AA8" i="2" s="1"/>
  <c r="AA12" i="2" s="1"/>
  <c r="O28" i="2"/>
  <c r="O6" i="2"/>
  <c r="M6" i="2"/>
  <c r="M8" i="2" s="1"/>
  <c r="M12" i="2" s="1"/>
  <c r="M113" i="2" s="1"/>
  <c r="L6" i="2"/>
  <c r="L8" i="2" s="1"/>
  <c r="K6" i="2"/>
  <c r="K8" i="2" s="1"/>
  <c r="K12" i="2" s="1"/>
  <c r="K42" i="2" s="1"/>
  <c r="I6" i="2"/>
  <c r="I8" i="2" s="1"/>
  <c r="H6" i="2"/>
  <c r="H8" i="2" s="1"/>
  <c r="G6" i="2"/>
  <c r="G8" i="2" s="1"/>
  <c r="E6" i="2"/>
  <c r="E8" i="2" s="1"/>
  <c r="E12" i="2" s="1"/>
  <c r="E42" i="2" s="1"/>
  <c r="D6" i="2"/>
  <c r="D8" i="2" s="1"/>
  <c r="C6" i="2"/>
  <c r="C8" i="2" s="1"/>
  <c r="C12" i="2" s="1"/>
  <c r="O82" i="2"/>
  <c r="O70" i="2"/>
  <c r="O77" i="2" s="1"/>
  <c r="O49" i="2"/>
  <c r="O54" i="2" s="1"/>
  <c r="O62" i="2" s="1"/>
  <c r="O33" i="2"/>
  <c r="O32" i="2"/>
  <c r="O31" i="2"/>
  <c r="O30" i="2"/>
  <c r="O29" i="2"/>
  <c r="O18" i="2"/>
  <c r="N82" i="2"/>
  <c r="N70" i="2"/>
  <c r="N77" i="2" s="1"/>
  <c r="N49" i="2"/>
  <c r="N54" i="2" s="1"/>
  <c r="N62" i="2" s="1"/>
  <c r="N22" i="2"/>
  <c r="N20" i="2"/>
  <c r="N16" i="2"/>
  <c r="N15" i="2"/>
  <c r="N14" i="2"/>
  <c r="N11" i="2"/>
  <c r="N10" i="2"/>
  <c r="N9" i="2"/>
  <c r="N7" i="2"/>
  <c r="N5" i="2"/>
  <c r="N4" i="2"/>
  <c r="N3" i="2"/>
  <c r="L109" i="2"/>
  <c r="K109" i="2"/>
  <c r="J109" i="2"/>
  <c r="I109" i="2"/>
  <c r="H109" i="2"/>
  <c r="G109" i="2"/>
  <c r="L110" i="2"/>
  <c r="K110" i="2"/>
  <c r="J110" i="2"/>
  <c r="I110" i="2"/>
  <c r="H110" i="2"/>
  <c r="G110" i="2"/>
  <c r="F110" i="2"/>
  <c r="E110" i="2"/>
  <c r="D110" i="2"/>
  <c r="M110" i="2"/>
  <c r="M109" i="2"/>
  <c r="M95" i="2"/>
  <c r="M97" i="2" s="1"/>
  <c r="M82" i="2"/>
  <c r="M70" i="2"/>
  <c r="M77" i="2" s="1"/>
  <c r="M49" i="2"/>
  <c r="M54" i="2" s="1"/>
  <c r="M62" i="2" s="1"/>
  <c r="M11" i="1"/>
  <c r="M12" i="1" s="1"/>
  <c r="L10" i="1"/>
  <c r="I5" i="4"/>
  <c r="C7" i="4"/>
  <c r="BF4" i="11"/>
  <c r="AL4" i="11"/>
  <c r="AM4" i="11" s="1"/>
  <c r="D4" i="11"/>
  <c r="E4" i="11" s="1"/>
  <c r="C8" i="11"/>
  <c r="R8" i="3"/>
  <c r="C8" i="10" s="1"/>
  <c r="R7" i="3"/>
  <c r="C7" i="9" s="1"/>
  <c r="R6" i="3"/>
  <c r="R5" i="3"/>
  <c r="R4" i="3"/>
  <c r="R3" i="3"/>
  <c r="D3" i="3"/>
  <c r="I9" i="3"/>
  <c r="O9" i="3"/>
  <c r="O7" i="3"/>
  <c r="AH4" i="10"/>
  <c r="AI4" i="10" s="1"/>
  <c r="AJ4" i="10" s="1"/>
  <c r="AK4" i="10" s="1"/>
  <c r="D4" i="10"/>
  <c r="E4" i="10" s="1"/>
  <c r="C4" i="10"/>
  <c r="C7" i="8"/>
  <c r="P5" i="3"/>
  <c r="C12" i="7"/>
  <c r="G5" i="7"/>
  <c r="F5" i="7"/>
  <c r="E5" i="7"/>
  <c r="D5" i="7"/>
  <c r="C5" i="7"/>
  <c r="G4" i="7"/>
  <c r="F4" i="7"/>
  <c r="E4" i="7"/>
  <c r="D4" i="7"/>
  <c r="C4" i="7"/>
  <c r="B5" i="7"/>
  <c r="B4" i="7"/>
  <c r="C7" i="6"/>
  <c r="C3" i="6"/>
  <c r="C6" i="5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I8" i="3"/>
  <c r="O8" i="3"/>
  <c r="C11" i="4"/>
  <c r="I7" i="3"/>
  <c r="O6" i="3"/>
  <c r="I6" i="3"/>
  <c r="O5" i="3"/>
  <c r="I5" i="3"/>
  <c r="O4" i="3"/>
  <c r="I4" i="3"/>
  <c r="O1" i="3"/>
  <c r="C7" i="5" s="1"/>
  <c r="E2" i="4"/>
  <c r="I3" i="3"/>
  <c r="C70" i="4"/>
  <c r="C69" i="4"/>
  <c r="C68" i="4"/>
  <c r="C62" i="4"/>
  <c r="C57" i="4"/>
  <c r="C56" i="4"/>
  <c r="Z54" i="4"/>
  <c r="Y54" i="4"/>
  <c r="X54" i="4"/>
  <c r="W54" i="4"/>
  <c r="V54" i="4"/>
  <c r="U54" i="4"/>
  <c r="T54" i="4"/>
  <c r="S54" i="4"/>
  <c r="R54" i="4"/>
  <c r="Q54" i="4"/>
  <c r="P54" i="4"/>
  <c r="Z53" i="4"/>
  <c r="Y53" i="4"/>
  <c r="X53" i="4"/>
  <c r="W53" i="4"/>
  <c r="V53" i="4"/>
  <c r="U53" i="4"/>
  <c r="T53" i="4"/>
  <c r="S53" i="4"/>
  <c r="R53" i="4"/>
  <c r="Q53" i="4"/>
  <c r="P53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C51" i="4"/>
  <c r="C46" i="4"/>
  <c r="C45" i="4"/>
  <c r="C44" i="4"/>
  <c r="V42" i="4"/>
  <c r="U42" i="4"/>
  <c r="T42" i="4"/>
  <c r="S42" i="4"/>
  <c r="R42" i="4"/>
  <c r="Q42" i="4"/>
  <c r="P42" i="4"/>
  <c r="O42" i="4"/>
  <c r="N42" i="4"/>
  <c r="M42" i="4"/>
  <c r="V41" i="4"/>
  <c r="U41" i="4"/>
  <c r="T41" i="4"/>
  <c r="S41" i="4"/>
  <c r="R41" i="4"/>
  <c r="Q41" i="4"/>
  <c r="P41" i="4"/>
  <c r="O41" i="4"/>
  <c r="N41" i="4"/>
  <c r="M41" i="4"/>
  <c r="C42" i="4"/>
  <c r="C12" i="4"/>
  <c r="C41" i="4"/>
  <c r="C36" i="4"/>
  <c r="D4" i="4"/>
  <c r="L42" i="4"/>
  <c r="K42" i="4"/>
  <c r="J42" i="4"/>
  <c r="I42" i="4"/>
  <c r="H42" i="4"/>
  <c r="G42" i="4"/>
  <c r="F42" i="4"/>
  <c r="E42" i="4"/>
  <c r="D42" i="4"/>
  <c r="C39" i="4"/>
  <c r="D41" i="4"/>
  <c r="E41" i="4"/>
  <c r="F41" i="4"/>
  <c r="G41" i="4"/>
  <c r="H41" i="4"/>
  <c r="I41" i="4"/>
  <c r="J41" i="4"/>
  <c r="K41" i="4"/>
  <c r="L41" i="4"/>
  <c r="C25" i="4"/>
  <c r="C27" i="4" s="1"/>
  <c r="C30" i="4" s="1"/>
  <c r="C31" i="4"/>
  <c r="J27" i="4"/>
  <c r="K27" i="4"/>
  <c r="L27" i="4"/>
  <c r="M27" i="4"/>
  <c r="N27" i="4"/>
  <c r="O27" i="4"/>
  <c r="P27" i="4"/>
  <c r="J28" i="4"/>
  <c r="K28" i="4"/>
  <c r="L28" i="4"/>
  <c r="M28" i="4"/>
  <c r="N28" i="4"/>
  <c r="O28" i="4"/>
  <c r="P28" i="4"/>
  <c r="G27" i="4"/>
  <c r="I28" i="4"/>
  <c r="H28" i="4"/>
  <c r="G28" i="4"/>
  <c r="F28" i="4"/>
  <c r="E28" i="4"/>
  <c r="D28" i="4"/>
  <c r="C28" i="4"/>
  <c r="I27" i="4"/>
  <c r="H27" i="4"/>
  <c r="F27" i="4"/>
  <c r="E27" i="4"/>
  <c r="D27" i="4"/>
  <c r="C22" i="4"/>
  <c r="C5" i="4"/>
  <c r="D10" i="4"/>
  <c r="E10" i="4" s="1"/>
  <c r="O3" i="3"/>
  <c r="Q1" i="3"/>
  <c r="H96" i="2"/>
  <c r="I96" i="2" s="1"/>
  <c r="J96" i="2" s="1"/>
  <c r="L96" i="2"/>
  <c r="F94" i="2"/>
  <c r="F93" i="2"/>
  <c r="G95" i="2"/>
  <c r="G97" i="2" s="1"/>
  <c r="K95" i="2"/>
  <c r="K97" i="2" s="1"/>
  <c r="H94" i="2"/>
  <c r="I94" i="2" s="1"/>
  <c r="J94" i="2" s="1"/>
  <c r="H93" i="2"/>
  <c r="L94" i="2"/>
  <c r="L93" i="2"/>
  <c r="G82" i="2"/>
  <c r="G70" i="2"/>
  <c r="G77" i="2" s="1"/>
  <c r="G49" i="2"/>
  <c r="G54" i="2" s="1"/>
  <c r="G62" i="2" s="1"/>
  <c r="H82" i="2"/>
  <c r="H70" i="2"/>
  <c r="H77" i="2" s="1"/>
  <c r="H49" i="2"/>
  <c r="H54" i="2" s="1"/>
  <c r="H62" i="2" s="1"/>
  <c r="I49" i="2"/>
  <c r="I54" i="2" s="1"/>
  <c r="I62" i="2" s="1"/>
  <c r="I82" i="2"/>
  <c r="I70" i="2"/>
  <c r="I77" i="2" s="1"/>
  <c r="F82" i="2"/>
  <c r="F70" i="2"/>
  <c r="F77" i="2" s="1"/>
  <c r="F49" i="2"/>
  <c r="F54" i="2" s="1"/>
  <c r="K82" i="2"/>
  <c r="K70" i="2"/>
  <c r="K77" i="2" s="1"/>
  <c r="K49" i="2"/>
  <c r="K54" i="2" s="1"/>
  <c r="K62" i="2" s="1"/>
  <c r="L82" i="2"/>
  <c r="L70" i="2"/>
  <c r="L77" i="2" s="1"/>
  <c r="L49" i="2"/>
  <c r="L54" i="2" s="1"/>
  <c r="L62" i="2" s="1"/>
  <c r="J82" i="2"/>
  <c r="J70" i="2"/>
  <c r="J77" i="2" s="1"/>
  <c r="J49" i="2"/>
  <c r="J54" i="2" s="1"/>
  <c r="J62" i="2" s="1"/>
  <c r="AT31" i="2"/>
  <c r="M33" i="2"/>
  <c r="M32" i="2"/>
  <c r="M31" i="2"/>
  <c r="M30" i="2"/>
  <c r="M29" i="2"/>
  <c r="M28" i="2"/>
  <c r="L33" i="2"/>
  <c r="K33" i="2"/>
  <c r="I33" i="2"/>
  <c r="H33" i="2"/>
  <c r="G33" i="2"/>
  <c r="G32" i="2"/>
  <c r="I32" i="2"/>
  <c r="I31" i="2"/>
  <c r="I30" i="2"/>
  <c r="AE28" i="2"/>
  <c r="AE29" i="2"/>
  <c r="AE30" i="2"/>
  <c r="AE31" i="2"/>
  <c r="AE32" i="2"/>
  <c r="AB28" i="2"/>
  <c r="AC28" i="2"/>
  <c r="AB29" i="2"/>
  <c r="AC29" i="2"/>
  <c r="AB30" i="2"/>
  <c r="AC30" i="2"/>
  <c r="AB31" i="2"/>
  <c r="AC31" i="2"/>
  <c r="AB32" i="2"/>
  <c r="AC32" i="2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F24" i="2"/>
  <c r="F22" i="2"/>
  <c r="F20" i="2"/>
  <c r="F16" i="2"/>
  <c r="F15" i="2"/>
  <c r="F14" i="2"/>
  <c r="F13" i="2"/>
  <c r="G87" i="2" s="1"/>
  <c r="F11" i="2"/>
  <c r="F10" i="2"/>
  <c r="F9" i="2"/>
  <c r="F7" i="2"/>
  <c r="F5" i="2"/>
  <c r="F4" i="2"/>
  <c r="F3" i="2"/>
  <c r="J24" i="2"/>
  <c r="J22" i="2"/>
  <c r="J20" i="2"/>
  <c r="J16" i="2"/>
  <c r="J15" i="2"/>
  <c r="J14" i="2"/>
  <c r="J13" i="2"/>
  <c r="L87" i="2" s="1"/>
  <c r="J11" i="2"/>
  <c r="J10" i="2"/>
  <c r="J9" i="2"/>
  <c r="J7" i="2"/>
  <c r="J5" i="2"/>
  <c r="J4" i="2"/>
  <c r="J3" i="2"/>
  <c r="C18" i="2"/>
  <c r="D18" i="2"/>
  <c r="H32" i="2"/>
  <c r="H31" i="2"/>
  <c r="G31" i="2"/>
  <c r="H30" i="2"/>
  <c r="G30" i="2"/>
  <c r="H29" i="2"/>
  <c r="G29" i="2"/>
  <c r="H28" i="2"/>
  <c r="G28" i="2"/>
  <c r="I29" i="2"/>
  <c r="I28" i="2"/>
  <c r="E18" i="2"/>
  <c r="I18" i="2"/>
  <c r="AD32" i="2"/>
  <c r="AD31" i="2"/>
  <c r="AD30" i="2"/>
  <c r="AD29" i="2"/>
  <c r="AD28" i="2"/>
  <c r="AC18" i="2"/>
  <c r="AD18" i="2"/>
  <c r="AE18" i="2"/>
  <c r="G18" i="2"/>
  <c r="K32" i="2"/>
  <c r="K31" i="2"/>
  <c r="K30" i="2"/>
  <c r="K29" i="2"/>
  <c r="K28" i="2"/>
  <c r="K18" i="2"/>
  <c r="L32" i="2"/>
  <c r="L31" i="2"/>
  <c r="L30" i="2"/>
  <c r="L29" i="2"/>
  <c r="L28" i="2"/>
  <c r="H18" i="2"/>
  <c r="L18" i="2"/>
  <c r="AQ14" i="2" l="1"/>
  <c r="AQ37" i="2" s="1"/>
  <c r="AQ16" i="2"/>
  <c r="AQ39" i="2" s="1"/>
  <c r="AQ13" i="2"/>
  <c r="AQ27" i="2"/>
  <c r="AQ42" i="2"/>
  <c r="AQ15" i="2"/>
  <c r="AQ38" i="2" s="1"/>
  <c r="AQ31" i="2"/>
  <c r="AC36" i="2"/>
  <c r="AC39" i="2"/>
  <c r="AE37" i="2"/>
  <c r="AC37" i="2"/>
  <c r="AF37" i="2"/>
  <c r="AC38" i="2"/>
  <c r="AD38" i="2"/>
  <c r="AE38" i="2"/>
  <c r="AD36" i="2"/>
  <c r="AF38" i="2"/>
  <c r="AE36" i="2"/>
  <c r="AD39" i="2"/>
  <c r="AF36" i="2"/>
  <c r="AD37" i="2"/>
  <c r="R31" i="2"/>
  <c r="R30" i="2"/>
  <c r="R33" i="2"/>
  <c r="Q97" i="2"/>
  <c r="J34" i="2"/>
  <c r="Q83" i="2"/>
  <c r="I87" i="2"/>
  <c r="J87" i="2"/>
  <c r="H87" i="2"/>
  <c r="F88" i="2"/>
  <c r="J88" i="2"/>
  <c r="M87" i="2"/>
  <c r="F87" i="2"/>
  <c r="K87" i="2"/>
  <c r="P83" i="2"/>
  <c r="K3" i="3"/>
  <c r="L3" i="3" s="1"/>
  <c r="F6" i="2"/>
  <c r="F8" i="2" s="1"/>
  <c r="F12" i="2" s="1"/>
  <c r="N6" i="2"/>
  <c r="N8" i="2" s="1"/>
  <c r="N12" i="2" s="1"/>
  <c r="J6" i="2"/>
  <c r="J8" i="2" s="1"/>
  <c r="J12" i="2" s="1"/>
  <c r="P6" i="2"/>
  <c r="P8" i="2" s="1"/>
  <c r="P12" i="2" s="1"/>
  <c r="P113" i="2" s="1"/>
  <c r="Q6" i="2"/>
  <c r="Q8" i="2" s="1"/>
  <c r="G12" i="2"/>
  <c r="G27" i="2" s="1"/>
  <c r="H12" i="2"/>
  <c r="I12" i="2"/>
  <c r="O8" i="2"/>
  <c r="O12" i="2" s="1"/>
  <c r="D12" i="2"/>
  <c r="L12" i="2"/>
  <c r="N95" i="2"/>
  <c r="Q102" i="2" s="1"/>
  <c r="L13" i="1"/>
  <c r="O83" i="2"/>
  <c r="O84" i="2" s="1"/>
  <c r="AE19" i="2"/>
  <c r="AE43" i="2" s="1"/>
  <c r="K83" i="2"/>
  <c r="K84" i="2" s="1"/>
  <c r="H95" i="2"/>
  <c r="H97" i="2" s="1"/>
  <c r="N83" i="2"/>
  <c r="N84" i="2" s="1"/>
  <c r="K113" i="2"/>
  <c r="AB27" i="2"/>
  <c r="J32" i="2"/>
  <c r="J83" i="2"/>
  <c r="J84" i="2" s="1"/>
  <c r="N31" i="2"/>
  <c r="AF31" i="2"/>
  <c r="F95" i="2"/>
  <c r="N32" i="2"/>
  <c r="Q32" i="2" s="1"/>
  <c r="J18" i="2"/>
  <c r="J33" i="2"/>
  <c r="J28" i="2"/>
  <c r="J30" i="2"/>
  <c r="AE27" i="2"/>
  <c r="J31" i="2"/>
  <c r="N29" i="2"/>
  <c r="J29" i="2"/>
  <c r="I93" i="2"/>
  <c r="I95" i="2" s="1"/>
  <c r="AC27" i="2"/>
  <c r="AE42" i="2"/>
  <c r="I83" i="2"/>
  <c r="I84" i="2" s="1"/>
  <c r="AD27" i="2"/>
  <c r="M83" i="2"/>
  <c r="M84" i="2" s="1"/>
  <c r="M42" i="2"/>
  <c r="C9" i="11"/>
  <c r="BF6" i="11"/>
  <c r="BF5" i="11"/>
  <c r="AN4" i="11"/>
  <c r="AM6" i="11"/>
  <c r="AM5" i="11"/>
  <c r="AL6" i="11"/>
  <c r="F4" i="11"/>
  <c r="C8" i="6"/>
  <c r="G5" i="6" s="1"/>
  <c r="H4" i="6"/>
  <c r="H5" i="6"/>
  <c r="I5" i="6"/>
  <c r="C4" i="6"/>
  <c r="C5" i="6"/>
  <c r="D4" i="6"/>
  <c r="D5" i="6"/>
  <c r="C8" i="8"/>
  <c r="K4" i="8" s="1"/>
  <c r="I4" i="6"/>
  <c r="B5" i="6"/>
  <c r="C9" i="10"/>
  <c r="E5" i="10" s="1"/>
  <c r="E4" i="6"/>
  <c r="E5" i="6"/>
  <c r="B4" i="6"/>
  <c r="F4" i="6"/>
  <c r="F5" i="6"/>
  <c r="G4" i="6"/>
  <c r="C8" i="9"/>
  <c r="F4" i="10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B4" i="5"/>
  <c r="D4" i="5"/>
  <c r="C4" i="5"/>
  <c r="D3" i="5"/>
  <c r="C3" i="5"/>
  <c r="B3" i="5"/>
  <c r="Q5" i="3"/>
  <c r="K9" i="3"/>
  <c r="L9" i="3" s="1"/>
  <c r="C10" i="11" s="1"/>
  <c r="K8" i="3"/>
  <c r="L8" i="3" s="1"/>
  <c r="K7" i="3"/>
  <c r="L7" i="3" s="1"/>
  <c r="C9" i="9" s="1"/>
  <c r="K6" i="3"/>
  <c r="L6" i="3" s="1"/>
  <c r="K5" i="3"/>
  <c r="L5" i="3" s="1"/>
  <c r="K4" i="3"/>
  <c r="L4" i="3" s="1"/>
  <c r="C9" i="6" s="1"/>
  <c r="C58" i="4"/>
  <c r="C32" i="4"/>
  <c r="F10" i="4"/>
  <c r="E11" i="4"/>
  <c r="E12" i="4"/>
  <c r="D12" i="4"/>
  <c r="D11" i="4"/>
  <c r="L95" i="2"/>
  <c r="G83" i="2"/>
  <c r="G84" i="2" s="1"/>
  <c r="H83" i="2"/>
  <c r="H84" i="2" s="1"/>
  <c r="F83" i="2"/>
  <c r="F62" i="2"/>
  <c r="L83" i="2"/>
  <c r="L84" i="2" s="1"/>
  <c r="C42" i="2"/>
  <c r="AD19" i="2"/>
  <c r="AD43" i="2" s="1"/>
  <c r="F18" i="2"/>
  <c r="E19" i="2"/>
  <c r="AC19" i="2"/>
  <c r="C19" i="2"/>
  <c r="K19" i="2"/>
  <c r="AQ18" i="2" l="1"/>
  <c r="AQ19" i="2" s="1"/>
  <c r="AQ36" i="2"/>
  <c r="P114" i="2"/>
  <c r="P116" i="2" s="1"/>
  <c r="AC21" i="2"/>
  <c r="AC23" i="2" s="1"/>
  <c r="AC43" i="2"/>
  <c r="R29" i="2"/>
  <c r="C21" i="2"/>
  <c r="C23" i="2" s="1"/>
  <c r="C43" i="2"/>
  <c r="K21" i="2"/>
  <c r="K23" i="2" s="1"/>
  <c r="K44" i="2" s="1"/>
  <c r="K43" i="2"/>
  <c r="E21" i="2"/>
  <c r="E23" i="2" s="1"/>
  <c r="E43" i="2"/>
  <c r="M86" i="2"/>
  <c r="P86" i="2"/>
  <c r="H114" i="2"/>
  <c r="H86" i="2"/>
  <c r="I86" i="2"/>
  <c r="N86" i="2"/>
  <c r="G42" i="2"/>
  <c r="J86" i="2"/>
  <c r="L19" i="2"/>
  <c r="O86" i="2"/>
  <c r="Q12" i="2"/>
  <c r="H42" i="2"/>
  <c r="K86" i="2"/>
  <c r="N97" i="2"/>
  <c r="P103" i="2" s="1"/>
  <c r="P102" i="2"/>
  <c r="D42" i="2"/>
  <c r="G86" i="2"/>
  <c r="I19" i="2"/>
  <c r="L86" i="2"/>
  <c r="G19" i="2"/>
  <c r="F86" i="2"/>
  <c r="R32" i="2"/>
  <c r="AJ9" i="2"/>
  <c r="AK9" i="2" s="1"/>
  <c r="AL9" i="2" s="1"/>
  <c r="E1" i="4"/>
  <c r="C8" i="5"/>
  <c r="E3" i="4"/>
  <c r="L42" i="2"/>
  <c r="I27" i="2"/>
  <c r="D19" i="2"/>
  <c r="K27" i="2"/>
  <c r="I113" i="2"/>
  <c r="H27" i="2"/>
  <c r="O42" i="2"/>
  <c r="O113" i="2"/>
  <c r="H19" i="2"/>
  <c r="H113" i="2"/>
  <c r="G113" i="2"/>
  <c r="R28" i="2"/>
  <c r="R6" i="2"/>
  <c r="R8" i="2" s="1"/>
  <c r="R12" i="2" s="1"/>
  <c r="I42" i="2"/>
  <c r="M27" i="2"/>
  <c r="L113" i="2"/>
  <c r="O114" i="2"/>
  <c r="O116" i="2" s="1"/>
  <c r="P27" i="2"/>
  <c r="O19" i="2"/>
  <c r="O27" i="2"/>
  <c r="L27" i="2"/>
  <c r="L97" i="2"/>
  <c r="O102" i="2"/>
  <c r="N102" i="2"/>
  <c r="J114" i="2"/>
  <c r="J116" i="2" s="1"/>
  <c r="J113" i="2"/>
  <c r="AF29" i="2"/>
  <c r="F42" i="2"/>
  <c r="I114" i="2"/>
  <c r="I116" i="2" s="1"/>
  <c r="AF32" i="2"/>
  <c r="L114" i="2"/>
  <c r="L116" i="2" s="1"/>
  <c r="K114" i="2"/>
  <c r="K116" i="2" s="1"/>
  <c r="J42" i="2"/>
  <c r="M114" i="2"/>
  <c r="M116" i="2" s="1"/>
  <c r="I97" i="2"/>
  <c r="I102" i="2"/>
  <c r="N33" i="2"/>
  <c r="N28" i="2"/>
  <c r="F84" i="2"/>
  <c r="N30" i="2"/>
  <c r="AG29" i="2"/>
  <c r="J93" i="2"/>
  <c r="J95" i="2" s="1"/>
  <c r="L102" i="2" s="1"/>
  <c r="M18" i="2"/>
  <c r="M19" i="2" s="1"/>
  <c r="M43" i="2" s="1"/>
  <c r="F6" i="11"/>
  <c r="L5" i="11"/>
  <c r="C5" i="11"/>
  <c r="E6" i="11"/>
  <c r="J5" i="11"/>
  <c r="D6" i="11"/>
  <c r="I5" i="11"/>
  <c r="AL5" i="11"/>
  <c r="K6" i="11"/>
  <c r="C6" i="11"/>
  <c r="H5" i="11"/>
  <c r="J6" i="11"/>
  <c r="P5" i="11"/>
  <c r="G5" i="11"/>
  <c r="I6" i="11"/>
  <c r="O5" i="11"/>
  <c r="F5" i="11"/>
  <c r="H6" i="11"/>
  <c r="N5" i="11"/>
  <c r="E5" i="11"/>
  <c r="G6" i="11"/>
  <c r="M5" i="11"/>
  <c r="D5" i="11"/>
  <c r="AO4" i="11"/>
  <c r="AN6" i="11"/>
  <c r="AN5" i="11"/>
  <c r="C10" i="10"/>
  <c r="G4" i="11"/>
  <c r="D4" i="8"/>
  <c r="E5" i="8"/>
  <c r="D5" i="8"/>
  <c r="H5" i="8"/>
  <c r="F5" i="8"/>
  <c r="K5" i="8"/>
  <c r="C5" i="8"/>
  <c r="G5" i="8"/>
  <c r="J5" i="8"/>
  <c r="B5" i="8"/>
  <c r="I5" i="8"/>
  <c r="F4" i="8"/>
  <c r="H4" i="8"/>
  <c r="C12" i="6"/>
  <c r="P4" i="3" s="1"/>
  <c r="Q4" i="3" s="1"/>
  <c r="J4" i="8"/>
  <c r="G4" i="8"/>
  <c r="C4" i="8"/>
  <c r="B4" i="8"/>
  <c r="Q5" i="9"/>
  <c r="I5" i="9"/>
  <c r="P4" i="9"/>
  <c r="H4" i="9"/>
  <c r="C5" i="9"/>
  <c r="P5" i="9"/>
  <c r="H5" i="9"/>
  <c r="O4" i="9"/>
  <c r="G4" i="9"/>
  <c r="L4" i="9"/>
  <c r="L5" i="9"/>
  <c r="K4" i="9"/>
  <c r="B5" i="9"/>
  <c r="Q4" i="9"/>
  <c r="O5" i="9"/>
  <c r="G5" i="9"/>
  <c r="N4" i="9"/>
  <c r="F4" i="9"/>
  <c r="M5" i="9"/>
  <c r="D4" i="9"/>
  <c r="K5" i="9"/>
  <c r="J5" i="9"/>
  <c r="B4" i="9"/>
  <c r="N5" i="9"/>
  <c r="F5" i="9"/>
  <c r="M4" i="9"/>
  <c r="E4" i="9"/>
  <c r="E5" i="9"/>
  <c r="D5" i="9"/>
  <c r="C4" i="9"/>
  <c r="J4" i="9"/>
  <c r="I4" i="9"/>
  <c r="AJ6" i="10"/>
  <c r="AB6" i="10"/>
  <c r="T6" i="10"/>
  <c r="L6" i="10"/>
  <c r="D6" i="10"/>
  <c r="AF5" i="10"/>
  <c r="X5" i="10"/>
  <c r="AI6" i="10"/>
  <c r="AA6" i="10"/>
  <c r="S6" i="10"/>
  <c r="K6" i="10"/>
  <c r="C6" i="10"/>
  <c r="AE5" i="10"/>
  <c r="W5" i="10"/>
  <c r="AF6" i="10"/>
  <c r="B5" i="10"/>
  <c r="AE6" i="10"/>
  <c r="G6" i="10"/>
  <c r="AA5" i="10"/>
  <c r="AD6" i="10"/>
  <c r="F6" i="10"/>
  <c r="Y5" i="10"/>
  <c r="AH6" i="10"/>
  <c r="Z6" i="10"/>
  <c r="R6" i="10"/>
  <c r="J6" i="10"/>
  <c r="B6" i="10"/>
  <c r="AD5" i="10"/>
  <c r="V5" i="10"/>
  <c r="D5" i="10"/>
  <c r="P6" i="10"/>
  <c r="H6" i="10"/>
  <c r="AJ5" i="10"/>
  <c r="AB5" i="10"/>
  <c r="O6" i="10"/>
  <c r="AI5" i="10"/>
  <c r="N6" i="10"/>
  <c r="AH5" i="10"/>
  <c r="E6" i="10"/>
  <c r="AG6" i="10"/>
  <c r="Y6" i="10"/>
  <c r="Q6" i="10"/>
  <c r="I6" i="10"/>
  <c r="AK5" i="10"/>
  <c r="AC5" i="10"/>
  <c r="U5" i="10"/>
  <c r="C5" i="10"/>
  <c r="X6" i="10"/>
  <c r="T5" i="10"/>
  <c r="W6" i="10"/>
  <c r="S5" i="10"/>
  <c r="V6" i="10"/>
  <c r="Z5" i="10"/>
  <c r="AG5" i="10"/>
  <c r="AK6" i="10"/>
  <c r="AC6" i="10"/>
  <c r="U6" i="10"/>
  <c r="M6" i="10"/>
  <c r="E4" i="8"/>
  <c r="I4" i="8"/>
  <c r="F5" i="10"/>
  <c r="G4" i="10"/>
  <c r="C9" i="8"/>
  <c r="C9" i="7"/>
  <c r="C11" i="5"/>
  <c r="P3" i="3" s="1"/>
  <c r="Q3" i="3" s="1"/>
  <c r="G10" i="4"/>
  <c r="F12" i="4"/>
  <c r="F11" i="4"/>
  <c r="AH29" i="2"/>
  <c r="J27" i="2"/>
  <c r="AD21" i="2"/>
  <c r="AE21" i="2"/>
  <c r="AQ43" i="2" l="1"/>
  <c r="AQ21" i="2"/>
  <c r="AM9" i="2"/>
  <c r="AN9" i="2" s="1"/>
  <c r="AO9" i="2" s="1"/>
  <c r="AP9" i="2" s="1"/>
  <c r="K99" i="2"/>
  <c r="K25" i="2"/>
  <c r="Q86" i="2"/>
  <c r="Q113" i="2"/>
  <c r="C25" i="2"/>
  <c r="C44" i="2"/>
  <c r="AC25" i="2"/>
  <c r="AC44" i="2"/>
  <c r="E25" i="2"/>
  <c r="E44" i="2"/>
  <c r="Q103" i="2"/>
  <c r="Q114" i="2"/>
  <c r="Q116" i="2" s="1"/>
  <c r="O21" i="2"/>
  <c r="O23" i="2" s="1"/>
  <c r="O24" i="2" s="1"/>
  <c r="O43" i="2"/>
  <c r="D21" i="2"/>
  <c r="D23" i="2" s="1"/>
  <c r="D43" i="2"/>
  <c r="G21" i="2"/>
  <c r="G23" i="2" s="1"/>
  <c r="G44" i="2" s="1"/>
  <c r="G43" i="2"/>
  <c r="H21" i="2"/>
  <c r="H23" i="2" s="1"/>
  <c r="H43" i="2"/>
  <c r="I21" i="2"/>
  <c r="I23" i="2" s="1"/>
  <c r="I43" i="2"/>
  <c r="L21" i="2"/>
  <c r="L23" i="2" s="1"/>
  <c r="L44" i="2" s="1"/>
  <c r="L43" i="2"/>
  <c r="F19" i="2"/>
  <c r="F43" i="2" s="1"/>
  <c r="Q27" i="2"/>
  <c r="E5" i="4"/>
  <c r="J19" i="2"/>
  <c r="J43" i="2" s="1"/>
  <c r="AG14" i="2"/>
  <c r="R27" i="2"/>
  <c r="AG16" i="2"/>
  <c r="AG15" i="2"/>
  <c r="P42" i="2"/>
  <c r="P18" i="2"/>
  <c r="P19" i="2" s="1"/>
  <c r="N103" i="2"/>
  <c r="O103" i="2"/>
  <c r="AG32" i="2"/>
  <c r="AG31" i="2"/>
  <c r="I103" i="2"/>
  <c r="J97" i="2"/>
  <c r="M102" i="2"/>
  <c r="J102" i="2"/>
  <c r="K102" i="2"/>
  <c r="AF28" i="2"/>
  <c r="AG6" i="2"/>
  <c r="AG8" i="2" s="1"/>
  <c r="AG12" i="2" s="1"/>
  <c r="AF30" i="2"/>
  <c r="N27" i="2"/>
  <c r="M21" i="2"/>
  <c r="AO6" i="11"/>
  <c r="AO5" i="11"/>
  <c r="AP4" i="11"/>
  <c r="H4" i="11"/>
  <c r="C12" i="8"/>
  <c r="P6" i="3" s="1"/>
  <c r="Q6" i="3" s="1"/>
  <c r="C12" i="9"/>
  <c r="P7" i="3" s="1"/>
  <c r="Q7" i="3" s="1"/>
  <c r="H4" i="10"/>
  <c r="G5" i="10"/>
  <c r="H10" i="4"/>
  <c r="G11" i="4"/>
  <c r="G12" i="4"/>
  <c r="AI29" i="2"/>
  <c r="AH31" i="2"/>
  <c r="AE23" i="2"/>
  <c r="AE44" i="2" s="1"/>
  <c r="AD23" i="2"/>
  <c r="AD44" i="2" s="1"/>
  <c r="AQ22" i="2" l="1"/>
  <c r="AQ23" i="2" s="1"/>
  <c r="AG39" i="2"/>
  <c r="AG37" i="2"/>
  <c r="AG38" i="2"/>
  <c r="I25" i="2"/>
  <c r="I44" i="2"/>
  <c r="O99" i="2"/>
  <c r="O44" i="2"/>
  <c r="D25" i="2"/>
  <c r="D44" i="2"/>
  <c r="L99" i="2"/>
  <c r="F21" i="2"/>
  <c r="I99" i="2"/>
  <c r="H25" i="2"/>
  <c r="H44" i="2"/>
  <c r="G25" i="2"/>
  <c r="G99" i="2"/>
  <c r="H99" i="2"/>
  <c r="P21" i="2"/>
  <c r="P23" i="2" s="1"/>
  <c r="P44" i="2" s="1"/>
  <c r="P43" i="2"/>
  <c r="J21" i="2"/>
  <c r="L25" i="2"/>
  <c r="Q18" i="2"/>
  <c r="Q19" i="2" s="1"/>
  <c r="Q42" i="2"/>
  <c r="AG27" i="2"/>
  <c r="M103" i="2"/>
  <c r="K103" i="2"/>
  <c r="J103" i="2"/>
  <c r="L103" i="2"/>
  <c r="AG30" i="2"/>
  <c r="AH32" i="2"/>
  <c r="AH6" i="2"/>
  <c r="AH8" i="2" s="1"/>
  <c r="AH12" i="2" s="1"/>
  <c r="AG28" i="2"/>
  <c r="AF27" i="2"/>
  <c r="AQ4" i="11"/>
  <c r="AP5" i="11"/>
  <c r="AP6" i="11"/>
  <c r="I4" i="11"/>
  <c r="I4" i="10"/>
  <c r="H5" i="10"/>
  <c r="I10" i="4"/>
  <c r="H12" i="4"/>
  <c r="H11" i="4"/>
  <c r="AI31" i="2"/>
  <c r="AJ29" i="2"/>
  <c r="AD25" i="2"/>
  <c r="F23" i="2"/>
  <c r="F44" i="2" s="1"/>
  <c r="J23" i="2"/>
  <c r="J44" i="2" s="1"/>
  <c r="AE25" i="2"/>
  <c r="AQ49" i="2" l="1"/>
  <c r="AQ44" i="2"/>
  <c r="AQ24" i="2"/>
  <c r="AH15" i="2"/>
  <c r="AH38" i="2" s="1"/>
  <c r="AH14" i="2"/>
  <c r="AH37" i="2" s="1"/>
  <c r="AH16" i="2"/>
  <c r="AH39" i="2" s="1"/>
  <c r="Q21" i="2"/>
  <c r="Q43" i="2"/>
  <c r="I104" i="2"/>
  <c r="AG13" i="2"/>
  <c r="AG36" i="2" s="1"/>
  <c r="P99" i="2"/>
  <c r="P25" i="2"/>
  <c r="R18" i="2"/>
  <c r="R19" i="2" s="1"/>
  <c r="R42" i="2"/>
  <c r="N85" i="2"/>
  <c r="AH27" i="2"/>
  <c r="J25" i="2"/>
  <c r="J99" i="2"/>
  <c r="I85" i="2"/>
  <c r="M85" i="2"/>
  <c r="F85" i="2"/>
  <c r="H85" i="2"/>
  <c r="L85" i="2"/>
  <c r="J85" i="2"/>
  <c r="F25" i="2"/>
  <c r="G85" i="2"/>
  <c r="K85" i="2"/>
  <c r="AH28" i="2"/>
  <c r="AI32" i="2"/>
  <c r="AH30" i="2"/>
  <c r="M23" i="2"/>
  <c r="M44" i="2" s="1"/>
  <c r="AQ5" i="11"/>
  <c r="AR4" i="11"/>
  <c r="AQ6" i="11"/>
  <c r="J4" i="11"/>
  <c r="I5" i="10"/>
  <c r="J4" i="10"/>
  <c r="J10" i="4"/>
  <c r="I12" i="4"/>
  <c r="I11" i="4"/>
  <c r="AK29" i="2"/>
  <c r="AJ31" i="2"/>
  <c r="AH13" i="2" l="1"/>
  <c r="AH36" i="2" s="1"/>
  <c r="R21" i="2"/>
  <c r="R43" i="2"/>
  <c r="Q23" i="2"/>
  <c r="M99" i="2"/>
  <c r="M104" i="2" s="1"/>
  <c r="P54" i="2"/>
  <c r="P62" i="2" s="1"/>
  <c r="P84" i="2" s="1"/>
  <c r="AI6" i="2"/>
  <c r="AI8" i="2" s="1"/>
  <c r="AI12" i="2" s="1"/>
  <c r="O85" i="2"/>
  <c r="K104" i="2"/>
  <c r="J104" i="2"/>
  <c r="L104" i="2"/>
  <c r="AJ32" i="2"/>
  <c r="AI28" i="2"/>
  <c r="AI30" i="2"/>
  <c r="M24" i="2"/>
  <c r="N24" i="2" s="1"/>
  <c r="AR5" i="11"/>
  <c r="AR6" i="11"/>
  <c r="AS4" i="11"/>
  <c r="K4" i="11"/>
  <c r="K4" i="10"/>
  <c r="J5" i="10"/>
  <c r="K10" i="4"/>
  <c r="J12" i="4"/>
  <c r="J11" i="4"/>
  <c r="AL29" i="2"/>
  <c r="AK31" i="2"/>
  <c r="AI15" i="2" l="1"/>
  <c r="AI38" i="2" s="1"/>
  <c r="AI16" i="2"/>
  <c r="AI13" i="2"/>
  <c r="AI36" i="2" s="1"/>
  <c r="AI14" i="2"/>
  <c r="Q25" i="2"/>
  <c r="Q44" i="2"/>
  <c r="R23" i="2"/>
  <c r="AG22" i="2"/>
  <c r="AI27" i="2"/>
  <c r="Q54" i="2"/>
  <c r="Q62" i="2" s="1"/>
  <c r="Q84" i="2" s="1"/>
  <c r="AJ6" i="2"/>
  <c r="AJ8" i="2" s="1"/>
  <c r="AK32" i="2"/>
  <c r="AK6" i="2"/>
  <c r="AK8" i="2" s="1"/>
  <c r="AK12" i="2" s="1"/>
  <c r="AJ30" i="2"/>
  <c r="AJ28" i="2"/>
  <c r="AS5" i="11"/>
  <c r="AT4" i="11"/>
  <c r="AS6" i="11"/>
  <c r="L4" i="11"/>
  <c r="K5" i="11"/>
  <c r="L4" i="10"/>
  <c r="K5" i="10"/>
  <c r="L10" i="4"/>
  <c r="K12" i="4"/>
  <c r="K11" i="4"/>
  <c r="AL31" i="2"/>
  <c r="AM29" i="2"/>
  <c r="R44" i="2" l="1"/>
  <c r="R25" i="2"/>
  <c r="AG24" i="2"/>
  <c r="AJ12" i="2"/>
  <c r="AJ15" i="2" s="1"/>
  <c r="AI37" i="2"/>
  <c r="AI39" i="2"/>
  <c r="AL6" i="2"/>
  <c r="AL8" i="2" s="1"/>
  <c r="AK30" i="2"/>
  <c r="AK28" i="2"/>
  <c r="AL32" i="2"/>
  <c r="AU4" i="11"/>
  <c r="AT6" i="11"/>
  <c r="AT5" i="11"/>
  <c r="M4" i="11"/>
  <c r="L6" i="11"/>
  <c r="L5" i="10"/>
  <c r="M4" i="10"/>
  <c r="M10" i="4"/>
  <c r="L11" i="4"/>
  <c r="L12" i="4"/>
  <c r="AP29" i="2"/>
  <c r="AN29" i="2"/>
  <c r="AM31" i="2"/>
  <c r="AJ16" i="2" l="1"/>
  <c r="AK27" i="2"/>
  <c r="AJ14" i="2"/>
  <c r="AJ37" i="2" s="1"/>
  <c r="AJ27" i="2"/>
  <c r="AF49" i="2"/>
  <c r="AG20" i="2" s="1"/>
  <c r="AJ13" i="2"/>
  <c r="AK13" i="2" s="1"/>
  <c r="AK36" i="2" s="1"/>
  <c r="AJ38" i="2"/>
  <c r="AK15" i="2"/>
  <c r="AK38" i="2" s="1"/>
  <c r="AL12" i="2"/>
  <c r="AK16" i="2"/>
  <c r="AJ39" i="2"/>
  <c r="AK14" i="2"/>
  <c r="AM32" i="2"/>
  <c r="AL28" i="2"/>
  <c r="AL30" i="2"/>
  <c r="AV4" i="11"/>
  <c r="AU5" i="11"/>
  <c r="AU6" i="11"/>
  <c r="N4" i="11"/>
  <c r="M6" i="11"/>
  <c r="M5" i="10"/>
  <c r="N4" i="10"/>
  <c r="N10" i="4"/>
  <c r="M11" i="4"/>
  <c r="M12" i="4"/>
  <c r="AN31" i="2"/>
  <c r="AO29" i="2"/>
  <c r="AJ42" i="2" l="1"/>
  <c r="AJ36" i="2"/>
  <c r="AL15" i="2"/>
  <c r="AL38" i="2" s="1"/>
  <c r="AL13" i="2"/>
  <c r="AL36" i="2" s="1"/>
  <c r="AL14" i="2"/>
  <c r="AK37" i="2"/>
  <c r="AL16" i="2"/>
  <c r="AK39" i="2"/>
  <c r="AM6" i="2"/>
  <c r="AM8" i="2" s="1"/>
  <c r="AO31" i="2"/>
  <c r="AP31" i="2"/>
  <c r="AM30" i="2"/>
  <c r="AL27" i="2"/>
  <c r="AN6" i="2"/>
  <c r="AN8" i="2" s="1"/>
  <c r="AN12" i="2" s="1"/>
  <c r="AM28" i="2"/>
  <c r="AN32" i="2"/>
  <c r="AW4" i="11"/>
  <c r="AV6" i="11"/>
  <c r="AV5" i="11"/>
  <c r="O4" i="11"/>
  <c r="N6" i="11"/>
  <c r="N5" i="10"/>
  <c r="O4" i="10"/>
  <c r="O10" i="4"/>
  <c r="N12" i="4"/>
  <c r="N11" i="4"/>
  <c r="AM12" i="2" l="1"/>
  <c r="AM13" i="2" s="1"/>
  <c r="AL39" i="2"/>
  <c r="AM14" i="2"/>
  <c r="AL37" i="2"/>
  <c r="AO32" i="2"/>
  <c r="AP32" i="2"/>
  <c r="AN30" i="2"/>
  <c r="AN28" i="2"/>
  <c r="AW6" i="11"/>
  <c r="AX4" i="11"/>
  <c r="AW5" i="11"/>
  <c r="O6" i="11"/>
  <c r="P4" i="11"/>
  <c r="P4" i="10"/>
  <c r="O5" i="10"/>
  <c r="O11" i="4"/>
  <c r="P10" i="4"/>
  <c r="O12" i="4"/>
  <c r="AM27" i="2" l="1"/>
  <c r="AM16" i="2"/>
  <c r="AN16" i="2" s="1"/>
  <c r="AN27" i="2"/>
  <c r="AM15" i="2"/>
  <c r="AN15" i="2" s="1"/>
  <c r="AN13" i="2"/>
  <c r="AN36" i="2" s="1"/>
  <c r="AM36" i="2"/>
  <c r="AN14" i="2"/>
  <c r="AM37" i="2"/>
  <c r="AP28" i="2"/>
  <c r="AO6" i="2"/>
  <c r="AO8" i="2" s="1"/>
  <c r="AO30" i="2"/>
  <c r="AP30" i="2"/>
  <c r="AO28" i="2"/>
  <c r="AY4" i="11"/>
  <c r="AX5" i="11"/>
  <c r="AX6" i="11"/>
  <c r="P6" i="11"/>
  <c r="Q4" i="11"/>
  <c r="Q4" i="10"/>
  <c r="P5" i="10"/>
  <c r="Q10" i="4"/>
  <c r="P11" i="4"/>
  <c r="P12" i="4"/>
  <c r="AM39" i="2" l="1"/>
  <c r="AM38" i="2"/>
  <c r="AO12" i="2"/>
  <c r="AO13" i="2" s="1"/>
  <c r="AO36" i="2" s="1"/>
  <c r="AO15" i="2"/>
  <c r="AN38" i="2"/>
  <c r="AO16" i="2"/>
  <c r="AN39" i="2"/>
  <c r="AO14" i="2"/>
  <c r="AN37" i="2"/>
  <c r="AP6" i="2"/>
  <c r="AP8" i="2" s="1"/>
  <c r="AY5" i="11"/>
  <c r="AZ4" i="11"/>
  <c r="AY6" i="11"/>
  <c r="Q6" i="11"/>
  <c r="Q5" i="11"/>
  <c r="R4" i="11"/>
  <c r="Q5" i="10"/>
  <c r="R4" i="10"/>
  <c r="R10" i="4"/>
  <c r="Q12" i="4"/>
  <c r="Q11" i="4"/>
  <c r="AO27" i="2" l="1"/>
  <c r="AP12" i="2"/>
  <c r="AP27" i="2" s="1"/>
  <c r="AO39" i="2"/>
  <c r="AP15" i="2"/>
  <c r="AP38" i="2" s="1"/>
  <c r="AO38" i="2"/>
  <c r="AP14" i="2"/>
  <c r="AP37" i="2" s="1"/>
  <c r="AO37" i="2"/>
  <c r="AZ5" i="11"/>
  <c r="AZ6" i="11"/>
  <c r="BA4" i="11"/>
  <c r="R5" i="11"/>
  <c r="S4" i="11"/>
  <c r="R6" i="11"/>
  <c r="S4" i="10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R5" i="10"/>
  <c r="C13" i="10" s="1"/>
  <c r="P8" i="3" s="1"/>
  <c r="Q8" i="3" s="1"/>
  <c r="S10" i="4"/>
  <c r="R12" i="4"/>
  <c r="R11" i="4"/>
  <c r="AP16" i="2" l="1"/>
  <c r="AP39" i="2" s="1"/>
  <c r="AP13" i="2"/>
  <c r="AP36" i="2" s="1"/>
  <c r="BA5" i="11"/>
  <c r="BA6" i="11"/>
  <c r="BB4" i="11"/>
  <c r="T4" i="11"/>
  <c r="S6" i="11"/>
  <c r="S5" i="11"/>
  <c r="T10" i="4"/>
  <c r="S12" i="4"/>
  <c r="S11" i="4"/>
  <c r="BC4" i="11" l="1"/>
  <c r="BB6" i="11"/>
  <c r="BB5" i="11"/>
  <c r="U4" i="11"/>
  <c r="T6" i="11"/>
  <c r="T5" i="11"/>
  <c r="U10" i="4"/>
  <c r="T11" i="4"/>
  <c r="T12" i="4"/>
  <c r="BD4" i="11" l="1"/>
  <c r="BC6" i="11"/>
  <c r="BC5" i="11"/>
  <c r="V4" i="11"/>
  <c r="U6" i="11"/>
  <c r="U5" i="11"/>
  <c r="V10" i="4"/>
  <c r="U11" i="4"/>
  <c r="U12" i="4"/>
  <c r="BE4" i="11" l="1"/>
  <c r="BD6" i="11"/>
  <c r="BD5" i="11"/>
  <c r="W4" i="11"/>
  <c r="V6" i="11"/>
  <c r="V5" i="11"/>
  <c r="W10" i="4"/>
  <c r="V12" i="4"/>
  <c r="V11" i="4"/>
  <c r="BE6" i="11" l="1"/>
  <c r="BE5" i="11"/>
  <c r="X4" i="11"/>
  <c r="W6" i="11"/>
  <c r="W5" i="11"/>
  <c r="X10" i="4"/>
  <c r="W12" i="4"/>
  <c r="W11" i="4"/>
  <c r="X6" i="11" l="1"/>
  <c r="Y4" i="11"/>
  <c r="X5" i="11"/>
  <c r="Y10" i="4"/>
  <c r="X11" i="4"/>
  <c r="X12" i="4"/>
  <c r="Y6" i="11" l="1"/>
  <c r="Y5" i="11"/>
  <c r="Z4" i="11"/>
  <c r="Y12" i="4"/>
  <c r="Z10" i="4"/>
  <c r="Y11" i="4"/>
  <c r="Z5" i="11" l="1"/>
  <c r="Z6" i="11"/>
  <c r="AA4" i="11"/>
  <c r="AA10" i="4"/>
  <c r="Z12" i="4"/>
  <c r="Z11" i="4"/>
  <c r="AB4" i="11" l="1"/>
  <c r="AA6" i="11"/>
  <c r="AA5" i="11"/>
  <c r="AB10" i="4"/>
  <c r="AA12" i="4"/>
  <c r="AA11" i="4"/>
  <c r="AC4" i="11" l="1"/>
  <c r="AB6" i="11"/>
  <c r="AB5" i="11"/>
  <c r="AC10" i="4"/>
  <c r="AD10" i="4" s="1"/>
  <c r="AE10" i="4" s="1"/>
  <c r="AF10" i="4" s="1"/>
  <c r="AB12" i="4"/>
  <c r="D15" i="4" s="1"/>
  <c r="AB11" i="4"/>
  <c r="F14" i="4" l="1"/>
  <c r="D14" i="4"/>
  <c r="D18" i="4" s="1"/>
  <c r="AD4" i="11"/>
  <c r="AC6" i="11"/>
  <c r="AC5" i="11"/>
  <c r="AE4" i="11" l="1"/>
  <c r="AD6" i="11"/>
  <c r="AD5" i="11"/>
  <c r="AE6" i="11" l="1"/>
  <c r="AF4" i="11"/>
  <c r="AE5" i="11"/>
  <c r="AF6" i="11" l="1"/>
  <c r="AG4" i="11"/>
  <c r="AF5" i="11"/>
  <c r="AG6" i="11" l="1"/>
  <c r="AG5" i="11"/>
  <c r="AH4" i="11"/>
  <c r="AH5" i="11" l="1"/>
  <c r="AI4" i="11"/>
  <c r="AH6" i="11"/>
  <c r="AJ4" i="11" l="1"/>
  <c r="AI6" i="11"/>
  <c r="AI5" i="11"/>
  <c r="AK4" i="11" l="1"/>
  <c r="AJ6" i="11"/>
  <c r="AJ5" i="11"/>
  <c r="AK6" i="11" l="1"/>
  <c r="AK5" i="11"/>
  <c r="C13" i="11" s="1"/>
  <c r="P9" i="3" s="1"/>
  <c r="Q9" i="3" s="1"/>
  <c r="AG42" i="2" l="1"/>
  <c r="N13" i="2"/>
  <c r="AF42" i="2"/>
  <c r="Q87" i="2" l="1"/>
  <c r="N34" i="2"/>
  <c r="N42" i="2"/>
  <c r="O87" i="2"/>
  <c r="P87" i="2"/>
  <c r="N87" i="2"/>
  <c r="N88" i="2"/>
  <c r="AH42" i="2"/>
  <c r="AI42" i="2" l="1"/>
  <c r="AK42" i="2" l="1"/>
  <c r="AL42" i="2" l="1"/>
  <c r="AM42" i="2" l="1"/>
  <c r="AN42" i="2" l="1"/>
  <c r="AP42" i="2" l="1"/>
  <c r="AO42" i="2"/>
  <c r="AF18" i="2" l="1"/>
  <c r="N18" i="2" s="1"/>
  <c r="AG18" i="2"/>
  <c r="AG19" i="2" s="1"/>
  <c r="AG43" i="2" s="1"/>
  <c r="AF19" i="2" l="1"/>
  <c r="AH18" i="2"/>
  <c r="AH19" i="2" s="1"/>
  <c r="AH43" i="2" s="1"/>
  <c r="AG21" i="2"/>
  <c r="N19" i="2" l="1"/>
  <c r="N43" i="2" s="1"/>
  <c r="AF43" i="2"/>
  <c r="AF21" i="2"/>
  <c r="N21" i="2" s="1"/>
  <c r="AF23" i="2"/>
  <c r="AG23" i="2"/>
  <c r="AI18" i="2"/>
  <c r="AI19" i="2" s="1"/>
  <c r="AI43" i="2" s="1"/>
  <c r="AG44" i="2" l="1"/>
  <c r="AG49" i="2"/>
  <c r="AH20" i="2" s="1"/>
  <c r="AH21" i="2" s="1"/>
  <c r="N23" i="2"/>
  <c r="AF44" i="2"/>
  <c r="AG25" i="2"/>
  <c r="N99" i="2"/>
  <c r="N104" i="2" s="1"/>
  <c r="P85" i="2"/>
  <c r="AF25" i="2"/>
  <c r="AJ18" i="2"/>
  <c r="AJ19" i="2" s="1"/>
  <c r="AH22" i="2" l="1"/>
  <c r="AH23" i="2" s="1"/>
  <c r="AT34" i="2" s="1"/>
  <c r="P104" i="2"/>
  <c r="Q104" i="2"/>
  <c r="AJ43" i="2"/>
  <c r="O104" i="2"/>
  <c r="Q85" i="2"/>
  <c r="N44" i="2"/>
  <c r="AH25" i="2"/>
  <c r="AI25" i="2" s="1"/>
  <c r="AJ25" i="2" s="1"/>
  <c r="AK25" i="2" s="1"/>
  <c r="AL25" i="2" s="1"/>
  <c r="AM25" i="2" s="1"/>
  <c r="AN25" i="2" s="1"/>
  <c r="AO25" i="2" s="1"/>
  <c r="AP25" i="2" s="1"/>
  <c r="AK18" i="2"/>
  <c r="AK19" i="2" s="1"/>
  <c r="AH49" i="2" l="1"/>
  <c r="AH44" i="2"/>
  <c r="AK43" i="2"/>
  <c r="AH24" i="2"/>
  <c r="AL18" i="2"/>
  <c r="AL19" i="2" s="1"/>
  <c r="AI20" i="2" l="1"/>
  <c r="AI21" i="2" s="1"/>
  <c r="AL43" i="2"/>
  <c r="AM18" i="2"/>
  <c r="AM19" i="2" s="1"/>
  <c r="AI22" i="2" l="1"/>
  <c r="AI23" i="2" s="1"/>
  <c r="AT35" i="2" s="1"/>
  <c r="AM43" i="2"/>
  <c r="AN18" i="2"/>
  <c r="AN19" i="2" s="1"/>
  <c r="AI24" i="2" l="1"/>
  <c r="AI44" i="2"/>
  <c r="AI49" i="2"/>
  <c r="AN43" i="2"/>
  <c r="AO18" i="2"/>
  <c r="AO19" i="2" s="1"/>
  <c r="AP18" i="2"/>
  <c r="AP19" i="2" s="1"/>
  <c r="AJ20" i="2" l="1"/>
  <c r="AJ21" i="2" s="1"/>
  <c r="AO43" i="2"/>
  <c r="AP43" i="2"/>
  <c r="AJ22" i="2" l="1"/>
  <c r="AJ23" i="2" s="1"/>
  <c r="AJ24" i="2" l="1"/>
  <c r="AJ44" i="2"/>
  <c r="AJ49" i="2"/>
  <c r="AK20" i="2" l="1"/>
  <c r="AK21" i="2" s="1"/>
  <c r="AK22" i="2" l="1"/>
  <c r="AK23" i="2" s="1"/>
  <c r="AK24" i="2" l="1"/>
  <c r="AK44" i="2"/>
  <c r="AK49" i="2"/>
  <c r="AL20" i="2" l="1"/>
  <c r="AL21" i="2" s="1"/>
  <c r="AL22" i="2" l="1"/>
  <c r="AL23" i="2" s="1"/>
  <c r="AL24" i="2" l="1"/>
  <c r="AL44" i="2"/>
  <c r="AL49" i="2"/>
  <c r="AM20" i="2" l="1"/>
  <c r="AM21" i="2" s="1"/>
  <c r="AM22" i="2" l="1"/>
  <c r="AM23" i="2" s="1"/>
  <c r="AM44" i="2" l="1"/>
  <c r="AM24" i="2"/>
  <c r="AM49" i="2"/>
  <c r="AN20" i="2" l="1"/>
  <c r="AN21" i="2" s="1"/>
  <c r="AN22" i="2" l="1"/>
  <c r="AN23" i="2" s="1"/>
  <c r="AN24" i="2" l="1"/>
  <c r="AN44" i="2"/>
  <c r="AN49" i="2"/>
  <c r="AO20" i="2" l="1"/>
  <c r="AO21" i="2" s="1"/>
  <c r="AO22" i="2" l="1"/>
  <c r="AO23" i="2" s="1"/>
  <c r="AO44" i="2" l="1"/>
  <c r="AO24" i="2"/>
  <c r="AO49" i="2"/>
  <c r="AP20" i="2" s="1"/>
  <c r="AP21" i="2" s="1"/>
  <c r="AP22" i="2" l="1"/>
  <c r="AP23" i="2" s="1"/>
  <c r="AP49" i="2" l="1"/>
  <c r="AP24" i="2"/>
  <c r="AP44" i="2"/>
  <c r="AR23" i="2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EG23" i="2" s="1"/>
  <c r="EH23" i="2" s="1"/>
  <c r="EI23" i="2" s="1"/>
  <c r="EJ23" i="2" s="1"/>
  <c r="EK23" i="2" s="1"/>
  <c r="EL23" i="2" s="1"/>
  <c r="EM23" i="2" s="1"/>
  <c r="EN23" i="2" s="1"/>
  <c r="EO23" i="2" s="1"/>
  <c r="EP23" i="2" s="1"/>
  <c r="EQ23" i="2" s="1"/>
  <c r="ER23" i="2" s="1"/>
  <c r="ES23" i="2" s="1"/>
  <c r="ET23" i="2" s="1"/>
  <c r="EU23" i="2" s="1"/>
  <c r="EV23" i="2" s="1"/>
  <c r="EW23" i="2" s="1"/>
  <c r="AT29" i="2" s="1"/>
  <c r="AT30" i="2" s="1"/>
  <c r="AT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C15" authorId="0" shapeId="0" xr:uid="{85CAED06-C5A6-E34C-86BC-CF63BE4B306C}">
      <text>
        <r>
          <rPr>
            <b/>
            <sz val="10"/>
            <color rgb="FF000000"/>
            <rFont val="Tahoma"/>
            <family val="2"/>
          </rPr>
          <t xml:space="preserve">Brannon, Jameel A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-- Google CloudAbility to build, test, and deploy apps
</t>
        </r>
        <r>
          <rPr>
            <sz val="10"/>
            <color rgb="FF000000"/>
            <rFont val="Tahoma"/>
            <family val="2"/>
          </rPr>
          <t>--  Google workspace (gmail, docs, drive, calendars,meet)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  <author>tc={43D2A2F1-DF48-3A41-8BE4-780E53F3AD76}</author>
    <author>tc={095DA345-A7DC-F448-BF57-A20C529C5DC0}</author>
    <author>Brannon, Jameel A.</author>
    <author>tc={CB4BF119-6AD3-324E-9D21-BC2E5117FA79}</author>
  </authors>
  <commentList>
    <comment ref="P3" authorId="0" shapeId="0" xr:uid="{90A237D3-0968-8641-9048-CE70DCC8FE2F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increases in search queries</t>
        </r>
      </text>
    </comment>
    <comment ref="Q3" authorId="1" shapeId="0" xr:uid="{43D2A2F1-DF48-3A41-8BE4-780E53F3AD7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Led by growth retail </t>
      </text>
    </comment>
    <comment ref="P4" authorId="0" shapeId="0" xr:uid="{FC59D8C5-13FC-294F-AA28-B81E9EC203D9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growth driven by brand ads</t>
        </r>
      </text>
    </comment>
    <comment ref="Q4" authorId="2" shapeId="0" xr:uid="{095DA345-A7DC-F448-BF57-A20C529C5DC0}">
      <text>
        <t>[Threaded comment]
Your version of Excel allows you to read this threaded comment; however, any edits to it will get removed if the file is opened in a newer version of Excel. Learn more: https://go.microsoft.com/fwlink/?linkid=870924
Comment:
    Driven by brand ads and direct response</t>
      </text>
    </comment>
    <comment ref="P5" authorId="0" shapeId="0" xr:uid="{A275CF27-6E68-8D49-9A48-2A8261C0ECC1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decreases driven by google ad sense  &amp; google ad manager </t>
        </r>
      </text>
    </comment>
    <comment ref="B7" authorId="3" shapeId="0" xr:uid="{844F5E67-A109-1B49-8D33-752D71A15BD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Apps, in app purchases, google cloud, hardware</t>
        </r>
      </text>
    </comment>
    <comment ref="P7" authorId="0" shapeId="0" xr:uid="{5068BA39-533B-354B-A051-C8FC1E289E88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increase in paid yt subcribers, growth in hardware</t>
        </r>
      </text>
    </comment>
    <comment ref="Q7" authorId="4" shapeId="0" xr:uid="{CB4BF119-6AD3-324E-9D21-BC2E5117FA79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Youtbe non-ad revenue, YouTub tv + YouTube music</t>
      </text>
    </comment>
    <comment ref="P9" authorId="0" shapeId="0" xr:uid="{5535DEF6-EC8E-4F4F-AD5D-4BC7E5C5D509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cloud infrastructure</t>
        </r>
      </text>
    </comment>
    <comment ref="B10" authorId="3" shapeId="0" xr:uid="{AC728D41-B92D-8740-9160-612EF80B1CE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Internet/TV Services</t>
        </r>
      </text>
    </comment>
    <comment ref="P34" authorId="0" shapeId="0" xr:uid="{32780B0D-8121-CB4E-83B0-B51A3462BEBA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driven by content acq cost </t>
        </r>
      </text>
    </comment>
  </commentList>
</comments>
</file>

<file path=xl/sharedStrings.xml><?xml version="1.0" encoding="utf-8"?>
<sst xmlns="http://schemas.openxmlformats.org/spreadsheetml/2006/main" count="305" uniqueCount="231">
  <si>
    <t>Price</t>
  </si>
  <si>
    <t>Shares</t>
  </si>
  <si>
    <t>MC</t>
  </si>
  <si>
    <t>Cash</t>
  </si>
  <si>
    <t>Debt</t>
  </si>
  <si>
    <t>EV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</si>
  <si>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</si>
  <si>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</si>
  <si>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</si>
  <si>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</si>
  <si>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</si>
  <si>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</si>
  <si>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</si>
  <si>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</si>
  <si>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</si>
  <si>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</si>
  <si>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</si>
  <si>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</si>
  <si>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Revenues</t>
  </si>
  <si>
    <t>Costs</t>
  </si>
  <si>
    <t>R&amp;D</t>
  </si>
  <si>
    <t>S&amp;M</t>
  </si>
  <si>
    <t>G&amp;A</t>
  </si>
  <si>
    <t>TC + E</t>
  </si>
  <si>
    <t>Op Income</t>
  </si>
  <si>
    <t>Other income</t>
  </si>
  <si>
    <t>EBT</t>
  </si>
  <si>
    <t>Taxes</t>
  </si>
  <si>
    <t>Net Income</t>
  </si>
  <si>
    <t>Eps</t>
  </si>
  <si>
    <t>Diluted</t>
  </si>
  <si>
    <t>Rev-G y/y</t>
  </si>
  <si>
    <t>Google Search</t>
  </si>
  <si>
    <t>Google Network</t>
  </si>
  <si>
    <t>Google other</t>
  </si>
  <si>
    <t>Google Cloud</t>
  </si>
  <si>
    <t>Other Bets</t>
  </si>
  <si>
    <t>Hedging Gains</t>
  </si>
  <si>
    <t>Google Search y/y</t>
  </si>
  <si>
    <t>Youtube Ads y/y</t>
  </si>
  <si>
    <t>Google Network y/y</t>
  </si>
  <si>
    <t>Google Other y/y</t>
  </si>
  <si>
    <t>GM %</t>
  </si>
  <si>
    <t>Terminal</t>
  </si>
  <si>
    <t>Discount</t>
  </si>
  <si>
    <t>NPV</t>
  </si>
  <si>
    <t>Estimate</t>
  </si>
  <si>
    <t>Current</t>
  </si>
  <si>
    <t>Upside</t>
  </si>
  <si>
    <t>Money?</t>
  </si>
  <si>
    <t>Performance Ads</t>
  </si>
  <si>
    <t>Brand Ads</t>
  </si>
  <si>
    <t>Google Play</t>
  </si>
  <si>
    <t>Hardware</t>
  </si>
  <si>
    <t>Youtube non Ads</t>
  </si>
  <si>
    <t>Ads users click on</t>
  </si>
  <si>
    <t>Enhance awareness</t>
  </si>
  <si>
    <t>App/in app purchases</t>
  </si>
  <si>
    <t>Fitbit, Nest, Pixel</t>
  </si>
  <si>
    <t>Premium, YT TV</t>
  </si>
  <si>
    <t>Infrastructure, platform</t>
  </si>
  <si>
    <t>Google Workspace</t>
  </si>
  <si>
    <t>Enterprise tools Gmail, Docs, Calendar, meet</t>
  </si>
  <si>
    <t>Venture Capital Bets</t>
  </si>
  <si>
    <t>How?</t>
  </si>
  <si>
    <t>Comp</t>
  </si>
  <si>
    <t>Who?</t>
  </si>
  <si>
    <t>Gen purpose search engine</t>
  </si>
  <si>
    <t>Verticle search engines</t>
  </si>
  <si>
    <t>Social Networks</t>
  </si>
  <si>
    <t>Baidu, MSFT Bing, Naver, Seznam, Yahoo, Yandex</t>
  </si>
  <si>
    <t>AMZN, Ebay, Kayak,MSFT Linkedin. WebMD</t>
  </si>
  <si>
    <t>ByteDance, Meta, Snap, TWTR</t>
  </si>
  <si>
    <t>Other Ad platforms</t>
  </si>
  <si>
    <t>AMZN, AppNexus,Criteo, Meta</t>
  </si>
  <si>
    <t>Design</t>
  </si>
  <si>
    <t>AMZN, AAPL, MSFT</t>
  </si>
  <si>
    <t>Providers of Enterprise Software</t>
  </si>
  <si>
    <t>Alibaba, AMZN, MSFT, Salesforce</t>
  </si>
  <si>
    <t>Digital Video Services</t>
  </si>
  <si>
    <t>AMZN, AAPL, AT&amp;T, ByteDance, Disney, Hulu, Meta, NFLX</t>
  </si>
  <si>
    <t>Digital Assistant</t>
  </si>
  <si>
    <t>AMZN, AAPL</t>
  </si>
  <si>
    <t>Other digital content</t>
  </si>
  <si>
    <t>Workspace Conn</t>
  </si>
  <si>
    <t>Meta, MSFT, Salesforce, ZOOM</t>
  </si>
  <si>
    <t xml:space="preserve">Cash </t>
  </si>
  <si>
    <t xml:space="preserve">Total Cash </t>
  </si>
  <si>
    <t>A/R</t>
  </si>
  <si>
    <t>Income tax recievables</t>
  </si>
  <si>
    <t>Inventory</t>
  </si>
  <si>
    <t>OCA</t>
  </si>
  <si>
    <t xml:space="preserve">Current Assets </t>
  </si>
  <si>
    <t>MS</t>
  </si>
  <si>
    <t>NMS</t>
  </si>
  <si>
    <t>Deferred income taxes</t>
  </si>
  <si>
    <t>PPE</t>
  </si>
  <si>
    <t>Op lease</t>
  </si>
  <si>
    <t>Intangible assets</t>
  </si>
  <si>
    <t>Goodwill</t>
  </si>
  <si>
    <t>ONA</t>
  </si>
  <si>
    <t xml:space="preserve">Total Assets </t>
  </si>
  <si>
    <t>A/P</t>
  </si>
  <si>
    <t>Accrued comp/benefits</t>
  </si>
  <si>
    <t>Accrued exp &amp; ocl</t>
  </si>
  <si>
    <t>Accrued revenue share</t>
  </si>
  <si>
    <t>Deferred revenue</t>
  </si>
  <si>
    <t>Income taxes payable</t>
  </si>
  <si>
    <t>Current Liabilities</t>
  </si>
  <si>
    <t>LTD</t>
  </si>
  <si>
    <t xml:space="preserve">Other long term </t>
  </si>
  <si>
    <t xml:space="preserve">Total Liabilities </t>
  </si>
  <si>
    <t>Preferred</t>
  </si>
  <si>
    <t>Class A, B, C</t>
  </si>
  <si>
    <t>Accumalated</t>
  </si>
  <si>
    <t>Retained earnings</t>
  </si>
  <si>
    <t>Equity</t>
  </si>
  <si>
    <t>TL + E</t>
  </si>
  <si>
    <t>ROE</t>
  </si>
  <si>
    <t>7/15/22 20 for one split</t>
  </si>
  <si>
    <t>CFFO</t>
  </si>
  <si>
    <t>Capex</t>
  </si>
  <si>
    <t>FCF</t>
  </si>
  <si>
    <t>SBC</t>
  </si>
  <si>
    <t>FCF - SBC</t>
  </si>
  <si>
    <t>PR</t>
  </si>
  <si>
    <t>Q2'22</t>
  </si>
  <si>
    <t>CEO</t>
  </si>
  <si>
    <t>Sundar Pichai</t>
  </si>
  <si>
    <t>Founder</t>
  </si>
  <si>
    <t>Larry Page / Sergey Brin</t>
  </si>
  <si>
    <t>CFO</t>
  </si>
  <si>
    <t>Ruth Porat</t>
  </si>
  <si>
    <t>Q1'22</t>
  </si>
  <si>
    <t>Symbol</t>
  </si>
  <si>
    <t>Callable</t>
  </si>
  <si>
    <t>Sub-Product Type</t>
  </si>
  <si>
    <t>Coupon</t>
  </si>
  <si>
    <t>Maturity</t>
  </si>
  <si>
    <t>Years</t>
  </si>
  <si>
    <t>Size</t>
  </si>
  <si>
    <t>Description</t>
  </si>
  <si>
    <t>GOOG4358366</t>
  </si>
  <si>
    <t>Yes</t>
  </si>
  <si>
    <t>Yield</t>
  </si>
  <si>
    <t>Cusip</t>
  </si>
  <si>
    <t>02079KAB3</t>
  </si>
  <si>
    <t>Corporate Bond</t>
  </si>
  <si>
    <t>P/D</t>
  </si>
  <si>
    <t>Semi</t>
  </si>
  <si>
    <t>Pay</t>
  </si>
  <si>
    <t xml:space="preserve">Bond Value </t>
  </si>
  <si>
    <t>PV i</t>
  </si>
  <si>
    <t>PV FV</t>
  </si>
  <si>
    <t>Semiannual payments</t>
  </si>
  <si>
    <t>semianual discount rate</t>
  </si>
  <si>
    <t># of payments</t>
  </si>
  <si>
    <t>FV</t>
  </si>
  <si>
    <t>Payments</t>
  </si>
  <si>
    <t>Cash flow</t>
  </si>
  <si>
    <t>semi annual coupon</t>
  </si>
  <si>
    <t>semi disc</t>
  </si>
  <si>
    <t>semi annu disc</t>
  </si>
  <si>
    <t>Cashflow</t>
  </si>
  <si>
    <t>Year to mat</t>
  </si>
  <si>
    <t>YTM</t>
  </si>
  <si>
    <t>annual i</t>
  </si>
  <si>
    <t>semi coupon</t>
  </si>
  <si>
    <t>Delta</t>
  </si>
  <si>
    <t>GOOG4390254</t>
  </si>
  <si>
    <t>02079KAC1</t>
  </si>
  <si>
    <t>Senior</t>
  </si>
  <si>
    <t>GOOG5025299</t>
  </si>
  <si>
    <t>02079KAH0</t>
  </si>
  <si>
    <t>GOOG5025300</t>
  </si>
  <si>
    <t>02079KAJ6</t>
  </si>
  <si>
    <t>GOOG5025306</t>
  </si>
  <si>
    <t>02079KAD9</t>
  </si>
  <si>
    <t>GOOG5025303</t>
  </si>
  <si>
    <t>GOOG5025304</t>
  </si>
  <si>
    <t>02079KAE7</t>
  </si>
  <si>
    <t>Semiannual Payments</t>
  </si>
  <si>
    <t>Semiannual Discount</t>
  </si>
  <si>
    <t># of Payments</t>
  </si>
  <si>
    <t xml:space="preserve">Senior </t>
  </si>
  <si>
    <t>02079KAF4</t>
  </si>
  <si>
    <t>GOOG</t>
  </si>
  <si>
    <t>FCF - SBC - Depr.</t>
  </si>
  <si>
    <t>4Q FCF</t>
  </si>
  <si>
    <t>4Q NI</t>
  </si>
  <si>
    <t>4Q FCF - SBC</t>
  </si>
  <si>
    <t>Heads</t>
  </si>
  <si>
    <t xml:space="preserve">y/y change </t>
  </si>
  <si>
    <t>q/q change</t>
  </si>
  <si>
    <t xml:space="preserve">4Q Revenue Lead </t>
  </si>
  <si>
    <t>RPR, Q</t>
  </si>
  <si>
    <t>RPH, per/annum</t>
  </si>
  <si>
    <t>Q3'22</t>
  </si>
  <si>
    <t>Youtube Ads</t>
  </si>
  <si>
    <t>Q123</t>
  </si>
  <si>
    <t>Q223</t>
  </si>
  <si>
    <t>Q323</t>
  </si>
  <si>
    <t>Q423</t>
  </si>
  <si>
    <t>https://www.youtube.com/watch?v=76CVRgZUfps</t>
  </si>
  <si>
    <t>Link</t>
  </si>
  <si>
    <t>2PM,</t>
  </si>
  <si>
    <t>`</t>
  </si>
  <si>
    <t xml:space="preserve">Google Services </t>
  </si>
  <si>
    <t xml:space="preserve">Google Advertising </t>
  </si>
  <si>
    <t>DSO</t>
  </si>
  <si>
    <t xml:space="preserve">Inv Turn </t>
  </si>
  <si>
    <t xml:space="preserve">DPO </t>
  </si>
  <si>
    <t xml:space="preserve">NI </t>
  </si>
  <si>
    <t>TC</t>
  </si>
  <si>
    <t>https://abc.xyz/2023-q2-earnings-call/</t>
  </si>
  <si>
    <t>Google Cloud y/y</t>
  </si>
  <si>
    <t>4w t bill</t>
  </si>
  <si>
    <t xml:space="preserve">risk free </t>
  </si>
  <si>
    <t xml:space="preserve">8w </t>
  </si>
  <si>
    <t>EV/2024E</t>
  </si>
  <si>
    <t>WS</t>
  </si>
  <si>
    <t>$M</t>
  </si>
  <si>
    <t>NM%</t>
  </si>
  <si>
    <t>OM%</t>
  </si>
  <si>
    <t>% Revenue</t>
  </si>
  <si>
    <t>ROIC</t>
  </si>
  <si>
    <t>EV/2025E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</si>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</sst>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%"/>
    <numFmt numFmtId="165" formatCode="#,##0.0"/>
    <numFmt numFmtId="166" formatCode="#,##0.000"/>
    <numFmt numFmtId="167" formatCode="#\ ?/2"/>
    <numFmt numFmtId="168" formatCode="_(* #,##0.0_);_(* \(#,##0.0\);_(* &quot;-&quot;??_);_(@_)"/>
    <numFmt numFmtId="169" formatCode="0\x"/>
    <numFmt numFmtId="170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Intel Clear"/>
      <family val="2"/>
    </font>
    <font>
      <sz val="11"/>
      <color theme="1"/>
      <name val="Intel Clear"/>
      <family val="2"/>
    </font>
    <font>
      <sz val="11"/>
      <color rgb="FF000000"/>
      <name val="Intel Clear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Intel Clear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Intel Clear"/>
      <family val="2"/>
    </font>
    <font>
      <sz val="10"/>
      <color rgb="FF000000"/>
      <name val="Intel Clear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Intel Clear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8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4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 applyAlignment="1">
      <alignment horizontal="left"/>
    </xf>
    <xf numFmtId="9" fontId="1" fillId="0" borderId="0" xfId="0" applyNumberFormat="1" applyFont="1"/>
    <xf numFmtId="3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1" fillId="0" borderId="0" xfId="0" applyFont="1"/>
    <xf numFmtId="9" fontId="2" fillId="0" borderId="0" xfId="0" applyNumberFormat="1" applyFont="1" applyAlignment="1">
      <alignment horizontal="left"/>
    </xf>
    <xf numFmtId="0" fontId="7" fillId="0" borderId="0" xfId="2"/>
    <xf numFmtId="3" fontId="0" fillId="0" borderId="0" xfId="0" applyNumberFormat="1"/>
    <xf numFmtId="9" fontId="0" fillId="0" borderId="0" xfId="0" applyNumberFormat="1"/>
    <xf numFmtId="0" fontId="8" fillId="0" borderId="0" xfId="0" applyFont="1"/>
    <xf numFmtId="3" fontId="8" fillId="0" borderId="0" xfId="0" applyNumberFormat="1" applyFont="1"/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3" fontId="9" fillId="0" borderId="0" xfId="0" applyNumberFormat="1" applyFont="1"/>
    <xf numFmtId="165" fontId="0" fillId="0" borderId="0" xfId="0" applyNumberFormat="1"/>
    <xf numFmtId="166" fontId="0" fillId="0" borderId="0" xfId="0" applyNumberFormat="1"/>
    <xf numFmtId="9" fontId="8" fillId="0" borderId="0" xfId="1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7" fillId="0" borderId="0" xfId="2" applyAlignment="1">
      <alignment horizontal="center"/>
    </xf>
    <xf numFmtId="3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9" fontId="12" fillId="0" borderId="0" xfId="0" applyNumberFormat="1" applyFont="1"/>
    <xf numFmtId="3" fontId="12" fillId="0" borderId="0" xfId="0" applyNumberFormat="1" applyFont="1"/>
    <xf numFmtId="167" fontId="8" fillId="0" borderId="0" xfId="0" applyNumberFormat="1" applyFont="1" applyAlignment="1">
      <alignment horizontal="center"/>
    </xf>
    <xf numFmtId="43" fontId="8" fillId="0" borderId="0" xfId="3" applyFont="1" applyAlignment="1">
      <alignment horizontal="center"/>
    </xf>
    <xf numFmtId="168" fontId="8" fillId="0" borderId="0" xfId="3" applyNumberFormat="1" applyFont="1" applyAlignment="1">
      <alignment horizontal="center"/>
    </xf>
    <xf numFmtId="10" fontId="8" fillId="0" borderId="0" xfId="1" applyNumberFormat="1" applyFont="1" applyAlignment="1">
      <alignment horizontal="center"/>
    </xf>
    <xf numFmtId="43" fontId="12" fillId="0" borderId="0" xfId="0" applyNumberFormat="1" applyFont="1"/>
    <xf numFmtId="9" fontId="0" fillId="0" borderId="0" xfId="1" applyFont="1"/>
    <xf numFmtId="165" fontId="1" fillId="0" borderId="0" xfId="0" applyNumberFormat="1" applyFont="1" applyAlignment="1">
      <alignment horizontal="left"/>
    </xf>
    <xf numFmtId="165" fontId="1" fillId="0" borderId="0" xfId="0" applyNumberFormat="1" applyFont="1"/>
    <xf numFmtId="4" fontId="1" fillId="0" borderId="0" xfId="0" applyNumberFormat="1" applyFont="1"/>
    <xf numFmtId="165" fontId="2" fillId="0" borderId="0" xfId="0" applyNumberFormat="1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2" fontId="2" fillId="0" borderId="0" xfId="0" applyNumberFormat="1" applyFont="1" applyAlignment="1">
      <alignment horizontal="left"/>
    </xf>
    <xf numFmtId="2" fontId="2" fillId="0" borderId="0" xfId="0" applyNumberFormat="1" applyFont="1"/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/>
    <xf numFmtId="3" fontId="2" fillId="2" borderId="0" xfId="0" applyNumberFormat="1" applyFont="1" applyFill="1"/>
    <xf numFmtId="169" fontId="2" fillId="0" borderId="0" xfId="0" applyNumberFormat="1" applyFont="1"/>
    <xf numFmtId="3" fontId="13" fillId="0" borderId="0" xfId="0" applyNumberFormat="1" applyFont="1" applyAlignment="1">
      <alignment horizontal="center"/>
    </xf>
    <xf numFmtId="10" fontId="1" fillId="0" borderId="0" xfId="0" applyNumberFormat="1" applyFont="1"/>
    <xf numFmtId="10" fontId="2" fillId="0" borderId="0" xfId="0" applyNumberFormat="1" applyFont="1"/>
    <xf numFmtId="0" fontId="2" fillId="0" borderId="0" xfId="0" quotePrefix="1" applyFont="1"/>
    <xf numFmtId="9" fontId="2" fillId="0" borderId="0" xfId="0" applyNumberFormat="1" applyFont="1" applyAlignment="1">
      <alignment horizontal="center"/>
    </xf>
    <xf numFmtId="3" fontId="1" fillId="0" borderId="2" xfId="0" applyNumberFormat="1" applyFont="1" applyBorder="1" applyAlignment="1">
      <alignment horizontal="left"/>
    </xf>
    <xf numFmtId="3" fontId="2" fillId="0" borderId="6" xfId="0" applyNumberFormat="1" applyFont="1" applyBorder="1"/>
    <xf numFmtId="9" fontId="2" fillId="0" borderId="6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 applyAlignment="1">
      <alignment horizontal="left"/>
    </xf>
    <xf numFmtId="9" fontId="3" fillId="0" borderId="0" xfId="0" applyNumberFormat="1" applyFont="1"/>
    <xf numFmtId="3" fontId="2" fillId="0" borderId="5" xfId="0" applyNumberFormat="1" applyFont="1" applyBorder="1" applyAlignment="1">
      <alignment horizontal="left"/>
    </xf>
    <xf numFmtId="9" fontId="3" fillId="0" borderId="7" xfId="0" applyNumberFormat="1" applyFont="1" applyBorder="1"/>
    <xf numFmtId="9" fontId="2" fillId="0" borderId="7" xfId="0" applyNumberFormat="1" applyFont="1" applyBorder="1"/>
    <xf numFmtId="3" fontId="2" fillId="0" borderId="7" xfId="0" applyNumberFormat="1" applyFont="1" applyBorder="1"/>
    <xf numFmtId="170" fontId="1" fillId="0" borderId="0" xfId="0" applyNumberFormat="1" applyFont="1"/>
    <xf numFmtId="3" fontId="2" fillId="0" borderId="8" xfId="0" applyNumberFormat="1" applyFont="1" applyBorder="1"/>
    <xf numFmtId="9" fontId="2" fillId="0" borderId="9" xfId="0" applyNumberFormat="1" applyFont="1" applyBorder="1"/>
    <xf numFmtId="9" fontId="1" fillId="0" borderId="10" xfId="0" applyNumberFormat="1" applyFont="1" applyBorder="1"/>
    <xf numFmtId="9" fontId="1" fillId="0" borderId="11" xfId="0" applyNumberFormat="1" applyFont="1" applyBorder="1"/>
    <xf numFmtId="3" fontId="2" fillId="0" borderId="10" xfId="0" applyNumberFormat="1" applyFont="1" applyBorder="1"/>
    <xf numFmtId="170" fontId="2" fillId="0" borderId="11" xfId="0" applyNumberFormat="1" applyFont="1" applyBorder="1"/>
    <xf numFmtId="3" fontId="2" fillId="0" borderId="11" xfId="0" applyNumberFormat="1" applyFont="1" applyBorder="1"/>
    <xf numFmtId="3" fontId="2" fillId="0" borderId="12" xfId="0" applyNumberFormat="1" applyFont="1" applyBorder="1"/>
    <xf numFmtId="9" fontId="2" fillId="0" borderId="13" xfId="0" applyNumberFormat="1" applyFont="1" applyBorder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3744</xdr:colOff>
      <xdr:row>0</xdr:row>
      <xdr:rowOff>0</xdr:rowOff>
    </xdr:from>
    <xdr:to>
      <xdr:col>18</xdr:col>
      <xdr:colOff>6768</xdr:colOff>
      <xdr:row>130</xdr:row>
      <xdr:rowOff>96762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EAA752-E461-F877-BCF6-43FA0F65A815}"/>
            </a:ext>
          </a:extLst>
        </xdr:cNvPr>
        <xdr:cNvCxnSpPr/>
      </xdr:nvCxnSpPr>
      <xdr:spPr>
        <a:xfrm>
          <a:off x="12303206" y="0"/>
          <a:ext cx="3024" cy="25516300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</xdr:colOff>
      <xdr:row>0</xdr:row>
      <xdr:rowOff>0</xdr:rowOff>
    </xdr:from>
    <xdr:to>
      <xdr:col>33</xdr:col>
      <xdr:colOff>15121</xdr:colOff>
      <xdr:row>66</xdr:row>
      <xdr:rowOff>113393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B009761-D93F-454B-915D-854A3677C195}"/>
            </a:ext>
          </a:extLst>
        </xdr:cNvPr>
        <xdr:cNvCxnSpPr/>
      </xdr:nvCxnSpPr>
      <xdr:spPr>
        <a:xfrm flipH="1">
          <a:off x="21355539" y="0"/>
          <a:ext cx="15120" cy="13028316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brannon" id="{100C1CEF-42FF-C448-AE6B-601447B435C2}" userId="jameelbrannon" providerId="Non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4-01-22T00:24:23.45" personId="{100C1CEF-42FF-C448-AE6B-601447B435C2}" id="{43D2A2F1-DF48-3A41-8BE4-780E53F3AD76}">
    <text xml:space="preserve">Led by growth retail </text>
  </threadedComment>
  <threadedComment ref="Q4" dT="2024-01-22T00:24:48.29" personId="{100C1CEF-42FF-C448-AE6B-601447B435C2}" id="{095DA345-A7DC-F448-BF57-A20C529C5DC0}">
    <text>Driven by brand ads and direct response</text>
  </threadedComment>
  <threadedComment ref="Q7" dT="2024-01-22T00:25:35.60" personId="{100C1CEF-42FF-C448-AE6B-601447B435C2}" id="{CB4BF119-6AD3-324E-9D21-BC2E5117FA79}">
    <text>Youtbe non-ad revenue, YouTub tv + YouTube music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AWRe3SGZFsU" TargetMode="External"/><Relationship Id="rId2" Type="http://schemas.openxmlformats.org/officeDocument/2006/relationships/hyperlink" Target="https://abc.xyz/investor/static/pdf/2022Q1_alphabet_earnings_release.pdf?cache=d9e9d97" TargetMode="External"/><Relationship Id="rId1" Type="http://schemas.openxmlformats.org/officeDocument/2006/relationships/hyperlink" Target="https://abc.xyz/investor/static/pdf/2022Q2_alphabet_earnings_release.pdf?cache=ed395cc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abc.xyz/investor/static/pdf/2022Q4_alphabet_earnings_release.pdf?cache=9de1a6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0"/>
  <sheetViews>
    <sheetView tabSelected="1" zoomScale="110" zoomScaleNormal="110" workbookViewId="0">
      <selection activeCell="H12" sqref="H12"/>
    </sheetView>
  </sheetViews>
  <sheetFormatPr baseColWidth="10" defaultColWidth="8.83203125" defaultRowHeight="15" x14ac:dyDescent="0.2"/>
  <cols>
    <col min="1" max="1" width="6.1640625" style="2" customWidth="1"/>
    <col min="2" max="2" width="8.83203125" style="2"/>
    <col min="3" max="3" width="28.83203125" style="2" bestFit="1" customWidth="1"/>
    <col min="4" max="4" width="38.83203125" style="2" bestFit="1" customWidth="1"/>
    <col min="5" max="10" width="8.83203125" style="2"/>
    <col min="11" max="11" width="13.5" style="2" bestFit="1" customWidth="1"/>
    <col min="12" max="12" width="10.33203125" style="2" bestFit="1" customWidth="1"/>
    <col min="13" max="16384" width="8.83203125" style="2"/>
  </cols>
  <sheetData>
    <row r="2" spans="2:13" x14ac:dyDescent="0.2">
      <c r="B2" s="2" t="s">
        <v>129</v>
      </c>
      <c r="C2" s="2" t="s">
        <v>130</v>
      </c>
    </row>
    <row r="3" spans="2:13" x14ac:dyDescent="0.2">
      <c r="B3" s="2" t="s">
        <v>127</v>
      </c>
      <c r="C3" s="2" t="s">
        <v>128</v>
      </c>
    </row>
    <row r="4" spans="2:13" x14ac:dyDescent="0.2">
      <c r="B4" s="2" t="s">
        <v>131</v>
      </c>
      <c r="C4" s="2" t="s">
        <v>132</v>
      </c>
      <c r="K4" s="16"/>
      <c r="L4" s="61"/>
    </row>
    <row r="5" spans="2:13" x14ac:dyDescent="0.2">
      <c r="C5" s="2" t="s">
        <v>119</v>
      </c>
    </row>
    <row r="6" spans="2:13" x14ac:dyDescent="0.2">
      <c r="K6" s="16" t="s">
        <v>221</v>
      </c>
      <c r="L6" s="6"/>
    </row>
    <row r="7" spans="2:13" x14ac:dyDescent="0.2">
      <c r="K7" s="1" t="s">
        <v>186</v>
      </c>
    </row>
    <row r="8" spans="2:13" x14ac:dyDescent="0.2">
      <c r="K8" s="2" t="s">
        <v>0</v>
      </c>
      <c r="L8" s="2">
        <v>150.22</v>
      </c>
    </row>
    <row r="9" spans="2:13" x14ac:dyDescent="0.2">
      <c r="C9" s="16" t="s">
        <v>49</v>
      </c>
      <c r="D9" s="16" t="s">
        <v>64</v>
      </c>
      <c r="K9" s="2" t="s">
        <v>1</v>
      </c>
      <c r="L9" s="3">
        <f>5893+869+5671</f>
        <v>12433</v>
      </c>
      <c r="M9" s="2" t="s">
        <v>202</v>
      </c>
    </row>
    <row r="10" spans="2:13" x14ac:dyDescent="0.2">
      <c r="C10" s="2" t="s">
        <v>50</v>
      </c>
      <c r="D10" s="2" t="s">
        <v>55</v>
      </c>
      <c r="K10" s="16" t="s">
        <v>2</v>
      </c>
      <c r="L10" s="10">
        <f>+L8*L9</f>
        <v>1867685.26</v>
      </c>
      <c r="M10" s="62"/>
    </row>
    <row r="11" spans="2:13" x14ac:dyDescent="0.2">
      <c r="C11" s="2" t="s">
        <v>51</v>
      </c>
      <c r="D11" s="2" t="s">
        <v>56</v>
      </c>
      <c r="K11" s="2" t="s">
        <v>3</v>
      </c>
      <c r="L11" s="3">
        <v>110916</v>
      </c>
      <c r="M11" s="2" t="str">
        <f>+M9</f>
        <v>Q423</v>
      </c>
    </row>
    <row r="12" spans="2:13" x14ac:dyDescent="0.2">
      <c r="C12" s="2" t="s">
        <v>52</v>
      </c>
      <c r="D12" s="2" t="s">
        <v>57</v>
      </c>
      <c r="K12" s="2" t="s">
        <v>4</v>
      </c>
      <c r="L12" s="3">
        <v>13253</v>
      </c>
      <c r="M12" s="2" t="str">
        <f>+M11</f>
        <v>Q423</v>
      </c>
    </row>
    <row r="13" spans="2:13" x14ac:dyDescent="0.2">
      <c r="C13" s="2" t="s">
        <v>53</v>
      </c>
      <c r="D13" s="2" t="s">
        <v>58</v>
      </c>
      <c r="K13" s="16" t="s">
        <v>5</v>
      </c>
      <c r="L13" s="10">
        <f>+L10-L11+L12</f>
        <v>1770022.26</v>
      </c>
    </row>
    <row r="14" spans="2:13" x14ac:dyDescent="0.2">
      <c r="C14" s="2" t="s">
        <v>54</v>
      </c>
      <c r="D14" s="2" t="s">
        <v>59</v>
      </c>
      <c r="L14" s="3"/>
    </row>
    <row r="15" spans="2:13" x14ac:dyDescent="0.2">
      <c r="C15" s="2" t="s">
        <v>35</v>
      </c>
      <c r="D15" s="2" t="s">
        <v>60</v>
      </c>
      <c r="L15" s="58"/>
    </row>
    <row r="16" spans="2:13" x14ac:dyDescent="0.2">
      <c r="C16" s="2" t="s">
        <v>61</v>
      </c>
      <c r="D16" s="2" t="s">
        <v>62</v>
      </c>
    </row>
    <row r="17" spans="3:4" x14ac:dyDescent="0.2">
      <c r="C17" s="2" t="s">
        <v>36</v>
      </c>
      <c r="D17" s="2" t="s">
        <v>63</v>
      </c>
    </row>
    <row r="18" spans="3:4" x14ac:dyDescent="0.2">
      <c r="D18" s="2" t="s">
        <v>206</v>
      </c>
    </row>
    <row r="20" spans="3:4" x14ac:dyDescent="0.2">
      <c r="C20" s="16" t="s">
        <v>65</v>
      </c>
      <c r="D20" s="16" t="s">
        <v>66</v>
      </c>
    </row>
    <row r="21" spans="3:4" x14ac:dyDescent="0.2">
      <c r="C21" s="2" t="s">
        <v>67</v>
      </c>
      <c r="D21" s="2" t="s">
        <v>70</v>
      </c>
    </row>
    <row r="22" spans="3:4" x14ac:dyDescent="0.2">
      <c r="C22" s="2" t="s">
        <v>68</v>
      </c>
      <c r="D22" s="2" t="s">
        <v>71</v>
      </c>
    </row>
    <row r="23" spans="3:4" x14ac:dyDescent="0.2">
      <c r="C23" s="2" t="s">
        <v>69</v>
      </c>
      <c r="D23" s="2" t="s">
        <v>72</v>
      </c>
    </row>
    <row r="24" spans="3:4" x14ac:dyDescent="0.2">
      <c r="C24" s="2" t="s">
        <v>73</v>
      </c>
      <c r="D24" s="2" t="s">
        <v>74</v>
      </c>
    </row>
    <row r="25" spans="3:4" x14ac:dyDescent="0.2">
      <c r="C25" s="2" t="s">
        <v>75</v>
      </c>
      <c r="D25" s="2" t="s">
        <v>76</v>
      </c>
    </row>
    <row r="26" spans="3:4" x14ac:dyDescent="0.2">
      <c r="C26" s="2" t="s">
        <v>81</v>
      </c>
      <c r="D26" s="2" t="s">
        <v>82</v>
      </c>
    </row>
    <row r="27" spans="3:4" x14ac:dyDescent="0.2">
      <c r="C27" s="2" t="s">
        <v>77</v>
      </c>
      <c r="D27" s="2" t="s">
        <v>78</v>
      </c>
    </row>
    <row r="28" spans="3:4" x14ac:dyDescent="0.2">
      <c r="C28" s="2" t="s">
        <v>79</v>
      </c>
      <c r="D28" s="2" t="s">
        <v>80</v>
      </c>
    </row>
    <row r="29" spans="3:4" x14ac:dyDescent="0.2">
      <c r="C29" s="2" t="s">
        <v>83</v>
      </c>
      <c r="D29" s="2" t="s">
        <v>82</v>
      </c>
    </row>
    <row r="30" spans="3:4" x14ac:dyDescent="0.2">
      <c r="C30" s="2" t="s">
        <v>84</v>
      </c>
      <c r="D30" s="2" t="s">
        <v>85</v>
      </c>
    </row>
    <row r="33" spans="3:6" x14ac:dyDescent="0.2">
      <c r="C33" s="16" t="s">
        <v>125</v>
      </c>
      <c r="D33" s="16" t="s">
        <v>204</v>
      </c>
    </row>
    <row r="34" spans="3:6" x14ac:dyDescent="0.2">
      <c r="C34" s="16" t="s">
        <v>199</v>
      </c>
      <c r="D34" s="2" t="s">
        <v>203</v>
      </c>
      <c r="F34" s="2" t="s">
        <v>205</v>
      </c>
    </row>
    <row r="35" spans="3:6" x14ac:dyDescent="0.2">
      <c r="C35" s="18" t="s">
        <v>17</v>
      </c>
    </row>
    <row r="36" spans="3:6" x14ac:dyDescent="0.2">
      <c r="C36" s="18" t="s">
        <v>197</v>
      </c>
    </row>
    <row r="37" spans="3:6" x14ac:dyDescent="0.2">
      <c r="C37" s="18" t="s">
        <v>126</v>
      </c>
    </row>
    <row r="38" spans="3:6" x14ac:dyDescent="0.2">
      <c r="C38" s="18" t="s">
        <v>133</v>
      </c>
    </row>
    <row r="40" spans="3:6" x14ac:dyDescent="0.2">
      <c r="C40" s="2" t="s">
        <v>214</v>
      </c>
    </row>
  </sheetData>
  <hyperlinks>
    <hyperlink ref="C37" r:id="rId1" xr:uid="{61333D66-95F8-6644-AFC8-3080CB4B47C5}"/>
    <hyperlink ref="C38" r:id="rId2" xr:uid="{B1FA19EC-EDDA-B04B-8EF9-128B21573964}"/>
    <hyperlink ref="C36" r:id="rId3" xr:uid="{7830D4E6-1E91-F245-A366-8B83BF38F047}"/>
    <hyperlink ref="C35" r:id="rId4" xr:uid="{C729891F-BD43-BA4A-83BE-92CC20215609}"/>
  </hyperlinks>
  <pageMargins left="0.7" right="0.7" top="0.75" bottom="0.75" header="0.3" footer="0.3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C309-348A-354B-9C20-C9DB5488B16F}">
  <dimension ref="B4:BF13"/>
  <sheetViews>
    <sheetView topLeftCell="B5" zoomScale="150" workbookViewId="0">
      <selection activeCell="C13" sqref="C13"/>
    </sheetView>
  </sheetViews>
  <sheetFormatPr baseColWidth="10" defaultRowHeight="15" x14ac:dyDescent="0.2"/>
  <cols>
    <col min="2" max="2" width="17.83203125" bestFit="1" customWidth="1"/>
    <col min="3" max="3" width="7.1640625" bestFit="1" customWidth="1"/>
    <col min="4" max="58" width="4.1640625" bestFit="1" customWidth="1"/>
  </cols>
  <sheetData>
    <row r="4" spans="2:58" x14ac:dyDescent="0.2">
      <c r="C4" s="35">
        <v>1</v>
      </c>
      <c r="D4" s="35">
        <f>+C4+1</f>
        <v>2</v>
      </c>
      <c r="E4" s="35">
        <f t="shared" ref="E4:AK4" si="0">+D4+1</f>
        <v>3</v>
      </c>
      <c r="F4" s="35">
        <f t="shared" si="0"/>
        <v>4</v>
      </c>
      <c r="G4" s="35">
        <f t="shared" si="0"/>
        <v>5</v>
      </c>
      <c r="H4" s="35">
        <f t="shared" si="0"/>
        <v>6</v>
      </c>
      <c r="I4" s="35">
        <f t="shared" si="0"/>
        <v>7</v>
      </c>
      <c r="J4" s="35">
        <f t="shared" si="0"/>
        <v>8</v>
      </c>
      <c r="K4" s="35">
        <f t="shared" si="0"/>
        <v>9</v>
      </c>
      <c r="L4" s="35">
        <f t="shared" si="0"/>
        <v>10</v>
      </c>
      <c r="M4" s="35">
        <f t="shared" si="0"/>
        <v>11</v>
      </c>
      <c r="N4" s="35">
        <f t="shared" si="0"/>
        <v>12</v>
      </c>
      <c r="O4" s="35">
        <f t="shared" si="0"/>
        <v>13</v>
      </c>
      <c r="P4" s="35">
        <f t="shared" si="0"/>
        <v>14</v>
      </c>
      <c r="Q4" s="35">
        <f t="shared" si="0"/>
        <v>15</v>
      </c>
      <c r="R4" s="35">
        <f t="shared" si="0"/>
        <v>16</v>
      </c>
      <c r="S4" s="35">
        <f t="shared" si="0"/>
        <v>17</v>
      </c>
      <c r="T4" s="35">
        <f t="shared" si="0"/>
        <v>18</v>
      </c>
      <c r="U4" s="35">
        <f t="shared" si="0"/>
        <v>19</v>
      </c>
      <c r="V4" s="35">
        <f t="shared" si="0"/>
        <v>20</v>
      </c>
      <c r="W4" s="35">
        <f t="shared" si="0"/>
        <v>21</v>
      </c>
      <c r="X4" s="35">
        <f t="shared" si="0"/>
        <v>22</v>
      </c>
      <c r="Y4" s="35">
        <f t="shared" si="0"/>
        <v>23</v>
      </c>
      <c r="Z4" s="35">
        <f t="shared" si="0"/>
        <v>24</v>
      </c>
      <c r="AA4" s="35">
        <f t="shared" si="0"/>
        <v>25</v>
      </c>
      <c r="AB4" s="35">
        <f t="shared" si="0"/>
        <v>26</v>
      </c>
      <c r="AC4" s="35">
        <f t="shared" si="0"/>
        <v>27</v>
      </c>
      <c r="AD4" s="35">
        <f t="shared" si="0"/>
        <v>28</v>
      </c>
      <c r="AE4" s="35">
        <f t="shared" si="0"/>
        <v>29</v>
      </c>
      <c r="AF4" s="35">
        <f t="shared" si="0"/>
        <v>30</v>
      </c>
      <c r="AG4" s="35">
        <f t="shared" si="0"/>
        <v>31</v>
      </c>
      <c r="AH4" s="35">
        <f t="shared" si="0"/>
        <v>32</v>
      </c>
      <c r="AI4" s="35">
        <f t="shared" si="0"/>
        <v>33</v>
      </c>
      <c r="AJ4" s="35">
        <f t="shared" si="0"/>
        <v>34</v>
      </c>
      <c r="AK4" s="35">
        <f t="shared" si="0"/>
        <v>35</v>
      </c>
      <c r="AL4" s="35">
        <f t="shared" ref="AL4:BE4" si="1">+AK4+1</f>
        <v>36</v>
      </c>
      <c r="AM4" s="35">
        <f t="shared" si="1"/>
        <v>37</v>
      </c>
      <c r="AN4" s="35">
        <f t="shared" si="1"/>
        <v>38</v>
      </c>
      <c r="AO4" s="35">
        <f t="shared" si="1"/>
        <v>39</v>
      </c>
      <c r="AP4" s="35">
        <f t="shared" si="1"/>
        <v>40</v>
      </c>
      <c r="AQ4" s="35">
        <f t="shared" si="1"/>
        <v>41</v>
      </c>
      <c r="AR4" s="35">
        <f t="shared" si="1"/>
        <v>42</v>
      </c>
      <c r="AS4" s="35">
        <f t="shared" si="1"/>
        <v>43</v>
      </c>
      <c r="AT4" s="35">
        <f t="shared" si="1"/>
        <v>44</v>
      </c>
      <c r="AU4" s="35">
        <f t="shared" si="1"/>
        <v>45</v>
      </c>
      <c r="AV4" s="35">
        <f t="shared" si="1"/>
        <v>46</v>
      </c>
      <c r="AW4" s="35">
        <f t="shared" si="1"/>
        <v>47</v>
      </c>
      <c r="AX4" s="35">
        <f t="shared" si="1"/>
        <v>48</v>
      </c>
      <c r="AY4" s="35">
        <f t="shared" si="1"/>
        <v>49</v>
      </c>
      <c r="AZ4" s="35">
        <f t="shared" si="1"/>
        <v>50</v>
      </c>
      <c r="BA4" s="35">
        <f t="shared" si="1"/>
        <v>51</v>
      </c>
      <c r="BB4" s="35">
        <f t="shared" si="1"/>
        <v>52</v>
      </c>
      <c r="BC4" s="35">
        <f t="shared" si="1"/>
        <v>53</v>
      </c>
      <c r="BD4" s="35">
        <f t="shared" si="1"/>
        <v>54</v>
      </c>
      <c r="BE4" s="35">
        <f t="shared" si="1"/>
        <v>55</v>
      </c>
      <c r="BF4" s="35">
        <f t="shared" ref="BF4" si="2">+BE4+1</f>
        <v>56</v>
      </c>
    </row>
    <row r="5" spans="2:58" x14ac:dyDescent="0.2">
      <c r="C5" s="39">
        <f t="shared" ref="C5:J5" si="3">$C$8/(1+$C$9)^C4</f>
        <v>17.682926829268293</v>
      </c>
      <c r="D5" s="39">
        <f t="shared" si="3"/>
        <v>17.251635930993459</v>
      </c>
      <c r="E5" s="39">
        <f t="shared" si="3"/>
        <v>16.830864322920448</v>
      </c>
      <c r="F5" s="39">
        <f t="shared" si="3"/>
        <v>16.42035543699556</v>
      </c>
      <c r="G5" s="39">
        <f t="shared" si="3"/>
        <v>16.019858962922498</v>
      </c>
      <c r="H5" s="39">
        <f t="shared" si="3"/>
        <v>15.629130695534146</v>
      </c>
      <c r="I5" s="39">
        <f t="shared" si="3"/>
        <v>15.247932385886971</v>
      </c>
      <c r="J5" s="39">
        <f t="shared" si="3"/>
        <v>14.876031595987291</v>
      </c>
      <c r="K5" s="39">
        <f t="shared" ref="K5:AK5" si="4">$C$8/(1+$C$9)^K4</f>
        <v>14.513201557060773</v>
      </c>
      <c r="L5" s="39">
        <f>$C$8/(1+$C$9)^L4</f>
        <v>14.159221031278804</v>
      </c>
      <c r="M5" s="39">
        <f>$C$8/(1+$C$9)^M4</f>
        <v>13.81387417685737</v>
      </c>
      <c r="N5" s="39">
        <f>$C$8/(1+$C$9)^N4</f>
        <v>13.476950416446215</v>
      </c>
      <c r="O5" s="39">
        <f>$C$8/(1+$C$9)^O4</f>
        <v>13.148244308728016</v>
      </c>
      <c r="P5" s="39">
        <f>$C$8/(1+$C$9)^P4</f>
        <v>12.827555423149285</v>
      </c>
      <c r="Q5" s="39">
        <f t="shared" si="4"/>
        <v>12.514688217706617</v>
      </c>
      <c r="R5" s="39">
        <f t="shared" si="4"/>
        <v>12.209451919713773</v>
      </c>
      <c r="S5" s="39">
        <f t="shared" si="4"/>
        <v>11.911660409476854</v>
      </c>
      <c r="T5" s="39">
        <f t="shared" si="4"/>
        <v>11.621132106806687</v>
      </c>
      <c r="U5" s="39">
        <f t="shared" si="4"/>
        <v>11.337689860299207</v>
      </c>
      <c r="V5" s="39">
        <f t="shared" si="4"/>
        <v>11.061160839316301</v>
      </c>
      <c r="W5" s="39">
        <f t="shared" si="4"/>
        <v>10.79137642860127</v>
      </c>
      <c r="X5" s="39">
        <f t="shared" si="4"/>
        <v>10.528172125464653</v>
      </c>
      <c r="Y5" s="39">
        <f t="shared" si="4"/>
        <v>10.27138743947771</v>
      </c>
      <c r="Z5" s="39">
        <f t="shared" si="4"/>
        <v>10.020865794612401</v>
      </c>
      <c r="AA5" s="39">
        <f t="shared" si="4"/>
        <v>9.7764544337681976</v>
      </c>
      <c r="AB5" s="39">
        <f t="shared" si="4"/>
        <v>9.5380043256275115</v>
      </c>
      <c r="AC5" s="39">
        <f t="shared" si="4"/>
        <v>9.305370073782937</v>
      </c>
      <c r="AD5" s="39">
        <f t="shared" si="4"/>
        <v>9.0784098280809147</v>
      </c>
      <c r="AE5" s="39">
        <f t="shared" si="4"/>
        <v>8.8569851981277221</v>
      </c>
      <c r="AF5" s="39">
        <f t="shared" si="4"/>
        <v>8.6409611689050969</v>
      </c>
      <c r="AG5" s="39">
        <f t="shared" si="4"/>
        <v>8.4302060184439949</v>
      </c>
      <c r="AH5" s="39">
        <f t="shared" si="4"/>
        <v>8.2245912375063366</v>
      </c>
      <c r="AI5" s="39">
        <f t="shared" si="4"/>
        <v>8.0239914512256956</v>
      </c>
      <c r="AJ5" s="39">
        <f t="shared" si="4"/>
        <v>7.8282843426592148</v>
      </c>
      <c r="AK5" s="39">
        <f t="shared" si="4"/>
        <v>7.6373505782041136</v>
      </c>
      <c r="AL5" s="39">
        <f t="shared" ref="AL5" si="5">$C$8/(1+$C$9)^AL4</f>
        <v>7.4510737348332805</v>
      </c>
      <c r="AM5" s="39">
        <f t="shared" ref="AM5" si="6">$C$8/(1+$C$9)^AM4</f>
        <v>7.2693402291056408</v>
      </c>
      <c r="AN5" s="39">
        <f t="shared" ref="AN5" si="7">$C$8/(1+$C$9)^AN4</f>
        <v>7.0920392479079437</v>
      </c>
      <c r="AO5" s="39">
        <f t="shared" ref="AO5" si="8">$C$8/(1+$C$9)^AO4</f>
        <v>6.9190626808857978</v>
      </c>
      <c r="AP5" s="39">
        <f t="shared" ref="AP5" si="9">$C$8/(1+$C$9)^AP4</f>
        <v>6.7503050545227303</v>
      </c>
      <c r="AQ5" s="39">
        <f t="shared" ref="AQ5" si="10">$C$8/(1+$C$9)^AQ4</f>
        <v>6.5856634678270547</v>
      </c>
      <c r="AR5" s="39">
        <f t="shared" ref="AR5" si="11">$C$8/(1+$C$9)^AR4</f>
        <v>6.4250375295873701</v>
      </c>
      <c r="AS5" s="39">
        <f t="shared" ref="AS5" si="12">$C$8/(1+$C$9)^AS4</f>
        <v>6.2683292971584104</v>
      </c>
      <c r="AT5" s="39">
        <f t="shared" ref="AT5" si="13">$C$8/(1+$C$9)^AT4</f>
        <v>6.115443216739914</v>
      </c>
      <c r="AU5" s="39">
        <f t="shared" ref="AU5" si="14">$C$8/(1+$C$9)^AU4</f>
        <v>5.9662860651121106</v>
      </c>
      <c r="AV5" s="39">
        <f t="shared" ref="AV5" si="15">$C$8/(1+$C$9)^AV4</f>
        <v>5.820766892792304</v>
      </c>
      <c r="AW5" s="39">
        <f t="shared" ref="AW5" si="16">$C$8/(1+$C$9)^AW4</f>
        <v>5.6787969685778563</v>
      </c>
      <c r="AX5" s="39">
        <f t="shared" ref="AX5" si="17">$C$8/(1+$C$9)^AX4</f>
        <v>5.540289725441812</v>
      </c>
      <c r="AY5" s="39">
        <f t="shared" ref="AY5" si="18">$C$8/(1+$C$9)^AY4</f>
        <v>5.4051607077481094</v>
      </c>
      <c r="AZ5" s="39">
        <f t="shared" ref="AZ5" si="19">$C$8/(1+$C$9)^AZ4</f>
        <v>5.2733275197542531</v>
      </c>
      <c r="BA5" s="39">
        <f t="shared" ref="BA5" si="20">$C$8/(1+$C$9)^BA4</f>
        <v>5.1447097753700026</v>
      </c>
      <c r="BB5" s="39">
        <f t="shared" ref="BB5" si="21">$C$8/(1+$C$9)^BB4</f>
        <v>5.0192290491414671</v>
      </c>
      <c r="BC5" s="39">
        <f t="shared" ref="BC5" si="22">$C$8/(1+$C$9)^BC4</f>
        <v>4.8968088284307001</v>
      </c>
      <c r="BD5" s="39">
        <f t="shared" ref="BD5" si="23">$C$8/(1+$C$9)^BD4</f>
        <v>4.7773744667616587</v>
      </c>
      <c r="BE5" s="39">
        <f t="shared" ref="BE5:BF5" si="24">$C$8/(1+$C$9)^BE4</f>
        <v>4.6608531383040575</v>
      </c>
      <c r="BF5" s="39">
        <f t="shared" si="24"/>
        <v>4.5471737934673726</v>
      </c>
    </row>
    <row r="6" spans="2:58" x14ac:dyDescent="0.2">
      <c r="C6" s="39">
        <f t="shared" ref="C6:K6" si="25">$C$11/(1+$C$9)^C4</f>
        <v>975.6097560975611</v>
      </c>
      <c r="D6" s="39">
        <f t="shared" si="25"/>
        <v>951.81439619274249</v>
      </c>
      <c r="E6" s="39">
        <f t="shared" si="25"/>
        <v>928.59941091974883</v>
      </c>
      <c r="F6" s="39">
        <f t="shared" si="25"/>
        <v>905.95064479975497</v>
      </c>
      <c r="G6" s="39">
        <f t="shared" si="25"/>
        <v>883.8542876095172</v>
      </c>
      <c r="H6" s="39">
        <f t="shared" si="25"/>
        <v>862.29686596050465</v>
      </c>
      <c r="I6" s="39">
        <f t="shared" si="25"/>
        <v>841.26523508341916</v>
      </c>
      <c r="J6" s="39">
        <f t="shared" si="25"/>
        <v>820.74657081309192</v>
      </c>
      <c r="K6" s="39">
        <f t="shared" si="25"/>
        <v>800.72836176887029</v>
      </c>
      <c r="L6" s="39">
        <f t="shared" ref="L6:AK6" si="26">$C$11/(1+$C$9)^L4</f>
        <v>781.19840172572708</v>
      </c>
      <c r="M6" s="39">
        <f t="shared" si="26"/>
        <v>762.14478217144108</v>
      </c>
      <c r="N6" s="39">
        <f t="shared" si="26"/>
        <v>743.5558850453084</v>
      </c>
      <c r="O6" s="39">
        <f t="shared" si="26"/>
        <v>725.42037565395947</v>
      </c>
      <c r="P6" s="39">
        <f t="shared" si="26"/>
        <v>707.72719575996052</v>
      </c>
      <c r="Q6" s="39">
        <f t="shared" si="26"/>
        <v>690.46555683898578</v>
      </c>
      <c r="R6" s="39">
        <f t="shared" si="26"/>
        <v>673.62493350144962</v>
      </c>
      <c r="S6" s="39">
        <f t="shared" si="26"/>
        <v>657.19505707458507</v>
      </c>
      <c r="T6" s="39">
        <f t="shared" si="26"/>
        <v>641.16590934105852</v>
      </c>
      <c r="U6" s="39">
        <f t="shared" si="26"/>
        <v>625.52771643030098</v>
      </c>
      <c r="V6" s="39">
        <f t="shared" si="26"/>
        <v>610.27094285883038</v>
      </c>
      <c r="W6" s="39">
        <f t="shared" si="26"/>
        <v>595.3862857159321</v>
      </c>
      <c r="X6" s="39">
        <f t="shared" si="26"/>
        <v>580.86466899115328</v>
      </c>
      <c r="Y6" s="39">
        <f t="shared" si="26"/>
        <v>566.6972380401495</v>
      </c>
      <c r="Z6" s="39">
        <f t="shared" si="26"/>
        <v>552.87535418551181</v>
      </c>
      <c r="AA6" s="39">
        <f t="shared" si="26"/>
        <v>539.3905894492799</v>
      </c>
      <c r="AB6" s="39">
        <f t="shared" si="26"/>
        <v>526.23472141393165</v>
      </c>
      <c r="AC6" s="39">
        <f t="shared" si="26"/>
        <v>513.39972820871378</v>
      </c>
      <c r="AD6" s="39">
        <f t="shared" si="26"/>
        <v>500.87778361825741</v>
      </c>
      <c r="AE6" s="39">
        <f t="shared" si="26"/>
        <v>488.661252310495</v>
      </c>
      <c r="AF6" s="39">
        <f t="shared" si="26"/>
        <v>476.74268518097085</v>
      </c>
      <c r="AG6" s="39">
        <f t="shared" si="26"/>
        <v>465.11481481070314</v>
      </c>
      <c r="AH6" s="39">
        <f t="shared" si="26"/>
        <v>453.77055103483241</v>
      </c>
      <c r="AI6" s="39">
        <f t="shared" si="26"/>
        <v>442.7029766193487</v>
      </c>
      <c r="AJ6" s="39">
        <f t="shared" si="26"/>
        <v>431.90534304326707</v>
      </c>
      <c r="AK6" s="39">
        <f t="shared" si="26"/>
        <v>421.37106638367521</v>
      </c>
      <c r="AL6" s="39">
        <f t="shared" ref="AL6:BE6" si="27">$C$11/(1+$C$9)^AL4</f>
        <v>411.0937233011465</v>
      </c>
      <c r="AM6" s="39">
        <f t="shared" si="27"/>
        <v>401.06704712306981</v>
      </c>
      <c r="AN6" s="39">
        <f t="shared" si="27"/>
        <v>391.28492402250725</v>
      </c>
      <c r="AO6" s="39">
        <f t="shared" si="27"/>
        <v>381.74138929025094</v>
      </c>
      <c r="AP6" s="39">
        <f t="shared" si="27"/>
        <v>372.43062369780586</v>
      </c>
      <c r="AQ6" s="39">
        <f t="shared" si="27"/>
        <v>363.34694994907886</v>
      </c>
      <c r="AR6" s="39">
        <f t="shared" si="27"/>
        <v>354.48482921861353</v>
      </c>
      <c r="AS6" s="39">
        <f t="shared" si="27"/>
        <v>345.83885777425712</v>
      </c>
      <c r="AT6" s="39">
        <f t="shared" si="27"/>
        <v>337.40376368220211</v>
      </c>
      <c r="AU6" s="39">
        <f t="shared" si="27"/>
        <v>329.17440359239231</v>
      </c>
      <c r="AV6" s="39">
        <f t="shared" si="27"/>
        <v>321.14575960233401</v>
      </c>
      <c r="AW6" s="39">
        <f t="shared" si="27"/>
        <v>313.31293619739898</v>
      </c>
      <c r="AX6" s="39">
        <f t="shared" si="27"/>
        <v>305.67115726575514</v>
      </c>
      <c r="AY6" s="39">
        <f t="shared" si="27"/>
        <v>298.21576318610261</v>
      </c>
      <c r="AZ6" s="39">
        <f t="shared" si="27"/>
        <v>290.94220798644153</v>
      </c>
      <c r="BA6" s="39">
        <f t="shared" si="27"/>
        <v>283.84605657213808</v>
      </c>
      <c r="BB6" s="39">
        <f t="shared" si="27"/>
        <v>276.92298202159816</v>
      </c>
      <c r="BC6" s="39">
        <f t="shared" si="27"/>
        <v>270.16876294790069</v>
      </c>
      <c r="BD6" s="39">
        <f t="shared" si="27"/>
        <v>263.57928092478119</v>
      </c>
      <c r="BE6" s="39">
        <f t="shared" si="27"/>
        <v>257.15051797539627</v>
      </c>
      <c r="BF6" s="39">
        <f t="shared" ref="BF6" si="28">$C$11/(1+$C$9)^BF4</f>
        <v>250.87855412233782</v>
      </c>
    </row>
    <row r="7" spans="2:58" x14ac:dyDescent="0.2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58" x14ac:dyDescent="0.2">
      <c r="B8" s="37" t="s">
        <v>181</v>
      </c>
      <c r="C8" s="37">
        <f>+Bonds!R9</f>
        <v>18.125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2:58" x14ac:dyDescent="0.2">
      <c r="B9" s="37" t="s">
        <v>182</v>
      </c>
      <c r="C9" s="38">
        <f>Bonds!$O$1</f>
        <v>2.5000000000000001E-2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58" x14ac:dyDescent="0.2">
      <c r="B10" s="37" t="s">
        <v>183</v>
      </c>
      <c r="C10" s="44">
        <f ca="1">+Bonds!L9</f>
        <v>53.057534246575344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2:58" x14ac:dyDescent="0.2">
      <c r="B11" s="37" t="s">
        <v>157</v>
      </c>
      <c r="C11" s="37">
        <v>1000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58" x14ac:dyDescent="0.2"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  <row r="13" spans="2:58" x14ac:dyDescent="0.2">
      <c r="B13" s="37" t="s">
        <v>46</v>
      </c>
      <c r="C13" s="39">
        <f>+SUM(C5:BF5)+BF6</f>
        <v>793.99160238364414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4993-2FE9-9A44-9126-6F6AACD59C35}">
  <dimension ref="B1:AF70"/>
  <sheetViews>
    <sheetView zoomScale="200" zoomScaleNormal="200" workbookViewId="0">
      <selection activeCell="L3" sqref="L3"/>
    </sheetView>
  </sheetViews>
  <sheetFormatPr baseColWidth="10" defaultColWidth="11" defaultRowHeight="15" x14ac:dyDescent="0.2"/>
  <cols>
    <col min="1" max="1" width="3.5" customWidth="1"/>
    <col min="2" max="2" width="19.33203125" bestFit="1" customWidth="1"/>
    <col min="3" max="3" width="10.33203125" style="19" bestFit="1" customWidth="1"/>
    <col min="4" max="6" width="5.6640625" style="19" bestFit="1" customWidth="1"/>
    <col min="7" max="7" width="4.1640625" style="19" bestFit="1" customWidth="1"/>
    <col min="8" max="8" width="5.6640625" style="19" bestFit="1" customWidth="1"/>
    <col min="9" max="26" width="4.1640625" style="19" bestFit="1" customWidth="1"/>
    <col min="27" max="28" width="4.1640625" bestFit="1" customWidth="1"/>
    <col min="29" max="32" width="3.1640625" bestFit="1" customWidth="1"/>
  </cols>
  <sheetData>
    <row r="1" spans="2:32" x14ac:dyDescent="0.2">
      <c r="B1" t="s">
        <v>154</v>
      </c>
      <c r="C1" s="19">
        <v>45</v>
      </c>
      <c r="E1" s="30">
        <f ca="1">Bonds!L3</f>
        <v>8.2191780821917804E-2</v>
      </c>
    </row>
    <row r="2" spans="2:32" x14ac:dyDescent="0.2">
      <c r="B2" t="s">
        <v>155</v>
      </c>
      <c r="C2" s="45">
        <v>0.04</v>
      </c>
      <c r="E2" s="30">
        <f>0.1/2</f>
        <v>0.05</v>
      </c>
    </row>
    <row r="3" spans="2:32" x14ac:dyDescent="0.2">
      <c r="B3" t="s">
        <v>156</v>
      </c>
      <c r="C3" s="19">
        <v>26</v>
      </c>
      <c r="E3" s="30">
        <f ca="1">Bonds!L3</f>
        <v>8.2191780821917804E-2</v>
      </c>
    </row>
    <row r="4" spans="2:32" x14ac:dyDescent="0.2">
      <c r="B4" t="s">
        <v>157</v>
      </c>
      <c r="C4" s="19">
        <v>1000</v>
      </c>
      <c r="D4" s="19">
        <f>+C4*C2</f>
        <v>40</v>
      </c>
      <c r="E4" s="19">
        <v>1000</v>
      </c>
    </row>
    <row r="5" spans="2:32" x14ac:dyDescent="0.2">
      <c r="C5" s="19">
        <f>C1*(1-1/(1+C2)^C3)/C2+C4/(1+C2)^C3</f>
        <v>1079.913845882937</v>
      </c>
      <c r="E5" s="19">
        <f ca="1">E1*(1-1/(1+E2)^E3)/E2+E4/(1+E2)^E3</f>
        <v>996.00445826476903</v>
      </c>
      <c r="I5" s="19">
        <f>13*2</f>
        <v>26</v>
      </c>
    </row>
    <row r="7" spans="2:32" x14ac:dyDescent="0.2">
      <c r="C7" s="19">
        <f>1000*0.09</f>
        <v>90</v>
      </c>
    </row>
    <row r="10" spans="2:32" x14ac:dyDescent="0.2">
      <c r="C10" s="19">
        <v>1</v>
      </c>
      <c r="D10" s="19">
        <f>+C10+1</f>
        <v>2</v>
      </c>
      <c r="E10" s="19">
        <f t="shared" ref="E10:AF10" si="0">+D10+1</f>
        <v>3</v>
      </c>
      <c r="F10" s="19">
        <f t="shared" si="0"/>
        <v>4</v>
      </c>
      <c r="G10" s="19">
        <f t="shared" si="0"/>
        <v>5</v>
      </c>
      <c r="H10" s="19">
        <f t="shared" si="0"/>
        <v>6</v>
      </c>
      <c r="I10" s="19">
        <f t="shared" si="0"/>
        <v>7</v>
      </c>
      <c r="J10" s="19">
        <f t="shared" si="0"/>
        <v>8</v>
      </c>
      <c r="K10" s="19">
        <f t="shared" si="0"/>
        <v>9</v>
      </c>
      <c r="L10" s="19">
        <f t="shared" si="0"/>
        <v>10</v>
      </c>
      <c r="M10" s="19">
        <f t="shared" si="0"/>
        <v>11</v>
      </c>
      <c r="N10" s="19">
        <f t="shared" si="0"/>
        <v>12</v>
      </c>
      <c r="O10" s="19">
        <f t="shared" si="0"/>
        <v>13</v>
      </c>
      <c r="P10" s="19">
        <f t="shared" si="0"/>
        <v>14</v>
      </c>
      <c r="Q10" s="19">
        <f t="shared" si="0"/>
        <v>15</v>
      </c>
      <c r="R10" s="19">
        <f t="shared" si="0"/>
        <v>16</v>
      </c>
      <c r="S10" s="19">
        <f t="shared" si="0"/>
        <v>17</v>
      </c>
      <c r="T10" s="19">
        <f t="shared" si="0"/>
        <v>18</v>
      </c>
      <c r="U10" s="19">
        <f t="shared" si="0"/>
        <v>19</v>
      </c>
      <c r="V10" s="19">
        <f t="shared" si="0"/>
        <v>20</v>
      </c>
      <c r="W10" s="19">
        <f t="shared" si="0"/>
        <v>21</v>
      </c>
      <c r="X10" s="19">
        <f t="shared" si="0"/>
        <v>22</v>
      </c>
      <c r="Y10" s="19">
        <f t="shared" si="0"/>
        <v>23</v>
      </c>
      <c r="Z10" s="19">
        <f t="shared" si="0"/>
        <v>24</v>
      </c>
      <c r="AA10">
        <f t="shared" si="0"/>
        <v>25</v>
      </c>
      <c r="AB10">
        <f t="shared" si="0"/>
        <v>26</v>
      </c>
      <c r="AC10">
        <f t="shared" si="0"/>
        <v>27</v>
      </c>
      <c r="AD10">
        <f t="shared" si="0"/>
        <v>28</v>
      </c>
      <c r="AE10">
        <f t="shared" si="0"/>
        <v>29</v>
      </c>
      <c r="AF10">
        <f t="shared" si="0"/>
        <v>30</v>
      </c>
    </row>
    <row r="11" spans="2:32" s="19" customFormat="1" x14ac:dyDescent="0.2">
      <c r="C11" s="19">
        <f>+$C$1/(1+$C$2)^C10</f>
        <v>43.269230769230766</v>
      </c>
      <c r="D11" s="19">
        <f t="shared" ref="D11:AB11" si="1">+$C$1/(1+$C$2)^D10</f>
        <v>41.60502958579881</v>
      </c>
      <c r="E11" s="19">
        <f t="shared" si="1"/>
        <v>40.004836140191166</v>
      </c>
      <c r="F11" s="19">
        <f t="shared" si="1"/>
        <v>38.466188596337659</v>
      </c>
      <c r="G11" s="19">
        <f t="shared" si="1"/>
        <v>36.986719804170818</v>
      </c>
      <c r="H11" s="19">
        <f t="shared" si="1"/>
        <v>35.564153657856558</v>
      </c>
      <c r="I11" s="19">
        <f t="shared" si="1"/>
        <v>34.196301594092844</v>
      </c>
      <c r="J11" s="19">
        <f t="shared" si="1"/>
        <v>32.881059225089267</v>
      </c>
      <c r="K11" s="19">
        <f t="shared" si="1"/>
        <v>31.616403101047371</v>
      </c>
      <c r="L11" s="19">
        <f t="shared" si="1"/>
        <v>30.400387597160936</v>
      </c>
      <c r="M11" s="19">
        <f t="shared" si="1"/>
        <v>29.231141920347056</v>
      </c>
      <c r="N11" s="19">
        <f t="shared" si="1"/>
        <v>28.106867231102932</v>
      </c>
      <c r="O11" s="19">
        <f t="shared" si="1"/>
        <v>27.02583387606051</v>
      </c>
      <c r="P11" s="19">
        <f t="shared" si="1"/>
        <v>25.986378726981261</v>
      </c>
      <c r="Q11" s="19">
        <f t="shared" si="1"/>
        <v>24.986902622097364</v>
      </c>
      <c r="R11" s="19">
        <f t="shared" si="1"/>
        <v>24.025867905862849</v>
      </c>
      <c r="S11" s="19">
        <f t="shared" si="1"/>
        <v>23.101796063329662</v>
      </c>
      <c r="T11" s="19">
        <f t="shared" si="1"/>
        <v>22.213265445509286</v>
      </c>
      <c r="U11" s="19">
        <f t="shared" si="1"/>
        <v>21.358909082220467</v>
      </c>
      <c r="V11" s="19">
        <f t="shared" si="1"/>
        <v>20.537412579058142</v>
      </c>
      <c r="W11" s="19">
        <f t="shared" si="1"/>
        <v>19.747512095248208</v>
      </c>
      <c r="X11" s="19">
        <f t="shared" si="1"/>
        <v>18.987992399277125</v>
      </c>
      <c r="Y11" s="19">
        <f t="shared" si="1"/>
        <v>18.257684999304931</v>
      </c>
      <c r="Z11" s="19">
        <f t="shared" si="1"/>
        <v>17.55546634548551</v>
      </c>
      <c r="AA11" s="19">
        <f t="shared" si="1"/>
        <v>16.880256101428369</v>
      </c>
      <c r="AB11" s="19">
        <f t="shared" si="1"/>
        <v>16.231015482142666</v>
      </c>
    </row>
    <row r="12" spans="2:32" s="19" customFormat="1" x14ac:dyDescent="0.2">
      <c r="C12" s="19">
        <f>+$C$4/(1+$C$2)^C10</f>
        <v>961.53846153846155</v>
      </c>
      <c r="D12" s="19">
        <f t="shared" ref="D12:AB12" si="2">+$C$4/(1+$C$2)^D10</f>
        <v>924.55621301775136</v>
      </c>
      <c r="E12" s="19">
        <f t="shared" si="2"/>
        <v>888.99635867091479</v>
      </c>
      <c r="F12" s="19">
        <f t="shared" si="2"/>
        <v>854.80419102972564</v>
      </c>
      <c r="G12" s="19">
        <f t="shared" si="2"/>
        <v>821.92710675935155</v>
      </c>
      <c r="H12" s="19">
        <f t="shared" si="2"/>
        <v>790.31452573014576</v>
      </c>
      <c r="I12" s="19">
        <f t="shared" si="2"/>
        <v>759.91781320206326</v>
      </c>
      <c r="J12" s="19">
        <f t="shared" si="2"/>
        <v>730.69020500198383</v>
      </c>
      <c r="K12" s="19">
        <f t="shared" si="2"/>
        <v>702.58673557883048</v>
      </c>
      <c r="L12" s="19">
        <f t="shared" si="2"/>
        <v>675.56416882579856</v>
      </c>
      <c r="M12" s="19">
        <f t="shared" si="2"/>
        <v>649.58093156326788</v>
      </c>
      <c r="N12" s="19">
        <f t="shared" si="2"/>
        <v>624.59704958006512</v>
      </c>
      <c r="O12" s="19">
        <f t="shared" si="2"/>
        <v>600.57408613467805</v>
      </c>
      <c r="P12" s="19">
        <f t="shared" si="2"/>
        <v>577.47508282180581</v>
      </c>
      <c r="Q12" s="19">
        <f t="shared" si="2"/>
        <v>555.26450271327485</v>
      </c>
      <c r="R12" s="19">
        <f t="shared" si="2"/>
        <v>533.90817568584112</v>
      </c>
      <c r="S12" s="19">
        <f t="shared" si="2"/>
        <v>513.37324585177021</v>
      </c>
      <c r="T12" s="19">
        <f t="shared" si="2"/>
        <v>493.62812101131749</v>
      </c>
      <c r="U12" s="19">
        <f t="shared" si="2"/>
        <v>474.64242404934373</v>
      </c>
      <c r="V12" s="19">
        <f t="shared" si="2"/>
        <v>456.38694620129206</v>
      </c>
      <c r="W12" s="19">
        <f t="shared" si="2"/>
        <v>438.83360211662688</v>
      </c>
      <c r="X12" s="19">
        <f t="shared" si="2"/>
        <v>421.9553866506028</v>
      </c>
      <c r="Y12" s="19">
        <f t="shared" si="2"/>
        <v>405.72633331788734</v>
      </c>
      <c r="Z12" s="19">
        <f t="shared" si="2"/>
        <v>390.12147434412242</v>
      </c>
      <c r="AA12" s="19">
        <f t="shared" si="2"/>
        <v>375.11680225396378</v>
      </c>
      <c r="AB12" s="19">
        <f t="shared" si="2"/>
        <v>360.68923293650369</v>
      </c>
    </row>
    <row r="13" spans="2:32" x14ac:dyDescent="0.2">
      <c r="B13" s="19"/>
    </row>
    <row r="14" spans="2:32" x14ac:dyDescent="0.2">
      <c r="B14" s="19"/>
      <c r="C14" s="19" t="s">
        <v>152</v>
      </c>
      <c r="D14" s="29">
        <f>SUM(C11:AB11)</f>
        <v>719.22461294643244</v>
      </c>
      <c r="F14" s="19">
        <f>+SUM(C11:AB11)</f>
        <v>719.22461294643244</v>
      </c>
    </row>
    <row r="15" spans="2:32" x14ac:dyDescent="0.2">
      <c r="B15" s="19"/>
      <c r="C15" s="19" t="s">
        <v>153</v>
      </c>
      <c r="D15" s="19">
        <f>+AB12</f>
        <v>360.68923293650369</v>
      </c>
    </row>
    <row r="16" spans="2:32" x14ac:dyDescent="0.2">
      <c r="B16" s="19"/>
    </row>
    <row r="17" spans="2:16" x14ac:dyDescent="0.2">
      <c r="B17" s="19"/>
      <c r="H17" s="20"/>
    </row>
    <row r="18" spans="2:16" x14ac:dyDescent="0.2">
      <c r="B18" s="19"/>
      <c r="C18" s="29" t="s">
        <v>151</v>
      </c>
      <c r="D18" s="19">
        <f>SUM(D14:D15)</f>
        <v>1079.9138458829361</v>
      </c>
    </row>
    <row r="21" spans="2:16" x14ac:dyDescent="0.2">
      <c r="B21" t="s">
        <v>137</v>
      </c>
      <c r="C21" s="19">
        <v>0.14000000000000001</v>
      </c>
      <c r="E21" s="19">
        <v>0.14000000000000001</v>
      </c>
    </row>
    <row r="22" spans="2:16" x14ac:dyDescent="0.2">
      <c r="B22" t="s">
        <v>158</v>
      </c>
      <c r="C22" s="19">
        <f>7*2</f>
        <v>14</v>
      </c>
    </row>
    <row r="23" spans="2:16" x14ac:dyDescent="0.2">
      <c r="B23" t="s">
        <v>44</v>
      </c>
      <c r="C23" s="19">
        <v>0.05</v>
      </c>
    </row>
    <row r="24" spans="2:16" x14ac:dyDescent="0.2">
      <c r="B24" t="s">
        <v>157</v>
      </c>
      <c r="C24" s="19">
        <v>1000</v>
      </c>
    </row>
    <row r="25" spans="2:16" x14ac:dyDescent="0.2">
      <c r="B25" t="s">
        <v>159</v>
      </c>
      <c r="C25" s="19">
        <f>+(C24*C21)*0.5</f>
        <v>70</v>
      </c>
    </row>
    <row r="27" spans="2:16" x14ac:dyDescent="0.2">
      <c r="C27" s="19">
        <f>$C$25/(1+$C$23)^C10</f>
        <v>66.666666666666657</v>
      </c>
      <c r="D27" s="19">
        <f t="shared" ref="D27:I27" si="3">$C$25/(1+$C$23)^D10</f>
        <v>63.492063492063487</v>
      </c>
      <c r="E27" s="19">
        <f t="shared" si="3"/>
        <v>60.468631897203316</v>
      </c>
      <c r="F27" s="19">
        <f t="shared" si="3"/>
        <v>57.589173235431737</v>
      </c>
      <c r="G27" s="19">
        <f t="shared" si="3"/>
        <v>54.846831652792126</v>
      </c>
      <c r="H27" s="19">
        <f t="shared" si="3"/>
        <v>52.23507776456394</v>
      </c>
      <c r="I27" s="19">
        <f t="shared" si="3"/>
        <v>49.747693109108504</v>
      </c>
      <c r="J27" s="19">
        <f t="shared" ref="J27:P27" si="4">$C$25/(1+$C$23)^J10</f>
        <v>47.378755342008105</v>
      </c>
      <c r="K27" s="19">
        <f t="shared" si="4"/>
        <v>45.122624135245808</v>
      </c>
      <c r="L27" s="19">
        <f t="shared" si="4"/>
        <v>42.973927747853153</v>
      </c>
      <c r="M27" s="19">
        <f t="shared" si="4"/>
        <v>40.927550236050621</v>
      </c>
      <c r="N27" s="19">
        <f t="shared" si="4"/>
        <v>38.978619272429164</v>
      </c>
      <c r="O27" s="19">
        <f t="shared" si="4"/>
        <v>37.122494545170625</v>
      </c>
      <c r="P27" s="19">
        <f t="shared" si="4"/>
        <v>35.35475670968632</v>
      </c>
    </row>
    <row r="28" spans="2:16" x14ac:dyDescent="0.2">
      <c r="C28" s="19">
        <f>$C$24/(1+$C$23)^C10</f>
        <v>952.38095238095229</v>
      </c>
      <c r="D28" s="19">
        <f t="shared" ref="D28:I28" si="5">$C$24/(1+$C$23)^D10</f>
        <v>907.02947845804988</v>
      </c>
      <c r="E28" s="19">
        <f t="shared" si="5"/>
        <v>863.83759853147603</v>
      </c>
      <c r="F28" s="19">
        <f t="shared" si="5"/>
        <v>822.70247479188197</v>
      </c>
      <c r="G28" s="19">
        <f t="shared" si="5"/>
        <v>783.526166468459</v>
      </c>
      <c r="H28" s="19">
        <f t="shared" si="5"/>
        <v>746.2153966366277</v>
      </c>
      <c r="I28" s="19">
        <f t="shared" si="5"/>
        <v>710.68133013012141</v>
      </c>
      <c r="J28" s="19">
        <f t="shared" ref="J28:P28" si="6">$C$24/(1+$C$23)^J10</f>
        <v>676.83936202868722</v>
      </c>
      <c r="K28" s="19">
        <f t="shared" si="6"/>
        <v>644.60891621779729</v>
      </c>
      <c r="L28" s="19">
        <f t="shared" si="6"/>
        <v>613.91325354075934</v>
      </c>
      <c r="M28" s="19">
        <f t="shared" si="6"/>
        <v>584.67928908643739</v>
      </c>
      <c r="N28" s="19">
        <f t="shared" si="6"/>
        <v>556.83741817755947</v>
      </c>
      <c r="O28" s="19">
        <f t="shared" si="6"/>
        <v>530.32135064529473</v>
      </c>
      <c r="P28" s="19">
        <f t="shared" si="6"/>
        <v>505.06795299551885</v>
      </c>
    </row>
    <row r="30" spans="2:16" x14ac:dyDescent="0.2">
      <c r="C30" s="19">
        <f>SUM(C27:P27)</f>
        <v>692.90486580627351</v>
      </c>
    </row>
    <row r="31" spans="2:16" x14ac:dyDescent="0.2">
      <c r="C31" s="19">
        <f>+P28</f>
        <v>505.06795299551885</v>
      </c>
    </row>
    <row r="32" spans="2:16" x14ac:dyDescent="0.2">
      <c r="C32" s="29">
        <f>+SUM(C30:C31)</f>
        <v>1197.9728188017923</v>
      </c>
    </row>
    <row r="35" spans="2:22" x14ac:dyDescent="0.2">
      <c r="B35" t="s">
        <v>137</v>
      </c>
      <c r="C35" s="19">
        <v>6.5000000000000002E-2</v>
      </c>
    </row>
    <row r="36" spans="2:22" x14ac:dyDescent="0.2">
      <c r="B36" t="s">
        <v>160</v>
      </c>
      <c r="C36" s="19">
        <f>+(C38*C35)*0.5</f>
        <v>32.5</v>
      </c>
    </row>
    <row r="37" spans="2:22" x14ac:dyDescent="0.2">
      <c r="B37" t="s">
        <v>161</v>
      </c>
      <c r="C37" s="19">
        <v>0.06</v>
      </c>
    </row>
    <row r="38" spans="2:22" x14ac:dyDescent="0.2">
      <c r="B38" t="s">
        <v>157</v>
      </c>
      <c r="C38" s="19">
        <v>1000</v>
      </c>
    </row>
    <row r="39" spans="2:22" x14ac:dyDescent="0.2">
      <c r="B39" t="s">
        <v>159</v>
      </c>
      <c r="C39" s="19">
        <f>(C38*C35)/2</f>
        <v>32.5</v>
      </c>
    </row>
    <row r="41" spans="2:22" x14ac:dyDescent="0.2">
      <c r="C41" s="19">
        <f>$C$39/(1+$C$37)^C10</f>
        <v>30.660377358490564</v>
      </c>
      <c r="D41" s="19">
        <f t="shared" ref="D41:L41" si="7">$C$39/(1+$C$37)^D10</f>
        <v>28.924884300462793</v>
      </c>
      <c r="E41" s="19">
        <f t="shared" si="7"/>
        <v>27.287626698549804</v>
      </c>
      <c r="F41" s="19">
        <f t="shared" si="7"/>
        <v>25.743044055235664</v>
      </c>
      <c r="G41" s="19">
        <f t="shared" si="7"/>
        <v>24.285890618146848</v>
      </c>
      <c r="H41" s="19">
        <f t="shared" si="7"/>
        <v>22.91121756428948</v>
      </c>
      <c r="I41" s="19">
        <f t="shared" si="7"/>
        <v>21.614356192725921</v>
      </c>
      <c r="J41" s="19">
        <f t="shared" si="7"/>
        <v>20.39090206860936</v>
      </c>
      <c r="K41" s="19">
        <f t="shared" si="7"/>
        <v>19.236700064725813</v>
      </c>
      <c r="L41" s="19">
        <f t="shared" si="7"/>
        <v>18.147830249741332</v>
      </c>
      <c r="M41" s="19">
        <f t="shared" ref="M41:V41" si="8">$C$39/(1+$C$37)^M10</f>
        <v>17.120594575227667</v>
      </c>
      <c r="N41" s="19">
        <f t="shared" si="8"/>
        <v>16.151504316252517</v>
      </c>
      <c r="O41" s="19">
        <f t="shared" si="8"/>
        <v>15.237268222879731</v>
      </c>
      <c r="P41" s="19">
        <f t="shared" si="8"/>
        <v>14.37478134233937</v>
      </c>
      <c r="Q41" s="19">
        <f t="shared" si="8"/>
        <v>13.561114473905061</v>
      </c>
      <c r="R41" s="19">
        <f t="shared" si="8"/>
        <v>12.793504220665156</v>
      </c>
      <c r="S41" s="19">
        <f t="shared" si="8"/>
        <v>12.069343604401089</v>
      </c>
      <c r="T41" s="19">
        <f t="shared" si="8"/>
        <v>11.386173211699141</v>
      </c>
      <c r="U41" s="19">
        <f t="shared" si="8"/>
        <v>10.741672841225602</v>
      </c>
      <c r="V41" s="19">
        <f t="shared" si="8"/>
        <v>10.133653623797739</v>
      </c>
    </row>
    <row r="42" spans="2:22" x14ac:dyDescent="0.2">
      <c r="C42" s="19">
        <f t="shared" ref="C42:L42" si="9">$C$38/(1+$C$37)^C10</f>
        <v>943.39622641509425</v>
      </c>
      <c r="D42" s="19">
        <f t="shared" si="9"/>
        <v>889.99644001423985</v>
      </c>
      <c r="E42" s="19">
        <f t="shared" si="9"/>
        <v>839.61928303230161</v>
      </c>
      <c r="F42" s="19">
        <f t="shared" si="9"/>
        <v>792.09366323802044</v>
      </c>
      <c r="G42" s="19">
        <f t="shared" si="9"/>
        <v>747.25817286605684</v>
      </c>
      <c r="H42" s="19">
        <f t="shared" si="9"/>
        <v>704.96054043967627</v>
      </c>
      <c r="I42" s="19">
        <f t="shared" si="9"/>
        <v>665.05711362233603</v>
      </c>
      <c r="J42" s="19">
        <f t="shared" si="9"/>
        <v>627.41237134182654</v>
      </c>
      <c r="K42" s="19">
        <f t="shared" si="9"/>
        <v>591.89846353002497</v>
      </c>
      <c r="L42" s="19">
        <f t="shared" si="9"/>
        <v>558.39477691511786</v>
      </c>
      <c r="M42" s="19">
        <f t="shared" ref="M42:V42" si="10">$C$38/(1+$C$37)^M10</f>
        <v>526.78752539162053</v>
      </c>
      <c r="N42" s="19">
        <f t="shared" si="10"/>
        <v>496.96936357700048</v>
      </c>
      <c r="O42" s="19">
        <f t="shared" si="10"/>
        <v>468.83902224245327</v>
      </c>
      <c r="P42" s="19">
        <f t="shared" si="10"/>
        <v>442.30096437967291</v>
      </c>
      <c r="Q42" s="19">
        <f t="shared" si="10"/>
        <v>417.26506073554037</v>
      </c>
      <c r="R42" s="19">
        <f t="shared" si="10"/>
        <v>393.64628371277399</v>
      </c>
      <c r="S42" s="19">
        <f t="shared" si="10"/>
        <v>371.36441859695657</v>
      </c>
      <c r="T42" s="19">
        <f t="shared" si="10"/>
        <v>350.34379112920431</v>
      </c>
      <c r="U42" s="19">
        <f t="shared" si="10"/>
        <v>330.51301049924933</v>
      </c>
      <c r="V42" s="19">
        <f t="shared" si="10"/>
        <v>311.80472688608427</v>
      </c>
    </row>
    <row r="44" spans="2:22" x14ac:dyDescent="0.2">
      <c r="C44" s="19">
        <f>SUM(C41:V41)</f>
        <v>372.77243960337057</v>
      </c>
    </row>
    <row r="45" spans="2:22" x14ac:dyDescent="0.2">
      <c r="C45" s="19">
        <f>+V42</f>
        <v>311.80472688608427</v>
      </c>
    </row>
    <row r="46" spans="2:22" x14ac:dyDescent="0.2">
      <c r="C46" s="29">
        <f>+SUM(C44:C45)</f>
        <v>684.57716648945484</v>
      </c>
    </row>
    <row r="50" spans="2:26" x14ac:dyDescent="0.2">
      <c r="B50" t="s">
        <v>162</v>
      </c>
      <c r="C50" s="20">
        <v>0.06</v>
      </c>
    </row>
    <row r="51" spans="2:26" x14ac:dyDescent="0.2">
      <c r="B51" t="s">
        <v>163</v>
      </c>
      <c r="C51" s="19">
        <f>1000*0.03</f>
        <v>30</v>
      </c>
    </row>
    <row r="53" spans="2:26" x14ac:dyDescent="0.2">
      <c r="C53" s="19">
        <f>$C$51/(1+$C$50)^C10</f>
        <v>28.30188679245283</v>
      </c>
      <c r="D53" s="19">
        <f t="shared" ref="D53:O53" si="11">$C$51/(1+$C$50)^D10</f>
        <v>26.699893200427194</v>
      </c>
      <c r="E53" s="19">
        <f t="shared" si="11"/>
        <v>25.18857849096905</v>
      </c>
      <c r="F53" s="19">
        <f t="shared" si="11"/>
        <v>23.762809897140613</v>
      </c>
      <c r="G53" s="19">
        <f t="shared" si="11"/>
        <v>22.417745185981708</v>
      </c>
      <c r="H53" s="19">
        <f t="shared" si="11"/>
        <v>21.148816213190287</v>
      </c>
      <c r="I53" s="19">
        <f t="shared" si="11"/>
        <v>19.951713408670081</v>
      </c>
      <c r="J53" s="19">
        <f t="shared" si="11"/>
        <v>18.822371140254795</v>
      </c>
      <c r="K53" s="19">
        <f t="shared" si="11"/>
        <v>17.756953905900751</v>
      </c>
      <c r="L53" s="19">
        <f t="shared" si="11"/>
        <v>16.751843307453537</v>
      </c>
      <c r="M53" s="19">
        <f t="shared" si="11"/>
        <v>15.803625761748616</v>
      </c>
      <c r="N53" s="19">
        <f t="shared" si="11"/>
        <v>14.909080907310015</v>
      </c>
      <c r="O53" s="19">
        <f t="shared" si="11"/>
        <v>14.065170667273598</v>
      </c>
      <c r="P53" s="19">
        <f t="shared" ref="P53:Z53" si="12">$C$51/(1+$C$50)^P10</f>
        <v>13.269028931390187</v>
      </c>
      <c r="Q53" s="19">
        <f t="shared" si="12"/>
        <v>12.517951822066211</v>
      </c>
      <c r="R53" s="19">
        <f t="shared" si="12"/>
        <v>11.80938851138322</v>
      </c>
      <c r="S53" s="19">
        <f t="shared" si="12"/>
        <v>11.140932557908698</v>
      </c>
      <c r="T53" s="19">
        <f t="shared" si="12"/>
        <v>10.51031373387613</v>
      </c>
      <c r="U53" s="19">
        <f t="shared" si="12"/>
        <v>9.9153903149774791</v>
      </c>
      <c r="V53" s="19">
        <f t="shared" si="12"/>
        <v>9.354141806582529</v>
      </c>
      <c r="W53" s="19">
        <f t="shared" si="12"/>
        <v>8.8246620816816286</v>
      </c>
      <c r="X53" s="19">
        <f t="shared" si="12"/>
        <v>8.3251529072468191</v>
      </c>
      <c r="Y53" s="19">
        <f t="shared" si="12"/>
        <v>7.8539178370252998</v>
      </c>
      <c r="Z53" s="19">
        <f t="shared" si="12"/>
        <v>7.4093564500238687</v>
      </c>
    </row>
    <row r="54" spans="2:26" x14ac:dyDescent="0.2">
      <c r="C54" s="19">
        <f>1000/(1+$C$50)^C10</f>
        <v>943.39622641509425</v>
      </c>
      <c r="D54" s="19">
        <f t="shared" ref="D54:O54" si="13">1000/(1+$C$50)^D10</f>
        <v>889.99644001423985</v>
      </c>
      <c r="E54" s="19">
        <f t="shared" si="13"/>
        <v>839.61928303230161</v>
      </c>
      <c r="F54" s="19">
        <f t="shared" si="13"/>
        <v>792.09366323802044</v>
      </c>
      <c r="G54" s="19">
        <f t="shared" si="13"/>
        <v>747.25817286605684</v>
      </c>
      <c r="H54" s="19">
        <f t="shared" si="13"/>
        <v>704.96054043967627</v>
      </c>
      <c r="I54" s="19">
        <f t="shared" si="13"/>
        <v>665.05711362233603</v>
      </c>
      <c r="J54" s="19">
        <f t="shared" si="13"/>
        <v>627.41237134182654</v>
      </c>
      <c r="K54" s="19">
        <f t="shared" si="13"/>
        <v>591.89846353002497</v>
      </c>
      <c r="L54" s="19">
        <f t="shared" si="13"/>
        <v>558.39477691511786</v>
      </c>
      <c r="M54" s="19">
        <f t="shared" si="13"/>
        <v>526.78752539162053</v>
      </c>
      <c r="N54" s="19">
        <f t="shared" si="13"/>
        <v>496.96936357700048</v>
      </c>
      <c r="O54" s="19">
        <f t="shared" si="13"/>
        <v>468.83902224245327</v>
      </c>
      <c r="P54" s="19">
        <f t="shared" ref="P54:Z54" si="14">1000/(1+$C$50)^P10</f>
        <v>442.30096437967291</v>
      </c>
      <c r="Q54" s="19">
        <f t="shared" si="14"/>
        <v>417.26506073554037</v>
      </c>
      <c r="R54" s="19">
        <f t="shared" si="14"/>
        <v>393.64628371277399</v>
      </c>
      <c r="S54" s="19">
        <f t="shared" si="14"/>
        <v>371.36441859695657</v>
      </c>
      <c r="T54" s="19">
        <f t="shared" si="14"/>
        <v>350.34379112920431</v>
      </c>
      <c r="U54" s="19">
        <f t="shared" si="14"/>
        <v>330.51301049924933</v>
      </c>
      <c r="V54" s="19">
        <f t="shared" si="14"/>
        <v>311.80472688608427</v>
      </c>
      <c r="W54" s="19">
        <f t="shared" si="14"/>
        <v>294.15540272272096</v>
      </c>
      <c r="X54" s="19">
        <f t="shared" si="14"/>
        <v>277.5050969082273</v>
      </c>
      <c r="Y54" s="19">
        <f t="shared" si="14"/>
        <v>261.79726123417669</v>
      </c>
      <c r="Z54" s="19">
        <f t="shared" si="14"/>
        <v>246.97854833412896</v>
      </c>
    </row>
    <row r="56" spans="2:26" x14ac:dyDescent="0.2">
      <c r="C56" s="19">
        <f>SUM(C53:AA53)</f>
        <v>376.51072583293518</v>
      </c>
    </row>
    <row r="57" spans="2:26" x14ac:dyDescent="0.2">
      <c r="C57" s="19">
        <f>+Z54</f>
        <v>246.97854833412896</v>
      </c>
    </row>
    <row r="58" spans="2:26" x14ac:dyDescent="0.2">
      <c r="C58" s="19">
        <f>SUM(C56:C57)</f>
        <v>623.4892741670642</v>
      </c>
    </row>
    <row r="60" spans="2:26" x14ac:dyDescent="0.2">
      <c r="C60" s="31">
        <v>0.375</v>
      </c>
    </row>
    <row r="61" spans="2:26" x14ac:dyDescent="0.2">
      <c r="C61" s="19">
        <v>68</v>
      </c>
    </row>
    <row r="62" spans="2:26" x14ac:dyDescent="0.2">
      <c r="C62" s="19">
        <f>+C61+C60</f>
        <v>68.375</v>
      </c>
    </row>
    <row r="64" spans="2:26" x14ac:dyDescent="0.2">
      <c r="B64" t="s">
        <v>164</v>
      </c>
      <c r="C64" s="19">
        <v>4</v>
      </c>
    </row>
    <row r="65" spans="2:5" x14ac:dyDescent="0.2">
      <c r="B65" t="s">
        <v>0</v>
      </c>
      <c r="C65" s="19">
        <v>1050</v>
      </c>
    </row>
    <row r="66" spans="2:5" x14ac:dyDescent="0.2">
      <c r="B66" t="s">
        <v>157</v>
      </c>
      <c r="C66" s="19">
        <v>1000</v>
      </c>
    </row>
    <row r="67" spans="2:5" x14ac:dyDescent="0.2">
      <c r="B67" t="s">
        <v>166</v>
      </c>
      <c r="E67" s="20"/>
    </row>
    <row r="68" spans="2:5" x14ac:dyDescent="0.2">
      <c r="B68" t="s">
        <v>165</v>
      </c>
      <c r="C68" s="19">
        <f>100+(1000-1050)/4</f>
        <v>87.5</v>
      </c>
    </row>
    <row r="69" spans="2:5" x14ac:dyDescent="0.2">
      <c r="C69" s="19">
        <f>(1000+1050)/2</f>
        <v>1025</v>
      </c>
    </row>
    <row r="70" spans="2:5" x14ac:dyDescent="0.2">
      <c r="C70" s="20">
        <f>+C68/C69</f>
        <v>8.5365853658536592E-2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FBF3-C687-F243-A6D8-C19B4C818BA0}">
  <dimension ref="B2:EW116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AS49" sqref="AS49"/>
    </sheetView>
  </sheetViews>
  <sheetFormatPr baseColWidth="10" defaultRowHeight="15" x14ac:dyDescent="0.2"/>
  <cols>
    <col min="1" max="1" width="3" style="3" customWidth="1"/>
    <col min="2" max="2" width="20.6640625" style="7" bestFit="1" customWidth="1"/>
    <col min="3" max="5" width="7.5" style="3" bestFit="1" customWidth="1"/>
    <col min="6" max="6" width="8.6640625" style="3" bestFit="1" customWidth="1"/>
    <col min="7" max="7" width="9.1640625" style="3" bestFit="1" customWidth="1"/>
    <col min="8" max="13" width="8.6640625" style="3" bestFit="1" customWidth="1"/>
    <col min="14" max="14" width="8.5" style="3" bestFit="1" customWidth="1"/>
    <col min="15" max="15" width="8.6640625" style="3" bestFit="1" customWidth="1"/>
    <col min="16" max="16" width="10.33203125" style="3" bestFit="1" customWidth="1"/>
    <col min="17" max="17" width="8.83203125" style="3" customWidth="1"/>
    <col min="18" max="18" width="8.5" style="3" customWidth="1"/>
    <col min="19" max="22" width="6" style="3" bestFit="1" customWidth="1"/>
    <col min="23" max="24" width="8.5" style="3" customWidth="1"/>
    <col min="25" max="25" width="10.83203125" style="3"/>
    <col min="26" max="26" width="5.83203125" style="3" bestFit="1" customWidth="1"/>
    <col min="27" max="41" width="8.6640625" style="3" bestFit="1" customWidth="1"/>
    <col min="42" max="44" width="8.5" style="3" bestFit="1" customWidth="1"/>
    <col min="45" max="45" width="8.83203125" style="3" bestFit="1" customWidth="1"/>
    <col min="46" max="46" width="10" style="3" bestFit="1" customWidth="1"/>
    <col min="47" max="47" width="8.5" style="3" bestFit="1" customWidth="1"/>
    <col min="48" max="48" width="8.6640625" style="3" bestFit="1" customWidth="1"/>
    <col min="49" max="153" width="8.5" style="3" bestFit="1" customWidth="1"/>
    <col min="154" max="16384" width="10.83203125" style="3"/>
  </cols>
  <sheetData>
    <row r="2" spans="2:43" s="15" customFormat="1" x14ac:dyDescent="0.2">
      <c r="B2" s="14"/>
      <c r="C2" s="15" t="s">
        <v>6</v>
      </c>
      <c r="D2" s="15" t="s">
        <v>7</v>
      </c>
      <c r="E2" s="15" t="s">
        <v>8</v>
      </c>
      <c r="F2" s="15" t="s">
        <v>9</v>
      </c>
      <c r="G2" s="15" t="s">
        <v>10</v>
      </c>
      <c r="H2" s="15" t="s">
        <v>11</v>
      </c>
      <c r="I2" s="15" t="s">
        <v>12</v>
      </c>
      <c r="J2" s="15" t="s">
        <v>13</v>
      </c>
      <c r="K2" s="15" t="s">
        <v>14</v>
      </c>
      <c r="L2" s="15" t="s">
        <v>15</v>
      </c>
      <c r="M2" s="15" t="s">
        <v>16</v>
      </c>
      <c r="N2" s="15" t="s">
        <v>17</v>
      </c>
      <c r="O2" s="15" t="s">
        <v>199</v>
      </c>
      <c r="P2" s="15" t="s">
        <v>200</v>
      </c>
      <c r="Q2" s="15" t="s">
        <v>201</v>
      </c>
      <c r="R2" s="15" t="s">
        <v>202</v>
      </c>
      <c r="S2" s="15" t="s">
        <v>227</v>
      </c>
      <c r="T2" s="15" t="s">
        <v>228</v>
      </c>
      <c r="U2" s="15" t="s">
        <v>229</v>
      </c>
      <c r="V2" s="15" t="s">
        <v>230</v>
      </c>
      <c r="Z2" s="15">
        <v>2016</v>
      </c>
      <c r="AA2" s="15">
        <f>+Z2+1</f>
        <v>2017</v>
      </c>
      <c r="AB2" s="15">
        <f t="shared" ref="AB2:AQ2" si="0">+AA2+1</f>
        <v>2018</v>
      </c>
      <c r="AC2" s="15">
        <f t="shared" si="0"/>
        <v>2019</v>
      </c>
      <c r="AD2" s="15">
        <f t="shared" si="0"/>
        <v>2020</v>
      </c>
      <c r="AE2" s="15">
        <f t="shared" si="0"/>
        <v>2021</v>
      </c>
      <c r="AF2" s="15">
        <f t="shared" si="0"/>
        <v>2022</v>
      </c>
      <c r="AG2" s="15">
        <f t="shared" si="0"/>
        <v>2023</v>
      </c>
      <c r="AH2" s="15">
        <f t="shared" si="0"/>
        <v>2024</v>
      </c>
      <c r="AI2" s="15">
        <f t="shared" si="0"/>
        <v>2025</v>
      </c>
      <c r="AJ2" s="15">
        <f t="shared" si="0"/>
        <v>2026</v>
      </c>
      <c r="AK2" s="15">
        <f t="shared" si="0"/>
        <v>2027</v>
      </c>
      <c r="AL2" s="15">
        <f t="shared" si="0"/>
        <v>2028</v>
      </c>
      <c r="AM2" s="15">
        <f t="shared" si="0"/>
        <v>2029</v>
      </c>
      <c r="AN2" s="15">
        <f t="shared" si="0"/>
        <v>2030</v>
      </c>
      <c r="AO2" s="15">
        <f t="shared" si="0"/>
        <v>2031</v>
      </c>
      <c r="AP2" s="15">
        <f t="shared" si="0"/>
        <v>2032</v>
      </c>
      <c r="AQ2" s="15">
        <f t="shared" si="0"/>
        <v>2033</v>
      </c>
    </row>
    <row r="3" spans="2:43" s="4" customFormat="1" x14ac:dyDescent="0.2">
      <c r="B3" s="7" t="s">
        <v>32</v>
      </c>
      <c r="C3" s="4">
        <v>24502</v>
      </c>
      <c r="D3" s="4">
        <v>21319</v>
      </c>
      <c r="E3" s="4">
        <v>26338</v>
      </c>
      <c r="F3" s="13">
        <f t="shared" ref="F3:F24" si="1">+AD3-SUM(C3:E3)</f>
        <v>31903</v>
      </c>
      <c r="G3" s="4">
        <v>31879</v>
      </c>
      <c r="H3" s="4">
        <v>35845</v>
      </c>
      <c r="I3" s="4">
        <v>37926</v>
      </c>
      <c r="J3" s="4">
        <f t="shared" ref="J3:J24" si="2">+AE3-SUM(G3:I3)</f>
        <v>43301</v>
      </c>
      <c r="K3" s="4">
        <v>39618</v>
      </c>
      <c r="L3" s="4">
        <v>40689</v>
      </c>
      <c r="M3" s="4">
        <v>39539</v>
      </c>
      <c r="N3" s="4">
        <f>+AF3-SUM(K3:M3)</f>
        <v>42604</v>
      </c>
      <c r="O3" s="4">
        <v>40359</v>
      </c>
      <c r="P3" s="4">
        <v>42628</v>
      </c>
      <c r="Q3" s="4">
        <v>44026</v>
      </c>
      <c r="R3" s="4">
        <v>48020</v>
      </c>
      <c r="Y3" s="63"/>
      <c r="AA3" s="4">
        <v>69811</v>
      </c>
      <c r="AB3" s="4">
        <v>82296</v>
      </c>
      <c r="AC3" s="4">
        <v>98115</v>
      </c>
      <c r="AD3" s="4">
        <v>104062</v>
      </c>
      <c r="AE3" s="4">
        <v>148951</v>
      </c>
      <c r="AF3" s="4">
        <v>162450</v>
      </c>
      <c r="AG3" s="4">
        <v>175033</v>
      </c>
      <c r="AH3" s="4">
        <f>+AG3*1.05</f>
        <v>183784.65</v>
      </c>
      <c r="AI3" s="4">
        <f t="shared" ref="AI3:AQ3" si="3">+AH3*1.05</f>
        <v>192973.88250000001</v>
      </c>
      <c r="AJ3" s="4">
        <f t="shared" si="3"/>
        <v>202622.57662500002</v>
      </c>
      <c r="AK3" s="4">
        <f t="shared" si="3"/>
        <v>212753.70545625003</v>
      </c>
      <c r="AL3" s="4">
        <f t="shared" si="3"/>
        <v>223391.39072906255</v>
      </c>
      <c r="AM3" s="4">
        <f t="shared" si="3"/>
        <v>234560.96026551569</v>
      </c>
      <c r="AN3" s="4">
        <f t="shared" si="3"/>
        <v>246289.0082787915</v>
      </c>
      <c r="AO3" s="4">
        <f t="shared" si="3"/>
        <v>258603.45869273107</v>
      </c>
      <c r="AP3" s="4">
        <f t="shared" si="3"/>
        <v>271533.63162736763</v>
      </c>
      <c r="AQ3" s="4">
        <f t="shared" si="3"/>
        <v>285110.31320873601</v>
      </c>
    </row>
    <row r="4" spans="2:43" s="4" customFormat="1" x14ac:dyDescent="0.2">
      <c r="B4" s="7" t="s">
        <v>198</v>
      </c>
      <c r="C4" s="4">
        <v>4038</v>
      </c>
      <c r="D4" s="4">
        <v>3812</v>
      </c>
      <c r="E4" s="4">
        <v>5037</v>
      </c>
      <c r="F4" s="13">
        <f t="shared" si="1"/>
        <v>6885</v>
      </c>
      <c r="G4" s="4">
        <v>6005</v>
      </c>
      <c r="H4" s="4">
        <v>7002</v>
      </c>
      <c r="I4" s="4">
        <v>7205</v>
      </c>
      <c r="J4" s="4">
        <f t="shared" si="2"/>
        <v>8633</v>
      </c>
      <c r="K4" s="4">
        <v>6869</v>
      </c>
      <c r="L4" s="4">
        <v>7340</v>
      </c>
      <c r="M4" s="4">
        <v>7071</v>
      </c>
      <c r="N4" s="4">
        <f t="shared" ref="N4:N24" si="4">+AF4-SUM(K4:M4)</f>
        <v>7963</v>
      </c>
      <c r="O4" s="4">
        <v>6693</v>
      </c>
      <c r="P4" s="4">
        <v>7665</v>
      </c>
      <c r="Q4" s="4">
        <v>7952</v>
      </c>
      <c r="R4" s="4">
        <v>9200</v>
      </c>
      <c r="AA4" s="4">
        <v>8150</v>
      </c>
      <c r="AB4" s="4">
        <v>11155</v>
      </c>
      <c r="AC4" s="4">
        <v>15149</v>
      </c>
      <c r="AD4" s="4">
        <v>19772</v>
      </c>
      <c r="AE4" s="4">
        <v>28845</v>
      </c>
      <c r="AF4" s="4">
        <v>29243</v>
      </c>
      <c r="AG4" s="4">
        <v>31510</v>
      </c>
      <c r="AH4" s="4">
        <f>+AG4*1.05</f>
        <v>33085.5</v>
      </c>
      <c r="AI4" s="4">
        <f t="shared" ref="AI4:AQ4" si="5">+AH4*1.05</f>
        <v>34739.775000000001</v>
      </c>
      <c r="AJ4" s="4">
        <f t="shared" si="5"/>
        <v>36476.763750000006</v>
      </c>
      <c r="AK4" s="4">
        <f t="shared" si="5"/>
        <v>38300.601937500011</v>
      </c>
      <c r="AL4" s="4">
        <f t="shared" si="5"/>
        <v>40215.632034375012</v>
      </c>
      <c r="AM4" s="4">
        <f t="shared" si="5"/>
        <v>42226.413636093763</v>
      </c>
      <c r="AN4" s="4">
        <f t="shared" si="5"/>
        <v>44337.734317898452</v>
      </c>
      <c r="AO4" s="4">
        <f t="shared" si="5"/>
        <v>46554.621033793373</v>
      </c>
      <c r="AP4" s="4">
        <f t="shared" si="5"/>
        <v>48882.352085483042</v>
      </c>
      <c r="AQ4" s="4">
        <f t="shared" si="5"/>
        <v>51326.469689757199</v>
      </c>
    </row>
    <row r="5" spans="2:43" s="4" customFormat="1" x14ac:dyDescent="0.2">
      <c r="B5" s="7" t="s">
        <v>33</v>
      </c>
      <c r="C5" s="4">
        <v>5223</v>
      </c>
      <c r="D5" s="4">
        <v>4736</v>
      </c>
      <c r="E5" s="4">
        <v>5720</v>
      </c>
      <c r="F5" s="13">
        <f t="shared" si="1"/>
        <v>7411</v>
      </c>
      <c r="G5" s="4">
        <v>6800</v>
      </c>
      <c r="H5" s="4">
        <v>7597</v>
      </c>
      <c r="I5" s="4">
        <v>7999</v>
      </c>
      <c r="J5" s="4">
        <f t="shared" si="2"/>
        <v>9305</v>
      </c>
      <c r="K5" s="4">
        <v>8174</v>
      </c>
      <c r="L5" s="4">
        <v>8259</v>
      </c>
      <c r="M5" s="4">
        <v>7872</v>
      </c>
      <c r="N5" s="4">
        <f t="shared" si="4"/>
        <v>8475</v>
      </c>
      <c r="O5" s="4">
        <v>7496</v>
      </c>
      <c r="P5" s="4">
        <v>7850</v>
      </c>
      <c r="Q5" s="4">
        <v>7669</v>
      </c>
      <c r="R5" s="4">
        <v>8297</v>
      </c>
      <c r="AA5" s="4">
        <v>17616</v>
      </c>
      <c r="AB5" s="4">
        <v>20010</v>
      </c>
      <c r="AC5" s="4">
        <v>21547</v>
      </c>
      <c r="AD5" s="4">
        <v>23090</v>
      </c>
      <c r="AE5" s="4">
        <v>31701</v>
      </c>
      <c r="AF5" s="4">
        <v>32780</v>
      </c>
      <c r="AG5" s="4">
        <v>31312</v>
      </c>
      <c r="AH5" s="4">
        <f>+AG5*1.01</f>
        <v>31625.119999999999</v>
      </c>
      <c r="AI5" s="4">
        <f t="shared" ref="AI5:AQ5" si="6">+AH5*1.01</f>
        <v>31941.371199999998</v>
      </c>
      <c r="AJ5" s="4">
        <f t="shared" si="6"/>
        <v>32260.784911999999</v>
      </c>
      <c r="AK5" s="4">
        <f t="shared" si="6"/>
        <v>32583.392761119998</v>
      </c>
      <c r="AL5" s="4">
        <f t="shared" si="6"/>
        <v>32909.2266887312</v>
      </c>
      <c r="AM5" s="4">
        <f t="shared" si="6"/>
        <v>33238.31895561851</v>
      </c>
      <c r="AN5" s="4">
        <f t="shared" si="6"/>
        <v>33570.702145174699</v>
      </c>
      <c r="AO5" s="4">
        <f t="shared" si="6"/>
        <v>33906.409166626443</v>
      </c>
      <c r="AP5" s="4">
        <f t="shared" si="6"/>
        <v>34245.47325829271</v>
      </c>
      <c r="AQ5" s="4">
        <f t="shared" si="6"/>
        <v>34587.927990875636</v>
      </c>
    </row>
    <row r="6" spans="2:43" s="9" customFormat="1" x14ac:dyDescent="0.2">
      <c r="B6" s="8" t="s">
        <v>208</v>
      </c>
      <c r="C6" s="9">
        <f>+SUM(C3:C5)</f>
        <v>33763</v>
      </c>
      <c r="D6" s="9">
        <f t="shared" ref="D6:R6" si="7">+SUM(D3:D5)</f>
        <v>29867</v>
      </c>
      <c r="E6" s="9">
        <f t="shared" si="7"/>
        <v>37095</v>
      </c>
      <c r="F6" s="9">
        <f t="shared" si="7"/>
        <v>46199</v>
      </c>
      <c r="G6" s="9">
        <f t="shared" si="7"/>
        <v>44684</v>
      </c>
      <c r="H6" s="9">
        <f t="shared" si="7"/>
        <v>50444</v>
      </c>
      <c r="I6" s="9">
        <f t="shared" si="7"/>
        <v>53130</v>
      </c>
      <c r="J6" s="9">
        <f t="shared" si="7"/>
        <v>61239</v>
      </c>
      <c r="K6" s="9">
        <f t="shared" si="7"/>
        <v>54661</v>
      </c>
      <c r="L6" s="9">
        <f t="shared" si="7"/>
        <v>56288</v>
      </c>
      <c r="M6" s="9">
        <f t="shared" si="7"/>
        <v>54482</v>
      </c>
      <c r="N6" s="9">
        <f t="shared" si="7"/>
        <v>59042</v>
      </c>
      <c r="O6" s="9">
        <f t="shared" si="7"/>
        <v>54548</v>
      </c>
      <c r="P6" s="9">
        <f t="shared" si="7"/>
        <v>58143</v>
      </c>
      <c r="Q6" s="9">
        <f t="shared" si="7"/>
        <v>59647</v>
      </c>
      <c r="R6" s="9">
        <f t="shared" si="7"/>
        <v>65517</v>
      </c>
      <c r="AA6" s="9">
        <f t="shared" ref="AA6" si="8">+SUM(AA3:AA5)</f>
        <v>95577</v>
      </c>
      <c r="AB6" s="9">
        <f t="shared" ref="AB6" si="9">+SUM(AB3:AB5)</f>
        <v>113461</v>
      </c>
      <c r="AC6" s="9">
        <f t="shared" ref="AC6" si="10">+SUM(AC3:AC5)</f>
        <v>134811</v>
      </c>
      <c r="AD6" s="9">
        <f t="shared" ref="AD6" si="11">+SUM(AD3:AD5)</f>
        <v>146924</v>
      </c>
      <c r="AE6" s="9">
        <f t="shared" ref="AE6" si="12">+SUM(AE3:AE5)</f>
        <v>209497</v>
      </c>
      <c r="AF6" s="9">
        <f t="shared" ref="AF6" si="13">+SUM(AF3:AF5)</f>
        <v>224473</v>
      </c>
      <c r="AG6" s="9">
        <f t="shared" ref="AG6" si="14">+SUM(AG3:AG5)</f>
        <v>237855</v>
      </c>
      <c r="AH6" s="9">
        <f t="shared" ref="AH6" si="15">+SUM(AH3:AH5)</f>
        <v>248495.27</v>
      </c>
      <c r="AI6" s="9">
        <f t="shared" ref="AI6" si="16">+SUM(AI3:AI5)</f>
        <v>259655.0287</v>
      </c>
      <c r="AJ6" s="9">
        <f t="shared" ref="AJ6" si="17">+SUM(AJ3:AJ5)</f>
        <v>271360.12528700003</v>
      </c>
      <c r="AK6" s="9">
        <f t="shared" ref="AK6" si="18">+SUM(AK3:AK5)</f>
        <v>283637.70015487005</v>
      </c>
      <c r="AL6" s="9">
        <f t="shared" ref="AL6" si="19">+SUM(AL3:AL5)</f>
        <v>296516.24945216882</v>
      </c>
      <c r="AM6" s="9">
        <f t="shared" ref="AM6" si="20">+SUM(AM3:AM5)</f>
        <v>310025.69285722799</v>
      </c>
      <c r="AN6" s="9">
        <f t="shared" ref="AN6" si="21">+SUM(AN3:AN5)</f>
        <v>324197.44474186469</v>
      </c>
      <c r="AO6" s="9">
        <f t="shared" ref="AO6" si="22">+SUM(AO3:AO5)</f>
        <v>339064.48889315088</v>
      </c>
      <c r="AP6" s="9">
        <f t="shared" ref="AP6:AQ6" si="23">+SUM(AP3:AP5)</f>
        <v>354661.45697114337</v>
      </c>
      <c r="AQ6" s="9">
        <f t="shared" si="23"/>
        <v>371024.71088936884</v>
      </c>
    </row>
    <row r="7" spans="2:43" s="4" customFormat="1" x14ac:dyDescent="0.2">
      <c r="B7" s="7" t="s">
        <v>34</v>
      </c>
      <c r="C7" s="4">
        <v>4435</v>
      </c>
      <c r="D7" s="4">
        <v>5124</v>
      </c>
      <c r="E7" s="4">
        <v>5478</v>
      </c>
      <c r="F7" s="13">
        <f t="shared" si="1"/>
        <v>6674</v>
      </c>
      <c r="G7" s="4">
        <v>6494</v>
      </c>
      <c r="H7" s="4">
        <v>6623</v>
      </c>
      <c r="I7" s="4">
        <v>6754</v>
      </c>
      <c r="J7" s="4">
        <f t="shared" si="2"/>
        <v>8161</v>
      </c>
      <c r="K7" s="4">
        <v>6811</v>
      </c>
      <c r="L7" s="4">
        <v>6553</v>
      </c>
      <c r="M7" s="4">
        <v>6895</v>
      </c>
      <c r="N7" s="4">
        <f t="shared" si="4"/>
        <v>8796</v>
      </c>
      <c r="O7" s="4">
        <v>7413</v>
      </c>
      <c r="P7" s="4">
        <v>8142</v>
      </c>
      <c r="Q7" s="4">
        <v>8339</v>
      </c>
      <c r="R7" s="4">
        <v>10794</v>
      </c>
      <c r="AA7" s="4">
        <v>4056</v>
      </c>
      <c r="AB7" s="4">
        <v>5838</v>
      </c>
      <c r="AC7" s="4">
        <v>17014</v>
      </c>
      <c r="AD7" s="4">
        <v>21711</v>
      </c>
      <c r="AE7" s="4">
        <v>28032</v>
      </c>
      <c r="AF7" s="4">
        <v>29055</v>
      </c>
      <c r="AG7" s="4">
        <v>34688</v>
      </c>
      <c r="AH7" s="4">
        <f>+AG7*1.01</f>
        <v>35034.879999999997</v>
      </c>
      <c r="AI7" s="4">
        <f t="shared" ref="AI7:AQ7" si="24">+AH7*1.01</f>
        <v>35385.228799999997</v>
      </c>
      <c r="AJ7" s="4">
        <f t="shared" si="24"/>
        <v>35739.081087999999</v>
      </c>
      <c r="AK7" s="4">
        <f t="shared" si="24"/>
        <v>36096.471898880001</v>
      </c>
      <c r="AL7" s="4">
        <f t="shared" si="24"/>
        <v>36457.4366178688</v>
      </c>
      <c r="AM7" s="4">
        <f t="shared" si="24"/>
        <v>36822.010984047491</v>
      </c>
      <c r="AN7" s="4">
        <f t="shared" si="24"/>
        <v>37190.231093887967</v>
      </c>
      <c r="AO7" s="4">
        <f t="shared" si="24"/>
        <v>37562.133404826847</v>
      </c>
      <c r="AP7" s="4">
        <f t="shared" si="24"/>
        <v>37937.754738875119</v>
      </c>
      <c r="AQ7" s="4">
        <f t="shared" si="24"/>
        <v>38317.13228626387</v>
      </c>
    </row>
    <row r="8" spans="2:43" s="9" customFormat="1" x14ac:dyDescent="0.2">
      <c r="B8" s="8" t="s">
        <v>207</v>
      </c>
      <c r="C8" s="9">
        <f>+SUM(C6:C7)</f>
        <v>38198</v>
      </c>
      <c r="D8" s="9">
        <f t="shared" ref="D8:R8" si="25">+SUM(D6:D7)</f>
        <v>34991</v>
      </c>
      <c r="E8" s="9">
        <f t="shared" si="25"/>
        <v>42573</v>
      </c>
      <c r="F8" s="9">
        <f t="shared" si="25"/>
        <v>52873</v>
      </c>
      <c r="G8" s="9">
        <f t="shared" si="25"/>
        <v>51178</v>
      </c>
      <c r="H8" s="9">
        <f t="shared" si="25"/>
        <v>57067</v>
      </c>
      <c r="I8" s="9">
        <f t="shared" si="25"/>
        <v>59884</v>
      </c>
      <c r="J8" s="9">
        <f t="shared" si="25"/>
        <v>69400</v>
      </c>
      <c r="K8" s="9">
        <f t="shared" si="25"/>
        <v>61472</v>
      </c>
      <c r="L8" s="9">
        <f t="shared" si="25"/>
        <v>62841</v>
      </c>
      <c r="M8" s="9">
        <f t="shared" si="25"/>
        <v>61377</v>
      </c>
      <c r="N8" s="9">
        <f t="shared" si="25"/>
        <v>67838</v>
      </c>
      <c r="O8" s="9">
        <f t="shared" si="25"/>
        <v>61961</v>
      </c>
      <c r="P8" s="9">
        <f t="shared" si="25"/>
        <v>66285</v>
      </c>
      <c r="Q8" s="9">
        <f t="shared" si="25"/>
        <v>67986</v>
      </c>
      <c r="R8" s="9">
        <f t="shared" si="25"/>
        <v>76311</v>
      </c>
      <c r="AA8" s="9">
        <f t="shared" ref="AA8" si="26">+SUM(AA6:AA7)</f>
        <v>99633</v>
      </c>
      <c r="AB8" s="9">
        <f t="shared" ref="AB8" si="27">+SUM(AB6:AB7)</f>
        <v>119299</v>
      </c>
      <c r="AC8" s="9">
        <f t="shared" ref="AC8" si="28">+SUM(AC6:AC7)</f>
        <v>151825</v>
      </c>
      <c r="AD8" s="9">
        <f t="shared" ref="AD8" si="29">+SUM(AD6:AD7)</f>
        <v>168635</v>
      </c>
      <c r="AE8" s="9">
        <f t="shared" ref="AE8" si="30">+SUM(AE6:AE7)</f>
        <v>237529</v>
      </c>
      <c r="AF8" s="9">
        <f t="shared" ref="AF8" si="31">+SUM(AF6:AF7)</f>
        <v>253528</v>
      </c>
      <c r="AG8" s="9">
        <f t="shared" ref="AG8" si="32">+SUM(AG6:AG7)</f>
        <v>272543</v>
      </c>
      <c r="AH8" s="9">
        <f t="shared" ref="AH8" si="33">+SUM(AH6:AH7)</f>
        <v>283530.14999999997</v>
      </c>
      <c r="AI8" s="9">
        <f t="shared" ref="AI8" si="34">+SUM(AI6:AI7)</f>
        <v>295040.25750000001</v>
      </c>
      <c r="AJ8" s="9">
        <f t="shared" ref="AJ8" si="35">+SUM(AJ6:AJ7)</f>
        <v>307099.20637500001</v>
      </c>
      <c r="AK8" s="9">
        <f t="shared" ref="AK8" si="36">+SUM(AK6:AK7)</f>
        <v>319734.17205375002</v>
      </c>
      <c r="AL8" s="9">
        <f t="shared" ref="AL8" si="37">+SUM(AL6:AL7)</f>
        <v>332973.6860700376</v>
      </c>
      <c r="AM8" s="9">
        <f t="shared" ref="AM8" si="38">+SUM(AM6:AM7)</f>
        <v>346847.70384127548</v>
      </c>
      <c r="AN8" s="9">
        <f t="shared" ref="AN8" si="39">+SUM(AN6:AN7)</f>
        <v>361387.67583575263</v>
      </c>
      <c r="AO8" s="9">
        <f t="shared" ref="AO8" si="40">+SUM(AO6:AO7)</f>
        <v>376626.62229797774</v>
      </c>
      <c r="AP8" s="9">
        <f t="shared" ref="AP8:AQ8" si="41">+SUM(AP6:AP7)</f>
        <v>392599.21171001851</v>
      </c>
      <c r="AQ8" s="9">
        <f t="shared" si="41"/>
        <v>409341.8431756327</v>
      </c>
    </row>
    <row r="9" spans="2:43" s="4" customFormat="1" x14ac:dyDescent="0.2">
      <c r="B9" s="7" t="s">
        <v>35</v>
      </c>
      <c r="C9" s="4">
        <v>2777</v>
      </c>
      <c r="D9" s="4">
        <v>3007</v>
      </c>
      <c r="E9" s="4">
        <v>3444</v>
      </c>
      <c r="F9" s="13">
        <f t="shared" si="1"/>
        <v>3831</v>
      </c>
      <c r="G9" s="4">
        <v>4047</v>
      </c>
      <c r="H9" s="4">
        <v>4628</v>
      </c>
      <c r="I9" s="4">
        <v>4990</v>
      </c>
      <c r="J9" s="4">
        <f t="shared" si="2"/>
        <v>5541</v>
      </c>
      <c r="K9" s="4">
        <v>5821</v>
      </c>
      <c r="L9" s="4">
        <v>6276</v>
      </c>
      <c r="M9" s="4">
        <v>6868</v>
      </c>
      <c r="N9" s="4">
        <f t="shared" si="4"/>
        <v>7315</v>
      </c>
      <c r="O9" s="4">
        <v>7454</v>
      </c>
      <c r="P9" s="4">
        <v>8031</v>
      </c>
      <c r="Q9" s="4">
        <v>8411</v>
      </c>
      <c r="R9" s="4">
        <v>9192</v>
      </c>
      <c r="AA9" s="4">
        <v>10914</v>
      </c>
      <c r="AB9" s="4">
        <v>14063</v>
      </c>
      <c r="AC9" s="4">
        <v>8918</v>
      </c>
      <c r="AD9" s="4">
        <v>13059</v>
      </c>
      <c r="AE9" s="4">
        <v>19206</v>
      </c>
      <c r="AF9" s="4">
        <v>26280</v>
      </c>
      <c r="AG9" s="4">
        <v>33088</v>
      </c>
      <c r="AH9" s="4">
        <f>+AG9*1.28</f>
        <v>42352.639999999999</v>
      </c>
      <c r="AI9" s="4">
        <f>+AH9*1.25</f>
        <v>52940.800000000003</v>
      </c>
      <c r="AJ9" s="4">
        <f>+AI9*1.2</f>
        <v>63528.959999999999</v>
      </c>
      <c r="AK9" s="4">
        <f>+AJ9*1.15</f>
        <v>73058.303999999989</v>
      </c>
      <c r="AL9" s="4">
        <f t="shared" ref="AL9:AQ9" si="42">+AK9*1.15</f>
        <v>84017.049599999984</v>
      </c>
      <c r="AM9" s="4">
        <f>+AL9*1.15</f>
        <v>96619.607039999973</v>
      </c>
      <c r="AN9" s="4">
        <f>+AM9*1.15</f>
        <v>111112.54809599995</v>
      </c>
      <c r="AO9" s="4">
        <f t="shared" si="42"/>
        <v>127779.43031039994</v>
      </c>
      <c r="AP9" s="4">
        <f t="shared" si="42"/>
        <v>146946.34485695991</v>
      </c>
      <c r="AQ9" s="4">
        <f t="shared" si="42"/>
        <v>168988.29658550388</v>
      </c>
    </row>
    <row r="10" spans="2:43" s="4" customFormat="1" x14ac:dyDescent="0.2">
      <c r="B10" s="7" t="s">
        <v>36</v>
      </c>
      <c r="C10" s="4">
        <v>135</v>
      </c>
      <c r="D10" s="4">
        <v>148</v>
      </c>
      <c r="E10" s="4">
        <v>178</v>
      </c>
      <c r="F10" s="13">
        <f t="shared" si="1"/>
        <v>196</v>
      </c>
      <c r="G10" s="4">
        <v>198</v>
      </c>
      <c r="H10" s="4">
        <v>192</v>
      </c>
      <c r="I10" s="4">
        <v>182</v>
      </c>
      <c r="J10" s="4">
        <f t="shared" si="2"/>
        <v>181</v>
      </c>
      <c r="K10" s="4">
        <v>440</v>
      </c>
      <c r="L10" s="4">
        <v>193</v>
      </c>
      <c r="M10" s="4">
        <v>209</v>
      </c>
      <c r="N10" s="4">
        <f t="shared" si="4"/>
        <v>226</v>
      </c>
      <c r="O10" s="4">
        <v>288</v>
      </c>
      <c r="P10" s="4">
        <v>285</v>
      </c>
      <c r="Q10" s="4">
        <v>297</v>
      </c>
      <c r="R10" s="4">
        <v>657</v>
      </c>
      <c r="AA10" s="4">
        <v>477</v>
      </c>
      <c r="AB10" s="4">
        <v>595</v>
      </c>
      <c r="AC10" s="4">
        <v>659</v>
      </c>
      <c r="AD10" s="4">
        <v>657</v>
      </c>
      <c r="AE10" s="4">
        <v>753</v>
      </c>
      <c r="AF10" s="4">
        <v>1068</v>
      </c>
      <c r="AG10" s="4">
        <v>1527</v>
      </c>
      <c r="AH10" s="4">
        <f>+AG10*1.01</f>
        <v>1542.27</v>
      </c>
      <c r="AI10" s="4">
        <f t="shared" ref="AI10:AQ10" si="43">+AH10*1.01</f>
        <v>1557.6927000000001</v>
      </c>
      <c r="AJ10" s="4">
        <f t="shared" si="43"/>
        <v>1573.2696270000001</v>
      </c>
      <c r="AK10" s="4">
        <f t="shared" si="43"/>
        <v>1589.00232327</v>
      </c>
      <c r="AL10" s="4">
        <f t="shared" si="43"/>
        <v>1604.8923465027001</v>
      </c>
      <c r="AM10" s="4">
        <f t="shared" si="43"/>
        <v>1620.9412699677271</v>
      </c>
      <c r="AN10" s="4">
        <f t="shared" si="43"/>
        <v>1637.1506826674045</v>
      </c>
      <c r="AO10" s="4">
        <f t="shared" si="43"/>
        <v>1653.5221894940785</v>
      </c>
      <c r="AP10" s="4">
        <f t="shared" si="43"/>
        <v>1670.0574113890193</v>
      </c>
      <c r="AQ10" s="4">
        <f t="shared" si="43"/>
        <v>1686.7579855029096</v>
      </c>
    </row>
    <row r="11" spans="2:43" s="4" customFormat="1" x14ac:dyDescent="0.2">
      <c r="B11" s="7" t="s">
        <v>37</v>
      </c>
      <c r="C11" s="4">
        <v>49</v>
      </c>
      <c r="D11" s="4">
        <v>151</v>
      </c>
      <c r="E11" s="4">
        <v>-22</v>
      </c>
      <c r="F11" s="13">
        <f t="shared" si="1"/>
        <v>-2</v>
      </c>
      <c r="G11" s="4">
        <v>-109</v>
      </c>
      <c r="H11" s="4">
        <v>-7</v>
      </c>
      <c r="I11" s="4">
        <v>62</v>
      </c>
      <c r="J11" s="4">
        <f t="shared" si="2"/>
        <v>203</v>
      </c>
      <c r="K11" s="4">
        <v>278</v>
      </c>
      <c r="L11" s="4">
        <v>375</v>
      </c>
      <c r="M11" s="4">
        <v>638</v>
      </c>
      <c r="N11" s="4">
        <f t="shared" si="4"/>
        <v>669</v>
      </c>
      <c r="O11" s="4">
        <v>84</v>
      </c>
      <c r="P11" s="4">
        <v>3</v>
      </c>
      <c r="Q11" s="4">
        <v>-1</v>
      </c>
      <c r="R11" s="4">
        <v>150</v>
      </c>
      <c r="AA11" s="4">
        <v>-169</v>
      </c>
      <c r="AB11" s="4">
        <v>-138</v>
      </c>
      <c r="AC11" s="4">
        <v>455</v>
      </c>
      <c r="AD11" s="4">
        <v>176</v>
      </c>
      <c r="AE11" s="4">
        <v>149</v>
      </c>
      <c r="AF11" s="4">
        <v>1960</v>
      </c>
      <c r="AG11" s="4">
        <v>236</v>
      </c>
    </row>
    <row r="12" spans="2:43" s="10" customFormat="1" x14ac:dyDescent="0.2">
      <c r="B12" s="8" t="s">
        <v>18</v>
      </c>
      <c r="C12" s="10">
        <f>+SUM(C8:C11)</f>
        <v>41159</v>
      </c>
      <c r="D12" s="10">
        <f t="shared" ref="D12:O12" si="44">+SUM(D8:D11)</f>
        <v>38297</v>
      </c>
      <c r="E12" s="10">
        <f t="shared" si="44"/>
        <v>46173</v>
      </c>
      <c r="F12" s="10">
        <f t="shared" si="44"/>
        <v>56898</v>
      </c>
      <c r="G12" s="10">
        <f t="shared" si="44"/>
        <v>55314</v>
      </c>
      <c r="H12" s="10">
        <f t="shared" si="44"/>
        <v>61880</v>
      </c>
      <c r="I12" s="10">
        <f t="shared" si="44"/>
        <v>65118</v>
      </c>
      <c r="J12" s="10">
        <f t="shared" si="44"/>
        <v>75325</v>
      </c>
      <c r="K12" s="10">
        <f t="shared" si="44"/>
        <v>68011</v>
      </c>
      <c r="L12" s="10">
        <f t="shared" si="44"/>
        <v>69685</v>
      </c>
      <c r="M12" s="10">
        <f t="shared" si="44"/>
        <v>69092</v>
      </c>
      <c r="N12" s="10">
        <f t="shared" si="44"/>
        <v>76048</v>
      </c>
      <c r="O12" s="9">
        <f t="shared" si="44"/>
        <v>69787</v>
      </c>
      <c r="P12" s="9">
        <f t="shared" ref="P12" si="45">+SUM(P8:P11)</f>
        <v>74604</v>
      </c>
      <c r="Q12" s="9">
        <f t="shared" ref="Q12" si="46">+SUM(Q8:Q11)</f>
        <v>76693</v>
      </c>
      <c r="R12" s="9">
        <f t="shared" ref="R12" si="47">+SUM(R8:R11)</f>
        <v>86310</v>
      </c>
      <c r="S12" s="9"/>
      <c r="T12" s="9"/>
      <c r="U12" s="9"/>
      <c r="V12" s="9"/>
      <c r="W12" s="9"/>
      <c r="X12" s="9"/>
      <c r="AA12" s="9">
        <f t="shared" ref="AA12" si="48">+SUM(AA8:AA11)</f>
        <v>110855</v>
      </c>
      <c r="AB12" s="9">
        <f t="shared" ref="AB12" si="49">+SUM(AB8:AB11)</f>
        <v>133819</v>
      </c>
      <c r="AC12" s="9">
        <f t="shared" ref="AC12" si="50">+SUM(AC8:AC11)</f>
        <v>161857</v>
      </c>
      <c r="AD12" s="9">
        <f t="shared" ref="AD12" si="51">+SUM(AD8:AD11)</f>
        <v>182527</v>
      </c>
      <c r="AE12" s="9">
        <f t="shared" ref="AE12" si="52">+SUM(AE8:AE11)</f>
        <v>257637</v>
      </c>
      <c r="AF12" s="9">
        <f t="shared" ref="AF12:AG12" si="53">+SUM(AF8:AF11)</f>
        <v>282836</v>
      </c>
      <c r="AG12" s="9">
        <f t="shared" si="53"/>
        <v>307394</v>
      </c>
      <c r="AH12" s="9">
        <f>+SUM(AH8:AH11)</f>
        <v>327425.06</v>
      </c>
      <c r="AI12" s="9">
        <f>+SUM(AI8:AI11)</f>
        <v>349538.75020000001</v>
      </c>
      <c r="AJ12" s="9">
        <f t="shared" ref="AJ12:AP12" si="54">+SUM(AJ8:AJ11)</f>
        <v>372201.436002</v>
      </c>
      <c r="AK12" s="9">
        <f t="shared" si="54"/>
        <v>394381.47837702004</v>
      </c>
      <c r="AL12" s="9">
        <f t="shared" si="54"/>
        <v>418595.62801654026</v>
      </c>
      <c r="AM12" s="9">
        <f t="shared" si="54"/>
        <v>445088.25215124316</v>
      </c>
      <c r="AN12" s="9">
        <f t="shared" si="54"/>
        <v>474137.37461442</v>
      </c>
      <c r="AO12" s="9">
        <f t="shared" si="54"/>
        <v>506059.57479787176</v>
      </c>
      <c r="AP12" s="9">
        <f t="shared" si="54"/>
        <v>541215.61397836753</v>
      </c>
      <c r="AQ12" s="9">
        <f t="shared" ref="AQ12" si="55">+SUM(AQ8:AQ11)</f>
        <v>580016.89774663956</v>
      </c>
    </row>
    <row r="13" spans="2:43" x14ac:dyDescent="0.2">
      <c r="B13" s="7" t="s">
        <v>19</v>
      </c>
      <c r="C13" s="3">
        <v>18982</v>
      </c>
      <c r="D13" s="3">
        <v>18553</v>
      </c>
      <c r="E13" s="3">
        <v>21117</v>
      </c>
      <c r="F13" s="13">
        <f t="shared" si="1"/>
        <v>26080</v>
      </c>
      <c r="G13" s="3">
        <v>24103</v>
      </c>
      <c r="H13" s="3">
        <v>26227</v>
      </c>
      <c r="I13" s="3">
        <v>27621</v>
      </c>
      <c r="J13" s="4">
        <f t="shared" si="2"/>
        <v>32988</v>
      </c>
      <c r="K13" s="3">
        <v>29599</v>
      </c>
      <c r="L13" s="3">
        <v>30104</v>
      </c>
      <c r="M13" s="3">
        <v>31158</v>
      </c>
      <c r="N13" s="4">
        <f t="shared" si="4"/>
        <v>35342</v>
      </c>
      <c r="O13" s="4">
        <v>30612</v>
      </c>
      <c r="P13" s="4">
        <v>31916</v>
      </c>
      <c r="Q13" s="4">
        <v>33229</v>
      </c>
      <c r="R13" s="4">
        <v>37575</v>
      </c>
      <c r="S13" s="4"/>
      <c r="T13" s="4"/>
      <c r="U13" s="4"/>
      <c r="V13" s="4"/>
      <c r="W13" s="4"/>
      <c r="X13" s="4"/>
      <c r="AC13" s="3">
        <v>71896</v>
      </c>
      <c r="AD13" s="3">
        <v>84732</v>
      </c>
      <c r="AE13" s="3">
        <v>110939</v>
      </c>
      <c r="AF13" s="4">
        <v>126203</v>
      </c>
      <c r="AG13" s="3">
        <f>SUM(O13:R13)</f>
        <v>133332</v>
      </c>
      <c r="AH13" s="3">
        <f>+AH$12*(AG13/AG$12)</f>
        <v>142020.46266329204</v>
      </c>
      <c r="AI13" s="3">
        <f t="shared" ref="AI13:AQ13" si="56">+AI$12*(AH13/AH$12)</f>
        <v>151612.26517650438</v>
      </c>
      <c r="AJ13" s="3">
        <f t="shared" si="56"/>
        <v>161442.19426865407</v>
      </c>
      <c r="AK13" s="3">
        <f t="shared" si="56"/>
        <v>171062.77700594292</v>
      </c>
      <c r="AL13" s="3">
        <f t="shared" si="56"/>
        <v>181565.65279316227</v>
      </c>
      <c r="AM13" s="3">
        <f t="shared" si="56"/>
        <v>193056.81579936345</v>
      </c>
      <c r="AN13" s="3">
        <f t="shared" si="56"/>
        <v>205656.85872882951</v>
      </c>
      <c r="AO13" s="3">
        <f t="shared" si="56"/>
        <v>219503.09774084663</v>
      </c>
      <c r="AP13" s="3">
        <f t="shared" si="56"/>
        <v>234752.01286610562</v>
      </c>
      <c r="AQ13" s="3">
        <f t="shared" si="56"/>
        <v>251582.05108217764</v>
      </c>
    </row>
    <row r="14" spans="2:43" x14ac:dyDescent="0.2">
      <c r="B14" s="7" t="s">
        <v>20</v>
      </c>
      <c r="C14" s="3">
        <v>6820</v>
      </c>
      <c r="D14" s="3">
        <v>6875</v>
      </c>
      <c r="E14" s="3">
        <v>6856</v>
      </c>
      <c r="F14" s="13">
        <f t="shared" si="1"/>
        <v>7022</v>
      </c>
      <c r="G14" s="3">
        <v>7485</v>
      </c>
      <c r="H14" s="3">
        <v>7675</v>
      </c>
      <c r="I14" s="3">
        <v>7694</v>
      </c>
      <c r="J14" s="4">
        <f t="shared" si="2"/>
        <v>8708</v>
      </c>
      <c r="K14" s="3">
        <v>9119</v>
      </c>
      <c r="L14" s="3">
        <v>9841</v>
      </c>
      <c r="M14" s="3">
        <v>10273</v>
      </c>
      <c r="N14" s="4">
        <f t="shared" si="4"/>
        <v>10267</v>
      </c>
      <c r="O14" s="4">
        <v>11468</v>
      </c>
      <c r="P14" s="4">
        <v>10588</v>
      </c>
      <c r="Q14" s="4">
        <v>11258</v>
      </c>
      <c r="R14" s="4">
        <v>12113</v>
      </c>
      <c r="S14" s="4"/>
      <c r="T14" s="4"/>
      <c r="U14" s="4"/>
      <c r="V14" s="4"/>
      <c r="W14" s="4"/>
      <c r="X14" s="4"/>
      <c r="Y14" s="6"/>
      <c r="AC14" s="3">
        <v>26018</v>
      </c>
      <c r="AD14" s="3">
        <v>27573</v>
      </c>
      <c r="AE14" s="3">
        <v>31562</v>
      </c>
      <c r="AF14" s="4">
        <v>39500</v>
      </c>
      <c r="AG14" s="3">
        <f>SUM(O14:R14)</f>
        <v>45427</v>
      </c>
      <c r="AH14" s="3">
        <f t="shared" ref="AH14:AQ16" si="57">+AH$12*(AG14/AG$12)</f>
        <v>48387.210552645789</v>
      </c>
      <c r="AI14" s="3">
        <f t="shared" si="57"/>
        <v>51655.194328241283</v>
      </c>
      <c r="AJ14" s="3">
        <f t="shared" si="57"/>
        <v>55004.309235908491</v>
      </c>
      <c r="AK14" s="3">
        <f t="shared" si="57"/>
        <v>58282.09860385333</v>
      </c>
      <c r="AL14" s="3">
        <f t="shared" si="57"/>
        <v>61860.490425666649</v>
      </c>
      <c r="AM14" s="3">
        <f t="shared" si="57"/>
        <v>65775.597540858056</v>
      </c>
      <c r="AN14" s="3">
        <f t="shared" si="57"/>
        <v>70068.506596125022</v>
      </c>
      <c r="AO14" s="3">
        <f t="shared" si="57"/>
        <v>74786.002018070998</v>
      </c>
      <c r="AP14" s="3">
        <f t="shared" si="57"/>
        <v>79981.397477489139</v>
      </c>
      <c r="AQ14" s="3">
        <f t="shared" si="57"/>
        <v>85715.490913734786</v>
      </c>
    </row>
    <row r="15" spans="2:43" x14ac:dyDescent="0.2">
      <c r="B15" s="7" t="s">
        <v>21</v>
      </c>
      <c r="C15" s="3">
        <v>4500</v>
      </c>
      <c r="D15" s="3">
        <v>3901</v>
      </c>
      <c r="E15" s="3">
        <v>4231</v>
      </c>
      <c r="F15" s="13">
        <f t="shared" si="1"/>
        <v>5314</v>
      </c>
      <c r="G15" s="3">
        <v>4516</v>
      </c>
      <c r="H15" s="3">
        <v>5276</v>
      </c>
      <c r="I15" s="3">
        <v>5516</v>
      </c>
      <c r="J15" s="4">
        <f t="shared" si="2"/>
        <v>7604</v>
      </c>
      <c r="K15" s="3">
        <v>5825</v>
      </c>
      <c r="L15" s="3">
        <v>6630</v>
      </c>
      <c r="M15" s="3">
        <v>6929</v>
      </c>
      <c r="N15" s="4">
        <f t="shared" si="4"/>
        <v>7183</v>
      </c>
      <c r="O15" s="4">
        <v>6533</v>
      </c>
      <c r="P15" s="4">
        <v>6781</v>
      </c>
      <c r="Q15" s="4">
        <v>6884</v>
      </c>
      <c r="R15" s="4">
        <v>7719</v>
      </c>
      <c r="S15" s="4"/>
      <c r="T15" s="4"/>
      <c r="U15" s="4"/>
      <c r="V15" s="4"/>
      <c r="W15" s="4"/>
      <c r="X15" s="4"/>
      <c r="AC15" s="3">
        <v>18464</v>
      </c>
      <c r="AD15" s="3">
        <v>17946</v>
      </c>
      <c r="AE15" s="3">
        <v>22912</v>
      </c>
      <c r="AF15" s="4">
        <v>26567</v>
      </c>
      <c r="AG15" s="3">
        <f>SUM(O15:R15)</f>
        <v>27917</v>
      </c>
      <c r="AH15" s="3">
        <f t="shared" si="57"/>
        <v>29736.186783151268</v>
      </c>
      <c r="AI15" s="3">
        <f t="shared" si="57"/>
        <v>31744.514497138527</v>
      </c>
      <c r="AJ15" s="3">
        <f t="shared" si="57"/>
        <v>33802.701057495702</v>
      </c>
      <c r="AK15" s="3">
        <f t="shared" si="57"/>
        <v>35817.054763109452</v>
      </c>
      <c r="AL15" s="3">
        <f t="shared" si="57"/>
        <v>38016.14262912664</v>
      </c>
      <c r="AM15" s="3">
        <f t="shared" si="57"/>
        <v>40422.157671607958</v>
      </c>
      <c r="AN15" s="3">
        <f t="shared" si="57"/>
        <v>43060.349541990945</v>
      </c>
      <c r="AO15" s="3">
        <f t="shared" si="57"/>
        <v>45959.469441928559</v>
      </c>
      <c r="AP15" s="3">
        <f t="shared" si="57"/>
        <v>49152.281096684019</v>
      </c>
      <c r="AQ15" s="3">
        <f t="shared" si="57"/>
        <v>52676.147661935291</v>
      </c>
    </row>
    <row r="16" spans="2:43" x14ac:dyDescent="0.2">
      <c r="B16" s="7" t="s">
        <v>22</v>
      </c>
      <c r="C16" s="3">
        <v>2880</v>
      </c>
      <c r="D16" s="3">
        <v>2585</v>
      </c>
      <c r="E16" s="3">
        <v>2756</v>
      </c>
      <c r="F16" s="13">
        <f t="shared" si="1"/>
        <v>2831</v>
      </c>
      <c r="G16" s="3">
        <v>2773</v>
      </c>
      <c r="H16" s="3">
        <v>3341</v>
      </c>
      <c r="I16" s="3">
        <v>3256</v>
      </c>
      <c r="J16" s="4">
        <f t="shared" si="2"/>
        <v>4140</v>
      </c>
      <c r="K16" s="3">
        <v>3374</v>
      </c>
      <c r="L16" s="3">
        <v>3657</v>
      </c>
      <c r="M16" s="3">
        <v>3597</v>
      </c>
      <c r="N16" s="4">
        <f t="shared" si="4"/>
        <v>5096</v>
      </c>
      <c r="O16" s="4">
        <v>3759</v>
      </c>
      <c r="P16" s="4">
        <v>3481</v>
      </c>
      <c r="Q16" s="4">
        <v>3979</v>
      </c>
      <c r="R16" s="4">
        <v>5206</v>
      </c>
      <c r="S16" s="4"/>
      <c r="T16" s="4"/>
      <c r="U16" s="4"/>
      <c r="V16" s="4"/>
      <c r="W16" s="4"/>
      <c r="X16" s="4"/>
      <c r="AC16" s="3">
        <v>9551</v>
      </c>
      <c r="AD16" s="3">
        <v>11052</v>
      </c>
      <c r="AE16" s="3">
        <v>13510</v>
      </c>
      <c r="AF16" s="4">
        <v>15724</v>
      </c>
      <c r="AG16" s="3">
        <f>SUM(O16:R16)</f>
        <v>16425</v>
      </c>
      <c r="AH16" s="3">
        <f t="shared" si="57"/>
        <v>17495.320697541265</v>
      </c>
      <c r="AI16" s="3">
        <f t="shared" si="57"/>
        <v>18676.922685657497</v>
      </c>
      <c r="AJ16" s="3">
        <f t="shared" si="57"/>
        <v>19887.859185061683</v>
      </c>
      <c r="AK16" s="3">
        <f t="shared" si="57"/>
        <v>21073.006572485327</v>
      </c>
      <c r="AL16" s="3">
        <f t="shared" si="57"/>
        <v>22366.842521882903</v>
      </c>
      <c r="AM16" s="3">
        <f t="shared" si="57"/>
        <v>23782.424320527298</v>
      </c>
      <c r="AN16" s="3">
        <f t="shared" si="57"/>
        <v>25334.607630734001</v>
      </c>
      <c r="AO16" s="3">
        <f t="shared" si="57"/>
        <v>27040.308256033113</v>
      </c>
      <c r="AP16" s="3">
        <f t="shared" si="57"/>
        <v>28918.802772971125</v>
      </c>
      <c r="AQ16" s="3">
        <f t="shared" si="57"/>
        <v>30992.073838424152</v>
      </c>
    </row>
    <row r="17" spans="2:153" x14ac:dyDescent="0.2">
      <c r="F17" s="13"/>
      <c r="J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AF17" s="4"/>
    </row>
    <row r="18" spans="2:153" x14ac:dyDescent="0.2">
      <c r="B18" s="7" t="s">
        <v>23</v>
      </c>
      <c r="C18" s="3">
        <f>+SUM(C13:C16)</f>
        <v>33182</v>
      </c>
      <c r="D18" s="3">
        <f>+SUM(D13:D16)</f>
        <v>31914</v>
      </c>
      <c r="E18" s="3">
        <f>+SUM(E13:E16)</f>
        <v>34960</v>
      </c>
      <c r="F18" s="13">
        <f t="shared" si="1"/>
        <v>41247</v>
      </c>
      <c r="G18" s="3">
        <f>+SUM(G13:G16)</f>
        <v>38877</v>
      </c>
      <c r="H18" s="3">
        <f>+SUM(H13:H16)</f>
        <v>42519</v>
      </c>
      <c r="I18" s="3">
        <f>+SUM(I13:I16)</f>
        <v>44087</v>
      </c>
      <c r="J18" s="4">
        <f t="shared" si="2"/>
        <v>53440</v>
      </c>
      <c r="K18" s="3">
        <f>+SUM(K13:K16)</f>
        <v>47917</v>
      </c>
      <c r="L18" s="3">
        <f>+SUM(L13:L16)</f>
        <v>50232</v>
      </c>
      <c r="M18" s="3">
        <f>+SUM(M13:M16)</f>
        <v>51957</v>
      </c>
      <c r="N18" s="4">
        <f t="shared" si="4"/>
        <v>57888</v>
      </c>
      <c r="O18" s="3">
        <f>+SUM(O13:O16)</f>
        <v>52372</v>
      </c>
      <c r="P18" s="3">
        <f>+SUM(P13:P16)</f>
        <v>52766</v>
      </c>
      <c r="Q18" s="3">
        <f t="shared" ref="Q18:R18" si="58">+SUM(Q13:Q16)</f>
        <v>55350</v>
      </c>
      <c r="R18" s="3">
        <f t="shared" si="58"/>
        <v>62613</v>
      </c>
      <c r="AC18" s="3">
        <f>+SUM(AC13:AC17)</f>
        <v>125929</v>
      </c>
      <c r="AD18" s="3">
        <f>+SUM(AD13:AD17)</f>
        <v>141303</v>
      </c>
      <c r="AE18" s="3">
        <f>+SUM(AE13:AE17)</f>
        <v>178923</v>
      </c>
      <c r="AF18" s="3">
        <f>+SUM(AF13:AF17)</f>
        <v>207994</v>
      </c>
      <c r="AG18" s="3">
        <f>+SUM(AG13:AG17)</f>
        <v>223101</v>
      </c>
      <c r="AH18" s="3">
        <f t="shared" ref="AH18:AO18" si="59">+SUM(AH13:AH17)</f>
        <v>237639.18069663036</v>
      </c>
      <c r="AI18" s="3">
        <f t="shared" si="59"/>
        <v>253688.89668754168</v>
      </c>
      <c r="AJ18" s="3">
        <f t="shared" si="59"/>
        <v>270137.06374711997</v>
      </c>
      <c r="AK18" s="3">
        <f t="shared" si="59"/>
        <v>286234.936945391</v>
      </c>
      <c r="AL18" s="3">
        <f t="shared" si="59"/>
        <v>303809.12836983847</v>
      </c>
      <c r="AM18" s="3">
        <f t="shared" si="59"/>
        <v>323036.99533235678</v>
      </c>
      <c r="AN18" s="3">
        <f t="shared" si="59"/>
        <v>344120.32249767944</v>
      </c>
      <c r="AO18" s="3">
        <f t="shared" si="59"/>
        <v>367288.8774568793</v>
      </c>
      <c r="AP18" s="3">
        <f t="shared" ref="AP18:AQ18" si="60">+SUM(AP13:AP17)</f>
        <v>392804.49421324988</v>
      </c>
      <c r="AQ18" s="3">
        <f t="shared" si="60"/>
        <v>420965.76349627192</v>
      </c>
    </row>
    <row r="19" spans="2:153" x14ac:dyDescent="0.2">
      <c r="B19" s="7" t="s">
        <v>24</v>
      </c>
      <c r="C19" s="3">
        <f>+C12-C18</f>
        <v>7977</v>
      </c>
      <c r="D19" s="3">
        <f>+D12-D18</f>
        <v>6383</v>
      </c>
      <c r="E19" s="3">
        <f>+E12-E18</f>
        <v>11213</v>
      </c>
      <c r="F19" s="13">
        <f t="shared" si="1"/>
        <v>15651</v>
      </c>
      <c r="G19" s="3">
        <f>+G12-G18</f>
        <v>16437</v>
      </c>
      <c r="H19" s="3">
        <f>+H12-H18</f>
        <v>19361</v>
      </c>
      <c r="I19" s="3">
        <f>+I12-I18</f>
        <v>21031</v>
      </c>
      <c r="J19" s="4">
        <f t="shared" si="2"/>
        <v>21885</v>
      </c>
      <c r="K19" s="3">
        <f>+K12-K18</f>
        <v>20094</v>
      </c>
      <c r="L19" s="3">
        <f>+L12-L18</f>
        <v>19453</v>
      </c>
      <c r="M19" s="3">
        <f>+M12-M18</f>
        <v>17135</v>
      </c>
      <c r="N19" s="4">
        <f t="shared" si="4"/>
        <v>18160</v>
      </c>
      <c r="O19" s="3">
        <f>+O12-O18</f>
        <v>17415</v>
      </c>
      <c r="P19" s="3">
        <f>+P12-P18</f>
        <v>21838</v>
      </c>
      <c r="Q19" s="3">
        <f t="shared" ref="Q19:R19" si="61">+Q12-Q18</f>
        <v>21343</v>
      </c>
      <c r="R19" s="3">
        <f t="shared" si="61"/>
        <v>23697</v>
      </c>
      <c r="AC19" s="3">
        <f>+AC12-AC18</f>
        <v>35928</v>
      </c>
      <c r="AD19" s="3">
        <f>+AD12-AD18</f>
        <v>41224</v>
      </c>
      <c r="AE19" s="3">
        <f>+AE12-AE18</f>
        <v>78714</v>
      </c>
      <c r="AF19" s="3">
        <f>+AF12-AF18</f>
        <v>74842</v>
      </c>
      <c r="AG19" s="3">
        <f>+AG12-AG18</f>
        <v>84293</v>
      </c>
      <c r="AH19" s="3">
        <f t="shared" ref="AH19:AO19" si="62">+AH12-AH18</f>
        <v>89785.879303369642</v>
      </c>
      <c r="AI19" s="3">
        <f t="shared" si="62"/>
        <v>95849.853512458329</v>
      </c>
      <c r="AJ19" s="3">
        <f t="shared" si="62"/>
        <v>102064.37225488003</v>
      </c>
      <c r="AK19" s="3">
        <f t="shared" si="62"/>
        <v>108146.54143162904</v>
      </c>
      <c r="AL19" s="3">
        <f t="shared" si="62"/>
        <v>114786.49964670179</v>
      </c>
      <c r="AM19" s="3">
        <f t="shared" si="62"/>
        <v>122051.25681888638</v>
      </c>
      <c r="AN19" s="3">
        <f t="shared" si="62"/>
        <v>130017.05211674055</v>
      </c>
      <c r="AO19" s="3">
        <f t="shared" si="62"/>
        <v>138770.69734099245</v>
      </c>
      <c r="AP19" s="3">
        <f t="shared" ref="AP19:AQ19" si="63">+AP12-AP18</f>
        <v>148411.11976511765</v>
      </c>
      <c r="AQ19" s="3">
        <f t="shared" si="63"/>
        <v>159051.13425036764</v>
      </c>
    </row>
    <row r="20" spans="2:153" x14ac:dyDescent="0.2">
      <c r="B20" s="7" t="s">
        <v>25</v>
      </c>
      <c r="C20" s="3">
        <v>-220</v>
      </c>
      <c r="D20" s="3">
        <v>1894</v>
      </c>
      <c r="E20" s="3">
        <v>2146</v>
      </c>
      <c r="F20" s="13">
        <f t="shared" si="1"/>
        <v>3038</v>
      </c>
      <c r="G20" s="3">
        <v>4846</v>
      </c>
      <c r="H20" s="3">
        <v>2624</v>
      </c>
      <c r="I20" s="3">
        <v>2033</v>
      </c>
      <c r="J20" s="4">
        <f t="shared" si="2"/>
        <v>2517</v>
      </c>
      <c r="K20" s="3">
        <v>-1160</v>
      </c>
      <c r="L20" s="3">
        <v>-439</v>
      </c>
      <c r="M20" s="3">
        <v>-902</v>
      </c>
      <c r="N20" s="4">
        <f t="shared" si="4"/>
        <v>-1013</v>
      </c>
      <c r="O20" s="3">
        <v>790</v>
      </c>
      <c r="P20" s="4">
        <v>65</v>
      </c>
      <c r="Q20" s="4">
        <v>-146</v>
      </c>
      <c r="R20" s="4">
        <v>715</v>
      </c>
      <c r="S20" s="4"/>
      <c r="T20" s="4"/>
      <c r="U20" s="4"/>
      <c r="V20" s="4"/>
      <c r="W20" s="4"/>
      <c r="X20" s="4"/>
      <c r="AC20" s="3">
        <v>5394</v>
      </c>
      <c r="AD20" s="3">
        <v>6858</v>
      </c>
      <c r="AE20" s="3">
        <v>12020</v>
      </c>
      <c r="AF20" s="4">
        <v>-3514</v>
      </c>
      <c r="AG20" s="3">
        <f>+AF49*$AT$26</f>
        <v>2218.3200000000002</v>
      </c>
      <c r="AH20" s="3">
        <f t="shared" ref="AH20:AQ20" si="64">+AG49*$AT$26</f>
        <v>3710.1064000000001</v>
      </c>
      <c r="AI20" s="3">
        <f t="shared" si="64"/>
        <v>5318.2373540979579</v>
      </c>
      <c r="AJ20" s="3">
        <f t="shared" si="64"/>
        <v>7058.3285170027266</v>
      </c>
      <c r="AK20" s="3">
        <f t="shared" si="64"/>
        <v>8935.2389702791097</v>
      </c>
      <c r="AL20" s="3">
        <f t="shared" si="64"/>
        <v>10949.04559319193</v>
      </c>
      <c r="AM20" s="3">
        <f t="shared" si="64"/>
        <v>13111.696971318102</v>
      </c>
      <c r="AN20" s="3">
        <f t="shared" si="64"/>
        <v>15436.49977650962</v>
      </c>
      <c r="AO20" s="3">
        <f t="shared" si="64"/>
        <v>17938.300869073522</v>
      </c>
      <c r="AP20" s="3">
        <f t="shared" si="64"/>
        <v>20633.695638286656</v>
      </c>
      <c r="AQ20" s="3">
        <f t="shared" si="64"/>
        <v>23541.266463225209</v>
      </c>
    </row>
    <row r="21" spans="2:153" x14ac:dyDescent="0.2">
      <c r="B21" s="7" t="s">
        <v>26</v>
      </c>
      <c r="C21" s="3">
        <f>+C19+C20</f>
        <v>7757</v>
      </c>
      <c r="D21" s="3">
        <f>+D19+D20</f>
        <v>8277</v>
      </c>
      <c r="E21" s="3">
        <f>+E19+E20</f>
        <v>13359</v>
      </c>
      <c r="F21" s="13">
        <f t="shared" si="1"/>
        <v>18689</v>
      </c>
      <c r="G21" s="3">
        <f>+G19+G20</f>
        <v>21283</v>
      </c>
      <c r="H21" s="3">
        <f>+H19+H20</f>
        <v>21985</v>
      </c>
      <c r="I21" s="3">
        <f>+I19+I20</f>
        <v>23064</v>
      </c>
      <c r="J21" s="4">
        <f t="shared" si="2"/>
        <v>24402</v>
      </c>
      <c r="K21" s="3">
        <f>+K19+K20</f>
        <v>18934</v>
      </c>
      <c r="L21" s="3">
        <f>+L19+L20</f>
        <v>19014</v>
      </c>
      <c r="M21" s="3">
        <f>+M19+M20</f>
        <v>16233</v>
      </c>
      <c r="N21" s="4">
        <f t="shared" si="4"/>
        <v>17147</v>
      </c>
      <c r="O21" s="3">
        <f>+O19+O20</f>
        <v>18205</v>
      </c>
      <c r="P21" s="3">
        <f>+P19+P20</f>
        <v>21903</v>
      </c>
      <c r="Q21" s="3">
        <f t="shared" ref="Q21:R21" si="65">+Q19+Q20</f>
        <v>21197</v>
      </c>
      <c r="R21" s="3">
        <f t="shared" si="65"/>
        <v>24412</v>
      </c>
      <c r="AC21" s="3">
        <f>+AC19+AC20</f>
        <v>41322</v>
      </c>
      <c r="AD21" s="3">
        <f>+AD19+AD20</f>
        <v>48082</v>
      </c>
      <c r="AE21" s="3">
        <f>+AE19+AE20</f>
        <v>90734</v>
      </c>
      <c r="AF21" s="3">
        <f>+AF19+AF20</f>
        <v>71328</v>
      </c>
      <c r="AG21" s="3">
        <f>+AG19+AG20</f>
        <v>86511.32</v>
      </c>
      <c r="AH21" s="3">
        <f t="shared" ref="AH21:AO21" si="66">+AH19+AH20</f>
        <v>93495.985703369646</v>
      </c>
      <c r="AI21" s="3">
        <f t="shared" si="66"/>
        <v>101168.09086655629</v>
      </c>
      <c r="AJ21" s="3">
        <f t="shared" si="66"/>
        <v>109122.70077188275</v>
      </c>
      <c r="AK21" s="3">
        <f t="shared" si="66"/>
        <v>117081.78040190815</v>
      </c>
      <c r="AL21" s="3">
        <f t="shared" si="66"/>
        <v>125735.54523989372</v>
      </c>
      <c r="AM21" s="3">
        <f t="shared" si="66"/>
        <v>135162.95379020448</v>
      </c>
      <c r="AN21" s="3">
        <f t="shared" si="66"/>
        <v>145453.55189325017</v>
      </c>
      <c r="AO21" s="3">
        <f t="shared" si="66"/>
        <v>156708.99821006597</v>
      </c>
      <c r="AP21" s="3">
        <f t="shared" ref="AP21:AQ21" si="67">+AP19+AP20</f>
        <v>169044.8154034043</v>
      </c>
      <c r="AQ21" s="3">
        <f t="shared" si="67"/>
        <v>182592.40071359286</v>
      </c>
    </row>
    <row r="22" spans="2:153" x14ac:dyDescent="0.2">
      <c r="B22" s="7" t="s">
        <v>27</v>
      </c>
      <c r="C22" s="3">
        <v>921</v>
      </c>
      <c r="D22" s="3">
        <v>1318</v>
      </c>
      <c r="E22" s="3">
        <v>2112</v>
      </c>
      <c r="F22" s="13">
        <f t="shared" si="1"/>
        <v>3462</v>
      </c>
      <c r="G22" s="3">
        <v>3353</v>
      </c>
      <c r="H22" s="3">
        <v>3460</v>
      </c>
      <c r="I22" s="3">
        <v>4128</v>
      </c>
      <c r="J22" s="4">
        <f t="shared" si="2"/>
        <v>3760</v>
      </c>
      <c r="K22" s="3">
        <v>2498</v>
      </c>
      <c r="L22" s="3">
        <v>3012</v>
      </c>
      <c r="M22" s="3">
        <v>2323</v>
      </c>
      <c r="N22" s="4">
        <f t="shared" si="4"/>
        <v>3523</v>
      </c>
      <c r="O22" s="3">
        <v>3154</v>
      </c>
      <c r="P22" s="4">
        <v>3535</v>
      </c>
      <c r="Q22" s="4">
        <v>1508</v>
      </c>
      <c r="R22" s="4">
        <v>3725</v>
      </c>
      <c r="S22" s="4"/>
      <c r="T22" s="4"/>
      <c r="U22" s="4"/>
      <c r="V22" s="4"/>
      <c r="W22" s="4"/>
      <c r="X22" s="4"/>
      <c r="AC22" s="3">
        <v>5282</v>
      </c>
      <c r="AD22" s="3">
        <v>7813</v>
      </c>
      <c r="AE22" s="3">
        <v>14701</v>
      </c>
      <c r="AF22" s="4">
        <v>11356</v>
      </c>
      <c r="AG22" s="3">
        <f>SUM(O22:R22)</f>
        <v>11922</v>
      </c>
      <c r="AH22" s="3">
        <f>+AH21*0.14</f>
        <v>13089.437998471753</v>
      </c>
      <c r="AI22" s="3">
        <f t="shared" ref="AI22:AP22" si="68">+AI21*0.14</f>
        <v>14163.532721317883</v>
      </c>
      <c r="AJ22" s="3">
        <f t="shared" si="68"/>
        <v>15277.178108063586</v>
      </c>
      <c r="AK22" s="3">
        <f t="shared" si="68"/>
        <v>16391.449256267144</v>
      </c>
      <c r="AL22" s="3">
        <f t="shared" si="68"/>
        <v>17602.976333585124</v>
      </c>
      <c r="AM22" s="3">
        <f t="shared" si="68"/>
        <v>18922.813530628628</v>
      </c>
      <c r="AN22" s="3">
        <f t="shared" si="68"/>
        <v>20363.497265055026</v>
      </c>
      <c r="AO22" s="3">
        <f t="shared" si="68"/>
        <v>21939.259749409237</v>
      </c>
      <c r="AP22" s="3">
        <f t="shared" si="68"/>
        <v>23666.274156476604</v>
      </c>
      <c r="AQ22" s="3">
        <f t="shared" ref="AQ22" si="69">+AQ21*0.14</f>
        <v>25562.936099903003</v>
      </c>
    </row>
    <row r="23" spans="2:153" s="10" customFormat="1" x14ac:dyDescent="0.2">
      <c r="B23" s="8" t="s">
        <v>28</v>
      </c>
      <c r="C23" s="10">
        <f>+C21-C22</f>
        <v>6836</v>
      </c>
      <c r="D23" s="10">
        <f>+D21-D22</f>
        <v>6959</v>
      </c>
      <c r="E23" s="10">
        <f>+E21-E22</f>
        <v>11247</v>
      </c>
      <c r="F23" s="59">
        <f t="shared" si="1"/>
        <v>15227</v>
      </c>
      <c r="G23" s="10">
        <f>+G21-G22</f>
        <v>17930</v>
      </c>
      <c r="H23" s="10">
        <f>+H21-H22</f>
        <v>18525</v>
      </c>
      <c r="I23" s="10">
        <f>+I21-I22</f>
        <v>18936</v>
      </c>
      <c r="J23" s="9">
        <f t="shared" si="2"/>
        <v>20642</v>
      </c>
      <c r="K23" s="10">
        <f>+K21-K22</f>
        <v>16436</v>
      </c>
      <c r="L23" s="10">
        <f>+L21-L22</f>
        <v>16002</v>
      </c>
      <c r="M23" s="10">
        <f>+M21-M22</f>
        <v>13910</v>
      </c>
      <c r="N23" s="9">
        <f t="shared" si="4"/>
        <v>13624</v>
      </c>
      <c r="O23" s="10">
        <f>+O21-O22</f>
        <v>15051</v>
      </c>
      <c r="P23" s="10">
        <f>+P21-P22</f>
        <v>18368</v>
      </c>
      <c r="Q23" s="10">
        <f t="shared" ref="Q23:R23" si="70">+Q21-Q22</f>
        <v>19689</v>
      </c>
      <c r="R23" s="10">
        <f t="shared" si="70"/>
        <v>20687</v>
      </c>
      <c r="AC23" s="10">
        <f>+AC21-AC22</f>
        <v>36040</v>
      </c>
      <c r="AD23" s="10">
        <f>+AD21-AD22</f>
        <v>40269</v>
      </c>
      <c r="AE23" s="10">
        <f>+AE21-AE22</f>
        <v>76033</v>
      </c>
      <c r="AF23" s="10">
        <f>+AF21-AF22</f>
        <v>59972</v>
      </c>
      <c r="AG23" s="10">
        <f>+AG21-AG22</f>
        <v>74589.320000000007</v>
      </c>
      <c r="AH23" s="10">
        <f t="shared" ref="AH23:AO23" si="71">+AH21-AH22</f>
        <v>80406.547704897894</v>
      </c>
      <c r="AI23" s="10">
        <f t="shared" si="71"/>
        <v>87004.558145238407</v>
      </c>
      <c r="AJ23" s="10">
        <f t="shared" si="71"/>
        <v>93845.522663819167</v>
      </c>
      <c r="AK23" s="10">
        <f t="shared" si="71"/>
        <v>100690.33114564102</v>
      </c>
      <c r="AL23" s="10">
        <f t="shared" si="71"/>
        <v>108132.56890630859</v>
      </c>
      <c r="AM23" s="10">
        <f t="shared" si="71"/>
        <v>116240.14025957586</v>
      </c>
      <c r="AN23" s="10">
        <f t="shared" si="71"/>
        <v>125090.05462819515</v>
      </c>
      <c r="AO23" s="10">
        <f t="shared" si="71"/>
        <v>134769.73846065672</v>
      </c>
      <c r="AP23" s="10">
        <f t="shared" ref="AP23:AQ23" si="72">+AP21-AP22</f>
        <v>145378.54124692769</v>
      </c>
      <c r="AQ23" s="10">
        <f t="shared" si="72"/>
        <v>157029.46461368987</v>
      </c>
      <c r="AR23" s="10">
        <f t="shared" ref="AQ23:DB23" si="73">+AQ23*(1+$AT$27)</f>
        <v>158599.75925982677</v>
      </c>
      <c r="AS23" s="10">
        <f t="shared" si="73"/>
        <v>160185.75685242502</v>
      </c>
      <c r="AT23" s="10">
        <f t="shared" si="73"/>
        <v>161787.61442094928</v>
      </c>
      <c r="AU23" s="10">
        <f t="shared" si="73"/>
        <v>163405.49056515878</v>
      </c>
      <c r="AV23" s="10">
        <f t="shared" si="73"/>
        <v>165039.54547081038</v>
      </c>
      <c r="AW23" s="10">
        <f t="shared" si="73"/>
        <v>166689.94092551849</v>
      </c>
      <c r="AX23" s="10">
        <f t="shared" si="73"/>
        <v>168356.84033477367</v>
      </c>
      <c r="AY23" s="10">
        <f t="shared" si="73"/>
        <v>170040.40873812142</v>
      </c>
      <c r="AZ23" s="10">
        <f t="shared" si="73"/>
        <v>171740.81282550262</v>
      </c>
      <c r="BA23" s="10">
        <f t="shared" si="73"/>
        <v>173458.22095375764</v>
      </c>
      <c r="BB23" s="10">
        <f t="shared" si="73"/>
        <v>175192.80316329523</v>
      </c>
      <c r="BC23" s="10">
        <f t="shared" si="73"/>
        <v>176944.7311949282</v>
      </c>
      <c r="BD23" s="10">
        <f t="shared" si="73"/>
        <v>178714.17850687748</v>
      </c>
      <c r="BE23" s="10">
        <f t="shared" si="73"/>
        <v>180501.32029194626</v>
      </c>
      <c r="BF23" s="10">
        <f t="shared" si="73"/>
        <v>182306.33349486571</v>
      </c>
      <c r="BG23" s="10">
        <f t="shared" si="73"/>
        <v>184129.39682981436</v>
      </c>
      <c r="BH23" s="10">
        <f t="shared" si="73"/>
        <v>185970.69079811251</v>
      </c>
      <c r="BI23" s="10">
        <f t="shared" si="73"/>
        <v>187830.39770609364</v>
      </c>
      <c r="BJ23" s="10">
        <f t="shared" si="73"/>
        <v>189708.70168315459</v>
      </c>
      <c r="BK23" s="10">
        <f t="shared" si="73"/>
        <v>191605.78869998615</v>
      </c>
      <c r="BL23" s="10">
        <f t="shared" si="73"/>
        <v>193521.84658698601</v>
      </c>
      <c r="BM23" s="10">
        <f t="shared" si="73"/>
        <v>195457.06505285588</v>
      </c>
      <c r="BN23" s="10">
        <f t="shared" si="73"/>
        <v>197411.63570338444</v>
      </c>
      <c r="BO23" s="10">
        <f t="shared" si="73"/>
        <v>199385.75206041828</v>
      </c>
      <c r="BP23" s="10">
        <f t="shared" si="73"/>
        <v>201379.60958102247</v>
      </c>
      <c r="BQ23" s="10">
        <f t="shared" si="73"/>
        <v>203393.40567683268</v>
      </c>
      <c r="BR23" s="10">
        <f t="shared" si="73"/>
        <v>205427.33973360102</v>
      </c>
      <c r="BS23" s="10">
        <f t="shared" si="73"/>
        <v>207481.61313093704</v>
      </c>
      <c r="BT23" s="10">
        <f t="shared" si="73"/>
        <v>209556.42926224641</v>
      </c>
      <c r="BU23" s="10">
        <f t="shared" si="73"/>
        <v>211651.99355486888</v>
      </c>
      <c r="BV23" s="10">
        <f t="shared" si="73"/>
        <v>213768.51349041756</v>
      </c>
      <c r="BW23" s="10">
        <f t="shared" si="73"/>
        <v>215906.19862532173</v>
      </c>
      <c r="BX23" s="10">
        <f t="shared" si="73"/>
        <v>218065.26061157495</v>
      </c>
      <c r="BY23" s="10">
        <f t="shared" si="73"/>
        <v>220245.91321769072</v>
      </c>
      <c r="BZ23" s="10">
        <f t="shared" si="73"/>
        <v>222448.37234986763</v>
      </c>
      <c r="CA23" s="10">
        <f t="shared" si="73"/>
        <v>224672.8560733663</v>
      </c>
      <c r="CB23" s="10">
        <f t="shared" si="73"/>
        <v>226919.58463409997</v>
      </c>
      <c r="CC23" s="10">
        <f t="shared" si="73"/>
        <v>229188.78048044097</v>
      </c>
      <c r="CD23" s="10">
        <f t="shared" si="73"/>
        <v>231480.66828524537</v>
      </c>
      <c r="CE23" s="10">
        <f t="shared" si="73"/>
        <v>233795.47496809781</v>
      </c>
      <c r="CF23" s="10">
        <f t="shared" si="73"/>
        <v>236133.42971777878</v>
      </c>
      <c r="CG23" s="10">
        <f t="shared" si="73"/>
        <v>238494.76401495657</v>
      </c>
      <c r="CH23" s="10">
        <f t="shared" si="73"/>
        <v>240879.71165510613</v>
      </c>
      <c r="CI23" s="10">
        <f t="shared" si="73"/>
        <v>243288.50877165719</v>
      </c>
      <c r="CJ23" s="10">
        <f t="shared" si="73"/>
        <v>245721.39385937375</v>
      </c>
      <c r="CK23" s="10">
        <f t="shared" si="73"/>
        <v>248178.6077979675</v>
      </c>
      <c r="CL23" s="10">
        <f t="shared" si="73"/>
        <v>250660.39387594719</v>
      </c>
      <c r="CM23" s="10">
        <f t="shared" si="73"/>
        <v>253166.99781470667</v>
      </c>
      <c r="CN23" s="10">
        <f t="shared" si="73"/>
        <v>255698.66779285375</v>
      </c>
      <c r="CO23" s="10">
        <f t="shared" si="73"/>
        <v>258255.65447078229</v>
      </c>
      <c r="CP23" s="10">
        <f t="shared" si="73"/>
        <v>260838.21101549012</v>
      </c>
      <c r="CQ23" s="10">
        <f t="shared" si="73"/>
        <v>263446.59312564501</v>
      </c>
      <c r="CR23" s="10">
        <f t="shared" si="73"/>
        <v>266081.05905690149</v>
      </c>
      <c r="CS23" s="10">
        <f t="shared" si="73"/>
        <v>268741.86964747054</v>
      </c>
      <c r="CT23" s="10">
        <f t="shared" si="73"/>
        <v>271429.28834394523</v>
      </c>
      <c r="CU23" s="10">
        <f t="shared" si="73"/>
        <v>274143.58122738468</v>
      </c>
      <c r="CV23" s="10">
        <f t="shared" si="73"/>
        <v>276885.01703965856</v>
      </c>
      <c r="CW23" s="10">
        <f t="shared" si="73"/>
        <v>279653.86721005512</v>
      </c>
      <c r="CX23" s="10">
        <f t="shared" si="73"/>
        <v>282450.4058821557</v>
      </c>
      <c r="CY23" s="10">
        <f t="shared" si="73"/>
        <v>285274.90994097723</v>
      </c>
      <c r="CZ23" s="10">
        <f t="shared" si="73"/>
        <v>288127.65904038702</v>
      </c>
      <c r="DA23" s="10">
        <f t="shared" si="73"/>
        <v>291008.93563079089</v>
      </c>
      <c r="DB23" s="10">
        <f t="shared" si="73"/>
        <v>293919.02498709882</v>
      </c>
      <c r="DC23" s="10">
        <f t="shared" ref="DC23:EW23" si="74">+DB23*(1+$AT$27)</f>
        <v>296858.21523696982</v>
      </c>
      <c r="DD23" s="10">
        <f t="shared" si="74"/>
        <v>299826.79738933954</v>
      </c>
      <c r="DE23" s="10">
        <f t="shared" si="74"/>
        <v>302825.06536323292</v>
      </c>
      <c r="DF23" s="10">
        <f t="shared" si="74"/>
        <v>305853.31601686525</v>
      </c>
      <c r="DG23" s="10">
        <f t="shared" si="74"/>
        <v>308911.84917703393</v>
      </c>
      <c r="DH23" s="10">
        <f t="shared" si="74"/>
        <v>312000.96766880428</v>
      </c>
      <c r="DI23" s="10">
        <f t="shared" si="74"/>
        <v>315120.97734549234</v>
      </c>
      <c r="DJ23" s="10">
        <f t="shared" si="74"/>
        <v>318272.18711894727</v>
      </c>
      <c r="DK23" s="10">
        <f t="shared" si="74"/>
        <v>321454.90899013676</v>
      </c>
      <c r="DL23" s="10">
        <f t="shared" si="74"/>
        <v>324669.45808003814</v>
      </c>
      <c r="DM23" s="10">
        <f t="shared" si="74"/>
        <v>327916.1526608385</v>
      </c>
      <c r="DN23" s="10">
        <f t="shared" si="74"/>
        <v>331195.3141874469</v>
      </c>
      <c r="DO23" s="10">
        <f t="shared" si="74"/>
        <v>334507.26732932136</v>
      </c>
      <c r="DP23" s="10">
        <f t="shared" si="74"/>
        <v>337852.3400026146</v>
      </c>
      <c r="DQ23" s="10">
        <f t="shared" si="74"/>
        <v>341230.86340264074</v>
      </c>
      <c r="DR23" s="10">
        <f t="shared" si="74"/>
        <v>344643.17203666712</v>
      </c>
      <c r="DS23" s="10">
        <f t="shared" si="74"/>
        <v>348089.60375703382</v>
      </c>
      <c r="DT23" s="10">
        <f t="shared" si="74"/>
        <v>351570.49979460414</v>
      </c>
      <c r="DU23" s="10">
        <f t="shared" si="74"/>
        <v>355086.20479255018</v>
      </c>
      <c r="DV23" s="10">
        <f t="shared" si="74"/>
        <v>358637.06684047572</v>
      </c>
      <c r="DW23" s="10">
        <f t="shared" si="74"/>
        <v>362223.43750888045</v>
      </c>
      <c r="DX23" s="10">
        <f t="shared" si="74"/>
        <v>365845.67188396928</v>
      </c>
      <c r="DY23" s="10">
        <f t="shared" si="74"/>
        <v>369504.12860280898</v>
      </c>
      <c r="DZ23" s="10">
        <f t="shared" si="74"/>
        <v>373199.16988883709</v>
      </c>
      <c r="EA23" s="10">
        <f t="shared" si="74"/>
        <v>376931.16158772545</v>
      </c>
      <c r="EB23" s="10">
        <f t="shared" si="74"/>
        <v>380700.47320360271</v>
      </c>
      <c r="EC23" s="10">
        <f t="shared" si="74"/>
        <v>384507.47793563874</v>
      </c>
      <c r="ED23" s="10">
        <f t="shared" si="74"/>
        <v>388352.55271499511</v>
      </c>
      <c r="EE23" s="10">
        <f t="shared" si="74"/>
        <v>392236.07824214507</v>
      </c>
      <c r="EF23" s="10">
        <f t="shared" si="74"/>
        <v>396158.4390245665</v>
      </c>
      <c r="EG23" s="10">
        <f t="shared" si="74"/>
        <v>400120.02341481217</v>
      </c>
      <c r="EH23" s="10">
        <f t="shared" si="74"/>
        <v>404121.22364896029</v>
      </c>
      <c r="EI23" s="10">
        <f t="shared" si="74"/>
        <v>408162.43588544993</v>
      </c>
      <c r="EJ23" s="10">
        <f t="shared" si="74"/>
        <v>412244.06024430442</v>
      </c>
      <c r="EK23" s="10">
        <f t="shared" si="74"/>
        <v>416366.50084674748</v>
      </c>
      <c r="EL23" s="10">
        <f t="shared" si="74"/>
        <v>420530.16585521499</v>
      </c>
      <c r="EM23" s="10">
        <f t="shared" si="74"/>
        <v>424735.46751376713</v>
      </c>
      <c r="EN23" s="10">
        <f t="shared" si="74"/>
        <v>428982.8221889048</v>
      </c>
      <c r="EO23" s="10">
        <f t="shared" si="74"/>
        <v>433272.65041079384</v>
      </c>
      <c r="EP23" s="10">
        <f t="shared" si="74"/>
        <v>437605.37691490178</v>
      </c>
      <c r="EQ23" s="10">
        <f t="shared" si="74"/>
        <v>441981.43068405078</v>
      </c>
      <c r="ER23" s="10">
        <f t="shared" si="74"/>
        <v>446401.24499089131</v>
      </c>
      <c r="ES23" s="10">
        <f t="shared" si="74"/>
        <v>450865.25744080025</v>
      </c>
      <c r="ET23" s="10">
        <f t="shared" si="74"/>
        <v>455373.91001520824</v>
      </c>
      <c r="EU23" s="10">
        <f t="shared" si="74"/>
        <v>459927.64911536034</v>
      </c>
      <c r="EV23" s="10">
        <f t="shared" si="74"/>
        <v>464526.92560651398</v>
      </c>
      <c r="EW23" s="10">
        <f t="shared" si="74"/>
        <v>469172.19486257911</v>
      </c>
    </row>
    <row r="24" spans="2:153" s="53" customFormat="1" x14ac:dyDescent="0.2">
      <c r="B24" s="52" t="s">
        <v>29</v>
      </c>
      <c r="C24" s="53">
        <v>9.8699999999999992</v>
      </c>
      <c r="D24" s="53">
        <v>10.130000000000001</v>
      </c>
      <c r="E24" s="53">
        <v>16.399999999999999</v>
      </c>
      <c r="F24" s="54">
        <f t="shared" si="1"/>
        <v>-33.47</v>
      </c>
      <c r="G24" s="53">
        <v>26.29</v>
      </c>
      <c r="H24" s="53">
        <v>1.36</v>
      </c>
      <c r="I24" s="53">
        <v>27.99</v>
      </c>
      <c r="J24" s="55">
        <f t="shared" si="2"/>
        <v>-50.03</v>
      </c>
      <c r="K24" s="53">
        <v>24.62</v>
      </c>
      <c r="L24" s="53">
        <v>1.21</v>
      </c>
      <c r="M24" s="53">
        <f>+M23/M25</f>
        <v>1.0620752844162786</v>
      </c>
      <c r="N24" s="55">
        <f t="shared" si="4"/>
        <v>-22.33207528441628</v>
      </c>
      <c r="O24" s="53">
        <f>+O23/O25</f>
        <v>1.1737502924432659</v>
      </c>
      <c r="P24" s="55">
        <v>1.44</v>
      </c>
      <c r="Q24" s="55">
        <v>1.06</v>
      </c>
      <c r="R24" s="55">
        <v>1.64</v>
      </c>
      <c r="S24" s="55"/>
      <c r="T24" s="55"/>
      <c r="U24" s="55"/>
      <c r="V24" s="55"/>
      <c r="W24" s="55"/>
      <c r="X24" s="55"/>
      <c r="AC24" s="53">
        <v>49.16</v>
      </c>
      <c r="AD24" s="53">
        <v>2.93</v>
      </c>
      <c r="AE24" s="53">
        <v>5.61</v>
      </c>
      <c r="AF24" s="55">
        <v>4.5599999999999996</v>
      </c>
      <c r="AG24" s="5">
        <f>SUM(O24:R24)</f>
        <v>5.3137502924432658</v>
      </c>
      <c r="AH24" s="53">
        <f t="shared" ref="AH24:AO24" si="75">+AH23/AH25</f>
        <v>5.7281701506496443</v>
      </c>
      <c r="AI24" s="53">
        <f t="shared" si="75"/>
        <v>6.1982130456231221</v>
      </c>
      <c r="AJ24" s="53">
        <f t="shared" si="75"/>
        <v>6.6855640123728195</v>
      </c>
      <c r="AK24" s="53">
        <f t="shared" si="75"/>
        <v>7.1731888234315475</v>
      </c>
      <c r="AL24" s="53">
        <f t="shared" si="75"/>
        <v>7.7033745534687643</v>
      </c>
      <c r="AM24" s="53">
        <f t="shared" si="75"/>
        <v>8.2809587122924224</v>
      </c>
      <c r="AN24" s="53">
        <f t="shared" si="75"/>
        <v>8.9114274585465587</v>
      </c>
      <c r="AO24" s="53">
        <f t="shared" si="75"/>
        <v>9.6010090607853389</v>
      </c>
      <c r="AP24" s="53">
        <f t="shared" ref="AP24:AQ24" si="76">+AP23/AP25</f>
        <v>10.356781186178361</v>
      </c>
      <c r="AQ24" s="53">
        <f t="shared" si="76"/>
        <v>11.186794081420825</v>
      </c>
    </row>
    <row r="25" spans="2:153" ht="16" thickBot="1" x14ac:dyDescent="0.25">
      <c r="B25" s="7" t="s">
        <v>30</v>
      </c>
      <c r="C25" s="3">
        <f t="shared" ref="C25:L25" si="77">+C23/C24</f>
        <v>692.60385005065859</v>
      </c>
      <c r="D25" s="3">
        <f t="shared" si="77"/>
        <v>686.9693978282329</v>
      </c>
      <c r="E25" s="3">
        <f t="shared" si="77"/>
        <v>685.79268292682934</v>
      </c>
      <c r="F25" s="13">
        <f t="shared" si="77"/>
        <v>-454.94472662085451</v>
      </c>
      <c r="G25" s="3">
        <f t="shared" si="77"/>
        <v>682.0083682008368</v>
      </c>
      <c r="H25" s="3">
        <f t="shared" si="77"/>
        <v>13621.323529411764</v>
      </c>
      <c r="I25" s="3">
        <f t="shared" si="77"/>
        <v>676.52733118971059</v>
      </c>
      <c r="J25" s="4">
        <f t="shared" si="77"/>
        <v>-412.59244453328</v>
      </c>
      <c r="K25" s="3">
        <f t="shared" si="77"/>
        <v>667.58732737611695</v>
      </c>
      <c r="L25" s="3">
        <f t="shared" si="77"/>
        <v>13224.793388429753</v>
      </c>
      <c r="M25" s="3">
        <v>13097</v>
      </c>
      <c r="N25" s="4"/>
      <c r="O25" s="3">
        <v>12823</v>
      </c>
      <c r="P25" s="4">
        <f>+P23/P24</f>
        <v>12755.555555555557</v>
      </c>
      <c r="Q25" s="4">
        <f>+Q23/Q24</f>
        <v>18574.528301886792</v>
      </c>
      <c r="R25" s="4">
        <f>+R23/R24</f>
        <v>12614.024390243903</v>
      </c>
      <c r="S25" s="4"/>
      <c r="T25" s="4"/>
      <c r="U25" s="4"/>
      <c r="V25" s="4"/>
      <c r="W25" s="4"/>
      <c r="X25" s="4"/>
      <c r="AC25" s="3">
        <f>+AC23/AC24</f>
        <v>733.11635475996752</v>
      </c>
      <c r="AD25" s="3">
        <f>+AD23/AD24</f>
        <v>13743.686006825938</v>
      </c>
      <c r="AE25" s="3">
        <f>+AE23/AE24</f>
        <v>13553.119429590017</v>
      </c>
      <c r="AF25" s="3">
        <f>+AF23/AF24</f>
        <v>13151.754385964914</v>
      </c>
      <c r="AG25" s="3">
        <f>+AG23/AG24</f>
        <v>14037.03898282051</v>
      </c>
      <c r="AH25" s="3">
        <f t="shared" ref="AH25:AQ25" si="78">+AG25</f>
        <v>14037.03898282051</v>
      </c>
      <c r="AI25" s="3">
        <f t="shared" si="78"/>
        <v>14037.03898282051</v>
      </c>
      <c r="AJ25" s="3">
        <f t="shared" si="78"/>
        <v>14037.03898282051</v>
      </c>
      <c r="AK25" s="3">
        <f t="shared" si="78"/>
        <v>14037.03898282051</v>
      </c>
      <c r="AL25" s="3">
        <f t="shared" si="78"/>
        <v>14037.03898282051</v>
      </c>
      <c r="AM25" s="3">
        <f t="shared" si="78"/>
        <v>14037.03898282051</v>
      </c>
      <c r="AN25" s="3">
        <f t="shared" si="78"/>
        <v>14037.03898282051</v>
      </c>
      <c r="AO25" s="3">
        <f t="shared" si="78"/>
        <v>14037.03898282051</v>
      </c>
      <c r="AP25" s="3">
        <f t="shared" si="78"/>
        <v>14037.03898282051</v>
      </c>
      <c r="AQ25" s="3">
        <f t="shared" si="78"/>
        <v>14037.03898282051</v>
      </c>
    </row>
    <row r="26" spans="2:153" x14ac:dyDescent="0.2">
      <c r="AS26" s="75" t="s">
        <v>225</v>
      </c>
      <c r="AT26" s="76">
        <v>0.02</v>
      </c>
      <c r="AW26" s="3" t="s">
        <v>217</v>
      </c>
    </row>
    <row r="27" spans="2:153" s="12" customFormat="1" x14ac:dyDescent="0.2">
      <c r="B27" s="11" t="s">
        <v>31</v>
      </c>
      <c r="G27" s="12">
        <f t="shared" ref="G27:H27" si="79">+G12/C12-1</f>
        <v>0.34391020189994892</v>
      </c>
      <c r="H27" s="12">
        <f t="shared" si="79"/>
        <v>0.61579235971486024</v>
      </c>
      <c r="I27" s="12">
        <f t="shared" ref="I27:R27" si="80">+I12/E12-1</f>
        <v>0.41030472353973102</v>
      </c>
      <c r="J27" s="12">
        <f t="shared" si="80"/>
        <v>0.32386024113325607</v>
      </c>
      <c r="K27" s="12">
        <f t="shared" si="80"/>
        <v>0.22954405756228069</v>
      </c>
      <c r="L27" s="12">
        <f t="shared" si="80"/>
        <v>0.12613122171945701</v>
      </c>
      <c r="M27" s="12">
        <f t="shared" si="80"/>
        <v>6.1027672840074931E-2</v>
      </c>
      <c r="N27" s="12">
        <f t="shared" si="80"/>
        <v>9.5984069034185104E-3</v>
      </c>
      <c r="O27" s="12">
        <f t="shared" si="80"/>
        <v>2.6113422828660138E-2</v>
      </c>
      <c r="P27" s="12">
        <f t="shared" si="80"/>
        <v>7.0589079428858392E-2</v>
      </c>
      <c r="Q27" s="12">
        <f t="shared" si="80"/>
        <v>0.11001273664100042</v>
      </c>
      <c r="R27" s="12">
        <f t="shared" si="80"/>
        <v>0.13494108983799702</v>
      </c>
      <c r="AB27" s="12">
        <f t="shared" ref="AB27:AC27" si="81">+AB12/AA12-1</f>
        <v>0.20715348879166484</v>
      </c>
      <c r="AC27" s="12">
        <f t="shared" si="81"/>
        <v>0.20952181678237025</v>
      </c>
      <c r="AD27" s="12">
        <f>+AD12/AC12-1</f>
        <v>0.12770532012826141</v>
      </c>
      <c r="AE27" s="12">
        <f t="shared" ref="AE27:AQ27" si="82">+AE12/AD12-1</f>
        <v>0.41150076427049154</v>
      </c>
      <c r="AF27" s="12">
        <f t="shared" si="82"/>
        <v>9.7808156437157789E-2</v>
      </c>
      <c r="AG27" s="74">
        <f>+AG12/AF12-1</f>
        <v>8.6827702272695095E-2</v>
      </c>
      <c r="AH27" s="74">
        <f>+AH12/AG12-1</f>
        <v>6.5164121615906678E-2</v>
      </c>
      <c r="AI27" s="74">
        <f>+AI12/AH12-1</f>
        <v>6.7538172551606213E-2</v>
      </c>
      <c r="AJ27" s="74">
        <f>+AJ12/AI12-1</f>
        <v>6.4835975379075483E-2</v>
      </c>
      <c r="AK27" s="74">
        <f t="shared" ref="AK27:AN27" si="83">+AK12/AJ12-1</f>
        <v>5.9591501347407094E-2</v>
      </c>
      <c r="AL27" s="74">
        <f t="shared" si="83"/>
        <v>6.1397786070399585E-2</v>
      </c>
      <c r="AM27" s="74">
        <f t="shared" si="83"/>
        <v>6.3289299652351083E-2</v>
      </c>
      <c r="AN27" s="74">
        <f t="shared" si="83"/>
        <v>6.5265983370205394E-2</v>
      </c>
      <c r="AO27" s="74">
        <f t="shared" si="82"/>
        <v>6.7326901215943202E-2</v>
      </c>
      <c r="AP27" s="74">
        <f t="shared" si="82"/>
        <v>6.947015911029375E-2</v>
      </c>
      <c r="AQ27" s="74">
        <f t="shared" si="82"/>
        <v>7.1692838798665726E-2</v>
      </c>
      <c r="AS27" s="77" t="s">
        <v>43</v>
      </c>
      <c r="AT27" s="78">
        <v>0.01</v>
      </c>
      <c r="AV27" s="12" t="s">
        <v>216</v>
      </c>
      <c r="AW27" s="60">
        <v>5.3900000000000003E-2</v>
      </c>
      <c r="AX27" s="60">
        <f>+AT28-AW27</f>
        <v>1.6100000000000003E-2</v>
      </c>
    </row>
    <row r="28" spans="2:153" x14ac:dyDescent="0.2">
      <c r="B28" s="7" t="s">
        <v>38</v>
      </c>
      <c r="G28" s="6">
        <f t="shared" ref="G28:H30" si="84">+G3/C3-1</f>
        <v>0.30107746306423966</v>
      </c>
      <c r="H28" s="6">
        <f t="shared" si="84"/>
        <v>0.68136404146535945</v>
      </c>
      <c r="I28" s="6">
        <f t="shared" ref="I28:N28" si="85">+I3/E3-1</f>
        <v>0.43997266307236682</v>
      </c>
      <c r="J28" s="6">
        <f t="shared" si="85"/>
        <v>0.35727047613077145</v>
      </c>
      <c r="K28" s="6">
        <f t="shared" si="85"/>
        <v>0.24276169265033398</v>
      </c>
      <c r="L28" s="6">
        <f t="shared" si="85"/>
        <v>0.13513739712651684</v>
      </c>
      <c r="M28" s="6">
        <f t="shared" si="85"/>
        <v>4.2530190370722032E-2</v>
      </c>
      <c r="N28" s="6">
        <f t="shared" si="85"/>
        <v>-1.6096625943973542E-2</v>
      </c>
      <c r="O28" s="6">
        <f t="shared" ref="O28:R30" si="86">+O3/K3-1</f>
        <v>1.8703619566863505E-2</v>
      </c>
      <c r="P28" s="6">
        <f t="shared" si="86"/>
        <v>4.7654157143208309E-2</v>
      </c>
      <c r="Q28" s="6">
        <f t="shared" si="86"/>
        <v>0.11348289031083225</v>
      </c>
      <c r="R28" s="6">
        <f t="shared" si="86"/>
        <v>0.12712421368885551</v>
      </c>
      <c r="S28" s="6"/>
      <c r="T28" s="6"/>
      <c r="U28" s="6"/>
      <c r="V28" s="6"/>
      <c r="W28" s="6"/>
      <c r="X28" s="6"/>
      <c r="AB28" s="6">
        <f t="shared" ref="AB28:AC28" si="87">+AB3/AA3-1</f>
        <v>0.17884001088653645</v>
      </c>
      <c r="AC28" s="6">
        <f t="shared" si="87"/>
        <v>0.19222076407115773</v>
      </c>
      <c r="AD28" s="6">
        <f>+AD3/AC3-1</f>
        <v>6.0612546501554343E-2</v>
      </c>
      <c r="AE28" s="6">
        <f t="shared" ref="AE28:AQ28" si="88">+AE3/AD3-1</f>
        <v>0.43136783840402826</v>
      </c>
      <c r="AF28" s="6">
        <f t="shared" si="88"/>
        <v>9.0627118985438182E-2</v>
      </c>
      <c r="AG28" s="6">
        <f t="shared" si="88"/>
        <v>7.7457679285934056E-2</v>
      </c>
      <c r="AH28" s="6">
        <f t="shared" si="88"/>
        <v>5.0000000000000044E-2</v>
      </c>
      <c r="AI28" s="6">
        <f t="shared" si="88"/>
        <v>5.0000000000000044E-2</v>
      </c>
      <c r="AJ28" s="6">
        <f t="shared" si="88"/>
        <v>5.0000000000000044E-2</v>
      </c>
      <c r="AK28" s="6">
        <f t="shared" si="88"/>
        <v>5.0000000000000044E-2</v>
      </c>
      <c r="AL28" s="6">
        <f t="shared" si="88"/>
        <v>5.0000000000000044E-2</v>
      </c>
      <c r="AM28" s="6">
        <f t="shared" si="88"/>
        <v>5.0000000000000044E-2</v>
      </c>
      <c r="AN28" s="6">
        <f t="shared" si="88"/>
        <v>5.0000000000000044E-2</v>
      </c>
      <c r="AO28" s="6">
        <f t="shared" si="88"/>
        <v>5.0000000000000044E-2</v>
      </c>
      <c r="AP28" s="6">
        <f t="shared" si="88"/>
        <v>5.0000000000000044E-2</v>
      </c>
      <c r="AQ28" s="6">
        <f t="shared" si="88"/>
        <v>5.0000000000000044E-2</v>
      </c>
      <c r="AS28" s="79" t="s">
        <v>44</v>
      </c>
      <c r="AT28" s="80">
        <v>7.0000000000000007E-2</v>
      </c>
      <c r="AV28" s="3" t="s">
        <v>218</v>
      </c>
      <c r="AW28" s="61">
        <v>5.3999999999999999E-2</v>
      </c>
    </row>
    <row r="29" spans="2:153" x14ac:dyDescent="0.2">
      <c r="B29" s="7" t="s">
        <v>39</v>
      </c>
      <c r="G29" s="6">
        <f t="shared" si="84"/>
        <v>0.48712233779098568</v>
      </c>
      <c r="H29" s="6">
        <f t="shared" si="84"/>
        <v>0.83683105981112282</v>
      </c>
      <c r="I29" s="6">
        <f t="shared" ref="I29:N30" si="89">+I4/E4-1</f>
        <v>0.4304149295215407</v>
      </c>
      <c r="J29" s="6">
        <f t="shared" si="89"/>
        <v>0.25388525780682647</v>
      </c>
      <c r="K29" s="6">
        <f t="shared" si="89"/>
        <v>0.143880099916736</v>
      </c>
      <c r="L29" s="6">
        <f t="shared" si="89"/>
        <v>4.8271922307911996E-2</v>
      </c>
      <c r="M29" s="6">
        <f t="shared" si="89"/>
        <v>-1.8598195697432374E-2</v>
      </c>
      <c r="N29" s="6">
        <f t="shared" si="89"/>
        <v>-7.7609174099386058E-2</v>
      </c>
      <c r="O29" s="6">
        <f t="shared" si="86"/>
        <v>-2.5622361333527466E-2</v>
      </c>
      <c r="P29" s="6">
        <f t="shared" si="86"/>
        <v>4.4277929155313256E-2</v>
      </c>
      <c r="Q29" s="6">
        <f t="shared" si="86"/>
        <v>0.12459340970159816</v>
      </c>
      <c r="R29" s="6">
        <f t="shared" si="86"/>
        <v>0.15534346351877426</v>
      </c>
      <c r="S29" s="6"/>
      <c r="T29" s="6"/>
      <c r="U29" s="6"/>
      <c r="V29" s="6"/>
      <c r="W29" s="6"/>
      <c r="X29" s="6"/>
      <c r="AB29" s="6">
        <f t="shared" ref="AB29:AC29" si="90">+AB4/AA4-1</f>
        <v>0.36871165644171788</v>
      </c>
      <c r="AC29" s="6">
        <f t="shared" si="90"/>
        <v>0.35804571940833707</v>
      </c>
      <c r="AD29" s="6">
        <f>+AD4/AC4-1</f>
        <v>0.30516865799722748</v>
      </c>
      <c r="AE29" s="6">
        <f t="shared" ref="AE29:AQ29" si="91">+AE4/AD4-1</f>
        <v>0.45888124620675708</v>
      </c>
      <c r="AF29" s="6">
        <f t="shared" si="91"/>
        <v>1.3797885248743258E-2</v>
      </c>
      <c r="AG29" s="6">
        <f t="shared" si="91"/>
        <v>7.7522825975447018E-2</v>
      </c>
      <c r="AH29" s="6">
        <f t="shared" si="91"/>
        <v>5.0000000000000044E-2</v>
      </c>
      <c r="AI29" s="6">
        <f t="shared" si="91"/>
        <v>5.0000000000000044E-2</v>
      </c>
      <c r="AJ29" s="6">
        <f t="shared" si="91"/>
        <v>5.0000000000000044E-2</v>
      </c>
      <c r="AK29" s="6">
        <f t="shared" si="91"/>
        <v>5.0000000000000044E-2</v>
      </c>
      <c r="AL29" s="6">
        <f t="shared" si="91"/>
        <v>5.0000000000000044E-2</v>
      </c>
      <c r="AM29" s="6">
        <f t="shared" si="91"/>
        <v>5.0000000000000044E-2</v>
      </c>
      <c r="AN29" s="6">
        <f t="shared" si="91"/>
        <v>5.0000000000000044E-2</v>
      </c>
      <c r="AO29" s="6">
        <f t="shared" si="91"/>
        <v>5.0000000000000044E-2</v>
      </c>
      <c r="AP29" s="6">
        <f t="shared" si="91"/>
        <v>5.0000000000000044E-2</v>
      </c>
      <c r="AQ29" s="6">
        <f t="shared" si="91"/>
        <v>5.0000000000000044E-2</v>
      </c>
      <c r="AS29" s="79" t="s">
        <v>45</v>
      </c>
      <c r="AT29" s="81">
        <f>NPV(AT28,AG23:EW23)+P49-P71</f>
        <v>2151659.9354065098</v>
      </c>
    </row>
    <row r="30" spans="2:153" x14ac:dyDescent="0.2">
      <c r="B30" s="7" t="s">
        <v>40</v>
      </c>
      <c r="G30" s="6">
        <f t="shared" si="84"/>
        <v>0.30193375454719518</v>
      </c>
      <c r="H30" s="6">
        <f t="shared" si="84"/>
        <v>0.60409628378378377</v>
      </c>
      <c r="I30" s="6">
        <f t="shared" si="89"/>
        <v>0.3984265734265735</v>
      </c>
      <c r="J30" s="6">
        <f t="shared" si="89"/>
        <v>0.25556605046552416</v>
      </c>
      <c r="K30" s="6">
        <f t="shared" si="89"/>
        <v>0.20205882352941185</v>
      </c>
      <c r="L30" s="6">
        <f t="shared" si="89"/>
        <v>8.7139660392260065E-2</v>
      </c>
      <c r="M30" s="6">
        <f t="shared" si="89"/>
        <v>-1.587698462307785E-2</v>
      </c>
      <c r="N30" s="6">
        <f t="shared" si="89"/>
        <v>-8.9199355185384244E-2</v>
      </c>
      <c r="O30" s="6">
        <f t="shared" si="86"/>
        <v>-8.294592610716911E-2</v>
      </c>
      <c r="P30" s="6">
        <f t="shared" si="86"/>
        <v>-4.9521733866085493E-2</v>
      </c>
      <c r="Q30" s="6">
        <f t="shared" si="86"/>
        <v>-2.5787601626016232E-2</v>
      </c>
      <c r="R30" s="6">
        <f t="shared" si="86"/>
        <v>-2.1002949852507391E-2</v>
      </c>
      <c r="S30" s="6"/>
      <c r="T30" s="6"/>
      <c r="U30" s="6"/>
      <c r="V30" s="6"/>
      <c r="W30" s="6"/>
      <c r="X30" s="6"/>
      <c r="AB30" s="6">
        <f t="shared" ref="AB30:AC30" si="92">+AB5/AA5-1</f>
        <v>0.13589918256130784</v>
      </c>
      <c r="AC30" s="6">
        <f t="shared" si="92"/>
        <v>7.6811594202898625E-2</v>
      </c>
      <c r="AD30" s="6">
        <f>+AD5/AC5-1</f>
        <v>7.161089710864621E-2</v>
      </c>
      <c r="AE30" s="6">
        <f t="shared" ref="AE30:AQ30" si="93">+AE5/AD5-1</f>
        <v>0.37293200519705505</v>
      </c>
      <c r="AF30" s="6">
        <f t="shared" si="93"/>
        <v>3.4036781174095365E-2</v>
      </c>
      <c r="AG30" s="6">
        <f t="shared" si="93"/>
        <v>-4.4783404514948111E-2</v>
      </c>
      <c r="AH30" s="6">
        <f t="shared" si="93"/>
        <v>1.0000000000000009E-2</v>
      </c>
      <c r="AI30" s="6">
        <f t="shared" si="93"/>
        <v>1.0000000000000009E-2</v>
      </c>
      <c r="AJ30" s="6">
        <f t="shared" si="93"/>
        <v>1.0000000000000009E-2</v>
      </c>
      <c r="AK30" s="6">
        <f t="shared" si="93"/>
        <v>1.0000000000000009E-2</v>
      </c>
      <c r="AL30" s="6">
        <f t="shared" si="93"/>
        <v>1.0000000000000009E-2</v>
      </c>
      <c r="AM30" s="6">
        <f t="shared" si="93"/>
        <v>1.0000000000000009E-2</v>
      </c>
      <c r="AN30" s="6">
        <f t="shared" si="93"/>
        <v>1.0000000000000009E-2</v>
      </c>
      <c r="AO30" s="6">
        <f t="shared" si="93"/>
        <v>1.0000000000000009E-2</v>
      </c>
      <c r="AP30" s="6">
        <f t="shared" si="93"/>
        <v>1.0000000000000009E-2</v>
      </c>
      <c r="AQ30" s="6">
        <f t="shared" si="93"/>
        <v>1.0000000000000009E-2</v>
      </c>
      <c r="AS30" s="79" t="s">
        <v>46</v>
      </c>
      <c r="AT30" s="81">
        <f>+AT29/Main!L9</f>
        <v>173.06039856884982</v>
      </c>
    </row>
    <row r="31" spans="2:153" x14ac:dyDescent="0.2">
      <c r="B31" s="7" t="s">
        <v>41</v>
      </c>
      <c r="G31" s="6">
        <f t="shared" ref="G31:R31" si="94">+G7/C7-1</f>
        <v>0.46426155580608786</v>
      </c>
      <c r="H31" s="6">
        <f t="shared" si="94"/>
        <v>0.29254488680718183</v>
      </c>
      <c r="I31" s="6">
        <f t="shared" si="94"/>
        <v>0.23293172690763053</v>
      </c>
      <c r="J31" s="6">
        <f t="shared" si="94"/>
        <v>0.22280491459394658</v>
      </c>
      <c r="K31" s="6">
        <f t="shared" si="94"/>
        <v>4.8814290113951442E-2</v>
      </c>
      <c r="L31" s="6">
        <f t="shared" si="94"/>
        <v>-1.0569228446323464E-2</v>
      </c>
      <c r="M31" s="6">
        <f t="shared" si="94"/>
        <v>2.0876517619188739E-2</v>
      </c>
      <c r="N31" s="6">
        <f t="shared" si="94"/>
        <v>7.7809092023036319E-2</v>
      </c>
      <c r="O31" s="6">
        <f t="shared" si="94"/>
        <v>8.8386433710174739E-2</v>
      </c>
      <c r="P31" s="6">
        <f t="shared" si="94"/>
        <v>0.24248435830917137</v>
      </c>
      <c r="Q31" s="6">
        <f t="shared" si="94"/>
        <v>0.20942712110224804</v>
      </c>
      <c r="R31" s="6">
        <f t="shared" si="94"/>
        <v>0.22714870395634379</v>
      </c>
      <c r="S31" s="6"/>
      <c r="T31" s="6"/>
      <c r="U31" s="6"/>
      <c r="V31" s="6"/>
      <c r="W31" s="6"/>
      <c r="X31" s="6"/>
      <c r="AB31" s="6">
        <f t="shared" ref="AB31:AC31" si="95">+AB7/AA7-1</f>
        <v>0.43934911242603558</v>
      </c>
      <c r="AC31" s="6">
        <f t="shared" si="95"/>
        <v>1.9143542309009933</v>
      </c>
      <c r="AD31" s="6">
        <f>+AD7/AC7-1</f>
        <v>0.27606676854355228</v>
      </c>
      <c r="AE31" s="6">
        <f t="shared" ref="AE31:AQ31" si="96">+AE7/AD7-1</f>
        <v>0.29114273870388274</v>
      </c>
      <c r="AF31" s="6">
        <f t="shared" si="96"/>
        <v>3.6494006849315141E-2</v>
      </c>
      <c r="AG31" s="6">
        <f t="shared" si="96"/>
        <v>0.19387368783341929</v>
      </c>
      <c r="AH31" s="6">
        <f t="shared" si="96"/>
        <v>1.0000000000000009E-2</v>
      </c>
      <c r="AI31" s="6">
        <f t="shared" si="96"/>
        <v>1.0000000000000009E-2</v>
      </c>
      <c r="AJ31" s="6">
        <f t="shared" si="96"/>
        <v>1.0000000000000009E-2</v>
      </c>
      <c r="AK31" s="6">
        <f t="shared" si="96"/>
        <v>1.0000000000000009E-2</v>
      </c>
      <c r="AL31" s="6">
        <f t="shared" si="96"/>
        <v>1.0000000000000009E-2</v>
      </c>
      <c r="AM31" s="6">
        <f t="shared" si="96"/>
        <v>1.0000000000000009E-2</v>
      </c>
      <c r="AN31" s="6">
        <f t="shared" si="96"/>
        <v>1.0000000000000009E-2</v>
      </c>
      <c r="AO31" s="6">
        <f t="shared" si="96"/>
        <v>1.0000000000000009E-2</v>
      </c>
      <c r="AP31" s="6">
        <f t="shared" si="96"/>
        <v>1.0000000000000009E-2</v>
      </c>
      <c r="AQ31" s="6">
        <f t="shared" si="96"/>
        <v>1.0000000000000009E-2</v>
      </c>
      <c r="AS31" s="79" t="s">
        <v>47</v>
      </c>
      <c r="AT31" s="81">
        <f>+Main!L8</f>
        <v>150.22</v>
      </c>
    </row>
    <row r="32" spans="2:153" ht="16" thickBot="1" x14ac:dyDescent="0.25">
      <c r="B32" s="7" t="s">
        <v>215</v>
      </c>
      <c r="G32" s="6">
        <f>+G9/C9-1</f>
        <v>0.4573280518545193</v>
      </c>
      <c r="H32" s="6">
        <f t="shared" ref="H32" si="97">+H9/D9-1</f>
        <v>0.53907549052211512</v>
      </c>
      <c r="I32" s="6">
        <f>+I9/E9-1</f>
        <v>0.44889663182346107</v>
      </c>
      <c r="J32" s="6">
        <f t="shared" ref="J32:R32" si="98">+J9/F9-1</f>
        <v>0.44635865309318712</v>
      </c>
      <c r="K32" s="6">
        <f t="shared" si="98"/>
        <v>0.4383493946132937</v>
      </c>
      <c r="L32" s="6">
        <f t="shared" si="98"/>
        <v>0.35609334485738975</v>
      </c>
      <c r="M32" s="6">
        <f t="shared" si="98"/>
        <v>0.37635270541082155</v>
      </c>
      <c r="N32" s="6">
        <f t="shared" si="98"/>
        <v>0.3201588160981772</v>
      </c>
      <c r="O32" s="6">
        <f t="shared" si="98"/>
        <v>0.28053599037965982</v>
      </c>
      <c r="P32" s="6">
        <f t="shared" si="98"/>
        <v>0.2796367112810707</v>
      </c>
      <c r="Q32" s="6">
        <f t="shared" si="98"/>
        <v>0.22466511357018049</v>
      </c>
      <c r="R32" s="6">
        <f t="shared" si="98"/>
        <v>0.25659603554340404</v>
      </c>
      <c r="S32" s="6"/>
      <c r="T32" s="6"/>
      <c r="U32" s="6"/>
      <c r="V32" s="6"/>
      <c r="W32" s="6"/>
      <c r="X32" s="6"/>
      <c r="AB32" s="6">
        <f t="shared" ref="AB32:AC32" si="99">+AB9/AA9-1</f>
        <v>0.28852849551035376</v>
      </c>
      <c r="AC32" s="6">
        <f t="shared" si="99"/>
        <v>-0.36585365853658536</v>
      </c>
      <c r="AD32" s="6">
        <f t="shared" ref="AD32" si="100">+AD9/AC9-1</f>
        <v>0.46434178066831122</v>
      </c>
      <c r="AE32" s="6">
        <f t="shared" ref="AE32:AQ32" si="101">+AE9/AD9-1</f>
        <v>0.47070985527222597</v>
      </c>
      <c r="AF32" s="6">
        <f t="shared" si="101"/>
        <v>0.36832239925023424</v>
      </c>
      <c r="AG32" s="6">
        <f t="shared" si="101"/>
        <v>0.25905631659056327</v>
      </c>
      <c r="AH32" s="6">
        <f t="shared" si="101"/>
        <v>0.28000000000000003</v>
      </c>
      <c r="AI32" s="6">
        <f t="shared" si="101"/>
        <v>0.25</v>
      </c>
      <c r="AJ32" s="6">
        <f t="shared" si="101"/>
        <v>0.19999999999999996</v>
      </c>
      <c r="AK32" s="6">
        <f t="shared" si="101"/>
        <v>0.14999999999999991</v>
      </c>
      <c r="AL32" s="6">
        <f t="shared" si="101"/>
        <v>0.14999999999999991</v>
      </c>
      <c r="AM32" s="6">
        <f t="shared" si="101"/>
        <v>0.14999999999999991</v>
      </c>
      <c r="AN32" s="6">
        <f t="shared" si="101"/>
        <v>0.14999999999999991</v>
      </c>
      <c r="AO32" s="6">
        <f t="shared" si="101"/>
        <v>0.14999999999999991</v>
      </c>
      <c r="AP32" s="6">
        <f t="shared" si="101"/>
        <v>0.14999999999999991</v>
      </c>
      <c r="AQ32" s="6">
        <f t="shared" si="101"/>
        <v>0.14999999999999991</v>
      </c>
      <c r="AS32" s="82" t="s">
        <v>48</v>
      </c>
      <c r="AT32" s="83">
        <f>+AT30/AT31-1</f>
        <v>0.15204632251930383</v>
      </c>
    </row>
    <row r="33" spans="2:46" x14ac:dyDescent="0.2">
      <c r="B33" s="7" t="s">
        <v>36</v>
      </c>
      <c r="G33" s="6">
        <f>+G10/C10-1</f>
        <v>0.46666666666666656</v>
      </c>
      <c r="H33" s="6">
        <f t="shared" ref="H33" si="102">+H10/D10-1</f>
        <v>0.29729729729729737</v>
      </c>
      <c r="I33" s="6">
        <f>+I10/E10-1</f>
        <v>2.2471910112359605E-2</v>
      </c>
      <c r="J33" s="6">
        <f t="shared" ref="J33" si="103">+J10/F10-1</f>
        <v>-7.6530612244897989E-2</v>
      </c>
      <c r="K33" s="6">
        <f t="shared" ref="K33" si="104">+K10/G10-1</f>
        <v>1.2222222222222223</v>
      </c>
      <c r="L33" s="6">
        <f t="shared" ref="L33:R33" si="105">+L10/H10-1</f>
        <v>5.2083333333332593E-3</v>
      </c>
      <c r="M33" s="6">
        <f t="shared" si="105"/>
        <v>0.14835164835164827</v>
      </c>
      <c r="N33" s="6">
        <f t="shared" si="105"/>
        <v>0.24861878453038666</v>
      </c>
      <c r="O33" s="6">
        <f t="shared" si="105"/>
        <v>-0.34545454545454546</v>
      </c>
      <c r="P33" s="6">
        <f t="shared" si="105"/>
        <v>0.47668393782383411</v>
      </c>
      <c r="Q33" s="6">
        <f t="shared" si="105"/>
        <v>0.42105263157894735</v>
      </c>
      <c r="R33" s="6">
        <f t="shared" si="105"/>
        <v>1.9070796460176993</v>
      </c>
      <c r="S33" s="6"/>
      <c r="T33" s="6"/>
      <c r="U33" s="6"/>
      <c r="V33" s="6"/>
      <c r="W33" s="6"/>
      <c r="X33" s="6"/>
    </row>
    <row r="34" spans="2:46" x14ac:dyDescent="0.2">
      <c r="B34" s="7" t="s">
        <v>213</v>
      </c>
      <c r="G34" s="6">
        <f t="shared" ref="G34:Q34" si="106">+G13/C13-1</f>
        <v>0.26978189864081759</v>
      </c>
      <c r="H34" s="6">
        <f t="shared" si="106"/>
        <v>0.41362582870694764</v>
      </c>
      <c r="I34" s="6">
        <f t="shared" si="106"/>
        <v>0.30799829521238808</v>
      </c>
      <c r="J34" s="6">
        <f t="shared" si="106"/>
        <v>0.26487730061349701</v>
      </c>
      <c r="K34" s="6">
        <f t="shared" si="106"/>
        <v>0.22802140812347016</v>
      </c>
      <c r="L34" s="6">
        <f t="shared" si="106"/>
        <v>0.14782476074274609</v>
      </c>
      <c r="M34" s="6">
        <f t="shared" si="106"/>
        <v>0.12805474095796687</v>
      </c>
      <c r="N34" s="6">
        <f t="shared" si="106"/>
        <v>7.1359282163210969E-2</v>
      </c>
      <c r="O34" s="6">
        <f t="shared" si="106"/>
        <v>3.4224129193553887E-2</v>
      </c>
      <c r="P34" s="6">
        <f>+P13/L13-1</f>
        <v>6.0191336699441989E-2</v>
      </c>
      <c r="Q34" s="6">
        <f t="shared" si="106"/>
        <v>6.64676808524296E-2</v>
      </c>
      <c r="R34" s="6"/>
      <c r="S34" s="6"/>
      <c r="T34" s="6"/>
      <c r="U34" s="6"/>
      <c r="V34" s="6"/>
      <c r="W34" s="6"/>
      <c r="X34" s="6"/>
      <c r="AS34" s="3" t="s">
        <v>219</v>
      </c>
      <c r="AT34" s="58">
        <f>+Main!$L$13/Model!AH23</f>
        <v>22.013409486205074</v>
      </c>
    </row>
    <row r="35" spans="2:46" x14ac:dyDescent="0.2">
      <c r="B35" s="64" t="s">
        <v>224</v>
      </c>
      <c r="C35" s="65"/>
      <c r="D35" s="65"/>
      <c r="E35" s="65"/>
      <c r="F35" s="65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7"/>
      <c r="AQ35" s="67"/>
      <c r="AS35" s="3" t="s">
        <v>226</v>
      </c>
      <c r="AT35" s="58">
        <f>+Main!$L$13/Model!AI23</f>
        <v>20.344017574863919</v>
      </c>
    </row>
    <row r="36" spans="2:46" x14ac:dyDescent="0.2">
      <c r="B36" s="68" t="s">
        <v>19</v>
      </c>
      <c r="C36" s="69">
        <v>0.44</v>
      </c>
      <c r="D36" s="69">
        <v>0.44</v>
      </c>
      <c r="E36" s="69">
        <v>0.44</v>
      </c>
      <c r="F36" s="69">
        <v>0.44</v>
      </c>
      <c r="G36" s="69">
        <v>0.44</v>
      </c>
      <c r="H36" s="69">
        <v>0.44</v>
      </c>
      <c r="I36" s="69">
        <v>0.44</v>
      </c>
      <c r="J36" s="69">
        <v>0.44</v>
      </c>
      <c r="K36" s="69">
        <v>0.44</v>
      </c>
      <c r="L36" s="69">
        <v>0.44</v>
      </c>
      <c r="M36" s="69">
        <v>0.44</v>
      </c>
      <c r="N36" s="69">
        <v>0.44</v>
      </c>
      <c r="O36" s="69">
        <v>0.44</v>
      </c>
      <c r="P36" s="69">
        <v>0.44</v>
      </c>
      <c r="Q36" s="69">
        <v>0.44</v>
      </c>
      <c r="R36" s="69">
        <v>0.44</v>
      </c>
      <c r="S36" s="69"/>
      <c r="T36" s="69"/>
      <c r="U36" s="69"/>
      <c r="V36" s="69"/>
      <c r="W36" s="69"/>
      <c r="X36" s="69"/>
      <c r="AC36" s="6">
        <f t="shared" ref="AC36:AK36" si="107">+AC13/AC$12</f>
        <v>0.44419456680897335</v>
      </c>
      <c r="AD36" s="6">
        <f t="shared" si="107"/>
        <v>0.46421625293792151</v>
      </c>
      <c r="AE36" s="6">
        <f t="shared" si="107"/>
        <v>0.43060197099019165</v>
      </c>
      <c r="AF36" s="6">
        <f t="shared" si="107"/>
        <v>0.44620557496216889</v>
      </c>
      <c r="AG36" s="6">
        <f t="shared" si="107"/>
        <v>0.4337495201597949</v>
      </c>
      <c r="AH36" s="6">
        <f t="shared" si="107"/>
        <v>0.43374952015979484</v>
      </c>
      <c r="AI36" s="6">
        <f t="shared" si="107"/>
        <v>0.43374952015979479</v>
      </c>
      <c r="AJ36" s="6">
        <f t="shared" si="107"/>
        <v>0.43374952015979479</v>
      </c>
      <c r="AK36" s="6">
        <f t="shared" si="107"/>
        <v>0.43374952015979473</v>
      </c>
      <c r="AL36" s="6">
        <f t="shared" ref="AL36:AP36" si="108">+AL13/AL$12</f>
        <v>0.43374952015979473</v>
      </c>
      <c r="AM36" s="6">
        <f t="shared" si="108"/>
        <v>0.43374952015979473</v>
      </c>
      <c r="AN36" s="6">
        <f t="shared" si="108"/>
        <v>0.43374952015979473</v>
      </c>
      <c r="AO36" s="6">
        <f t="shared" si="108"/>
        <v>0.43374952015979473</v>
      </c>
      <c r="AP36" s="6">
        <f t="shared" si="108"/>
        <v>0.43374952015979473</v>
      </c>
      <c r="AQ36" s="6">
        <f t="shared" ref="AQ36" si="109">+AQ13/AQ$12</f>
        <v>0.43374952015979473</v>
      </c>
      <c r="AS36" s="10" t="s">
        <v>220</v>
      </c>
      <c r="AT36" s="10">
        <v>156.31</v>
      </c>
    </row>
    <row r="37" spans="2:46" x14ac:dyDescent="0.2">
      <c r="B37" s="68" t="s">
        <v>20</v>
      </c>
      <c r="C37" s="69">
        <v>0.16</v>
      </c>
      <c r="D37" s="69">
        <v>0.16</v>
      </c>
      <c r="E37" s="69">
        <v>0.16</v>
      </c>
      <c r="F37" s="69">
        <v>0.16</v>
      </c>
      <c r="G37" s="69">
        <v>0.16</v>
      </c>
      <c r="H37" s="69">
        <v>0.16</v>
      </c>
      <c r="I37" s="69">
        <v>0.16</v>
      </c>
      <c r="J37" s="69">
        <v>0.16</v>
      </c>
      <c r="K37" s="69">
        <v>0.16</v>
      </c>
      <c r="L37" s="69">
        <v>0.16</v>
      </c>
      <c r="M37" s="69">
        <v>0.16</v>
      </c>
      <c r="N37" s="69">
        <v>0.16</v>
      </c>
      <c r="O37" s="69">
        <v>0.16</v>
      </c>
      <c r="P37" s="69">
        <v>0.16</v>
      </c>
      <c r="Q37" s="69">
        <v>0.16</v>
      </c>
      <c r="R37" s="69">
        <v>0.16</v>
      </c>
      <c r="S37" s="69"/>
      <c r="T37" s="69"/>
      <c r="U37" s="69"/>
      <c r="V37" s="69"/>
      <c r="W37" s="69"/>
      <c r="X37" s="69"/>
      <c r="AC37" s="6">
        <f t="shared" ref="AC37:AK37" si="110">+AC14/AC$12</f>
        <v>0.16074683208016954</v>
      </c>
      <c r="AD37" s="6">
        <f t="shared" si="110"/>
        <v>0.15106258252203783</v>
      </c>
      <c r="AE37" s="6">
        <f t="shared" si="110"/>
        <v>0.12250569599863374</v>
      </c>
      <c r="AF37" s="6">
        <f t="shared" si="110"/>
        <v>0.13965690364734334</v>
      </c>
      <c r="AG37" s="6">
        <f t="shared" si="110"/>
        <v>0.14778102370247956</v>
      </c>
      <c r="AH37" s="6">
        <f t="shared" si="110"/>
        <v>0.14778102370247956</v>
      </c>
      <c r="AI37" s="6">
        <f t="shared" si="110"/>
        <v>0.14778102370247956</v>
      </c>
      <c r="AJ37" s="6">
        <f t="shared" si="110"/>
        <v>0.14778102370247956</v>
      </c>
      <c r="AK37" s="6">
        <f t="shared" si="110"/>
        <v>0.14778102370247956</v>
      </c>
      <c r="AL37" s="6">
        <f t="shared" ref="AL37:AP37" si="111">+AL14/AL$12</f>
        <v>0.14778102370247956</v>
      </c>
      <c r="AM37" s="6">
        <f t="shared" si="111"/>
        <v>0.14778102370247953</v>
      </c>
      <c r="AN37" s="6">
        <f t="shared" si="111"/>
        <v>0.14778102370247953</v>
      </c>
      <c r="AO37" s="6">
        <f t="shared" si="111"/>
        <v>0.14778102370247953</v>
      </c>
      <c r="AP37" s="6">
        <f t="shared" si="111"/>
        <v>0.14778102370247953</v>
      </c>
      <c r="AQ37" s="6">
        <f t="shared" ref="AQ37" si="112">+AQ14/AQ$12</f>
        <v>0.14778102370247953</v>
      </c>
      <c r="AT37" s="58"/>
    </row>
    <row r="38" spans="2:46" x14ac:dyDescent="0.2">
      <c r="B38" s="68" t="s">
        <v>21</v>
      </c>
      <c r="C38" s="69">
        <v>0.11</v>
      </c>
      <c r="D38" s="69">
        <v>0.11</v>
      </c>
      <c r="E38" s="69">
        <v>0.11</v>
      </c>
      <c r="F38" s="69">
        <v>0.11</v>
      </c>
      <c r="G38" s="69">
        <v>0.11</v>
      </c>
      <c r="H38" s="69">
        <v>0.11</v>
      </c>
      <c r="I38" s="69">
        <v>0.11</v>
      </c>
      <c r="J38" s="69">
        <v>0.11</v>
      </c>
      <c r="K38" s="69">
        <v>0.11</v>
      </c>
      <c r="L38" s="69">
        <v>0.11</v>
      </c>
      <c r="M38" s="69">
        <v>0.11</v>
      </c>
      <c r="N38" s="69">
        <v>0.11</v>
      </c>
      <c r="O38" s="69">
        <v>0.11</v>
      </c>
      <c r="P38" s="69">
        <v>0.11</v>
      </c>
      <c r="Q38" s="69">
        <v>0.11</v>
      </c>
      <c r="R38" s="69">
        <v>0.11</v>
      </c>
      <c r="S38" s="69"/>
      <c r="T38" s="69"/>
      <c r="U38" s="69"/>
      <c r="V38" s="69"/>
      <c r="W38" s="69"/>
      <c r="X38" s="69"/>
      <c r="AC38" s="6">
        <f t="shared" ref="AC38:AK38" si="113">+AC15/AC$12</f>
        <v>0.11407600536275848</v>
      </c>
      <c r="AD38" s="6">
        <f t="shared" si="113"/>
        <v>9.8319700647027566E-2</v>
      </c>
      <c r="AE38" s="6">
        <f t="shared" si="113"/>
        <v>8.8931325857699015E-2</v>
      </c>
      <c r="AF38" s="6">
        <f t="shared" si="113"/>
        <v>9.3930758460733427E-2</v>
      </c>
      <c r="AG38" s="6">
        <f t="shared" si="113"/>
        <v>9.0818298340240869E-2</v>
      </c>
      <c r="AH38" s="6">
        <f t="shared" si="113"/>
        <v>9.0818298340240869E-2</v>
      </c>
      <c r="AI38" s="6">
        <f t="shared" si="113"/>
        <v>9.0818298340240869E-2</v>
      </c>
      <c r="AJ38" s="6">
        <f t="shared" si="113"/>
        <v>9.0818298340240855E-2</v>
      </c>
      <c r="AK38" s="6">
        <f t="shared" si="113"/>
        <v>9.0818298340240855E-2</v>
      </c>
      <c r="AL38" s="6">
        <f t="shared" ref="AL38:AP38" si="114">+AL15/AL$12</f>
        <v>9.0818298340240869E-2</v>
      </c>
      <c r="AM38" s="6">
        <f t="shared" si="114"/>
        <v>9.0818298340240869E-2</v>
      </c>
      <c r="AN38" s="6">
        <f t="shared" si="114"/>
        <v>9.0818298340240869E-2</v>
      </c>
      <c r="AO38" s="6">
        <f t="shared" si="114"/>
        <v>9.0818298340240869E-2</v>
      </c>
      <c r="AP38" s="6">
        <f t="shared" si="114"/>
        <v>9.0818298340240869E-2</v>
      </c>
      <c r="AQ38" s="6">
        <f t="shared" ref="AQ38" si="115">+AQ15/AQ$12</f>
        <v>9.0818298340240869E-2</v>
      </c>
      <c r="AT38" s="58"/>
    </row>
    <row r="39" spans="2:46" x14ac:dyDescent="0.2">
      <c r="B39" s="70" t="s">
        <v>22</v>
      </c>
      <c r="C39" s="71">
        <v>0.06</v>
      </c>
      <c r="D39" s="71">
        <v>0.06</v>
      </c>
      <c r="E39" s="71">
        <v>0.06</v>
      </c>
      <c r="F39" s="71">
        <v>0.06</v>
      </c>
      <c r="G39" s="71">
        <v>0.06</v>
      </c>
      <c r="H39" s="71">
        <v>0.06</v>
      </c>
      <c r="I39" s="71">
        <v>0.06</v>
      </c>
      <c r="J39" s="71">
        <v>0.06</v>
      </c>
      <c r="K39" s="71">
        <v>0.06</v>
      </c>
      <c r="L39" s="71">
        <v>0.06</v>
      </c>
      <c r="M39" s="71">
        <v>0.06</v>
      </c>
      <c r="N39" s="71">
        <v>0.06</v>
      </c>
      <c r="O39" s="71">
        <v>0.06</v>
      </c>
      <c r="P39" s="71">
        <v>0.06</v>
      </c>
      <c r="Q39" s="71">
        <v>0.06</v>
      </c>
      <c r="R39" s="71">
        <v>0.06</v>
      </c>
      <c r="S39" s="71"/>
      <c r="T39" s="71"/>
      <c r="U39" s="71"/>
      <c r="V39" s="71"/>
      <c r="W39" s="71"/>
      <c r="X39" s="71"/>
      <c r="Y39" s="73"/>
      <c r="Z39" s="73"/>
      <c r="AA39" s="73"/>
      <c r="AB39" s="73"/>
      <c r="AC39" s="72">
        <f t="shared" ref="AC39:AK39" si="116">+AC16/AC$12</f>
        <v>5.9008878207306451E-2</v>
      </c>
      <c r="AD39" s="72">
        <f t="shared" si="116"/>
        <v>6.0549946035381066E-2</v>
      </c>
      <c r="AE39" s="72">
        <f t="shared" si="116"/>
        <v>5.2438120301043716E-2</v>
      </c>
      <c r="AF39" s="72">
        <f t="shared" si="116"/>
        <v>5.5594054505084221E-2</v>
      </c>
      <c r="AG39" s="72">
        <f t="shared" si="116"/>
        <v>5.3433053345218189E-2</v>
      </c>
      <c r="AH39" s="72">
        <f t="shared" si="116"/>
        <v>5.3433053345218189E-2</v>
      </c>
      <c r="AI39" s="72">
        <f t="shared" si="116"/>
        <v>5.3433053345218195E-2</v>
      </c>
      <c r="AJ39" s="72">
        <f t="shared" si="116"/>
        <v>5.3433053345218195E-2</v>
      </c>
      <c r="AK39" s="72">
        <f t="shared" si="116"/>
        <v>5.3433053345218189E-2</v>
      </c>
      <c r="AL39" s="72">
        <f t="shared" ref="AL39:AP39" si="117">+AL16/AL$12</f>
        <v>5.3433053345218182E-2</v>
      </c>
      <c r="AM39" s="72">
        <f t="shared" si="117"/>
        <v>5.3433053345218182E-2</v>
      </c>
      <c r="AN39" s="72">
        <f t="shared" si="117"/>
        <v>5.3433053345218182E-2</v>
      </c>
      <c r="AO39" s="72">
        <f t="shared" si="117"/>
        <v>5.3433053345218182E-2</v>
      </c>
      <c r="AP39" s="72">
        <f t="shared" si="117"/>
        <v>5.3433053345218182E-2</v>
      </c>
      <c r="AQ39" s="72">
        <f t="shared" ref="AQ39" si="118">+AQ16/AQ$12</f>
        <v>5.3433053345218182E-2</v>
      </c>
      <c r="AT39" s="58"/>
    </row>
    <row r="40" spans="2:46" x14ac:dyDescent="0.2"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2:46" x14ac:dyDescent="0.2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2:46" s="10" customFormat="1" x14ac:dyDescent="0.2">
      <c r="B42" s="8" t="s">
        <v>42</v>
      </c>
      <c r="C42" s="12">
        <f>+(C12-C13)/C12</f>
        <v>0.53881289632887097</v>
      </c>
      <c r="D42" s="12">
        <f t="shared" ref="D42:L42" si="119">+(D12-D13)/D12</f>
        <v>0.51554952085019712</v>
      </c>
      <c r="E42" s="12">
        <f t="shared" si="119"/>
        <v>0.54265479825872265</v>
      </c>
      <c r="F42" s="12">
        <f t="shared" si="119"/>
        <v>0.54163590987380927</v>
      </c>
      <c r="G42" s="12">
        <f t="shared" si="119"/>
        <v>0.56425136493473627</v>
      </c>
      <c r="H42" s="12">
        <f t="shared" si="119"/>
        <v>0.57616354234001288</v>
      </c>
      <c r="I42" s="12">
        <f t="shared" si="119"/>
        <v>0.57583156730857832</v>
      </c>
      <c r="J42" s="12">
        <f t="shared" si="119"/>
        <v>0.56205774975107869</v>
      </c>
      <c r="K42" s="12">
        <f t="shared" si="119"/>
        <v>0.5647909896928438</v>
      </c>
      <c r="L42" s="12">
        <f t="shared" si="119"/>
        <v>0.56799885197675248</v>
      </c>
      <c r="M42" s="12">
        <f t="shared" ref="M42:N42" si="120">+(M12-M13)/M12</f>
        <v>0.54903606785156023</v>
      </c>
      <c r="N42" s="12">
        <f t="shared" si="120"/>
        <v>0.53526719966337055</v>
      </c>
      <c r="O42" s="12">
        <f t="shared" ref="O42:P42" si="121">+(O12-O13)/O12</f>
        <v>0.56135096794531936</v>
      </c>
      <c r="P42" s="12">
        <f t="shared" si="121"/>
        <v>0.5721945204010509</v>
      </c>
      <c r="Q42" s="12">
        <f t="shared" ref="Q42:R42" si="122">+(Q12-Q13)/Q12</f>
        <v>0.56672708069836886</v>
      </c>
      <c r="R42" s="12">
        <f t="shared" si="122"/>
        <v>0.56465067778936395</v>
      </c>
      <c r="S42" s="12"/>
      <c r="T42" s="12"/>
      <c r="U42" s="12"/>
      <c r="V42" s="12"/>
      <c r="W42" s="12"/>
      <c r="X42" s="12"/>
      <c r="AA42" s="12"/>
      <c r="AB42" s="12"/>
      <c r="AC42" s="12">
        <f t="shared" ref="AC42:AO42" si="123">+(AC12-AC13)/AC12</f>
        <v>0.5558054331910266</v>
      </c>
      <c r="AD42" s="12">
        <f t="shared" si="123"/>
        <v>0.53578374706207854</v>
      </c>
      <c r="AE42" s="12">
        <f t="shared" si="123"/>
        <v>0.5693980290098084</v>
      </c>
      <c r="AF42" s="12">
        <f t="shared" si="123"/>
        <v>0.55379442503783116</v>
      </c>
      <c r="AG42" s="60">
        <f t="shared" si="123"/>
        <v>0.56625047984020505</v>
      </c>
      <c r="AH42" s="60">
        <f t="shared" si="123"/>
        <v>0.56625047984020516</v>
      </c>
      <c r="AI42" s="60">
        <f t="shared" si="123"/>
        <v>0.56625047984020516</v>
      </c>
      <c r="AJ42" s="60">
        <f>+(AJ12-AJ13)/AJ12</f>
        <v>0.56625047984020516</v>
      </c>
      <c r="AK42" s="60">
        <f>+(AK12-AK13)/AK12</f>
        <v>0.56625047984020527</v>
      </c>
      <c r="AL42" s="60">
        <f>+(AL12-AL13)/AL12</f>
        <v>0.56625047984020527</v>
      </c>
      <c r="AM42" s="60">
        <f>+(AM12-AM13)/AM12</f>
        <v>0.56625047984020527</v>
      </c>
      <c r="AN42" s="60">
        <f t="shared" si="123"/>
        <v>0.56625047984020527</v>
      </c>
      <c r="AO42" s="60">
        <f t="shared" si="123"/>
        <v>0.56625047984020527</v>
      </c>
      <c r="AP42" s="60">
        <f t="shared" ref="AP42:AQ42" si="124">+(AP12-AP13)/AP12</f>
        <v>0.56625047984020516</v>
      </c>
      <c r="AQ42" s="60">
        <f t="shared" si="124"/>
        <v>0.56625047984020516</v>
      </c>
    </row>
    <row r="43" spans="2:46" x14ac:dyDescent="0.2">
      <c r="B43" s="7" t="s">
        <v>223</v>
      </c>
      <c r="C43" s="6">
        <f t="shared" ref="C43:P43" si="125">+C19/C12</f>
        <v>0.1938093734055735</v>
      </c>
      <c r="D43" s="6">
        <f t="shared" si="125"/>
        <v>0.1666710186176463</v>
      </c>
      <c r="E43" s="6">
        <f t="shared" si="125"/>
        <v>0.24284755159941956</v>
      </c>
      <c r="F43" s="6">
        <f t="shared" si="125"/>
        <v>0.27507118000632713</v>
      </c>
      <c r="G43" s="6">
        <f t="shared" si="125"/>
        <v>0.29715804317171057</v>
      </c>
      <c r="H43" s="6">
        <f t="shared" si="125"/>
        <v>0.312879767291532</v>
      </c>
      <c r="I43" s="6">
        <f t="shared" si="125"/>
        <v>0.32296753585798088</v>
      </c>
      <c r="J43" s="6">
        <f t="shared" si="125"/>
        <v>0.29054098904746101</v>
      </c>
      <c r="K43" s="6">
        <f t="shared" si="125"/>
        <v>0.29545220626075192</v>
      </c>
      <c r="L43" s="6">
        <f t="shared" si="125"/>
        <v>0.279156202913109</v>
      </c>
      <c r="M43" s="6">
        <f t="shared" si="125"/>
        <v>0.24800266311584554</v>
      </c>
      <c r="N43" s="6">
        <f t="shared" si="125"/>
        <v>0.23879654954765411</v>
      </c>
      <c r="O43" s="6">
        <f t="shared" si="125"/>
        <v>0.24954504420594092</v>
      </c>
      <c r="P43" s="6">
        <f t="shared" si="125"/>
        <v>0.29271888906761029</v>
      </c>
      <c r="Q43" s="6">
        <f>+Q19/Q12</f>
        <v>0.27829136948613303</v>
      </c>
      <c r="R43" s="6">
        <f>+R19/R12</f>
        <v>0.27455683003128256</v>
      </c>
      <c r="S43" s="6"/>
      <c r="T43" s="6"/>
      <c r="U43" s="6"/>
      <c r="V43" s="6"/>
      <c r="W43" s="6"/>
      <c r="X43" s="6"/>
      <c r="AC43" s="6">
        <f>+AC19/AC12</f>
        <v>0.22197371754079218</v>
      </c>
      <c r="AD43" s="6">
        <f t="shared" ref="AD43:AP43" si="126">+AD19/AD12</f>
        <v>0.22585151785763202</v>
      </c>
      <c r="AE43" s="6">
        <f t="shared" si="126"/>
        <v>0.3055228868524319</v>
      </c>
      <c r="AF43" s="6">
        <f t="shared" si="126"/>
        <v>0.26461270842467011</v>
      </c>
      <c r="AG43" s="6">
        <f t="shared" si="126"/>
        <v>0.27421810445226646</v>
      </c>
      <c r="AH43" s="6">
        <f t="shared" si="126"/>
        <v>0.27421810445226658</v>
      </c>
      <c r="AI43" s="6">
        <f t="shared" si="126"/>
        <v>0.27421810445226663</v>
      </c>
      <c r="AJ43" s="6">
        <f t="shared" si="126"/>
        <v>0.27421810445226652</v>
      </c>
      <c r="AK43" s="6">
        <f t="shared" si="126"/>
        <v>0.27421810445226669</v>
      </c>
      <c r="AL43" s="6">
        <f t="shared" si="126"/>
        <v>0.27421810445226663</v>
      </c>
      <c r="AM43" s="6">
        <f t="shared" si="126"/>
        <v>0.27421810445226663</v>
      </c>
      <c r="AN43" s="6">
        <f t="shared" si="126"/>
        <v>0.27421810445226674</v>
      </c>
      <c r="AO43" s="6">
        <f t="shared" si="126"/>
        <v>0.27421810445226669</v>
      </c>
      <c r="AP43" s="6">
        <f t="shared" si="126"/>
        <v>0.27421810445226669</v>
      </c>
      <c r="AQ43" s="6">
        <f t="shared" ref="AQ43" si="127">+AQ19/AQ12</f>
        <v>0.27421810445226658</v>
      </c>
    </row>
    <row r="44" spans="2:46" x14ac:dyDescent="0.2">
      <c r="B44" s="7" t="s">
        <v>222</v>
      </c>
      <c r="C44" s="6">
        <f t="shared" ref="C44:P44" si="128">+C23/C12</f>
        <v>0.16608761145800433</v>
      </c>
      <c r="D44" s="6">
        <f t="shared" si="128"/>
        <v>0.1817113612032274</v>
      </c>
      <c r="E44" s="6">
        <f t="shared" si="128"/>
        <v>0.24358391267623936</v>
      </c>
      <c r="F44" s="6">
        <f t="shared" si="128"/>
        <v>0.26761924847973567</v>
      </c>
      <c r="G44" s="6">
        <f t="shared" si="128"/>
        <v>0.32414940159814876</v>
      </c>
      <c r="H44" s="6">
        <f t="shared" si="128"/>
        <v>0.29936974789915966</v>
      </c>
      <c r="I44" s="6">
        <f t="shared" si="128"/>
        <v>0.29079517184188702</v>
      </c>
      <c r="J44" s="6">
        <f t="shared" si="128"/>
        <v>0.2740391636242947</v>
      </c>
      <c r="K44" s="6">
        <f t="shared" si="128"/>
        <v>0.24166678919586537</v>
      </c>
      <c r="L44" s="6">
        <f t="shared" si="128"/>
        <v>0.22963335007533903</v>
      </c>
      <c r="M44" s="6">
        <f t="shared" si="128"/>
        <v>0.20132576854049672</v>
      </c>
      <c r="N44" s="6">
        <f t="shared" si="128"/>
        <v>0.17915001051967178</v>
      </c>
      <c r="O44" s="6">
        <f t="shared" si="128"/>
        <v>0.21567054035851949</v>
      </c>
      <c r="P44" s="6">
        <f t="shared" si="128"/>
        <v>0.2462066377137955</v>
      </c>
      <c r="Q44" s="6">
        <f>+Q23/Q12</f>
        <v>0.25672486406842865</v>
      </c>
      <c r="R44" s="6">
        <f>+R23/R12</f>
        <v>0.23968253968253969</v>
      </c>
      <c r="S44" s="6"/>
      <c r="T44" s="6"/>
      <c r="U44" s="6"/>
      <c r="V44" s="6"/>
      <c r="W44" s="6"/>
      <c r="X44" s="6"/>
      <c r="AC44" s="6">
        <f>+AC23/AC12</f>
        <v>0.22266568637748135</v>
      </c>
      <c r="AD44" s="6">
        <f t="shared" ref="AD44:AP44" si="129">+AD23/AD12</f>
        <v>0.22061941520980458</v>
      </c>
      <c r="AE44" s="6">
        <f t="shared" si="129"/>
        <v>0.29511677282377918</v>
      </c>
      <c r="AF44" s="6">
        <f t="shared" si="129"/>
        <v>0.21203807153261961</v>
      </c>
      <c r="AG44" s="6">
        <f t="shared" si="129"/>
        <v>0.24265053969823747</v>
      </c>
      <c r="AH44" s="6">
        <f t="shared" si="129"/>
        <v>0.24557236915493852</v>
      </c>
      <c r="AI44" s="6">
        <f t="shared" si="129"/>
        <v>0.24891248279469991</v>
      </c>
      <c r="AJ44" s="6">
        <f t="shared" si="129"/>
        <v>0.25213637989111598</v>
      </c>
      <c r="AK44" s="6">
        <f t="shared" si="129"/>
        <v>0.25531201809985427</v>
      </c>
      <c r="AL44" s="6">
        <f t="shared" si="129"/>
        <v>0.25832226059952035</v>
      </c>
      <c r="AM44" s="6">
        <f t="shared" si="129"/>
        <v>0.26116200483331764</v>
      </c>
      <c r="AN44" s="6">
        <f t="shared" si="129"/>
        <v>0.2638266066452184</v>
      </c>
      <c r="AO44" s="6">
        <f t="shared" si="129"/>
        <v>0.26631200193077248</v>
      </c>
      <c r="AP44" s="6">
        <f t="shared" si="129"/>
        <v>0.26861483204129899</v>
      </c>
      <c r="AQ44" s="6">
        <f t="shared" ref="AQ44" si="130">+AQ23/AQ12</f>
        <v>0.27073256869540857</v>
      </c>
    </row>
    <row r="45" spans="2:46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7" spans="2:46" x14ac:dyDescent="0.2">
      <c r="B47" s="7" t="s">
        <v>86</v>
      </c>
      <c r="F47" s="3">
        <v>26465</v>
      </c>
      <c r="G47" s="3">
        <v>26622</v>
      </c>
      <c r="H47" s="3">
        <v>23630</v>
      </c>
      <c r="I47" s="3">
        <v>23719</v>
      </c>
      <c r="J47" s="3">
        <v>20945</v>
      </c>
      <c r="K47" s="3">
        <v>20886</v>
      </c>
      <c r="L47" s="3">
        <v>17936</v>
      </c>
      <c r="M47" s="3">
        <v>21984</v>
      </c>
      <c r="N47" s="3">
        <v>21879</v>
      </c>
      <c r="O47" s="3">
        <v>25924</v>
      </c>
      <c r="P47" s="3">
        <v>25929</v>
      </c>
      <c r="Q47" s="3">
        <v>30702</v>
      </c>
      <c r="R47" s="3">
        <v>24048</v>
      </c>
    </row>
    <row r="48" spans="2:46" x14ac:dyDescent="0.2">
      <c r="B48" s="7" t="s">
        <v>93</v>
      </c>
      <c r="F48" s="3">
        <v>110229</v>
      </c>
      <c r="G48" s="3">
        <v>108482</v>
      </c>
      <c r="H48" s="3">
        <v>112233</v>
      </c>
      <c r="I48" s="3">
        <v>118284</v>
      </c>
      <c r="J48" s="3">
        <v>118704</v>
      </c>
      <c r="K48" s="3">
        <v>113084</v>
      </c>
      <c r="L48" s="3">
        <v>107061</v>
      </c>
      <c r="M48" s="3">
        <v>94275</v>
      </c>
      <c r="N48" s="3">
        <v>91883</v>
      </c>
      <c r="O48" s="3">
        <v>89178</v>
      </c>
      <c r="P48" s="3">
        <v>92403</v>
      </c>
      <c r="Q48" s="3">
        <v>89233</v>
      </c>
      <c r="R48" s="3">
        <v>86868</v>
      </c>
    </row>
    <row r="49" spans="2:43" s="10" customFormat="1" x14ac:dyDescent="0.2">
      <c r="B49" s="8" t="s">
        <v>87</v>
      </c>
      <c r="F49" s="10">
        <f t="shared" ref="F49:M49" si="131">+SUM(F47:F48)</f>
        <v>136694</v>
      </c>
      <c r="G49" s="10">
        <f t="shared" si="131"/>
        <v>135104</v>
      </c>
      <c r="H49" s="10">
        <f t="shared" si="131"/>
        <v>135863</v>
      </c>
      <c r="I49" s="10">
        <f t="shared" si="131"/>
        <v>142003</v>
      </c>
      <c r="J49" s="10">
        <f t="shared" si="131"/>
        <v>139649</v>
      </c>
      <c r="K49" s="10">
        <f t="shared" si="131"/>
        <v>133970</v>
      </c>
      <c r="L49" s="10">
        <f t="shared" si="131"/>
        <v>124997</v>
      </c>
      <c r="M49" s="10">
        <f t="shared" si="131"/>
        <v>116259</v>
      </c>
      <c r="N49" s="10">
        <f t="shared" ref="N49:P49" si="132">+SUM(N47:N48)</f>
        <v>113762</v>
      </c>
      <c r="O49" s="10">
        <f t="shared" si="132"/>
        <v>115102</v>
      </c>
      <c r="P49" s="10">
        <f t="shared" si="132"/>
        <v>118332</v>
      </c>
      <c r="Q49" s="10">
        <f>+SUM(Q47:Q48)</f>
        <v>119935</v>
      </c>
      <c r="R49" s="10">
        <f>+SUM(R47:R48)</f>
        <v>110916</v>
      </c>
      <c r="AF49" s="10">
        <f>+R49</f>
        <v>110916</v>
      </c>
      <c r="AG49" s="10">
        <f>+AF49+AG23</f>
        <v>185505.32</v>
      </c>
      <c r="AH49" s="10">
        <f t="shared" ref="AH49:AQ49" si="133">+AG49+AH23</f>
        <v>265911.86770489789</v>
      </c>
      <c r="AI49" s="10">
        <f t="shared" si="133"/>
        <v>352916.42585013632</v>
      </c>
      <c r="AJ49" s="10">
        <f t="shared" si="133"/>
        <v>446761.94851395546</v>
      </c>
      <c r="AK49" s="10">
        <f t="shared" si="133"/>
        <v>547452.2796595965</v>
      </c>
      <c r="AL49" s="10">
        <f t="shared" si="133"/>
        <v>655584.84856590512</v>
      </c>
      <c r="AM49" s="10">
        <f t="shared" si="133"/>
        <v>771824.98882548092</v>
      </c>
      <c r="AN49" s="10">
        <f t="shared" si="133"/>
        <v>896915.04345367604</v>
      </c>
      <c r="AO49" s="10">
        <f t="shared" si="133"/>
        <v>1031684.7819143328</v>
      </c>
      <c r="AP49" s="10">
        <f t="shared" si="133"/>
        <v>1177063.3231612605</v>
      </c>
      <c r="AQ49" s="10">
        <f t="shared" si="133"/>
        <v>1334092.7877749503</v>
      </c>
    </row>
    <row r="50" spans="2:43" x14ac:dyDescent="0.2">
      <c r="B50" s="7" t="s">
        <v>88</v>
      </c>
      <c r="F50" s="3">
        <v>30930</v>
      </c>
      <c r="G50" s="3">
        <v>28006</v>
      </c>
      <c r="H50" s="3">
        <v>31967</v>
      </c>
      <c r="I50" s="3">
        <v>34047</v>
      </c>
      <c r="J50" s="3">
        <v>39304</v>
      </c>
      <c r="K50" s="3">
        <v>34703</v>
      </c>
      <c r="L50" s="3">
        <v>35707</v>
      </c>
      <c r="M50" s="3">
        <v>34697</v>
      </c>
      <c r="N50" s="3">
        <v>40258</v>
      </c>
      <c r="O50" s="3">
        <v>36036</v>
      </c>
      <c r="P50" s="3">
        <v>38804</v>
      </c>
      <c r="Q50" s="3">
        <v>41020</v>
      </c>
      <c r="R50" s="3">
        <v>47964</v>
      </c>
    </row>
    <row r="51" spans="2:43" x14ac:dyDescent="0.2">
      <c r="B51" s="7" t="s">
        <v>89</v>
      </c>
      <c r="F51" s="3">
        <v>454</v>
      </c>
      <c r="G51" s="3">
        <v>493</v>
      </c>
      <c r="H51" s="3">
        <v>884</v>
      </c>
      <c r="I51" s="3">
        <v>753</v>
      </c>
      <c r="J51" s="3">
        <v>966</v>
      </c>
      <c r="K51" s="3">
        <v>919</v>
      </c>
      <c r="L51" s="3">
        <v>1366</v>
      </c>
      <c r="M51" s="3">
        <v>1479</v>
      </c>
      <c r="N51" s="3">
        <v>0</v>
      </c>
      <c r="O51" s="3">
        <v>0</v>
      </c>
      <c r="P51" s="3">
        <v>0</v>
      </c>
    </row>
    <row r="52" spans="2:43" x14ac:dyDescent="0.2">
      <c r="B52" s="7" t="s">
        <v>90</v>
      </c>
      <c r="F52" s="3">
        <v>728</v>
      </c>
      <c r="G52" s="3">
        <v>888</v>
      </c>
      <c r="H52" s="3">
        <v>907</v>
      </c>
      <c r="I52" s="3">
        <v>1278</v>
      </c>
      <c r="J52" s="3">
        <v>1170</v>
      </c>
      <c r="K52" s="3">
        <v>1369</v>
      </c>
      <c r="L52" s="3">
        <v>1980</v>
      </c>
      <c r="M52" s="3">
        <v>3156</v>
      </c>
      <c r="N52" s="3">
        <v>2670</v>
      </c>
      <c r="O52" s="3">
        <v>2315</v>
      </c>
      <c r="P52" s="3">
        <v>2231</v>
      </c>
      <c r="Q52" s="3">
        <v>2957</v>
      </c>
      <c r="R52" s="3">
        <v>0</v>
      </c>
    </row>
    <row r="53" spans="2:43" x14ac:dyDescent="0.2">
      <c r="B53" s="7" t="s">
        <v>91</v>
      </c>
      <c r="F53" s="3">
        <v>5490</v>
      </c>
      <c r="G53" s="3">
        <v>7646</v>
      </c>
      <c r="H53" s="3">
        <v>6076</v>
      </c>
      <c r="I53" s="3">
        <v>6029</v>
      </c>
      <c r="J53" s="3">
        <v>7054</v>
      </c>
      <c r="K53" s="3">
        <v>6892</v>
      </c>
      <c r="L53" s="3">
        <v>8321</v>
      </c>
      <c r="M53" s="3">
        <v>10518</v>
      </c>
      <c r="N53" s="3">
        <v>8105</v>
      </c>
      <c r="O53" s="3">
        <v>8532</v>
      </c>
      <c r="P53" s="3">
        <v>9421</v>
      </c>
      <c r="Q53" s="3">
        <v>12398</v>
      </c>
      <c r="R53" s="3">
        <v>12650</v>
      </c>
    </row>
    <row r="54" spans="2:43" s="10" customFormat="1" x14ac:dyDescent="0.2">
      <c r="B54" s="8" t="s">
        <v>92</v>
      </c>
      <c r="F54" s="10">
        <f t="shared" ref="F54:L54" si="134">+SUM(F49:F53)</f>
        <v>174296</v>
      </c>
      <c r="G54" s="10">
        <f t="shared" si="134"/>
        <v>172137</v>
      </c>
      <c r="H54" s="10">
        <f t="shared" si="134"/>
        <v>175697</v>
      </c>
      <c r="I54" s="10">
        <f t="shared" si="134"/>
        <v>184110</v>
      </c>
      <c r="J54" s="10">
        <f t="shared" si="134"/>
        <v>188143</v>
      </c>
      <c r="K54" s="10">
        <f t="shared" si="134"/>
        <v>177853</v>
      </c>
      <c r="L54" s="10">
        <f t="shared" si="134"/>
        <v>172371</v>
      </c>
      <c r="M54" s="10">
        <f t="shared" ref="M54" si="135">+SUM(M49:M53)</f>
        <v>166109</v>
      </c>
      <c r="N54" s="10">
        <f t="shared" ref="N54:R54" si="136">+SUM(N49:N53)</f>
        <v>164795</v>
      </c>
      <c r="O54" s="10">
        <f t="shared" si="136"/>
        <v>161985</v>
      </c>
      <c r="P54" s="10">
        <f t="shared" si="136"/>
        <v>168788</v>
      </c>
      <c r="Q54" s="10">
        <f>+SUM(Q49:Q53)</f>
        <v>176310</v>
      </c>
      <c r="R54" s="10">
        <f>+SUM(R49:R53)</f>
        <v>171530</v>
      </c>
    </row>
    <row r="55" spans="2:43" x14ac:dyDescent="0.2">
      <c r="B55" s="7" t="s">
        <v>94</v>
      </c>
      <c r="F55" s="3">
        <v>20703</v>
      </c>
      <c r="G55" s="3">
        <v>25294</v>
      </c>
      <c r="H55" s="3">
        <v>25532</v>
      </c>
      <c r="I55" s="3">
        <v>26101</v>
      </c>
      <c r="J55" s="3">
        <v>29549</v>
      </c>
      <c r="K55" s="3">
        <v>30544</v>
      </c>
      <c r="L55" s="3">
        <v>30665</v>
      </c>
      <c r="M55" s="3">
        <v>30419</v>
      </c>
      <c r="N55" s="3">
        <v>30492</v>
      </c>
      <c r="O55" s="3">
        <v>31213</v>
      </c>
      <c r="P55" s="3">
        <v>31224</v>
      </c>
      <c r="Q55" s="3">
        <v>30907</v>
      </c>
      <c r="R55" s="3">
        <v>31008</v>
      </c>
    </row>
    <row r="56" spans="2:43" x14ac:dyDescent="0.2">
      <c r="B56" s="7" t="s">
        <v>95</v>
      </c>
      <c r="F56" s="3">
        <v>1084</v>
      </c>
      <c r="G56" s="3">
        <v>1129</v>
      </c>
      <c r="H56" s="3">
        <v>1153</v>
      </c>
      <c r="I56" s="3">
        <v>1195</v>
      </c>
      <c r="J56" s="3">
        <v>1284</v>
      </c>
      <c r="K56" s="3">
        <v>1388</v>
      </c>
      <c r="L56" s="3">
        <v>1490</v>
      </c>
      <c r="M56" s="3">
        <v>2991</v>
      </c>
      <c r="N56" s="3">
        <v>5261</v>
      </c>
      <c r="O56" s="3">
        <v>6885</v>
      </c>
      <c r="P56" s="3">
        <v>9357</v>
      </c>
      <c r="Q56" s="3">
        <v>10983</v>
      </c>
      <c r="R56" s="3">
        <v>12169</v>
      </c>
    </row>
    <row r="57" spans="2:43" x14ac:dyDescent="0.2">
      <c r="B57" s="7" t="s">
        <v>96</v>
      </c>
      <c r="F57" s="3">
        <v>84749</v>
      </c>
      <c r="G57" s="3">
        <v>87606</v>
      </c>
      <c r="H57" s="3">
        <v>91697</v>
      </c>
      <c r="I57" s="3">
        <v>94631</v>
      </c>
      <c r="J57" s="3">
        <v>97599</v>
      </c>
      <c r="K57" s="3">
        <v>104218</v>
      </c>
      <c r="L57" s="3">
        <v>106223</v>
      </c>
      <c r="M57" s="3">
        <v>108363</v>
      </c>
      <c r="N57" s="3">
        <v>112668</v>
      </c>
      <c r="O57" s="3">
        <v>117560</v>
      </c>
      <c r="P57" s="3">
        <v>121208</v>
      </c>
      <c r="Q57" s="3">
        <v>125705</v>
      </c>
      <c r="R57" s="3">
        <v>134345</v>
      </c>
    </row>
    <row r="58" spans="2:43" x14ac:dyDescent="0.2">
      <c r="B58" s="7" t="s">
        <v>97</v>
      </c>
      <c r="F58" s="3">
        <v>12211</v>
      </c>
      <c r="G58" s="3">
        <v>12598</v>
      </c>
      <c r="H58" s="3">
        <v>12978</v>
      </c>
      <c r="I58" s="3">
        <v>12918</v>
      </c>
      <c r="J58" s="3">
        <v>12959</v>
      </c>
      <c r="K58" s="3">
        <v>12992</v>
      </c>
      <c r="L58" s="3">
        <v>13398</v>
      </c>
      <c r="M58" s="3">
        <v>13677</v>
      </c>
      <c r="N58" s="3">
        <v>14381</v>
      </c>
      <c r="O58" s="3">
        <v>14447</v>
      </c>
      <c r="P58" s="3">
        <v>14469</v>
      </c>
      <c r="Q58" s="3">
        <v>14199</v>
      </c>
      <c r="R58" s="3">
        <v>14091</v>
      </c>
    </row>
    <row r="59" spans="2:43" x14ac:dyDescent="0.2">
      <c r="B59" s="7" t="s">
        <v>98</v>
      </c>
      <c r="F59" s="3">
        <v>1445</v>
      </c>
      <c r="G59" s="3">
        <v>1823</v>
      </c>
      <c r="H59" s="3">
        <v>1626</v>
      </c>
      <c r="I59" s="3">
        <v>1549</v>
      </c>
      <c r="J59" s="3">
        <v>1417</v>
      </c>
      <c r="K59" s="3">
        <v>1313</v>
      </c>
      <c r="L59" s="3">
        <v>1377</v>
      </c>
      <c r="M59" s="3">
        <v>2192</v>
      </c>
      <c r="N59" s="3">
        <v>2084</v>
      </c>
      <c r="O59" s="3">
        <v>1968</v>
      </c>
      <c r="P59" s="3">
        <v>1966</v>
      </c>
      <c r="Q59" s="3">
        <v>1833</v>
      </c>
      <c r="R59" s="3">
        <v>0</v>
      </c>
    </row>
    <row r="60" spans="2:43" x14ac:dyDescent="0.2">
      <c r="B60" s="7" t="s">
        <v>99</v>
      </c>
      <c r="F60" s="3">
        <v>21175</v>
      </c>
      <c r="G60" s="3">
        <v>22341</v>
      </c>
      <c r="H60" s="3">
        <v>22406</v>
      </c>
      <c r="I60" s="3">
        <v>22623</v>
      </c>
      <c r="J60" s="3">
        <v>22956</v>
      </c>
      <c r="K60" s="3">
        <v>23010</v>
      </c>
      <c r="L60" s="3">
        <v>23949</v>
      </c>
      <c r="M60" s="3">
        <v>28834</v>
      </c>
      <c r="N60" s="3">
        <v>28960</v>
      </c>
      <c r="O60" s="3">
        <v>28994</v>
      </c>
      <c r="P60" s="3">
        <v>29210</v>
      </c>
      <c r="Q60" s="3">
        <v>29146</v>
      </c>
      <c r="R60" s="3">
        <v>29198</v>
      </c>
    </row>
    <row r="61" spans="2:43" x14ac:dyDescent="0.2">
      <c r="B61" s="7" t="s">
        <v>100</v>
      </c>
      <c r="F61" s="3">
        <v>3953</v>
      </c>
      <c r="G61" s="3">
        <v>4167</v>
      </c>
      <c r="H61" s="3">
        <v>4298</v>
      </c>
      <c r="I61" s="3">
        <v>4276</v>
      </c>
      <c r="J61" s="3">
        <v>5361</v>
      </c>
      <c r="K61" s="3">
        <v>5778</v>
      </c>
      <c r="L61" s="3">
        <v>5712</v>
      </c>
      <c r="M61" s="3">
        <v>5670</v>
      </c>
      <c r="N61" s="3">
        <v>6623</v>
      </c>
      <c r="O61" s="3">
        <v>6439</v>
      </c>
      <c r="P61" s="3">
        <v>6822</v>
      </c>
      <c r="Q61" s="3">
        <v>7628</v>
      </c>
      <c r="R61" s="3">
        <v>10051</v>
      </c>
    </row>
    <row r="62" spans="2:43" s="10" customFormat="1" x14ac:dyDescent="0.2">
      <c r="B62" s="8" t="s">
        <v>101</v>
      </c>
      <c r="F62" s="10">
        <f t="shared" ref="F62:L62" si="137">+SUM(F54:F61)</f>
        <v>319616</v>
      </c>
      <c r="G62" s="10">
        <f t="shared" si="137"/>
        <v>327095</v>
      </c>
      <c r="H62" s="10">
        <f t="shared" si="137"/>
        <v>335387</v>
      </c>
      <c r="I62" s="10">
        <f t="shared" si="137"/>
        <v>347403</v>
      </c>
      <c r="J62" s="10">
        <f t="shared" si="137"/>
        <v>359268</v>
      </c>
      <c r="K62" s="10">
        <f t="shared" si="137"/>
        <v>357096</v>
      </c>
      <c r="L62" s="10">
        <f t="shared" si="137"/>
        <v>355185</v>
      </c>
      <c r="M62" s="10">
        <f t="shared" ref="M62:N62" si="138">+SUM(M54:M61)</f>
        <v>358255</v>
      </c>
      <c r="N62" s="10">
        <f t="shared" si="138"/>
        <v>365264</v>
      </c>
      <c r="O62" s="10">
        <f t="shared" ref="O62:R62" si="139">+SUM(O54:O61)</f>
        <v>369491</v>
      </c>
      <c r="P62" s="10">
        <f t="shared" si="139"/>
        <v>383044</v>
      </c>
      <c r="Q62" s="10">
        <f>+SUM(Q54:Q61)</f>
        <v>396711</v>
      </c>
      <c r="R62" s="10">
        <f>+SUM(R54:R61)</f>
        <v>402392</v>
      </c>
    </row>
    <row r="64" spans="2:43" x14ac:dyDescent="0.2">
      <c r="B64" s="7" t="s">
        <v>102</v>
      </c>
      <c r="F64" s="3">
        <v>5589</v>
      </c>
      <c r="G64" s="3">
        <v>4801</v>
      </c>
      <c r="H64" s="3">
        <v>4708</v>
      </c>
      <c r="I64" s="3">
        <v>4616</v>
      </c>
      <c r="J64" s="3">
        <v>6037</v>
      </c>
      <c r="K64" s="3">
        <v>3436</v>
      </c>
      <c r="L64" s="3">
        <v>4409</v>
      </c>
      <c r="M64" s="3">
        <v>6303</v>
      </c>
      <c r="N64" s="3">
        <v>5128</v>
      </c>
      <c r="O64" s="3">
        <v>4184</v>
      </c>
      <c r="P64" s="3">
        <v>5313</v>
      </c>
      <c r="Q64" s="3">
        <v>5803</v>
      </c>
      <c r="R64" s="3">
        <v>7493</v>
      </c>
    </row>
    <row r="65" spans="2:18" x14ac:dyDescent="0.2">
      <c r="B65" s="7" t="s">
        <v>103</v>
      </c>
      <c r="F65" s="3">
        <v>11086</v>
      </c>
      <c r="G65" s="3">
        <v>8375</v>
      </c>
      <c r="H65" s="3">
        <v>10088</v>
      </c>
      <c r="I65" s="3">
        <v>12170</v>
      </c>
      <c r="J65" s="3">
        <v>13889</v>
      </c>
      <c r="K65" s="3">
        <v>9803</v>
      </c>
      <c r="L65" s="3">
        <v>10852</v>
      </c>
      <c r="M65" s="3">
        <v>12366</v>
      </c>
      <c r="N65" s="3">
        <v>14028</v>
      </c>
      <c r="O65" s="3">
        <v>9954</v>
      </c>
      <c r="P65" s="3">
        <v>11260</v>
      </c>
      <c r="Q65" s="3">
        <v>12562</v>
      </c>
      <c r="R65" s="3">
        <v>15140</v>
      </c>
    </row>
    <row r="66" spans="2:18" x14ac:dyDescent="0.2">
      <c r="B66" s="7" t="s">
        <v>104</v>
      </c>
      <c r="F66" s="3">
        <v>28631</v>
      </c>
      <c r="G66" s="3">
        <v>30732</v>
      </c>
      <c r="H66" s="3">
        <v>28981</v>
      </c>
      <c r="I66" s="3">
        <v>30113</v>
      </c>
      <c r="J66" s="3">
        <v>31236</v>
      </c>
      <c r="K66" s="3">
        <v>33051</v>
      </c>
      <c r="L66" s="3">
        <v>32976</v>
      </c>
      <c r="M66" s="3">
        <v>35038</v>
      </c>
      <c r="N66" s="3">
        <v>37866</v>
      </c>
      <c r="O66" s="3">
        <v>43185</v>
      </c>
      <c r="P66" s="3">
        <v>49300</v>
      </c>
      <c r="Q66" s="3">
        <v>55602</v>
      </c>
      <c r="R66" s="3">
        <v>46168</v>
      </c>
    </row>
    <row r="67" spans="2:18" x14ac:dyDescent="0.2">
      <c r="B67" s="7" t="s">
        <v>105</v>
      </c>
      <c r="F67" s="3">
        <v>7500</v>
      </c>
      <c r="G67" s="3">
        <v>6962</v>
      </c>
      <c r="H67" s="3">
        <v>7438</v>
      </c>
      <c r="I67" s="3">
        <v>7745</v>
      </c>
      <c r="J67" s="3">
        <v>8996</v>
      </c>
      <c r="K67" s="3">
        <v>8116</v>
      </c>
      <c r="L67" s="3">
        <v>7889</v>
      </c>
      <c r="M67" s="3">
        <v>7662</v>
      </c>
      <c r="N67" s="3">
        <v>8370</v>
      </c>
      <c r="O67" s="3">
        <v>7816</v>
      </c>
      <c r="P67" s="3">
        <v>7990</v>
      </c>
      <c r="Q67" s="3">
        <v>8025</v>
      </c>
      <c r="R67" s="3">
        <v>8876</v>
      </c>
    </row>
    <row r="68" spans="2:18" x14ac:dyDescent="0.2">
      <c r="B68" s="7" t="s">
        <v>106</v>
      </c>
      <c r="F68" s="3">
        <v>2543</v>
      </c>
      <c r="G68" s="3">
        <v>2690</v>
      </c>
      <c r="H68" s="3">
        <v>2715</v>
      </c>
      <c r="I68" s="3">
        <v>2968</v>
      </c>
      <c r="J68" s="3">
        <v>3288</v>
      </c>
      <c r="K68" s="3">
        <v>3198</v>
      </c>
      <c r="L68" s="3">
        <v>3272</v>
      </c>
      <c r="M68" s="3">
        <v>3585</v>
      </c>
      <c r="N68" s="3">
        <v>3908</v>
      </c>
      <c r="O68" s="3">
        <v>3715</v>
      </c>
      <c r="P68" s="3">
        <v>3846</v>
      </c>
      <c r="Q68" s="3">
        <v>4303</v>
      </c>
      <c r="R68" s="3">
        <v>4137</v>
      </c>
    </row>
    <row r="69" spans="2:18" x14ac:dyDescent="0.2">
      <c r="B69" s="7" t="s">
        <v>107</v>
      </c>
      <c r="F69" s="3">
        <v>1485</v>
      </c>
      <c r="G69" s="3">
        <v>1893</v>
      </c>
      <c r="H69" s="3">
        <v>1811</v>
      </c>
      <c r="I69" s="3">
        <v>4170</v>
      </c>
      <c r="J69" s="3">
        <v>808</v>
      </c>
      <c r="K69" s="3">
        <v>4344</v>
      </c>
      <c r="L69" s="3">
        <v>1956</v>
      </c>
      <c r="M69" s="3">
        <v>1025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</row>
    <row r="70" spans="2:18" s="10" customFormat="1" x14ac:dyDescent="0.2">
      <c r="B70" s="8" t="s">
        <v>108</v>
      </c>
      <c r="F70" s="10">
        <f t="shared" ref="F70:L70" si="140">+SUM(F64:F69)</f>
        <v>56834</v>
      </c>
      <c r="G70" s="10">
        <f t="shared" si="140"/>
        <v>55453</v>
      </c>
      <c r="H70" s="10">
        <f t="shared" si="140"/>
        <v>55741</v>
      </c>
      <c r="I70" s="10">
        <f t="shared" si="140"/>
        <v>61782</v>
      </c>
      <c r="J70" s="10">
        <f t="shared" si="140"/>
        <v>64254</v>
      </c>
      <c r="K70" s="10">
        <f t="shared" si="140"/>
        <v>61948</v>
      </c>
      <c r="L70" s="10">
        <f t="shared" si="140"/>
        <v>61354</v>
      </c>
      <c r="M70" s="10">
        <f t="shared" ref="M70:N70" si="141">+SUM(M64:M69)</f>
        <v>65979</v>
      </c>
      <c r="N70" s="10">
        <f t="shared" si="141"/>
        <v>69300</v>
      </c>
      <c r="O70" s="10">
        <f t="shared" ref="O70:P70" si="142">+SUM(O64:O69)</f>
        <v>68854</v>
      </c>
      <c r="P70" s="10">
        <f t="shared" si="142"/>
        <v>77709</v>
      </c>
      <c r="Q70" s="10">
        <f t="shared" ref="Q70:R70" si="143">+SUM(Q64:Q69)</f>
        <v>86295</v>
      </c>
      <c r="R70" s="10">
        <f t="shared" si="143"/>
        <v>81814</v>
      </c>
    </row>
    <row r="71" spans="2:18" x14ac:dyDescent="0.2">
      <c r="B71" s="7" t="s">
        <v>109</v>
      </c>
      <c r="F71" s="3">
        <v>13932</v>
      </c>
      <c r="G71" s="3">
        <v>13887</v>
      </c>
      <c r="H71" s="3">
        <v>14328</v>
      </c>
      <c r="I71" s="3">
        <v>14288</v>
      </c>
      <c r="J71" s="3">
        <v>14817</v>
      </c>
      <c r="K71" s="3">
        <v>14791</v>
      </c>
      <c r="L71" s="3">
        <v>14734</v>
      </c>
      <c r="M71" s="3">
        <v>14653</v>
      </c>
      <c r="N71" s="3">
        <v>14701</v>
      </c>
      <c r="O71" s="3">
        <v>13697</v>
      </c>
      <c r="P71" s="3">
        <v>13705</v>
      </c>
      <c r="Q71" s="3">
        <v>13781</v>
      </c>
      <c r="R71" s="3">
        <v>13253</v>
      </c>
    </row>
    <row r="72" spans="2:18" x14ac:dyDescent="0.2">
      <c r="B72" s="7" t="s">
        <v>106</v>
      </c>
      <c r="F72" s="3">
        <v>481</v>
      </c>
      <c r="G72" s="3">
        <v>530</v>
      </c>
      <c r="H72" s="3">
        <v>510</v>
      </c>
      <c r="I72" s="3">
        <v>510</v>
      </c>
      <c r="J72" s="3">
        <v>535</v>
      </c>
      <c r="K72" s="3">
        <v>499</v>
      </c>
      <c r="L72" s="3">
        <v>472</v>
      </c>
      <c r="M72" s="3">
        <v>594</v>
      </c>
      <c r="N72" s="3">
        <v>599</v>
      </c>
      <c r="O72" s="3">
        <v>610</v>
      </c>
      <c r="P72" s="3">
        <v>667</v>
      </c>
      <c r="Q72" s="3">
        <v>884</v>
      </c>
      <c r="R72" s="3">
        <v>911</v>
      </c>
    </row>
    <row r="73" spans="2:18" x14ac:dyDescent="0.2">
      <c r="B73" s="7" t="s">
        <v>107</v>
      </c>
      <c r="F73" s="3">
        <v>8849</v>
      </c>
      <c r="G73" s="3">
        <v>9278</v>
      </c>
      <c r="H73" s="3">
        <v>8651</v>
      </c>
      <c r="I73" s="3">
        <v>8984</v>
      </c>
      <c r="J73" s="3">
        <v>9176</v>
      </c>
      <c r="K73" s="3">
        <v>9406</v>
      </c>
      <c r="L73" s="3">
        <v>8163</v>
      </c>
      <c r="M73" s="3">
        <v>8572</v>
      </c>
      <c r="N73" s="3">
        <v>9258</v>
      </c>
      <c r="O73" s="3">
        <v>9722</v>
      </c>
      <c r="P73" s="3">
        <v>8753</v>
      </c>
      <c r="Q73" s="3">
        <v>8038</v>
      </c>
      <c r="R73" s="3">
        <v>8474</v>
      </c>
    </row>
    <row r="74" spans="2:18" x14ac:dyDescent="0.2">
      <c r="B74" s="7" t="s">
        <v>95</v>
      </c>
      <c r="F74" s="3">
        <v>3561</v>
      </c>
      <c r="G74" s="3">
        <v>4406</v>
      </c>
      <c r="H74" s="3">
        <v>4703</v>
      </c>
      <c r="I74" s="3">
        <v>3551</v>
      </c>
      <c r="J74" s="3">
        <v>5257</v>
      </c>
      <c r="K74" s="3">
        <v>2843</v>
      </c>
      <c r="L74" s="3">
        <v>924</v>
      </c>
      <c r="M74" s="3">
        <v>476</v>
      </c>
      <c r="N74" s="3">
        <v>514</v>
      </c>
      <c r="O74" s="3">
        <v>542</v>
      </c>
      <c r="P74" s="3">
        <v>558</v>
      </c>
      <c r="Q74" s="3">
        <v>528</v>
      </c>
      <c r="R74" s="3">
        <v>485</v>
      </c>
    </row>
    <row r="75" spans="2:18" x14ac:dyDescent="0.2">
      <c r="B75" s="7" t="s">
        <v>97</v>
      </c>
      <c r="F75" s="3">
        <v>11146</v>
      </c>
      <c r="G75" s="3">
        <v>11382</v>
      </c>
      <c r="H75" s="3">
        <v>11619</v>
      </c>
      <c r="I75" s="3">
        <v>11471</v>
      </c>
      <c r="J75" s="3">
        <v>11389</v>
      </c>
      <c r="K75" s="3">
        <v>11363</v>
      </c>
      <c r="L75" s="3">
        <v>11697</v>
      </c>
      <c r="M75" s="3">
        <v>11984</v>
      </c>
      <c r="N75" s="3">
        <v>12501</v>
      </c>
      <c r="O75" s="3">
        <v>12799</v>
      </c>
      <c r="P75" s="3">
        <v>12746</v>
      </c>
      <c r="Q75" s="3">
        <v>12550</v>
      </c>
      <c r="R75" s="3">
        <v>12460</v>
      </c>
    </row>
    <row r="76" spans="2:18" x14ac:dyDescent="0.2">
      <c r="B76" s="7" t="s">
        <v>110</v>
      </c>
      <c r="F76" s="3">
        <v>2269</v>
      </c>
      <c r="G76" s="3">
        <v>2146</v>
      </c>
      <c r="H76" s="3">
        <v>2270</v>
      </c>
      <c r="I76" s="3">
        <v>2250</v>
      </c>
      <c r="J76" s="3">
        <v>2205</v>
      </c>
      <c r="K76" s="3">
        <v>2242</v>
      </c>
      <c r="L76" s="3">
        <v>2422</v>
      </c>
      <c r="M76" s="3">
        <v>2371</v>
      </c>
      <c r="N76" s="3">
        <v>2247</v>
      </c>
      <c r="O76" s="3">
        <v>2373</v>
      </c>
      <c r="P76" s="3">
        <v>1765</v>
      </c>
      <c r="Q76" s="3">
        <v>1433</v>
      </c>
      <c r="R76" s="3">
        <v>1616</v>
      </c>
    </row>
    <row r="77" spans="2:18" s="10" customFormat="1" x14ac:dyDescent="0.2">
      <c r="B77" s="8" t="s">
        <v>111</v>
      </c>
      <c r="F77" s="10">
        <f t="shared" ref="F77:L77" si="144">+SUM(F70:F76)</f>
        <v>97072</v>
      </c>
      <c r="G77" s="10">
        <f t="shared" si="144"/>
        <v>97082</v>
      </c>
      <c r="H77" s="10">
        <f t="shared" si="144"/>
        <v>97822</v>
      </c>
      <c r="I77" s="10">
        <f t="shared" si="144"/>
        <v>102836</v>
      </c>
      <c r="J77" s="10">
        <f t="shared" si="144"/>
        <v>107633</v>
      </c>
      <c r="K77" s="10">
        <f t="shared" si="144"/>
        <v>103092</v>
      </c>
      <c r="L77" s="10">
        <f t="shared" si="144"/>
        <v>99766</v>
      </c>
      <c r="M77" s="10">
        <f t="shared" ref="M77:N77" si="145">+SUM(M70:M76)</f>
        <v>104629</v>
      </c>
      <c r="N77" s="10">
        <f t="shared" si="145"/>
        <v>109120</v>
      </c>
      <c r="O77" s="10">
        <f t="shared" ref="O77:P77" si="146">+SUM(O70:O76)</f>
        <v>108597</v>
      </c>
      <c r="P77" s="10">
        <f t="shared" si="146"/>
        <v>115903</v>
      </c>
      <c r="Q77" s="10">
        <f t="shared" ref="Q77:R77" si="147">+SUM(Q70:Q76)</f>
        <v>123509</v>
      </c>
      <c r="R77" s="10">
        <f t="shared" si="147"/>
        <v>119013</v>
      </c>
    </row>
    <row r="78" spans="2:18" x14ac:dyDescent="0.2">
      <c r="B78" s="7" t="s">
        <v>112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</row>
    <row r="79" spans="2:18" x14ac:dyDescent="0.2">
      <c r="B79" s="7" t="s">
        <v>113</v>
      </c>
      <c r="F79" s="3">
        <v>58510</v>
      </c>
      <c r="G79" s="3">
        <v>59436</v>
      </c>
      <c r="H79" s="3">
        <v>60436</v>
      </c>
      <c r="I79" s="3">
        <v>61193</v>
      </c>
      <c r="J79" s="3">
        <v>61774</v>
      </c>
      <c r="K79" s="3">
        <v>62832</v>
      </c>
      <c r="L79" s="3">
        <v>64402</v>
      </c>
      <c r="M79" s="3">
        <v>66258</v>
      </c>
      <c r="N79" s="3">
        <v>68184</v>
      </c>
      <c r="O79" s="3">
        <v>70269</v>
      </c>
      <c r="P79" s="3">
        <v>72248</v>
      </c>
      <c r="Q79" s="3">
        <v>74591</v>
      </c>
      <c r="R79" s="3">
        <v>76534</v>
      </c>
    </row>
    <row r="80" spans="2:18" x14ac:dyDescent="0.2">
      <c r="B80" s="7" t="s">
        <v>114</v>
      </c>
      <c r="F80" s="3">
        <v>633</v>
      </c>
      <c r="G80" s="3">
        <v>-3</v>
      </c>
      <c r="H80" s="3">
        <v>190</v>
      </c>
      <c r="I80" s="3">
        <v>-408</v>
      </c>
      <c r="J80" s="3">
        <v>-1623</v>
      </c>
      <c r="K80" s="3">
        <v>-4049</v>
      </c>
      <c r="L80" s="3">
        <v>-5828</v>
      </c>
      <c r="M80" s="3">
        <v>-8852</v>
      </c>
      <c r="N80" s="3">
        <v>-7603</v>
      </c>
      <c r="O80" s="3">
        <v>-6000</v>
      </c>
      <c r="P80" s="3">
        <v>-5991</v>
      </c>
      <c r="Q80" s="3">
        <v>-7036</v>
      </c>
      <c r="R80" s="3">
        <v>-4402</v>
      </c>
    </row>
    <row r="81" spans="2:24" x14ac:dyDescent="0.2">
      <c r="B81" s="7" t="s">
        <v>115</v>
      </c>
      <c r="F81" s="3">
        <v>163401</v>
      </c>
      <c r="G81" s="3">
        <v>170580</v>
      </c>
      <c r="H81" s="3">
        <v>176939</v>
      </c>
      <c r="I81" s="3">
        <v>183782</v>
      </c>
      <c r="J81" s="3">
        <v>191484</v>
      </c>
      <c r="K81" s="3">
        <v>195221</v>
      </c>
      <c r="L81" s="3">
        <v>196845</v>
      </c>
      <c r="M81" s="3">
        <v>196220</v>
      </c>
      <c r="N81" s="3">
        <v>195563</v>
      </c>
      <c r="O81" s="3">
        <v>196625</v>
      </c>
      <c r="P81" s="3">
        <v>200884</v>
      </c>
      <c r="Q81" s="3">
        <v>205647</v>
      </c>
      <c r="R81" s="3">
        <v>211247</v>
      </c>
    </row>
    <row r="82" spans="2:24" x14ac:dyDescent="0.2">
      <c r="B82" s="7" t="s">
        <v>116</v>
      </c>
      <c r="F82" s="3">
        <f t="shared" ref="F82:L82" si="148">+SUM(F78:F81)</f>
        <v>222544</v>
      </c>
      <c r="G82" s="3">
        <f t="shared" si="148"/>
        <v>230013</v>
      </c>
      <c r="H82" s="3">
        <f t="shared" si="148"/>
        <v>237565</v>
      </c>
      <c r="I82" s="3">
        <f t="shared" si="148"/>
        <v>244567</v>
      </c>
      <c r="J82" s="3">
        <f t="shared" si="148"/>
        <v>251635</v>
      </c>
      <c r="K82" s="3">
        <f t="shared" si="148"/>
        <v>254004</v>
      </c>
      <c r="L82" s="3">
        <f t="shared" si="148"/>
        <v>255419</v>
      </c>
      <c r="M82" s="3">
        <f t="shared" ref="M82:N82" si="149">+SUM(M78:M81)</f>
        <v>253626</v>
      </c>
      <c r="N82" s="3">
        <f t="shared" si="149"/>
        <v>256144</v>
      </c>
      <c r="O82" s="3">
        <f t="shared" ref="O82:P82" si="150">+SUM(O78:O81)</f>
        <v>260894</v>
      </c>
      <c r="P82" s="3">
        <f t="shared" si="150"/>
        <v>267141</v>
      </c>
      <c r="Q82" s="3">
        <f t="shared" ref="Q82:R82" si="151">+SUM(Q78:Q81)</f>
        <v>273202</v>
      </c>
      <c r="R82" s="3">
        <f t="shared" si="151"/>
        <v>283379</v>
      </c>
    </row>
    <row r="83" spans="2:24" s="10" customFormat="1" x14ac:dyDescent="0.2">
      <c r="B83" s="8" t="s">
        <v>117</v>
      </c>
      <c r="F83" s="10">
        <f t="shared" ref="F83:L83" si="152">+F77+F82</f>
        <v>319616</v>
      </c>
      <c r="G83" s="10">
        <f t="shared" si="152"/>
        <v>327095</v>
      </c>
      <c r="H83" s="10">
        <f t="shared" si="152"/>
        <v>335387</v>
      </c>
      <c r="I83" s="10">
        <f t="shared" si="152"/>
        <v>347403</v>
      </c>
      <c r="J83" s="10">
        <f t="shared" si="152"/>
        <v>359268</v>
      </c>
      <c r="K83" s="10">
        <f t="shared" si="152"/>
        <v>357096</v>
      </c>
      <c r="L83" s="10">
        <f t="shared" si="152"/>
        <v>355185</v>
      </c>
      <c r="M83" s="10">
        <f t="shared" ref="M83:N83" si="153">+M77+M82</f>
        <v>358255</v>
      </c>
      <c r="N83" s="10">
        <f t="shared" si="153"/>
        <v>365264</v>
      </c>
      <c r="O83" s="10">
        <f t="shared" ref="O83:P83" si="154">+O77+O82</f>
        <v>369491</v>
      </c>
      <c r="P83" s="10">
        <f t="shared" si="154"/>
        <v>383044</v>
      </c>
      <c r="Q83" s="10">
        <f t="shared" ref="Q83:R83" si="155">+Q77+Q82</f>
        <v>396711</v>
      </c>
      <c r="R83" s="10">
        <f t="shared" si="155"/>
        <v>402392</v>
      </c>
    </row>
    <row r="84" spans="2:24" x14ac:dyDescent="0.2">
      <c r="F84" s="3" t="str">
        <f t="shared" ref="F84:L84" si="156">IF(F83=F62,"B","N")</f>
        <v>B</v>
      </c>
      <c r="G84" s="3" t="str">
        <f t="shared" si="156"/>
        <v>B</v>
      </c>
      <c r="H84" s="3" t="str">
        <f t="shared" si="156"/>
        <v>B</v>
      </c>
      <c r="I84" s="3" t="str">
        <f t="shared" si="156"/>
        <v>B</v>
      </c>
      <c r="J84" s="3" t="str">
        <f t="shared" si="156"/>
        <v>B</v>
      </c>
      <c r="K84" s="3" t="str">
        <f t="shared" si="156"/>
        <v>B</v>
      </c>
      <c r="L84" s="3" t="str">
        <f t="shared" si="156"/>
        <v>B</v>
      </c>
      <c r="M84" s="3" t="str">
        <f>IF(M83=M62,"B","N")</f>
        <v>B</v>
      </c>
      <c r="N84" s="3" t="str">
        <f>IF(N83=N62,"B","N")</f>
        <v>B</v>
      </c>
      <c r="O84" s="3" t="str">
        <f>IF(O83=O62,"B","N")</f>
        <v>B</v>
      </c>
      <c r="P84" s="3" t="str">
        <f>IF(P83=P62,"B","N")</f>
        <v>B</v>
      </c>
      <c r="Q84" s="3" t="str">
        <f>IF(Q83=Q62,"B","N")</f>
        <v>B</v>
      </c>
      <c r="R84" s="3" t="str">
        <f>IF(R83=R62,"B","N")</f>
        <v>B</v>
      </c>
    </row>
    <row r="85" spans="2:24" s="6" customFormat="1" x14ac:dyDescent="0.2">
      <c r="B85" s="17" t="s">
        <v>118</v>
      </c>
      <c r="F85" s="6">
        <f>+SUM(H23:K23)/F82</f>
        <v>0.33494050614709903</v>
      </c>
      <c r="G85" s="6">
        <f>+SUM(F23:I23)/G82</f>
        <v>0.30701742944963978</v>
      </c>
      <c r="H85" s="6">
        <f>+SUM(G23:J23)/H82</f>
        <v>0.32005135436617349</v>
      </c>
      <c r="I85" s="6">
        <f>+SUM(H23:K23)/I82</f>
        <v>0.3047794673852155</v>
      </c>
      <c r="J85" s="6">
        <f>+SUM(I23:L23)/J82</f>
        <v>0.28619230234267889</v>
      </c>
      <c r="K85" s="6">
        <f t="shared" ref="K85:R85" si="157">+SUM(F23:I23)/K82</f>
        <v>0.27801924379143633</v>
      </c>
      <c r="L85" s="6">
        <f t="shared" si="157"/>
        <v>0.29767949917586395</v>
      </c>
      <c r="M85" s="6">
        <f t="shared" si="157"/>
        <v>0.29389337055349213</v>
      </c>
      <c r="N85" s="6">
        <f t="shared" si="157"/>
        <v>0.28115435067774375</v>
      </c>
      <c r="O85" s="6">
        <f t="shared" si="157"/>
        <v>0.25677094912109899</v>
      </c>
      <c r="P85" s="6">
        <f t="shared" si="157"/>
        <v>0.22449567831220216</v>
      </c>
      <c r="Q85" s="6">
        <f t="shared" si="157"/>
        <v>0.21444572148080907</v>
      </c>
      <c r="R85" s="6">
        <f t="shared" si="157"/>
        <v>0.2150935672720985</v>
      </c>
    </row>
    <row r="86" spans="2:24" s="56" customFormat="1" x14ac:dyDescent="0.2">
      <c r="B86" s="14" t="s">
        <v>209</v>
      </c>
      <c r="F86" s="5">
        <f t="shared" ref="F86:N86" si="158">SUM(C12:F12)/AVERAGE(E50:F50)</f>
        <v>5.9012932428063367</v>
      </c>
      <c r="G86" s="5">
        <f t="shared" si="158"/>
        <v>6.6744264965386177</v>
      </c>
      <c r="H86" s="5">
        <f t="shared" si="158"/>
        <v>7.3454721291247731</v>
      </c>
      <c r="I86" s="5">
        <f t="shared" si="158"/>
        <v>7.2472505832096221</v>
      </c>
      <c r="J86" s="5">
        <f t="shared" si="158"/>
        <v>7.0247713050946814</v>
      </c>
      <c r="K86" s="5">
        <f t="shared" si="158"/>
        <v>7.3056332509086976</v>
      </c>
      <c r="L86" s="5">
        <f t="shared" si="158"/>
        <v>7.9005538985939499</v>
      </c>
      <c r="M86" s="5">
        <f t="shared" si="158"/>
        <v>8.0141185159934096</v>
      </c>
      <c r="N86" s="5">
        <f t="shared" si="158"/>
        <v>7.5468214261890472</v>
      </c>
      <c r="O86" s="5">
        <f>SUM(L12:O12)/AVERAGE(N50:O50)</f>
        <v>7.4609274648071935</v>
      </c>
      <c r="P86" s="5">
        <f>SUM(M12:P12)/AVERAGE(O50:P50)</f>
        <v>7.7373329770176378</v>
      </c>
      <c r="Q86" s="5">
        <f>SUM(N12:Q12)/AVERAGE(P50:Q50)</f>
        <v>7.4446782922429344</v>
      </c>
      <c r="R86" s="5">
        <f>SUM(O12:R12)/AVERAGE(Q50:R50)</f>
        <v>6.9089723995324999</v>
      </c>
      <c r="S86" s="5"/>
      <c r="T86" s="5"/>
      <c r="U86" s="5"/>
      <c r="V86" s="5"/>
      <c r="W86" s="5"/>
      <c r="X86" s="5"/>
    </row>
    <row r="87" spans="2:24" s="6" customFormat="1" x14ac:dyDescent="0.2">
      <c r="B87" s="17" t="s">
        <v>210</v>
      </c>
      <c r="F87" s="53">
        <f t="shared" ref="F87:N87" si="159">SUM(C13:F13)/AVERAGE(E52:F52)</f>
        <v>116.39010989010988</v>
      </c>
      <c r="G87" s="53">
        <f t="shared" si="159"/>
        <v>111.20420792079207</v>
      </c>
      <c r="H87" s="53">
        <f t="shared" si="159"/>
        <v>108.66518105849582</v>
      </c>
      <c r="I87" s="53">
        <f t="shared" si="159"/>
        <v>95.222883295194507</v>
      </c>
      <c r="J87" s="53">
        <f t="shared" si="159"/>
        <v>90.636437908496731</v>
      </c>
      <c r="K87" s="53">
        <f t="shared" si="159"/>
        <v>91.717211500590778</v>
      </c>
      <c r="L87" s="53">
        <f t="shared" si="159"/>
        <v>71.849507315616606</v>
      </c>
      <c r="M87" s="53">
        <f t="shared" si="159"/>
        <v>48.22780373831776</v>
      </c>
      <c r="N87" s="53">
        <f t="shared" si="159"/>
        <v>43.324064538276694</v>
      </c>
      <c r="O87" s="53">
        <f>SUM(L13:O13)/AVERAGE(N52:O52)</f>
        <v>51.039518555667001</v>
      </c>
      <c r="P87" s="53">
        <f>SUM(M13:P13)/AVERAGE(O52:P52)</f>
        <v>56.765508139023318</v>
      </c>
      <c r="Q87" s="53">
        <f>SUM(N13:Q13)/AVERAGE(P52:Q52)</f>
        <v>50.539321511179644</v>
      </c>
      <c r="R87" s="53">
        <f>SUM(O13:R13)/AVERAGE(Q52:R52)</f>
        <v>90.180588434223878</v>
      </c>
      <c r="S87" s="53"/>
      <c r="T87" s="53"/>
      <c r="U87" s="53"/>
      <c r="V87" s="53"/>
      <c r="W87" s="53"/>
      <c r="X87" s="53"/>
    </row>
    <row r="88" spans="2:24" s="6" customFormat="1" x14ac:dyDescent="0.2">
      <c r="B88" s="17" t="s">
        <v>211</v>
      </c>
      <c r="F88" s="53">
        <f t="shared" ref="F88:N88" si="160">+F65/F13/365</f>
        <v>1.1645936633330532E-3</v>
      </c>
      <c r="G88" s="53">
        <f t="shared" si="160"/>
        <v>9.519647130835188E-4</v>
      </c>
      <c r="H88" s="53">
        <f t="shared" si="160"/>
        <v>1.0538130996447768E-3</v>
      </c>
      <c r="I88" s="53">
        <f t="shared" si="160"/>
        <v>1.2071418758707018E-3</v>
      </c>
      <c r="J88" s="53">
        <f t="shared" si="160"/>
        <v>1.1535120284503623E-3</v>
      </c>
      <c r="K88" s="53">
        <f t="shared" si="160"/>
        <v>9.073797846743248E-4</v>
      </c>
      <c r="L88" s="53">
        <f t="shared" si="160"/>
        <v>9.8762645659430871E-4</v>
      </c>
      <c r="M88" s="53">
        <f t="shared" si="160"/>
        <v>1.0873436053275088E-3</v>
      </c>
      <c r="N88" s="53">
        <f t="shared" si="160"/>
        <v>1.0874561912831409E-3</v>
      </c>
      <c r="O88" s="53">
        <f>+O65/O13/365</f>
        <v>8.9086740091181009E-4</v>
      </c>
      <c r="P88" s="53">
        <f>+P65/P13/365</f>
        <v>9.6657836409616343E-4</v>
      </c>
      <c r="Q88" s="53">
        <f>+Q65/Q13/365</f>
        <v>1.0357350012388088E-3</v>
      </c>
      <c r="R88" s="53">
        <f>+R65/R13/365</f>
        <v>1.1039108996618635E-3</v>
      </c>
    </row>
    <row r="89" spans="2:24" s="6" customFormat="1" x14ac:dyDescent="0.2">
      <c r="B89" s="17"/>
    </row>
    <row r="90" spans="2:24" s="6" customFormat="1" x14ac:dyDescent="0.2">
      <c r="B90" s="17"/>
    </row>
    <row r="93" spans="2:24" x14ac:dyDescent="0.2">
      <c r="B93" s="7" t="s">
        <v>120</v>
      </c>
      <c r="F93" s="3">
        <f>65124-SUM(C93:E93)</f>
        <v>65124</v>
      </c>
      <c r="G93" s="3">
        <v>19289</v>
      </c>
      <c r="H93" s="3">
        <f>41179-G93</f>
        <v>21890</v>
      </c>
      <c r="I93" s="3">
        <f>66718-SUM(G93:H93)</f>
        <v>25539</v>
      </c>
      <c r="J93" s="3">
        <f>91652-SUM(G93:I93)</f>
        <v>24934</v>
      </c>
      <c r="K93" s="3">
        <v>25106</v>
      </c>
      <c r="L93" s="3">
        <f>44528-K93</f>
        <v>19422</v>
      </c>
      <c r="M93" s="3">
        <v>23353</v>
      </c>
      <c r="N93" s="3">
        <v>23614</v>
      </c>
      <c r="O93" s="3">
        <v>23509</v>
      </c>
      <c r="P93" s="3">
        <v>28666</v>
      </c>
      <c r="Q93" s="3">
        <v>30656</v>
      </c>
      <c r="R93" s="3">
        <v>18915</v>
      </c>
    </row>
    <row r="94" spans="2:24" x14ac:dyDescent="0.2">
      <c r="B94" s="7" t="s">
        <v>121</v>
      </c>
      <c r="F94" s="3">
        <f>+-22281-SUM(C94:E94)</f>
        <v>-22281</v>
      </c>
      <c r="G94" s="3">
        <v>-5942</v>
      </c>
      <c r="H94" s="3">
        <f>+-11438-G94</f>
        <v>-5496</v>
      </c>
      <c r="I94" s="3">
        <f>+-18257-SUM(G94:H94)</f>
        <v>-6819</v>
      </c>
      <c r="J94" s="3">
        <f>+-24640-SUM(G94:I94)</f>
        <v>-6383</v>
      </c>
      <c r="K94" s="3">
        <v>-9786</v>
      </c>
      <c r="L94" s="3">
        <f>+-16614-K94</f>
        <v>-6828</v>
      </c>
      <c r="M94" s="3">
        <v>-7276</v>
      </c>
      <c r="N94" s="57">
        <v>-7595</v>
      </c>
      <c r="O94" s="3">
        <v>-6289</v>
      </c>
      <c r="P94" s="3">
        <v>-6888</v>
      </c>
      <c r="Q94" s="3">
        <v>-8055</v>
      </c>
      <c r="R94" s="3">
        <v>-11019</v>
      </c>
    </row>
    <row r="95" spans="2:24" s="10" customFormat="1" x14ac:dyDescent="0.2">
      <c r="B95" s="8" t="s">
        <v>122</v>
      </c>
      <c r="F95" s="10">
        <f t="shared" ref="F95:N95" si="161">+F93+F94</f>
        <v>42843</v>
      </c>
      <c r="G95" s="10">
        <f t="shared" si="161"/>
        <v>13347</v>
      </c>
      <c r="H95" s="10">
        <f t="shared" si="161"/>
        <v>16394</v>
      </c>
      <c r="I95" s="10">
        <f t="shared" si="161"/>
        <v>18720</v>
      </c>
      <c r="J95" s="10">
        <f t="shared" si="161"/>
        <v>18551</v>
      </c>
      <c r="K95" s="10">
        <f t="shared" si="161"/>
        <v>15320</v>
      </c>
      <c r="L95" s="10">
        <f t="shared" si="161"/>
        <v>12594</v>
      </c>
      <c r="M95" s="10">
        <f t="shared" si="161"/>
        <v>16077</v>
      </c>
      <c r="N95" s="10">
        <f t="shared" si="161"/>
        <v>16019</v>
      </c>
      <c r="O95" s="10">
        <f>+O93+O94</f>
        <v>17220</v>
      </c>
      <c r="P95" s="10">
        <f>+P93+P94</f>
        <v>21778</v>
      </c>
      <c r="Q95" s="10">
        <f>+Q93+Q94</f>
        <v>22601</v>
      </c>
      <c r="R95" s="10">
        <f>+R93+R94</f>
        <v>7896</v>
      </c>
    </row>
    <row r="96" spans="2:24" x14ac:dyDescent="0.2">
      <c r="B96" s="7" t="s">
        <v>123</v>
      </c>
      <c r="G96" s="3">
        <v>3745</v>
      </c>
      <c r="H96" s="3">
        <f>7548-G96</f>
        <v>3803</v>
      </c>
      <c r="I96" s="3">
        <f>11422-SUM(G96:H96)</f>
        <v>3874</v>
      </c>
      <c r="J96" s="3">
        <f>15376-SUM(G96:I96)</f>
        <v>3954</v>
      </c>
      <c r="K96" s="3">
        <v>4504</v>
      </c>
      <c r="L96" s="3">
        <f>9286-K96</f>
        <v>4782</v>
      </c>
      <c r="M96" s="3">
        <v>4976</v>
      </c>
      <c r="N96" s="3">
        <v>5100</v>
      </c>
      <c r="O96" s="3">
        <v>5284</v>
      </c>
      <c r="P96" s="3">
        <v>5774</v>
      </c>
      <c r="Q96" s="3">
        <v>5743</v>
      </c>
      <c r="R96" s="3">
        <v>5659</v>
      </c>
    </row>
    <row r="97" spans="2:18" s="10" customFormat="1" x14ac:dyDescent="0.2">
      <c r="B97" s="8" t="s">
        <v>124</v>
      </c>
      <c r="G97" s="10">
        <f t="shared" ref="G97:K97" si="162">+G95-G96</f>
        <v>9602</v>
      </c>
      <c r="H97" s="10">
        <f t="shared" si="162"/>
        <v>12591</v>
      </c>
      <c r="I97" s="10">
        <f t="shared" si="162"/>
        <v>14846</v>
      </c>
      <c r="J97" s="10">
        <f t="shared" si="162"/>
        <v>14597</v>
      </c>
      <c r="K97" s="10">
        <f t="shared" si="162"/>
        <v>10816</v>
      </c>
      <c r="L97" s="10">
        <f t="shared" ref="L97:R97" si="163">+L95-L96</f>
        <v>7812</v>
      </c>
      <c r="M97" s="10">
        <f t="shared" si="163"/>
        <v>11101</v>
      </c>
      <c r="N97" s="10">
        <f t="shared" si="163"/>
        <v>10919</v>
      </c>
      <c r="O97" s="10">
        <f t="shared" si="163"/>
        <v>11936</v>
      </c>
      <c r="P97" s="10">
        <f t="shared" si="163"/>
        <v>16004</v>
      </c>
      <c r="Q97" s="10">
        <f t="shared" si="163"/>
        <v>16858</v>
      </c>
      <c r="R97" s="10">
        <f t="shared" si="163"/>
        <v>2237</v>
      </c>
    </row>
    <row r="98" spans="2:18" s="10" customFormat="1" x14ac:dyDescent="0.2">
      <c r="B98" s="8" t="s">
        <v>187</v>
      </c>
    </row>
    <row r="99" spans="2:18" x14ac:dyDescent="0.2">
      <c r="B99" s="7" t="s">
        <v>212</v>
      </c>
      <c r="G99" s="3">
        <f t="shared" ref="G99:R99" si="164">+G23</f>
        <v>17930</v>
      </c>
      <c r="H99" s="3">
        <f t="shared" si="164"/>
        <v>18525</v>
      </c>
      <c r="I99" s="3">
        <f t="shared" si="164"/>
        <v>18936</v>
      </c>
      <c r="J99" s="3">
        <f t="shared" si="164"/>
        <v>20642</v>
      </c>
      <c r="K99" s="3">
        <f t="shared" si="164"/>
        <v>16436</v>
      </c>
      <c r="L99" s="3">
        <f t="shared" si="164"/>
        <v>16002</v>
      </c>
      <c r="M99" s="3">
        <f t="shared" si="164"/>
        <v>13910</v>
      </c>
      <c r="N99" s="3">
        <f t="shared" si="164"/>
        <v>13624</v>
      </c>
      <c r="O99" s="3">
        <f t="shared" si="164"/>
        <v>15051</v>
      </c>
      <c r="P99" s="3">
        <f t="shared" si="164"/>
        <v>18368</v>
      </c>
      <c r="Q99" s="3">
        <f>+Q23</f>
        <v>19689</v>
      </c>
      <c r="R99" s="3">
        <f>+R23</f>
        <v>20687</v>
      </c>
    </row>
    <row r="102" spans="2:18" x14ac:dyDescent="0.2">
      <c r="B102" s="7" t="s">
        <v>188</v>
      </c>
      <c r="I102" s="3">
        <f t="shared" ref="I102:L102" si="165">SUM(F95:I95)</f>
        <v>91304</v>
      </c>
      <c r="J102" s="3">
        <f t="shared" si="165"/>
        <v>67012</v>
      </c>
      <c r="K102" s="3">
        <f t="shared" si="165"/>
        <v>68985</v>
      </c>
      <c r="L102" s="3">
        <f t="shared" si="165"/>
        <v>65185</v>
      </c>
      <c r="M102" s="3">
        <f>SUM(J95:M95)</f>
        <v>62542</v>
      </c>
      <c r="N102" s="3">
        <f>SUM(K95:N95)</f>
        <v>60010</v>
      </c>
      <c r="O102" s="3">
        <f>SUM(L95:O95)</f>
        <v>61910</v>
      </c>
      <c r="P102" s="10">
        <f>SUM(M95:P95)</f>
        <v>71094</v>
      </c>
      <c r="Q102" s="10">
        <f>SUM(N95:Q95)</f>
        <v>77618</v>
      </c>
      <c r="R102" s="10">
        <f>SUM(O95:R95)</f>
        <v>69495</v>
      </c>
    </row>
    <row r="103" spans="2:18" x14ac:dyDescent="0.2">
      <c r="B103" s="7" t="s">
        <v>190</v>
      </c>
      <c r="I103" s="3">
        <f t="shared" ref="I103:L103" si="166">SUM(F97:I97)</f>
        <v>37039</v>
      </c>
      <c r="J103" s="3">
        <f t="shared" si="166"/>
        <v>51636</v>
      </c>
      <c r="K103" s="3">
        <f t="shared" si="166"/>
        <v>52850</v>
      </c>
      <c r="L103" s="3">
        <f t="shared" si="166"/>
        <v>48071</v>
      </c>
      <c r="M103" s="3">
        <f>SUM(J97:M97)</f>
        <v>44326</v>
      </c>
      <c r="N103" s="3">
        <f>SUM(K97:N97)</f>
        <v>40648</v>
      </c>
      <c r="O103" s="3">
        <f>SUM(L97:O97)</f>
        <v>41768</v>
      </c>
      <c r="P103" s="3">
        <f>SUM(M97:P97)</f>
        <v>49960</v>
      </c>
      <c r="Q103" s="3">
        <f>SUM(N97:Q97)</f>
        <v>55717</v>
      </c>
      <c r="R103" s="3">
        <f>SUM(O97:R97)</f>
        <v>47035</v>
      </c>
    </row>
    <row r="104" spans="2:18" x14ac:dyDescent="0.2">
      <c r="B104" s="7" t="s">
        <v>189</v>
      </c>
      <c r="I104" s="3">
        <f t="shared" ref="I104:L104" si="167">SUM(F99:I99)</f>
        <v>55391</v>
      </c>
      <c r="J104" s="3">
        <f t="shared" si="167"/>
        <v>76033</v>
      </c>
      <c r="K104" s="3">
        <f t="shared" si="167"/>
        <v>74539</v>
      </c>
      <c r="L104" s="3">
        <f t="shared" si="167"/>
        <v>72016</v>
      </c>
      <c r="M104" s="3">
        <f>SUM(J99:M99)</f>
        <v>66990</v>
      </c>
      <c r="N104" s="3">
        <f>SUM(K99:N99)</f>
        <v>59972</v>
      </c>
      <c r="O104" s="3">
        <f>SUM(L99:O99)</f>
        <v>58587</v>
      </c>
      <c r="P104" s="3">
        <f>SUM(M99:P99)</f>
        <v>60953</v>
      </c>
      <c r="Q104" s="3">
        <f>SUM(N99:Q99)</f>
        <v>66732</v>
      </c>
      <c r="R104" s="3">
        <f>SUM(O99:R99)</f>
        <v>73795</v>
      </c>
    </row>
    <row r="108" spans="2:18" x14ac:dyDescent="0.2">
      <c r="B108" s="7" t="s">
        <v>191</v>
      </c>
      <c r="F108" s="3">
        <v>135301</v>
      </c>
      <c r="G108" s="3">
        <v>3995</v>
      </c>
      <c r="H108" s="3">
        <v>144056</v>
      </c>
      <c r="I108" s="3">
        <v>150028</v>
      </c>
      <c r="J108" s="3">
        <v>156500</v>
      </c>
      <c r="K108" s="3">
        <v>163906</v>
      </c>
      <c r="L108" s="3">
        <v>174014</v>
      </c>
      <c r="M108" s="3">
        <v>186779</v>
      </c>
      <c r="O108" s="3">
        <v>190711</v>
      </c>
      <c r="P108" s="3">
        <v>181798</v>
      </c>
      <c r="Q108" s="3">
        <v>182381</v>
      </c>
    </row>
    <row r="109" spans="2:18" x14ac:dyDescent="0.2">
      <c r="B109" s="7" t="s">
        <v>192</v>
      </c>
      <c r="G109" s="3">
        <f t="shared" ref="G109:L109" si="168">+G108-C108</f>
        <v>3995</v>
      </c>
      <c r="H109" s="3">
        <f t="shared" si="168"/>
        <v>144056</v>
      </c>
      <c r="I109" s="3">
        <f t="shared" si="168"/>
        <v>150028</v>
      </c>
      <c r="J109" s="3">
        <f t="shared" si="168"/>
        <v>21199</v>
      </c>
      <c r="K109" s="3">
        <f t="shared" si="168"/>
        <v>159911</v>
      </c>
      <c r="L109" s="3">
        <f t="shared" si="168"/>
        <v>29958</v>
      </c>
      <c r="M109" s="3">
        <f>+M108-I108</f>
        <v>36751</v>
      </c>
      <c r="O109" s="3">
        <f>+O108-K108</f>
        <v>26805</v>
      </c>
      <c r="P109" s="3">
        <f>+P108-L108</f>
        <v>7784</v>
      </c>
      <c r="Q109" s="3">
        <f>+Q108-M108</f>
        <v>-4398</v>
      </c>
    </row>
    <row r="110" spans="2:18" x14ac:dyDescent="0.2">
      <c r="B110" s="7" t="s">
        <v>193</v>
      </c>
      <c r="D110" s="3">
        <f t="shared" ref="D110:L110" si="169">+D108-C108</f>
        <v>0</v>
      </c>
      <c r="E110" s="3">
        <f t="shared" si="169"/>
        <v>0</v>
      </c>
      <c r="F110" s="3">
        <f t="shared" si="169"/>
        <v>135301</v>
      </c>
      <c r="G110" s="3">
        <f t="shared" si="169"/>
        <v>-131306</v>
      </c>
      <c r="H110" s="3">
        <f t="shared" si="169"/>
        <v>140061</v>
      </c>
      <c r="I110" s="3">
        <f t="shared" si="169"/>
        <v>5972</v>
      </c>
      <c r="J110" s="3">
        <f t="shared" si="169"/>
        <v>6472</v>
      </c>
      <c r="K110" s="3">
        <f t="shared" si="169"/>
        <v>7406</v>
      </c>
      <c r="L110" s="3">
        <f t="shared" si="169"/>
        <v>10108</v>
      </c>
      <c r="M110" s="3">
        <f>+M108-L108</f>
        <v>12765</v>
      </c>
      <c r="O110" s="3">
        <f>+O108-N108</f>
        <v>190711</v>
      </c>
      <c r="P110" s="3">
        <f>+P108-O108</f>
        <v>-8913</v>
      </c>
      <c r="Q110" s="3">
        <f>+Q108-P108</f>
        <v>583</v>
      </c>
    </row>
    <row r="113" spans="2:17" s="50" customFormat="1" x14ac:dyDescent="0.2">
      <c r="B113" s="49" t="s">
        <v>195</v>
      </c>
      <c r="G113" s="51">
        <f t="shared" ref="G113:L113" si="170">+G12/G108</f>
        <v>13.845807259073842</v>
      </c>
      <c r="H113" s="51">
        <f t="shared" si="170"/>
        <v>0.42955517298828233</v>
      </c>
      <c r="I113" s="51">
        <f t="shared" si="170"/>
        <v>0.43403897939051378</v>
      </c>
      <c r="J113" s="51">
        <f t="shared" si="170"/>
        <v>0.48130990415335462</v>
      </c>
      <c r="K113" s="51">
        <f t="shared" si="170"/>
        <v>0.41493905043134477</v>
      </c>
      <c r="L113" s="51">
        <f t="shared" si="170"/>
        <v>0.40045628512648407</v>
      </c>
      <c r="M113" s="51">
        <f>+M12/M108</f>
        <v>0.36991310586307885</v>
      </c>
      <c r="O113" s="51">
        <f>+O12/O108</f>
        <v>0.36593064899245453</v>
      </c>
      <c r="P113" s="51">
        <f>+P12/P108</f>
        <v>0.41036755079813858</v>
      </c>
      <c r="Q113" s="51">
        <f>+Q12/Q108</f>
        <v>0.42050981187733372</v>
      </c>
    </row>
    <row r="114" spans="2:17" s="47" customFormat="1" x14ac:dyDescent="0.2">
      <c r="B114" s="46" t="s">
        <v>196</v>
      </c>
      <c r="H114" s="48">
        <f t="shared" ref="H114:Q114" si="171">SUM(E12:H12)/H108</f>
        <v>1.5290234353307046</v>
      </c>
      <c r="I114" s="48">
        <f t="shared" si="171"/>
        <v>1.5944357053350042</v>
      </c>
      <c r="J114" s="48">
        <f t="shared" si="171"/>
        <v>1.6462428115015975</v>
      </c>
      <c r="K114" s="48">
        <f t="shared" si="171"/>
        <v>1.64932339267629</v>
      </c>
      <c r="L114" s="48">
        <f t="shared" si="171"/>
        <v>1.5983713954049674</v>
      </c>
      <c r="M114" s="48">
        <f t="shared" si="171"/>
        <v>1.5104106992756146</v>
      </c>
      <c r="O114" s="48">
        <f t="shared" si="171"/>
        <v>1.4923732768429718</v>
      </c>
      <c r="P114" s="48">
        <f t="shared" si="171"/>
        <v>1.592597278297891</v>
      </c>
      <c r="Q114" s="48">
        <f t="shared" si="171"/>
        <v>1.6291828644431163</v>
      </c>
    </row>
    <row r="116" spans="2:17" x14ac:dyDescent="0.2">
      <c r="B116" s="7" t="s">
        <v>194</v>
      </c>
      <c r="I116" s="3">
        <f>+I114*I108</f>
        <v>239210</v>
      </c>
      <c r="J116" s="3">
        <f>+J114*J108</f>
        <v>257637</v>
      </c>
      <c r="K116" s="3">
        <f>+K114*K108</f>
        <v>270334</v>
      </c>
      <c r="L116" s="3">
        <f>+L114*L108</f>
        <v>278139</v>
      </c>
      <c r="M116" s="3">
        <f>+M114*M108</f>
        <v>282113</v>
      </c>
      <c r="O116" s="3">
        <f>+O114*O108</f>
        <v>284612</v>
      </c>
      <c r="P116" s="3">
        <f>+P114*P108</f>
        <v>289531</v>
      </c>
      <c r="Q116" s="3">
        <f>+Q114*Q108</f>
        <v>297132</v>
      </c>
    </row>
  </sheetData>
  <conditionalFormatting sqref="G27:X35 G36:P39 G40:X41">
    <cfRule type="cellIs" dxfId="0" priority="1" operator="lessThan">
      <formula>0</formula>
    </cfRule>
  </conditionalFormatting>
  <pageMargins left="0.7" right="0.7" top="0.75" bottom="0.75" header="0.3" footer="0.3"/>
  <ignoredErrors>
    <ignoredError sqref="F13:L16 N13:O16 AG6:AP6 AG8:AP8 AB10:AF10 Q6:R6 AG12:AG16 F18:L29 N18:O27 AG18:AG19 AG21:AG23" formula="1"/>
    <ignoredError sqref="F86:K86 F87:K87 L87:N87 L86:O86 O87:R87 P86:R86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F5ED-9E01-A949-9913-3665BE53061D}">
  <dimension ref="B1:AL29"/>
  <sheetViews>
    <sheetView zoomScale="20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H4" sqref="H4"/>
    </sheetView>
  </sheetViews>
  <sheetFormatPr baseColWidth="10" defaultRowHeight="14" x14ac:dyDescent="0.2"/>
  <cols>
    <col min="1" max="1" width="2.1640625" style="21" customWidth="1"/>
    <col min="2" max="2" width="12.83203125" style="23" bestFit="1" customWidth="1"/>
    <col min="3" max="3" width="10.5" style="23" bestFit="1" customWidth="1"/>
    <col min="4" max="4" width="5.5" style="23" bestFit="1" customWidth="1"/>
    <col min="5" max="5" width="12.33203125" style="24" bestFit="1" customWidth="1"/>
    <col min="6" max="6" width="9.6640625" style="23" bestFit="1" customWidth="1"/>
    <col min="7" max="7" width="9" style="27" bestFit="1" customWidth="1"/>
    <col min="8" max="8" width="7" style="23" bestFit="1" customWidth="1"/>
    <col min="9" max="9" width="6" style="23" bestFit="1" customWidth="1"/>
    <col min="10" max="10" width="7.5" style="23" bestFit="1" customWidth="1"/>
    <col min="11" max="12" width="6.5" style="41" bestFit="1" customWidth="1"/>
    <col min="13" max="13" width="7.1640625" style="23" bestFit="1" customWidth="1"/>
    <col min="14" max="14" width="15" style="23" bestFit="1" customWidth="1"/>
    <col min="15" max="15" width="8" style="24" bestFit="1" customWidth="1"/>
    <col min="16" max="17" width="7.5" style="23" bestFit="1" customWidth="1"/>
    <col min="18" max="18" width="11.83203125" style="42" bestFit="1" customWidth="1"/>
    <col min="19" max="19" width="9.33203125" style="23" bestFit="1" customWidth="1"/>
    <col min="20" max="20" width="5.5" style="23" bestFit="1" customWidth="1"/>
    <col min="21" max="21" width="4.6640625" style="21" customWidth="1"/>
    <col min="22" max="22" width="3.5" style="21" customWidth="1"/>
    <col min="23" max="24" width="4.1640625" style="22" bestFit="1" customWidth="1"/>
    <col min="25" max="25" width="4.1640625" style="21" bestFit="1" customWidth="1"/>
    <col min="26" max="31" width="2.1640625" style="21" bestFit="1" customWidth="1"/>
    <col min="32" max="39" width="3.1640625" style="21" bestFit="1" customWidth="1"/>
    <col min="40" max="16384" width="10.83203125" style="21"/>
  </cols>
  <sheetData>
    <row r="1" spans="2:38" x14ac:dyDescent="0.2">
      <c r="G1" s="23"/>
      <c r="O1" s="32">
        <f>+P1/2</f>
        <v>2.5000000000000001E-2</v>
      </c>
      <c r="P1" s="27">
        <v>0.05</v>
      </c>
      <c r="Q1" s="26">
        <f ca="1">TODAY()</f>
        <v>45332</v>
      </c>
    </row>
    <row r="2" spans="2:38" s="23" customFormat="1" x14ac:dyDescent="0.2">
      <c r="B2" s="23" t="s">
        <v>134</v>
      </c>
      <c r="C2" s="23" t="s">
        <v>145</v>
      </c>
      <c r="D2" s="23" t="s">
        <v>0</v>
      </c>
      <c r="E2" s="24" t="s">
        <v>140</v>
      </c>
      <c r="F2" s="23" t="s">
        <v>141</v>
      </c>
      <c r="G2" s="23" t="s">
        <v>137</v>
      </c>
      <c r="H2" s="23" t="s">
        <v>144</v>
      </c>
      <c r="I2" s="23" t="s">
        <v>149</v>
      </c>
      <c r="J2" s="23" t="s">
        <v>138</v>
      </c>
      <c r="K2" s="41" t="s">
        <v>139</v>
      </c>
      <c r="L2" s="41" t="s">
        <v>150</v>
      </c>
      <c r="M2" s="23" t="s">
        <v>135</v>
      </c>
      <c r="N2" s="23" t="s">
        <v>136</v>
      </c>
      <c r="O2" s="23" t="s">
        <v>148</v>
      </c>
      <c r="P2" s="23" t="s">
        <v>46</v>
      </c>
      <c r="Q2" s="23" t="s">
        <v>168</v>
      </c>
      <c r="R2" s="42" t="s">
        <v>167</v>
      </c>
      <c r="W2" s="24"/>
      <c r="X2" s="24"/>
    </row>
    <row r="3" spans="2:38" s="23" customFormat="1" ht="15" x14ac:dyDescent="0.2">
      <c r="B3" s="34" t="s">
        <v>142</v>
      </c>
      <c r="C3" s="23" t="s">
        <v>146</v>
      </c>
      <c r="D3" s="24">
        <f>100.16*10</f>
        <v>1001.5999999999999</v>
      </c>
      <c r="E3" s="24">
        <v>853693000</v>
      </c>
      <c r="F3" s="23" t="s">
        <v>184</v>
      </c>
      <c r="G3" s="25">
        <v>3.3750000000000002E-2</v>
      </c>
      <c r="H3" s="28">
        <v>3.2640000000000002E-2</v>
      </c>
      <c r="I3" s="43">
        <f t="shared" ref="I3:I9" si="0">H3/2</f>
        <v>1.6320000000000001E-2</v>
      </c>
      <c r="J3" s="26">
        <v>45347</v>
      </c>
      <c r="K3" s="41">
        <f ca="1">(J3-$Q$1)/365</f>
        <v>4.1095890410958902E-2</v>
      </c>
      <c r="L3" s="41">
        <f t="shared" ref="L3:L9" ca="1" si="1">+K3*2</f>
        <v>8.2191780821917804E-2</v>
      </c>
      <c r="M3" s="23" t="s">
        <v>143</v>
      </c>
      <c r="N3" s="23" t="s">
        <v>147</v>
      </c>
      <c r="O3" s="23" t="str">
        <f t="shared" ref="O3:O9" si="2">IF(H3&lt;G3,"Premium","Discount")</f>
        <v>Premium</v>
      </c>
      <c r="P3" s="24">
        <f>GOOG4358366!$C$11</f>
        <v>976.79480854891847</v>
      </c>
      <c r="Q3" s="33">
        <f t="shared" ref="Q3:Q9" si="3">+P3/D3-1</f>
        <v>-2.476556654461004E-2</v>
      </c>
      <c r="R3" s="42">
        <f t="shared" ref="R3:R8" si="4">(1000*G3)/2</f>
        <v>16.875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 spans="2:38" s="23" customFormat="1" ht="15" x14ac:dyDescent="0.2">
      <c r="B4" s="34" t="s">
        <v>169</v>
      </c>
      <c r="C4" s="23" t="s">
        <v>170</v>
      </c>
      <c r="D4" s="24">
        <v>959.94</v>
      </c>
      <c r="E4" s="24">
        <v>2000000000</v>
      </c>
      <c r="F4" s="23" t="s">
        <v>171</v>
      </c>
      <c r="G4" s="28">
        <v>1.9980000000000001E-2</v>
      </c>
      <c r="H4" s="28">
        <v>3.0700000000000002E-2</v>
      </c>
      <c r="I4" s="43">
        <f t="shared" si="0"/>
        <v>1.5350000000000001E-2</v>
      </c>
      <c r="J4" s="26">
        <v>46249</v>
      </c>
      <c r="K4" s="41">
        <f t="shared" ref="K4:K9" ca="1" si="5">(J4-$Q$1)/365</f>
        <v>2.5123287671232877</v>
      </c>
      <c r="L4" s="41">
        <f t="shared" ca="1" si="1"/>
        <v>5.0246575342465754</v>
      </c>
      <c r="M4" s="23" t="s">
        <v>143</v>
      </c>
      <c r="N4" s="23" t="s">
        <v>147</v>
      </c>
      <c r="O4" s="23" t="str">
        <f t="shared" si="2"/>
        <v>Discount</v>
      </c>
      <c r="P4" s="24">
        <f>GOOG4390254!$C$12</f>
        <v>892.37624111618061</v>
      </c>
      <c r="Q4" s="33">
        <f t="shared" si="3"/>
        <v>-7.038331446113244E-2</v>
      </c>
      <c r="R4" s="42">
        <f t="shared" si="4"/>
        <v>9.99</v>
      </c>
      <c r="S4" s="24"/>
      <c r="T4" s="24"/>
      <c r="W4" s="24"/>
      <c r="X4" s="24"/>
      <c r="Y4" s="24"/>
      <c r="Z4" s="24"/>
      <c r="AA4" s="24"/>
      <c r="AB4" s="24"/>
      <c r="AC4" s="24"/>
      <c r="AD4" s="24"/>
    </row>
    <row r="5" spans="2:38" ht="15" x14ac:dyDescent="0.2">
      <c r="B5" s="34" t="s">
        <v>172</v>
      </c>
      <c r="C5" s="23" t="s">
        <v>173</v>
      </c>
      <c r="D5" s="24">
        <v>927.90000000000009</v>
      </c>
      <c r="E5" s="24">
        <v>1000000000</v>
      </c>
      <c r="F5" s="23" t="s">
        <v>171</v>
      </c>
      <c r="G5" s="28">
        <v>4.4999999999999997E-3</v>
      </c>
      <c r="H5" s="28">
        <v>2.98E-2</v>
      </c>
      <c r="I5" s="43">
        <f t="shared" si="0"/>
        <v>1.49E-2</v>
      </c>
      <c r="J5" s="26">
        <v>45884</v>
      </c>
      <c r="K5" s="41">
        <f t="shared" ca="1" si="5"/>
        <v>1.5123287671232877</v>
      </c>
      <c r="L5" s="41">
        <f t="shared" ca="1" si="1"/>
        <v>3.0246575342465754</v>
      </c>
      <c r="M5" s="23" t="s">
        <v>143</v>
      </c>
      <c r="N5" s="23" t="s">
        <v>147</v>
      </c>
      <c r="O5" s="23" t="str">
        <f t="shared" si="2"/>
        <v>Discount</v>
      </c>
      <c r="P5" s="24">
        <f>GOOG5025299!$C$12</f>
        <v>796.92156038862947</v>
      </c>
      <c r="Q5" s="33">
        <f t="shared" si="3"/>
        <v>-0.14115577067719642</v>
      </c>
      <c r="R5" s="42">
        <f t="shared" si="4"/>
        <v>2.25</v>
      </c>
      <c r="S5" s="24"/>
      <c r="Y5" s="22"/>
      <c r="Z5" s="22"/>
    </row>
    <row r="6" spans="2:38" ht="15" x14ac:dyDescent="0.2">
      <c r="B6" s="34" t="s">
        <v>174</v>
      </c>
      <c r="C6" s="23" t="s">
        <v>175</v>
      </c>
      <c r="D6" s="24">
        <v>894.18000000000006</v>
      </c>
      <c r="E6" s="24">
        <v>1000000000</v>
      </c>
      <c r="F6" s="23" t="s">
        <v>171</v>
      </c>
      <c r="G6" s="25">
        <v>8.0000000000000002E-3</v>
      </c>
      <c r="H6" s="28">
        <v>3.1009999999999999E-2</v>
      </c>
      <c r="I6" s="43">
        <f t="shared" si="0"/>
        <v>1.5505E-2</v>
      </c>
      <c r="J6" s="26">
        <v>46614</v>
      </c>
      <c r="K6" s="41">
        <f t="shared" ca="1" si="5"/>
        <v>3.5123287671232877</v>
      </c>
      <c r="L6" s="41">
        <f t="shared" ca="1" si="1"/>
        <v>7.0246575342465754</v>
      </c>
      <c r="M6" s="23" t="s">
        <v>143</v>
      </c>
      <c r="N6" s="23" t="s">
        <v>147</v>
      </c>
      <c r="O6" s="23" t="str">
        <f t="shared" si="2"/>
        <v>Discount</v>
      </c>
      <c r="P6" s="24">
        <f>GOOG5025300!C12</f>
        <v>816.20665744961082</v>
      </c>
      <c r="Q6" s="33">
        <f t="shared" si="3"/>
        <v>-8.7200946733755225E-2</v>
      </c>
      <c r="R6" s="42">
        <f t="shared" si="4"/>
        <v>4</v>
      </c>
      <c r="S6" s="24"/>
      <c r="T6" s="24"/>
      <c r="Y6" s="22"/>
      <c r="Z6" s="22"/>
      <c r="AA6" s="22"/>
    </row>
    <row r="7" spans="2:38" ht="15" x14ac:dyDescent="0.2">
      <c r="B7" s="34" t="s">
        <v>176</v>
      </c>
      <c r="C7" s="23" t="s">
        <v>177</v>
      </c>
      <c r="D7" s="24">
        <v>843.56</v>
      </c>
      <c r="E7" s="24">
        <v>2250000000</v>
      </c>
      <c r="F7" s="23" t="s">
        <v>171</v>
      </c>
      <c r="G7" s="25">
        <v>1.0999999999999999E-2</v>
      </c>
      <c r="H7" s="28">
        <v>3.3450000000000001E-2</v>
      </c>
      <c r="I7" s="43">
        <f t="shared" si="0"/>
        <v>1.6725E-2</v>
      </c>
      <c r="J7" s="26">
        <v>47710</v>
      </c>
      <c r="K7" s="41">
        <f t="shared" ca="1" si="5"/>
        <v>6.515068493150685</v>
      </c>
      <c r="L7" s="41">
        <f t="shared" ca="1" si="1"/>
        <v>13.03013698630137</v>
      </c>
      <c r="M7" s="23" t="s">
        <v>143</v>
      </c>
      <c r="N7" s="23" t="s">
        <v>147</v>
      </c>
      <c r="O7" s="24" t="str">
        <f t="shared" si="2"/>
        <v>Discount</v>
      </c>
      <c r="P7" s="24">
        <f>GOOG5025306!C12</f>
        <v>745.42744813113086</v>
      </c>
      <c r="Q7" s="33">
        <f t="shared" si="3"/>
        <v>-0.11633144277688501</v>
      </c>
      <c r="R7" s="42">
        <f t="shared" si="4"/>
        <v>5.5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2:38" ht="15" x14ac:dyDescent="0.2">
      <c r="B8" s="34" t="s">
        <v>178</v>
      </c>
      <c r="C8" s="23" t="s">
        <v>180</v>
      </c>
      <c r="D8" s="24">
        <v>735.82999999999993</v>
      </c>
      <c r="E8" s="24">
        <v>1250000000</v>
      </c>
      <c r="F8" s="23" t="s">
        <v>171</v>
      </c>
      <c r="G8" s="25">
        <v>2.0500000000000001E-2</v>
      </c>
      <c r="H8" s="28">
        <v>3.9669999999999997E-2</v>
      </c>
      <c r="I8" s="43">
        <f t="shared" si="0"/>
        <v>1.9834999999999998E-2</v>
      </c>
      <c r="J8" s="26">
        <v>51363</v>
      </c>
      <c r="K8" s="41">
        <f t="shared" ca="1" si="5"/>
        <v>16.523287671232875</v>
      </c>
      <c r="L8" s="41">
        <f t="shared" ca="1" si="1"/>
        <v>33.046575342465751</v>
      </c>
      <c r="M8" s="23" t="s">
        <v>143</v>
      </c>
      <c r="N8" s="23" t="s">
        <v>147</v>
      </c>
      <c r="O8" s="24" t="str">
        <f t="shared" si="2"/>
        <v>Discount</v>
      </c>
      <c r="P8" s="24">
        <f>+GOOG5025303!C13</f>
        <v>652.54529674767696</v>
      </c>
      <c r="Q8" s="33">
        <f t="shared" si="3"/>
        <v>-0.11318470740840003</v>
      </c>
      <c r="R8" s="42">
        <f t="shared" si="4"/>
        <v>10.25</v>
      </c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</row>
    <row r="9" spans="2:38" ht="15" x14ac:dyDescent="0.2">
      <c r="B9" s="34" t="s">
        <v>179</v>
      </c>
      <c r="C9" s="23" t="s">
        <v>185</v>
      </c>
      <c r="D9" s="24">
        <v>687.59</v>
      </c>
      <c r="E9" s="24">
        <v>2500000000</v>
      </c>
      <c r="F9" s="23" t="s">
        <v>171</v>
      </c>
      <c r="G9" s="25">
        <v>3.6249999999999998E-2</v>
      </c>
      <c r="H9" s="28">
        <v>3.891E-2</v>
      </c>
      <c r="I9" s="43">
        <f t="shared" si="0"/>
        <v>1.9455E-2</v>
      </c>
      <c r="J9" s="26">
        <v>55015</v>
      </c>
      <c r="K9" s="41">
        <f t="shared" ca="1" si="5"/>
        <v>26.528767123287672</v>
      </c>
      <c r="L9" s="41">
        <f t="shared" ca="1" si="1"/>
        <v>53.057534246575344</v>
      </c>
      <c r="M9" s="23" t="s">
        <v>143</v>
      </c>
      <c r="N9" s="23" t="s">
        <v>147</v>
      </c>
      <c r="O9" s="24" t="str">
        <f t="shared" si="2"/>
        <v>Discount</v>
      </c>
      <c r="P9" s="24">
        <f>+GOOG5025304!C13</f>
        <v>793.99160238364414</v>
      </c>
      <c r="Q9" s="33">
        <f t="shared" si="3"/>
        <v>0.15474570948333177</v>
      </c>
      <c r="R9" s="42">
        <f>(1000*G9)/2</f>
        <v>18.125</v>
      </c>
    </row>
    <row r="10" spans="2:38" ht="15" x14ac:dyDescent="0.2">
      <c r="B10" s="34"/>
      <c r="D10" s="24"/>
      <c r="G10" s="23">
        <f>+G9*1000</f>
        <v>36.25</v>
      </c>
      <c r="H10" s="28"/>
      <c r="I10" s="43"/>
      <c r="J10" s="26"/>
    </row>
    <row r="11" spans="2:38" ht="15" x14ac:dyDescent="0.2">
      <c r="B11" s="34"/>
      <c r="D11" s="24"/>
      <c r="G11" s="23">
        <f>+G10/2</f>
        <v>18.125</v>
      </c>
      <c r="H11" s="28"/>
      <c r="I11" s="43"/>
    </row>
    <row r="12" spans="2:38" x14ac:dyDescent="0.2">
      <c r="D12" s="24"/>
      <c r="H12" s="28"/>
      <c r="I12" s="43"/>
    </row>
    <row r="13" spans="2:38" x14ac:dyDescent="0.2">
      <c r="D13" s="24"/>
      <c r="H13" s="28"/>
      <c r="I13" s="43"/>
    </row>
    <row r="14" spans="2:38" x14ac:dyDescent="0.2">
      <c r="I14" s="43"/>
    </row>
    <row r="15" spans="2:38" x14ac:dyDescent="0.2">
      <c r="H15" s="28"/>
      <c r="I15" s="43"/>
    </row>
    <row r="16" spans="2:38" x14ac:dyDescent="0.2">
      <c r="E16" s="40"/>
      <c r="H16" s="28"/>
      <c r="I16" s="43"/>
    </row>
    <row r="17" spans="6:9" x14ac:dyDescent="0.2">
      <c r="I17" s="43"/>
    </row>
    <row r="18" spans="6:9" x14ac:dyDescent="0.2">
      <c r="F18" s="25"/>
      <c r="I18" s="43"/>
    </row>
    <row r="19" spans="6:9" x14ac:dyDescent="0.2">
      <c r="I19" s="43"/>
    </row>
    <row r="20" spans="6:9" x14ac:dyDescent="0.2">
      <c r="I20" s="43"/>
    </row>
    <row r="21" spans="6:9" x14ac:dyDescent="0.2">
      <c r="I21" s="43"/>
    </row>
    <row r="22" spans="6:9" x14ac:dyDescent="0.2">
      <c r="F22" s="25"/>
      <c r="I22" s="43"/>
    </row>
    <row r="23" spans="6:9" x14ac:dyDescent="0.2">
      <c r="I23" s="43"/>
    </row>
    <row r="24" spans="6:9" x14ac:dyDescent="0.2">
      <c r="I24" s="43"/>
    </row>
    <row r="25" spans="6:9" x14ac:dyDescent="0.2">
      <c r="I25" s="43"/>
    </row>
    <row r="26" spans="6:9" x14ac:dyDescent="0.2">
      <c r="I26" s="43"/>
    </row>
    <row r="27" spans="6:9" x14ac:dyDescent="0.2">
      <c r="I27" s="43"/>
    </row>
    <row r="28" spans="6:9" x14ac:dyDescent="0.2">
      <c r="I28" s="43"/>
    </row>
    <row r="29" spans="6:9" x14ac:dyDescent="0.2">
      <c r="I29" s="43"/>
    </row>
  </sheetData>
  <hyperlinks>
    <hyperlink ref="B3" location="GOOG4358366!A1" display="GOOG4358366" xr:uid="{093AF914-556E-EB47-8A27-36F1E5C9B2C8}"/>
    <hyperlink ref="B4" location="GOOG4390254!A1" display="GOOG4390254" xr:uid="{791B18A2-8E4E-CE4C-8301-B001AE7D1BF5}"/>
    <hyperlink ref="B5" location="GOOG5025299!A1" display="GOOG5025299" xr:uid="{C8F07B34-C0C1-EE42-B016-ED597C6D9DAE}"/>
    <hyperlink ref="B6" location="GOOG5025300!A1" display="GOOG5025300" xr:uid="{5F43A48B-90CA-E14C-A88D-D42DAC840236}"/>
    <hyperlink ref="B7" location="GOOG5025306!A1" display="GOOG5025306" xr:uid="{1EEF4EC4-CA01-FC46-BBFE-EF53C7AA164B}"/>
    <hyperlink ref="B8" location="GOOG5025303!A1" display="GOOG5025303" xr:uid="{A411FE3A-2B8B-394D-835B-D910D7DA4C75}"/>
    <hyperlink ref="B9" location="GOOG5025304!A1" display="GOOG5025304" xr:uid="{D4655E3D-CCBF-F742-BDF4-CA0450820A9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A098-9CF0-DA46-BEF3-327DC1AD07CA}">
  <dimension ref="B2:R11"/>
  <sheetViews>
    <sheetView workbookViewId="0">
      <selection activeCell="B5" sqref="B5:B11"/>
    </sheetView>
  </sheetViews>
  <sheetFormatPr baseColWidth="10" defaultRowHeight="15" x14ac:dyDescent="0.2"/>
  <cols>
    <col min="1" max="1" width="10.83203125" style="2"/>
    <col min="2" max="2" width="17.83203125" style="2" bestFit="1" customWidth="1"/>
    <col min="3" max="4" width="12.1640625" style="2" bestFit="1" customWidth="1"/>
    <col min="5" max="10" width="2.1640625" style="2" bestFit="1" customWidth="1"/>
    <col min="11" max="18" width="3.1640625" style="2" bestFit="1" customWidth="1"/>
    <col min="19" max="16384" width="10.83203125" style="2"/>
  </cols>
  <sheetData>
    <row r="2" spans="2:18" x14ac:dyDescent="0.2">
      <c r="B2" s="24">
        <v>1</v>
      </c>
      <c r="C2" s="24">
        <f>+B2+1</f>
        <v>2</v>
      </c>
      <c r="D2" s="23">
        <f t="shared" ref="D2:R2" si="0">+C2+1</f>
        <v>3</v>
      </c>
      <c r="E2" s="23">
        <f t="shared" si="0"/>
        <v>4</v>
      </c>
      <c r="F2" s="23">
        <f t="shared" si="0"/>
        <v>5</v>
      </c>
      <c r="G2" s="23">
        <f t="shared" si="0"/>
        <v>6</v>
      </c>
      <c r="H2" s="23">
        <f t="shared" si="0"/>
        <v>7</v>
      </c>
      <c r="I2" s="23">
        <f t="shared" si="0"/>
        <v>8</v>
      </c>
      <c r="J2" s="23">
        <f t="shared" si="0"/>
        <v>9</v>
      </c>
      <c r="K2" s="23">
        <f t="shared" si="0"/>
        <v>10</v>
      </c>
      <c r="L2" s="23">
        <f t="shared" si="0"/>
        <v>11</v>
      </c>
      <c r="M2" s="23">
        <f t="shared" si="0"/>
        <v>12</v>
      </c>
      <c r="N2" s="23">
        <f t="shared" si="0"/>
        <v>13</v>
      </c>
      <c r="O2" s="23">
        <f t="shared" si="0"/>
        <v>14</v>
      </c>
      <c r="P2" s="23">
        <f t="shared" si="0"/>
        <v>15</v>
      </c>
      <c r="Q2" s="23">
        <f t="shared" si="0"/>
        <v>16</v>
      </c>
      <c r="R2" s="23">
        <f t="shared" si="0"/>
        <v>17</v>
      </c>
    </row>
    <row r="3" spans="2:18" x14ac:dyDescent="0.2">
      <c r="B3" s="2">
        <f>$C$6/(1+$C$7)^B2</f>
        <v>16.463414634146343</v>
      </c>
      <c r="C3" s="2">
        <f t="shared" ref="C3:D3" si="1">$C$6/(1+$C$7)^C2</f>
        <v>16.061867935752531</v>
      </c>
      <c r="D3" s="2">
        <f t="shared" si="1"/>
        <v>15.670115059270762</v>
      </c>
    </row>
    <row r="4" spans="2:18" x14ac:dyDescent="0.2">
      <c r="B4" s="2">
        <f>$C$9/(1+$C$7)^B2</f>
        <v>975.6097560975611</v>
      </c>
      <c r="C4" s="2">
        <f t="shared" ref="C4:D4" si="2">$C$9/(1+$C$7)^C2</f>
        <v>951.81439619274249</v>
      </c>
      <c r="D4" s="2">
        <f t="shared" si="2"/>
        <v>928.59941091974883</v>
      </c>
    </row>
    <row r="6" spans="2:18" x14ac:dyDescent="0.2">
      <c r="B6" s="2" t="s">
        <v>181</v>
      </c>
      <c r="C6" s="2">
        <f>Bonds!$R$3</f>
        <v>16.875</v>
      </c>
    </row>
    <row r="7" spans="2:18" x14ac:dyDescent="0.2">
      <c r="B7" s="2" t="s">
        <v>182</v>
      </c>
      <c r="C7" s="6">
        <f>Bonds!$O$1</f>
        <v>2.5000000000000001E-2</v>
      </c>
    </row>
    <row r="8" spans="2:18" x14ac:dyDescent="0.2">
      <c r="B8" s="2" t="s">
        <v>183</v>
      </c>
      <c r="C8" s="2">
        <f ca="1">Bonds!L3</f>
        <v>8.2191780821917804E-2</v>
      </c>
    </row>
    <row r="9" spans="2:18" x14ac:dyDescent="0.2">
      <c r="B9" s="2" t="s">
        <v>157</v>
      </c>
      <c r="C9" s="2">
        <v>1000</v>
      </c>
    </row>
    <row r="11" spans="2:18" x14ac:dyDescent="0.2">
      <c r="B11" s="2" t="s">
        <v>46</v>
      </c>
      <c r="C11" s="2">
        <f>SUM(B3:D3)+D4</f>
        <v>976.79480854891847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56ED-B41B-CD4C-B6BF-71525BEB6918}">
  <dimension ref="B3:R12"/>
  <sheetViews>
    <sheetView workbookViewId="0">
      <selection sqref="A1:XFD1048576"/>
    </sheetView>
  </sheetViews>
  <sheetFormatPr baseColWidth="10" defaultRowHeight="15" x14ac:dyDescent="0.2"/>
  <cols>
    <col min="1" max="1" width="10.83203125" style="2"/>
    <col min="2" max="2" width="18" style="2" bestFit="1" customWidth="1"/>
    <col min="3" max="4" width="12.33203125" style="2" bestFit="1" customWidth="1"/>
    <col min="5" max="9" width="4.6640625" style="2" bestFit="1" customWidth="1"/>
    <col min="10" max="10" width="2.33203125" style="2" bestFit="1" customWidth="1"/>
    <col min="11" max="18" width="3.33203125" style="2" bestFit="1" customWidth="1"/>
    <col min="19" max="16384" width="10.83203125" style="2"/>
  </cols>
  <sheetData>
    <row r="3" spans="2:18" x14ac:dyDescent="0.2">
      <c r="B3" s="24">
        <v>1</v>
      </c>
      <c r="C3" s="24">
        <f>+B3+1</f>
        <v>2</v>
      </c>
      <c r="D3" s="23">
        <f t="shared" ref="D3:R3" si="0">+C3+1</f>
        <v>3</v>
      </c>
      <c r="E3" s="23">
        <f t="shared" si="0"/>
        <v>4</v>
      </c>
      <c r="F3" s="23">
        <f t="shared" si="0"/>
        <v>5</v>
      </c>
      <c r="G3" s="23">
        <f t="shared" si="0"/>
        <v>6</v>
      </c>
      <c r="H3" s="23">
        <f t="shared" si="0"/>
        <v>7</v>
      </c>
      <c r="I3" s="23">
        <f t="shared" si="0"/>
        <v>8</v>
      </c>
      <c r="J3" s="23">
        <f t="shared" si="0"/>
        <v>9</v>
      </c>
      <c r="K3" s="23">
        <f t="shared" si="0"/>
        <v>10</v>
      </c>
      <c r="L3" s="23">
        <f t="shared" si="0"/>
        <v>11</v>
      </c>
      <c r="M3" s="23">
        <f t="shared" si="0"/>
        <v>12</v>
      </c>
      <c r="N3" s="23">
        <f t="shared" si="0"/>
        <v>13</v>
      </c>
      <c r="O3" s="23">
        <f t="shared" si="0"/>
        <v>14</v>
      </c>
      <c r="P3" s="23">
        <f t="shared" si="0"/>
        <v>15</v>
      </c>
      <c r="Q3" s="23">
        <f t="shared" si="0"/>
        <v>16</v>
      </c>
      <c r="R3" s="23">
        <f t="shared" si="0"/>
        <v>17</v>
      </c>
    </row>
    <row r="4" spans="2:18" x14ac:dyDescent="0.2">
      <c r="B4" s="2">
        <f>$C$7/(1+$C$8)^B3</f>
        <v>9.7463414634146357</v>
      </c>
      <c r="C4" s="2">
        <f t="shared" ref="C4:I4" si="1">$C$7/(1+$C$8)^C3</f>
        <v>9.5086258179654983</v>
      </c>
      <c r="D4" s="2">
        <f t="shared" si="1"/>
        <v>9.2767081150882902</v>
      </c>
      <c r="E4" s="2">
        <f t="shared" si="1"/>
        <v>9.0504469415495521</v>
      </c>
      <c r="F4" s="2">
        <f t="shared" si="1"/>
        <v>8.8297043332190768</v>
      </c>
      <c r="G4" s="2">
        <f t="shared" si="1"/>
        <v>8.6143456909454414</v>
      </c>
      <c r="H4" s="2">
        <f t="shared" si="1"/>
        <v>8.4042396984833569</v>
      </c>
      <c r="I4" s="2">
        <f t="shared" si="1"/>
        <v>8.199258242422788</v>
      </c>
    </row>
    <row r="5" spans="2:18" x14ac:dyDescent="0.2">
      <c r="B5" s="2">
        <f>$C$10/(1+$C$8)^B3</f>
        <v>975.6097560975611</v>
      </c>
      <c r="C5" s="2">
        <f t="shared" ref="C5:I5" si="2">$C$10/(1+$C$8)^C3</f>
        <v>951.81439619274249</v>
      </c>
      <c r="D5" s="2">
        <f t="shared" si="2"/>
        <v>928.59941091974883</v>
      </c>
      <c r="E5" s="2">
        <f t="shared" si="2"/>
        <v>905.95064479975497</v>
      </c>
      <c r="F5" s="2">
        <f t="shared" si="2"/>
        <v>883.8542876095172</v>
      </c>
      <c r="G5" s="2">
        <f t="shared" si="2"/>
        <v>862.29686596050465</v>
      </c>
      <c r="H5" s="2">
        <f t="shared" si="2"/>
        <v>841.26523508341916</v>
      </c>
      <c r="I5" s="2">
        <f t="shared" si="2"/>
        <v>820.74657081309192</v>
      </c>
    </row>
    <row r="7" spans="2:18" x14ac:dyDescent="0.2">
      <c r="B7" s="2" t="s">
        <v>181</v>
      </c>
      <c r="C7" s="2">
        <f>Bonds!$R$4</f>
        <v>9.99</v>
      </c>
    </row>
    <row r="8" spans="2:18" x14ac:dyDescent="0.2">
      <c r="B8" s="2" t="s">
        <v>182</v>
      </c>
      <c r="C8" s="6">
        <f>Bonds!$O$1</f>
        <v>2.5000000000000001E-2</v>
      </c>
    </row>
    <row r="9" spans="2:18" x14ac:dyDescent="0.2">
      <c r="B9" s="2" t="s">
        <v>183</v>
      </c>
      <c r="C9" s="2">
        <f ca="1">Bonds!L4</f>
        <v>5.0246575342465754</v>
      </c>
    </row>
    <row r="10" spans="2:18" x14ac:dyDescent="0.2">
      <c r="B10" s="2" t="s">
        <v>157</v>
      </c>
      <c r="C10" s="2">
        <v>1000</v>
      </c>
    </row>
    <row r="12" spans="2:18" x14ac:dyDescent="0.2">
      <c r="B12" s="2" t="s">
        <v>46</v>
      </c>
      <c r="C12" s="2">
        <f>SUM(B4:I4)+I5</f>
        <v>892.37624111618061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42D5-01EE-1743-A252-10B51C1565C0}">
  <dimension ref="B3:R12"/>
  <sheetViews>
    <sheetView workbookViewId="0">
      <selection activeCell="C14" sqref="A14:C14"/>
    </sheetView>
  </sheetViews>
  <sheetFormatPr baseColWidth="10" defaultRowHeight="15" x14ac:dyDescent="0.2"/>
  <sheetData>
    <row r="3" spans="2:18" x14ac:dyDescent="0.2">
      <c r="B3" s="35">
        <v>1</v>
      </c>
      <c r="C3" s="35">
        <v>2</v>
      </c>
      <c r="D3" s="36">
        <v>3</v>
      </c>
      <c r="E3" s="36">
        <v>4</v>
      </c>
      <c r="F3" s="36">
        <v>5</v>
      </c>
      <c r="G3" s="36">
        <v>6</v>
      </c>
      <c r="H3" s="36">
        <v>7</v>
      </c>
      <c r="I3" s="36">
        <v>8</v>
      </c>
      <c r="J3" s="36">
        <v>9</v>
      </c>
      <c r="K3" s="36">
        <v>10</v>
      </c>
      <c r="L3" s="36">
        <v>11</v>
      </c>
      <c r="M3" s="36">
        <v>12</v>
      </c>
      <c r="N3" s="36">
        <v>13</v>
      </c>
      <c r="O3" s="36">
        <v>14</v>
      </c>
      <c r="P3" s="36">
        <v>15</v>
      </c>
      <c r="Q3" s="36">
        <v>16</v>
      </c>
      <c r="R3" s="36">
        <v>17</v>
      </c>
    </row>
    <row r="4" spans="2:18" x14ac:dyDescent="0.2">
      <c r="B4" s="37">
        <f>$C$7/(1+$C$8)^B3</f>
        <v>9.5142857142857142</v>
      </c>
      <c r="C4" s="37">
        <f t="shared" ref="C4:G4" si="0">$C$7/(1+$C$8)^C3</f>
        <v>9.0612244897959187</v>
      </c>
      <c r="D4" s="37">
        <f t="shared" si="0"/>
        <v>8.629737609329446</v>
      </c>
      <c r="E4" s="37">
        <f t="shared" si="0"/>
        <v>8.2187977231709013</v>
      </c>
      <c r="F4" s="37">
        <f t="shared" si="0"/>
        <v>7.8274264030199054</v>
      </c>
      <c r="G4" s="37">
        <f t="shared" si="0"/>
        <v>7.4546918123999104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2:18" x14ac:dyDescent="0.2">
      <c r="B5" s="37">
        <f>$C$10/(1+$C$8)^B3</f>
        <v>952.38095238095229</v>
      </c>
      <c r="C5" s="37">
        <f t="shared" ref="C5:G5" si="1">$C$10/(1+$C$8)^C3</f>
        <v>907.02947845804988</v>
      </c>
      <c r="D5" s="37">
        <f t="shared" si="1"/>
        <v>863.83759853147603</v>
      </c>
      <c r="E5" s="37">
        <f t="shared" si="1"/>
        <v>822.70247479188197</v>
      </c>
      <c r="F5" s="37">
        <f t="shared" si="1"/>
        <v>783.526166468459</v>
      </c>
      <c r="G5" s="37">
        <f t="shared" si="1"/>
        <v>746.2153966366277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2:18" x14ac:dyDescent="0.2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</row>
    <row r="7" spans="2:18" x14ac:dyDescent="0.2">
      <c r="B7" s="37" t="s">
        <v>181</v>
      </c>
      <c r="C7" s="37">
        <v>9.99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18" x14ac:dyDescent="0.2">
      <c r="B8" s="37" t="s">
        <v>182</v>
      </c>
      <c r="C8" s="38">
        <v>0.05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2:18" x14ac:dyDescent="0.2">
      <c r="B9" s="37" t="s">
        <v>183</v>
      </c>
      <c r="C9" s="37">
        <f ca="1">Bonds!$L$5</f>
        <v>3.0246575342465754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18" x14ac:dyDescent="0.2">
      <c r="B10" s="37" t="s">
        <v>157</v>
      </c>
      <c r="C10" s="37">
        <v>1000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2:18" x14ac:dyDescent="0.2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18" x14ac:dyDescent="0.2">
      <c r="B12" s="37" t="s">
        <v>46</v>
      </c>
      <c r="C12" s="37">
        <f>SUM(B4:G4)+G5</f>
        <v>796.92156038862947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4E33-F250-4542-8E7A-DE3E8D0166BC}">
  <dimension ref="B3:R12"/>
  <sheetViews>
    <sheetView workbookViewId="0">
      <selection activeCell="B2" sqref="B2"/>
    </sheetView>
  </sheetViews>
  <sheetFormatPr baseColWidth="10" defaultRowHeight="15" x14ac:dyDescent="0.2"/>
  <sheetData>
    <row r="3" spans="2:18" x14ac:dyDescent="0.2">
      <c r="B3" s="35">
        <v>1</v>
      </c>
      <c r="C3" s="35">
        <v>2</v>
      </c>
      <c r="D3" s="36">
        <v>3</v>
      </c>
      <c r="E3" s="36">
        <v>4</v>
      </c>
      <c r="F3" s="36">
        <v>5</v>
      </c>
      <c r="G3" s="36">
        <v>6</v>
      </c>
      <c r="H3" s="36">
        <v>7</v>
      </c>
      <c r="I3" s="36">
        <v>8</v>
      </c>
      <c r="J3" s="36">
        <v>9</v>
      </c>
      <c r="K3" s="36">
        <v>10</v>
      </c>
      <c r="L3" s="36">
        <v>11</v>
      </c>
      <c r="M3" s="36">
        <v>12</v>
      </c>
      <c r="N3" s="36">
        <v>13</v>
      </c>
      <c r="O3" s="36">
        <v>14</v>
      </c>
      <c r="P3" s="36">
        <v>15</v>
      </c>
      <c r="Q3" s="36">
        <v>16</v>
      </c>
      <c r="R3" s="36">
        <v>17</v>
      </c>
    </row>
    <row r="4" spans="2:18" x14ac:dyDescent="0.2">
      <c r="B4" s="37">
        <f>$C$7/(1+$C$8)^B3</f>
        <v>3.9024390243902443</v>
      </c>
      <c r="C4" s="37">
        <f t="shared" ref="C4:K4" si="0">$C$7/(1+$C$8)^C3</f>
        <v>3.8072575847709698</v>
      </c>
      <c r="D4" s="37">
        <f t="shared" si="0"/>
        <v>3.7143976436789954</v>
      </c>
      <c r="E4" s="37">
        <f t="shared" si="0"/>
        <v>3.6238025791990203</v>
      </c>
      <c r="F4" s="37">
        <f t="shared" si="0"/>
        <v>3.5354171504380685</v>
      </c>
      <c r="G4" s="37">
        <f t="shared" si="0"/>
        <v>3.4491874638420184</v>
      </c>
      <c r="H4" s="37">
        <f t="shared" si="0"/>
        <v>3.3650609403336764</v>
      </c>
      <c r="I4" s="37">
        <f t="shared" si="0"/>
        <v>3.2829862832523675</v>
      </c>
      <c r="J4" s="37">
        <f t="shared" si="0"/>
        <v>3.2029134470754812</v>
      </c>
      <c r="K4" s="37">
        <f t="shared" si="0"/>
        <v>3.1247936069029083</v>
      </c>
      <c r="L4" s="37"/>
      <c r="M4" s="37"/>
      <c r="N4" s="37"/>
      <c r="O4" s="37"/>
      <c r="P4" s="37"/>
      <c r="Q4" s="37"/>
      <c r="R4" s="37"/>
    </row>
    <row r="5" spans="2:18" x14ac:dyDescent="0.2">
      <c r="B5" s="37">
        <f>$C$10/(1+$C$8)^B3</f>
        <v>975.6097560975611</v>
      </c>
      <c r="C5" s="37">
        <f t="shared" ref="C5:K5" si="1">$C$10/(1+$C$8)^C3</f>
        <v>951.81439619274249</v>
      </c>
      <c r="D5" s="37">
        <f t="shared" si="1"/>
        <v>928.59941091974883</v>
      </c>
      <c r="E5" s="37">
        <f t="shared" si="1"/>
        <v>905.95064479975497</v>
      </c>
      <c r="F5" s="37">
        <f t="shared" si="1"/>
        <v>883.8542876095172</v>
      </c>
      <c r="G5" s="37">
        <f t="shared" si="1"/>
        <v>862.29686596050465</v>
      </c>
      <c r="H5" s="37">
        <f t="shared" si="1"/>
        <v>841.26523508341916</v>
      </c>
      <c r="I5" s="37">
        <f t="shared" si="1"/>
        <v>820.74657081309192</v>
      </c>
      <c r="J5" s="37">
        <f t="shared" si="1"/>
        <v>800.72836176887029</v>
      </c>
      <c r="K5" s="37">
        <f t="shared" si="1"/>
        <v>781.19840172572708</v>
      </c>
      <c r="L5" s="37"/>
      <c r="M5" s="37"/>
      <c r="N5" s="37"/>
      <c r="O5" s="37"/>
      <c r="P5" s="37"/>
      <c r="Q5" s="37"/>
      <c r="R5" s="37"/>
    </row>
    <row r="6" spans="2:18" x14ac:dyDescent="0.2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</row>
    <row r="7" spans="2:18" x14ac:dyDescent="0.2">
      <c r="B7" s="37" t="s">
        <v>181</v>
      </c>
      <c r="C7" s="37">
        <f>+Bonds!R6</f>
        <v>4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18" x14ac:dyDescent="0.2">
      <c r="B8" s="37" t="s">
        <v>182</v>
      </c>
      <c r="C8" s="38">
        <f>Bonds!O1</f>
        <v>2.5000000000000001E-2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2:18" x14ac:dyDescent="0.2">
      <c r="B9" s="37" t="s">
        <v>183</v>
      </c>
      <c r="C9" s="37">
        <f ca="1">+Bonds!L6</f>
        <v>7.0246575342465754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18" x14ac:dyDescent="0.2">
      <c r="B10" s="37" t="s">
        <v>157</v>
      </c>
      <c r="C10" s="37">
        <v>1000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2:18" x14ac:dyDescent="0.2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18" x14ac:dyDescent="0.2">
      <c r="B12" s="37" t="s">
        <v>46</v>
      </c>
      <c r="C12" s="37">
        <f>SUM(B4:K4)+K5</f>
        <v>816.20665744961082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6B77-7F8C-724B-9CA5-0EDABE26D564}">
  <dimension ref="B3:R12"/>
  <sheetViews>
    <sheetView workbookViewId="0">
      <selection activeCell="B3" sqref="B3:R12"/>
    </sheetView>
  </sheetViews>
  <sheetFormatPr baseColWidth="10" defaultRowHeight="15" x14ac:dyDescent="0.2"/>
  <sheetData>
    <row r="3" spans="2:18" x14ac:dyDescent="0.2">
      <c r="B3" s="35">
        <v>1</v>
      </c>
      <c r="C3" s="35">
        <v>2</v>
      </c>
      <c r="D3" s="36">
        <v>3</v>
      </c>
      <c r="E3" s="36">
        <v>4</v>
      </c>
      <c r="F3" s="36">
        <v>5</v>
      </c>
      <c r="G3" s="36">
        <v>6</v>
      </c>
      <c r="H3" s="36">
        <v>7</v>
      </c>
      <c r="I3" s="36">
        <v>8</v>
      </c>
      <c r="J3" s="36">
        <v>9</v>
      </c>
      <c r="K3" s="36">
        <v>10</v>
      </c>
      <c r="L3" s="36">
        <v>11</v>
      </c>
      <c r="M3" s="36">
        <v>12</v>
      </c>
      <c r="N3" s="36">
        <v>13</v>
      </c>
      <c r="O3" s="36">
        <v>14</v>
      </c>
      <c r="P3" s="36">
        <v>15</v>
      </c>
      <c r="Q3" s="36">
        <v>16</v>
      </c>
      <c r="R3" s="36">
        <v>17</v>
      </c>
    </row>
    <row r="4" spans="2:18" x14ac:dyDescent="0.2">
      <c r="B4" s="37">
        <f>$C$7/(1+$C$8)^B3</f>
        <v>5.3658536585365857</v>
      </c>
      <c r="C4" s="37">
        <f t="shared" ref="C4:Q4" si="0">$C$7/(1+$C$8)^C3</f>
        <v>5.2349791790600833</v>
      </c>
      <c r="D4" s="37">
        <f t="shared" si="0"/>
        <v>5.1072967600586185</v>
      </c>
      <c r="E4" s="37">
        <f t="shared" si="0"/>
        <v>4.9827285463986524</v>
      </c>
      <c r="F4" s="37">
        <f t="shared" si="0"/>
        <v>4.8611985818523449</v>
      </c>
      <c r="G4" s="37">
        <f t="shared" si="0"/>
        <v>4.7426327627827751</v>
      </c>
      <c r="H4" s="37">
        <f t="shared" si="0"/>
        <v>4.6269587929588054</v>
      </c>
      <c r="I4" s="37">
        <f t="shared" si="0"/>
        <v>4.5141061394720055</v>
      </c>
      <c r="J4" s="37">
        <f t="shared" si="0"/>
        <v>4.4040059897287867</v>
      </c>
      <c r="K4" s="37">
        <f t="shared" si="0"/>
        <v>4.2965912094914991</v>
      </c>
      <c r="L4" s="37">
        <f t="shared" si="0"/>
        <v>4.1917963019429259</v>
      </c>
      <c r="M4" s="37">
        <f t="shared" si="0"/>
        <v>4.0895573677491965</v>
      </c>
      <c r="N4" s="37">
        <f t="shared" si="0"/>
        <v>3.9898120660967771</v>
      </c>
      <c r="O4" s="37">
        <f t="shared" si="0"/>
        <v>3.892499576679783</v>
      </c>
      <c r="P4" s="37">
        <f t="shared" si="0"/>
        <v>3.797560562614422</v>
      </c>
      <c r="Q4" s="37">
        <f t="shared" si="0"/>
        <v>3.7049371342579729</v>
      </c>
      <c r="R4" s="37"/>
    </row>
    <row r="5" spans="2:18" x14ac:dyDescent="0.2">
      <c r="B5" s="37">
        <f>$C$10/(1+$C$8)^B3</f>
        <v>975.6097560975611</v>
      </c>
      <c r="C5" s="37">
        <f t="shared" ref="C5:Q5" si="1">$C$10/(1+$C$8)^C3</f>
        <v>951.81439619274249</v>
      </c>
      <c r="D5" s="37">
        <f t="shared" si="1"/>
        <v>928.59941091974883</v>
      </c>
      <c r="E5" s="37">
        <f t="shared" si="1"/>
        <v>905.95064479975497</v>
      </c>
      <c r="F5" s="37">
        <f t="shared" si="1"/>
        <v>883.8542876095172</v>
      </c>
      <c r="G5" s="37">
        <f t="shared" si="1"/>
        <v>862.29686596050465</v>
      </c>
      <c r="H5" s="37">
        <f t="shared" si="1"/>
        <v>841.26523508341916</v>
      </c>
      <c r="I5" s="37">
        <f t="shared" si="1"/>
        <v>820.74657081309192</v>
      </c>
      <c r="J5" s="37">
        <f t="shared" si="1"/>
        <v>800.72836176887029</v>
      </c>
      <c r="K5" s="37">
        <f t="shared" si="1"/>
        <v>781.19840172572708</v>
      </c>
      <c r="L5" s="37">
        <f t="shared" si="1"/>
        <v>762.14478217144108</v>
      </c>
      <c r="M5" s="37">
        <f t="shared" si="1"/>
        <v>743.5558850453084</v>
      </c>
      <c r="N5" s="37">
        <f t="shared" si="1"/>
        <v>725.42037565395947</v>
      </c>
      <c r="O5" s="37">
        <f t="shared" si="1"/>
        <v>707.72719575996052</v>
      </c>
      <c r="P5" s="37">
        <f t="shared" si="1"/>
        <v>690.46555683898578</v>
      </c>
      <c r="Q5" s="37">
        <f t="shared" si="1"/>
        <v>673.62493350144962</v>
      </c>
      <c r="R5" s="37"/>
    </row>
    <row r="6" spans="2:18" x14ac:dyDescent="0.2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</row>
    <row r="7" spans="2:18" x14ac:dyDescent="0.2">
      <c r="B7" s="37" t="s">
        <v>181</v>
      </c>
      <c r="C7" s="37">
        <f>Bonds!R7</f>
        <v>5.5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18" x14ac:dyDescent="0.2">
      <c r="B8" s="37" t="s">
        <v>182</v>
      </c>
      <c r="C8" s="38">
        <f>Bonds!$O$1</f>
        <v>2.5000000000000001E-2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2:18" x14ac:dyDescent="0.2">
      <c r="B9" s="37" t="s">
        <v>183</v>
      </c>
      <c r="C9" s="37">
        <f ca="1">Bonds!L7</f>
        <v>13.03013698630137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18" x14ac:dyDescent="0.2">
      <c r="B10" s="37" t="s">
        <v>157</v>
      </c>
      <c r="C10" s="37">
        <v>1000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2:18" x14ac:dyDescent="0.2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18" x14ac:dyDescent="0.2">
      <c r="B12" s="37" t="s">
        <v>46</v>
      </c>
      <c r="C12" s="37">
        <f>SUM(B4:Q4)+Q5</f>
        <v>745.42744813113086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F2B75-2437-5845-9EA1-CC49AEFD40AA}">
  <dimension ref="B4:AK13"/>
  <sheetViews>
    <sheetView workbookViewId="0">
      <selection activeCell="B4" sqref="B4:AJ13"/>
    </sheetView>
  </sheetViews>
  <sheetFormatPr baseColWidth="10" defaultRowHeight="15" x14ac:dyDescent="0.2"/>
  <cols>
    <col min="2" max="2" width="17.83203125" bestFit="1" customWidth="1"/>
    <col min="3" max="3" width="12.1640625" bestFit="1" customWidth="1"/>
    <col min="4" max="37" width="4.1640625" bestFit="1" customWidth="1"/>
  </cols>
  <sheetData>
    <row r="4" spans="2:37" x14ac:dyDescent="0.2">
      <c r="B4" s="35">
        <v>1</v>
      </c>
      <c r="C4" s="35">
        <f>+B4+1</f>
        <v>2</v>
      </c>
      <c r="D4" s="35">
        <f t="shared" ref="D4:AK4" si="0">+C4+1</f>
        <v>3</v>
      </c>
      <c r="E4" s="35">
        <f t="shared" si="0"/>
        <v>4</v>
      </c>
      <c r="F4" s="35">
        <f t="shared" si="0"/>
        <v>5</v>
      </c>
      <c r="G4" s="35">
        <f t="shared" si="0"/>
        <v>6</v>
      </c>
      <c r="H4" s="35">
        <f t="shared" si="0"/>
        <v>7</v>
      </c>
      <c r="I4" s="35">
        <f t="shared" si="0"/>
        <v>8</v>
      </c>
      <c r="J4" s="35">
        <f t="shared" si="0"/>
        <v>9</v>
      </c>
      <c r="K4" s="35">
        <f t="shared" si="0"/>
        <v>10</v>
      </c>
      <c r="L4" s="35">
        <f t="shared" si="0"/>
        <v>11</v>
      </c>
      <c r="M4" s="35">
        <f t="shared" si="0"/>
        <v>12</v>
      </c>
      <c r="N4" s="35">
        <f t="shared" si="0"/>
        <v>13</v>
      </c>
      <c r="O4" s="35">
        <f t="shared" si="0"/>
        <v>14</v>
      </c>
      <c r="P4" s="35">
        <f t="shared" si="0"/>
        <v>15</v>
      </c>
      <c r="Q4" s="35">
        <f t="shared" si="0"/>
        <v>16</v>
      </c>
      <c r="R4" s="35">
        <f t="shared" si="0"/>
        <v>17</v>
      </c>
      <c r="S4" s="35">
        <f t="shared" si="0"/>
        <v>18</v>
      </c>
      <c r="T4" s="35">
        <f t="shared" si="0"/>
        <v>19</v>
      </c>
      <c r="U4" s="35">
        <f t="shared" si="0"/>
        <v>20</v>
      </c>
      <c r="V4" s="35">
        <f t="shared" si="0"/>
        <v>21</v>
      </c>
      <c r="W4" s="35">
        <f t="shared" si="0"/>
        <v>22</v>
      </c>
      <c r="X4" s="35">
        <f t="shared" si="0"/>
        <v>23</v>
      </c>
      <c r="Y4" s="35">
        <f t="shared" si="0"/>
        <v>24</v>
      </c>
      <c r="Z4" s="35">
        <f t="shared" si="0"/>
        <v>25</v>
      </c>
      <c r="AA4" s="35">
        <f t="shared" si="0"/>
        <v>26</v>
      </c>
      <c r="AB4" s="35">
        <f t="shared" si="0"/>
        <v>27</v>
      </c>
      <c r="AC4" s="35">
        <f t="shared" si="0"/>
        <v>28</v>
      </c>
      <c r="AD4" s="35">
        <f t="shared" si="0"/>
        <v>29</v>
      </c>
      <c r="AE4" s="35">
        <f t="shared" si="0"/>
        <v>30</v>
      </c>
      <c r="AF4" s="35">
        <f t="shared" si="0"/>
        <v>31</v>
      </c>
      <c r="AG4" s="35">
        <f t="shared" si="0"/>
        <v>32</v>
      </c>
      <c r="AH4" s="35">
        <f t="shared" si="0"/>
        <v>33</v>
      </c>
      <c r="AI4" s="35">
        <f t="shared" si="0"/>
        <v>34</v>
      </c>
      <c r="AJ4" s="35">
        <f t="shared" si="0"/>
        <v>35</v>
      </c>
      <c r="AK4" s="35">
        <f t="shared" si="0"/>
        <v>36</v>
      </c>
    </row>
    <row r="5" spans="2:37" x14ac:dyDescent="0.2">
      <c r="B5" s="39">
        <f>$C$8/(1+$C$9)^B4</f>
        <v>10</v>
      </c>
      <c r="C5" s="39">
        <f t="shared" ref="C5:R5" si="1">$C$8/(1+$C$9)^C4</f>
        <v>9.7560975609756113</v>
      </c>
      <c r="D5" s="39">
        <f t="shared" si="1"/>
        <v>9.5181439619274251</v>
      </c>
      <c r="E5" s="39">
        <f t="shared" si="1"/>
        <v>9.2859941091974889</v>
      </c>
      <c r="F5" s="39">
        <f t="shared" si="1"/>
        <v>9.0595064479975509</v>
      </c>
      <c r="G5" s="39">
        <f t="shared" si="1"/>
        <v>8.8385428760951719</v>
      </c>
      <c r="H5" s="39">
        <f t="shared" si="1"/>
        <v>8.6229686596050463</v>
      </c>
      <c r="I5" s="39">
        <f t="shared" si="1"/>
        <v>8.4126523508341915</v>
      </c>
      <c r="J5" s="39">
        <f t="shared" si="1"/>
        <v>8.2074657081309201</v>
      </c>
      <c r="K5" s="39">
        <f t="shared" si="1"/>
        <v>8.007283617688703</v>
      </c>
      <c r="L5" s="39">
        <f t="shared" si="1"/>
        <v>7.811984017257271</v>
      </c>
      <c r="M5" s="39">
        <f t="shared" si="1"/>
        <v>7.621447821714411</v>
      </c>
      <c r="N5" s="39">
        <f t="shared" si="1"/>
        <v>7.4355588504530843</v>
      </c>
      <c r="O5" s="39">
        <f t="shared" si="1"/>
        <v>7.2542037565395958</v>
      </c>
      <c r="P5" s="39">
        <f t="shared" si="1"/>
        <v>7.0772719575996046</v>
      </c>
      <c r="Q5" s="39">
        <f t="shared" si="1"/>
        <v>6.9046555683898587</v>
      </c>
      <c r="R5" s="39">
        <f t="shared" si="1"/>
        <v>6.736249335014497</v>
      </c>
      <c r="S5" s="39">
        <f t="shared" ref="S5" si="2">$C$8/(1+$C$9)^S4</f>
        <v>6.5719505707458508</v>
      </c>
      <c r="T5" s="39">
        <f t="shared" ref="T5" si="3">$C$8/(1+$C$9)^T4</f>
        <v>6.4116590934105853</v>
      </c>
      <c r="U5" s="39">
        <f t="shared" ref="U5" si="4">$C$8/(1+$C$9)^U4</f>
        <v>6.2552771643030116</v>
      </c>
      <c r="V5" s="39">
        <f t="shared" ref="V5" si="5">$C$8/(1+$C$9)^V4</f>
        <v>6.1027094285883043</v>
      </c>
      <c r="W5" s="39">
        <f t="shared" ref="W5" si="6">$C$8/(1+$C$9)^W4</f>
        <v>5.9538628571593213</v>
      </c>
      <c r="X5" s="39">
        <f t="shared" ref="X5" si="7">$C$8/(1+$C$9)^X4</f>
        <v>5.8086466899115328</v>
      </c>
      <c r="Y5" s="39">
        <f t="shared" ref="Y5" si="8">$C$8/(1+$C$9)^Y4</f>
        <v>5.6669723804014955</v>
      </c>
      <c r="Z5" s="39">
        <f t="shared" ref="Z5" si="9">$C$8/(1+$C$9)^Z4</f>
        <v>5.528753541855119</v>
      </c>
      <c r="AA5" s="39">
        <f t="shared" ref="AA5" si="10">$C$8/(1+$C$9)^AA4</f>
        <v>5.3939058944927991</v>
      </c>
      <c r="AB5" s="39">
        <f t="shared" ref="AB5" si="11">$C$8/(1+$C$9)^AB4</f>
        <v>5.2623472141393162</v>
      </c>
      <c r="AC5" s="39">
        <f t="shared" ref="AC5" si="12">$C$8/(1+$C$9)^AC4</f>
        <v>5.1339972820871385</v>
      </c>
      <c r="AD5" s="39">
        <f t="shared" ref="AD5" si="13">$C$8/(1+$C$9)^AD4</f>
        <v>5.0087778361825732</v>
      </c>
      <c r="AE5" s="39">
        <f t="shared" ref="AE5" si="14">$C$8/(1+$C$9)^AE4</f>
        <v>4.8866125231049509</v>
      </c>
      <c r="AF5" s="39">
        <f t="shared" ref="AF5" si="15">$C$8/(1+$C$9)^AF4</f>
        <v>4.7674268518097067</v>
      </c>
      <c r="AG5" s="39">
        <f t="shared" ref="AG5" si="16">$C$8/(1+$C$9)^AG4</f>
        <v>4.6511481481070325</v>
      </c>
      <c r="AH5" s="39">
        <f t="shared" ref="AH5" si="17">$C$8/(1+$C$9)^AH4</f>
        <v>4.5377055103483244</v>
      </c>
      <c r="AI5" s="39">
        <f t="shared" ref="AI5" si="18">$C$8/(1+$C$9)^AI4</f>
        <v>4.4270297661934874</v>
      </c>
      <c r="AJ5" s="39">
        <f t="shared" ref="AJ5" si="19">$C$8/(1+$C$9)^AJ4</f>
        <v>4.3190534304326711</v>
      </c>
      <c r="AK5" s="39">
        <f t="shared" ref="AK5" si="20">$C$8/(1+$C$9)^AK4</f>
        <v>4.2137106638367516</v>
      </c>
    </row>
    <row r="6" spans="2:37" x14ac:dyDescent="0.2">
      <c r="B6" s="39">
        <f>$C$11/(1+$C$9)^B4</f>
        <v>975.6097560975611</v>
      </c>
      <c r="C6" s="39">
        <f t="shared" ref="C6:AK6" si="21">$C$11/(1+$C$9)^C4</f>
        <v>951.81439619274249</v>
      </c>
      <c r="D6" s="39">
        <f t="shared" si="21"/>
        <v>928.59941091974883</v>
      </c>
      <c r="E6" s="39">
        <f t="shared" si="21"/>
        <v>905.95064479975497</v>
      </c>
      <c r="F6" s="39">
        <f t="shared" si="21"/>
        <v>883.8542876095172</v>
      </c>
      <c r="G6" s="39">
        <f t="shared" si="21"/>
        <v>862.29686596050465</v>
      </c>
      <c r="H6" s="39">
        <f t="shared" si="21"/>
        <v>841.26523508341916</v>
      </c>
      <c r="I6" s="39">
        <f t="shared" si="21"/>
        <v>820.74657081309192</v>
      </c>
      <c r="J6" s="39">
        <f t="shared" si="21"/>
        <v>800.72836176887029</v>
      </c>
      <c r="K6" s="39">
        <f t="shared" si="21"/>
        <v>781.19840172572708</v>
      </c>
      <c r="L6" s="39">
        <f t="shared" si="21"/>
        <v>762.14478217144108</v>
      </c>
      <c r="M6" s="39">
        <f t="shared" si="21"/>
        <v>743.5558850453084</v>
      </c>
      <c r="N6" s="39">
        <f t="shared" si="21"/>
        <v>725.42037565395947</v>
      </c>
      <c r="O6" s="39">
        <f t="shared" si="21"/>
        <v>707.72719575996052</v>
      </c>
      <c r="P6" s="39">
        <f t="shared" si="21"/>
        <v>690.46555683898578</v>
      </c>
      <c r="Q6" s="39">
        <f t="shared" si="21"/>
        <v>673.62493350144962</v>
      </c>
      <c r="R6" s="39">
        <f t="shared" si="21"/>
        <v>657.19505707458507</v>
      </c>
      <c r="S6" s="39">
        <f t="shared" si="21"/>
        <v>641.16590934105852</v>
      </c>
      <c r="T6" s="39">
        <f t="shared" si="21"/>
        <v>625.52771643030098</v>
      </c>
      <c r="U6" s="39">
        <f t="shared" si="21"/>
        <v>610.27094285883038</v>
      </c>
      <c r="V6" s="39">
        <f t="shared" si="21"/>
        <v>595.3862857159321</v>
      </c>
      <c r="W6" s="39">
        <f t="shared" si="21"/>
        <v>580.86466899115328</v>
      </c>
      <c r="X6" s="39">
        <f t="shared" si="21"/>
        <v>566.6972380401495</v>
      </c>
      <c r="Y6" s="39">
        <f t="shared" si="21"/>
        <v>552.87535418551181</v>
      </c>
      <c r="Z6" s="39">
        <f t="shared" si="21"/>
        <v>539.3905894492799</v>
      </c>
      <c r="AA6" s="39">
        <f t="shared" si="21"/>
        <v>526.23472141393165</v>
      </c>
      <c r="AB6" s="39">
        <f t="shared" si="21"/>
        <v>513.39972820871378</v>
      </c>
      <c r="AC6" s="39">
        <f t="shared" si="21"/>
        <v>500.87778361825741</v>
      </c>
      <c r="AD6" s="39">
        <f t="shared" si="21"/>
        <v>488.661252310495</v>
      </c>
      <c r="AE6" s="39">
        <f t="shared" si="21"/>
        <v>476.74268518097085</v>
      </c>
      <c r="AF6" s="39">
        <f t="shared" si="21"/>
        <v>465.11481481070314</v>
      </c>
      <c r="AG6" s="39">
        <f t="shared" si="21"/>
        <v>453.77055103483241</v>
      </c>
      <c r="AH6" s="39">
        <f t="shared" si="21"/>
        <v>442.7029766193487</v>
      </c>
      <c r="AI6" s="39">
        <f t="shared" si="21"/>
        <v>431.90534304326707</v>
      </c>
      <c r="AJ6" s="39">
        <f t="shared" si="21"/>
        <v>421.37106638367521</v>
      </c>
      <c r="AK6" s="39">
        <f t="shared" si="21"/>
        <v>411.0937233011465</v>
      </c>
    </row>
    <row r="7" spans="2:37" x14ac:dyDescent="0.2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37" x14ac:dyDescent="0.2">
      <c r="B8" s="37" t="s">
        <v>181</v>
      </c>
      <c r="C8" s="37">
        <f>Bonds!R8</f>
        <v>10.25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2:37" x14ac:dyDescent="0.2">
      <c r="B9" s="37" t="s">
        <v>182</v>
      </c>
      <c r="C9" s="38">
        <f>Bonds!$O$1</f>
        <v>2.5000000000000001E-2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37" x14ac:dyDescent="0.2">
      <c r="B10" s="37" t="s">
        <v>183</v>
      </c>
      <c r="C10" s="37">
        <f ca="1">Bonds!L8</f>
        <v>33.046575342465751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2:37" x14ac:dyDescent="0.2">
      <c r="B11" s="37" t="s">
        <v>157</v>
      </c>
      <c r="C11" s="37">
        <v>1000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37" x14ac:dyDescent="0.2"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  <row r="13" spans="2:37" x14ac:dyDescent="0.2">
      <c r="B13" s="37" t="s">
        <v>46</v>
      </c>
      <c r="C13" s="39">
        <f>SUM(B5:AK5)+AK6</f>
        <v>652.54529674767696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Model</vt:lpstr>
      <vt:lpstr>Bonds</vt:lpstr>
      <vt:lpstr>GOOG4358366</vt:lpstr>
      <vt:lpstr>GOOG4390254</vt:lpstr>
      <vt:lpstr>GOOG5025299</vt:lpstr>
      <vt:lpstr>GOOG5025300</vt:lpstr>
      <vt:lpstr>GOOG5025306</vt:lpstr>
      <vt:lpstr>GOOG5025303</vt:lpstr>
      <vt:lpstr>GOOG5025304</vt:lpstr>
      <vt:lpstr>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jameel</cp:lastModifiedBy>
  <dcterms:created xsi:type="dcterms:W3CDTF">2022-08-09T03:54:32Z</dcterms:created>
  <dcterms:modified xsi:type="dcterms:W3CDTF">2024-02-11T02:05:30Z</dcterms:modified>
</cp:coreProperties>
</file>