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jameelbrannon/Dropbox/Models/"/>
    </mc:Choice>
  </mc:AlternateContent>
  <xr:revisionPtr revIDLastSave="0" documentId="13_ncr:1_{2D008A65-D559-2D44-912C-A668878E3777}" xr6:coauthVersionLast="47" xr6:coauthVersionMax="47" xr10:uidLastSave="{00000000-0000-0000-0000-000000000000}"/>
  <bookViews>
    <workbookView xWindow="5080" yWindow="560" windowWidth="39180" windowHeight="24640" activeTab="1" xr2:uid="{539F9B98-852F-B94E-8392-E9A73CC6A295}"/>
  </bookViews>
  <sheets>
    <sheet name="Main" sheetId="2" r:id="rId1"/>
    <sheet name="Model" sheetId="1" r:id="rId2"/>
    <sheet name="Bond" sheetId="4" r:id="rId3"/>
    <sheet name="KR.GI"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O49" i="1" l="1"/>
  <c r="AO37" i="1"/>
  <c r="AO47" i="1" l="1"/>
  <c r="AO46" i="1"/>
  <c r="AO45" i="1"/>
  <c r="AO44" i="1"/>
  <c r="AC14" i="1"/>
  <c r="AD14" i="1"/>
  <c r="AE14" i="1"/>
  <c r="AF14" i="1"/>
  <c r="AG14" i="1"/>
  <c r="AH14" i="1"/>
  <c r="AI14" i="1"/>
  <c r="AJ14" i="1"/>
  <c r="AK14" i="1" s="1"/>
  <c r="AD10" i="1"/>
  <c r="AE10" i="1" s="1"/>
  <c r="AF10" i="1" s="1"/>
  <c r="AG10" i="1" s="1"/>
  <c r="AH10" i="1" s="1"/>
  <c r="AI10" i="1" s="1"/>
  <c r="AJ10" i="1" s="1"/>
  <c r="AK10" i="1" s="1"/>
  <c r="AC10" i="1"/>
  <c r="K42" i="1"/>
  <c r="J42" i="1"/>
  <c r="I42" i="1"/>
  <c r="H42" i="1"/>
  <c r="G42" i="1"/>
  <c r="F42" i="1"/>
  <c r="E42" i="1"/>
  <c r="D42" i="1"/>
  <c r="L42" i="1"/>
  <c r="AO34" i="1" s="1"/>
  <c r="I4" i="5"/>
  <c r="H4" i="5"/>
  <c r="G4" i="5"/>
  <c r="F4" i="5"/>
  <c r="E4" i="5"/>
  <c r="D11" i="5"/>
  <c r="D7" i="5"/>
  <c r="D6" i="5"/>
  <c r="O1" i="4"/>
  <c r="L3" i="4"/>
  <c r="D3" i="4"/>
  <c r="K84" i="1"/>
  <c r="K85" i="1" s="1"/>
  <c r="I84" i="1"/>
  <c r="I85" i="1" s="1"/>
  <c r="H84" i="1"/>
  <c r="H85" i="1" s="1"/>
  <c r="G84" i="1"/>
  <c r="G85" i="1" s="1"/>
  <c r="L84" i="1"/>
  <c r="L85" i="1" s="1"/>
  <c r="L148" i="1"/>
  <c r="K81" i="1"/>
  <c r="J81" i="1"/>
  <c r="I81" i="1"/>
  <c r="H81" i="1"/>
  <c r="G81" i="1"/>
  <c r="F81" i="1"/>
  <c r="E81" i="1"/>
  <c r="D81" i="1"/>
  <c r="L81" i="1"/>
  <c r="D75" i="1"/>
  <c r="D77" i="1" s="1"/>
  <c r="D62" i="1"/>
  <c r="D68" i="1" s="1"/>
  <c r="D49" i="1"/>
  <c r="D55" i="1" s="1"/>
  <c r="K122" i="1"/>
  <c r="K113" i="1"/>
  <c r="K108" i="1"/>
  <c r="L122" i="1"/>
  <c r="L113" i="1"/>
  <c r="L107" i="1"/>
  <c r="L106" i="1"/>
  <c r="L105" i="1"/>
  <c r="L104" i="1"/>
  <c r="L103" i="1"/>
  <c r="L102" i="1"/>
  <c r="L101" i="1"/>
  <c r="L100" i="1"/>
  <c r="L99" i="1"/>
  <c r="L98" i="1"/>
  <c r="L97" i="1"/>
  <c r="L96" i="1"/>
  <c r="L95" i="1"/>
  <c r="L94" i="1"/>
  <c r="L93" i="1"/>
  <c r="L92" i="1"/>
  <c r="L91" i="1"/>
  <c r="L90" i="1"/>
  <c r="L89" i="1"/>
  <c r="C129" i="1"/>
  <c r="D128" i="1"/>
  <c r="E128" i="1" s="1"/>
  <c r="F128" i="1" s="1"/>
  <c r="D127" i="1"/>
  <c r="E127" i="1" s="1"/>
  <c r="F127" i="1" s="1"/>
  <c r="G129" i="1"/>
  <c r="H128" i="1"/>
  <c r="I128" i="1" s="1"/>
  <c r="J128" i="1" s="1"/>
  <c r="H127" i="1"/>
  <c r="L128" i="1"/>
  <c r="L75" i="1"/>
  <c r="L77" i="1" s="1"/>
  <c r="L62" i="1"/>
  <c r="L68" i="1" s="1"/>
  <c r="L49" i="1"/>
  <c r="L55" i="1" s="1"/>
  <c r="L30" i="1"/>
  <c r="K30" i="1"/>
  <c r="I30" i="1"/>
  <c r="H30" i="1"/>
  <c r="G30" i="1"/>
  <c r="AA35" i="1"/>
  <c r="Z35" i="1"/>
  <c r="Y35" i="1"/>
  <c r="X35" i="1"/>
  <c r="W35" i="1"/>
  <c r="V35" i="1"/>
  <c r="U35" i="1"/>
  <c r="AA34" i="1"/>
  <c r="Z34" i="1"/>
  <c r="Y34" i="1"/>
  <c r="X34" i="1"/>
  <c r="W34" i="1"/>
  <c r="V34" i="1"/>
  <c r="U34" i="1"/>
  <c r="AA33" i="1"/>
  <c r="Z33" i="1"/>
  <c r="Y33" i="1"/>
  <c r="X33" i="1"/>
  <c r="W33" i="1"/>
  <c r="V33" i="1"/>
  <c r="U33" i="1"/>
  <c r="T35" i="1"/>
  <c r="T34" i="1"/>
  <c r="T33" i="1"/>
  <c r="L35" i="1"/>
  <c r="K35" i="1"/>
  <c r="I35" i="1"/>
  <c r="H35" i="1"/>
  <c r="G35" i="1"/>
  <c r="E35" i="1"/>
  <c r="D35" i="1"/>
  <c r="L34" i="1"/>
  <c r="K34" i="1"/>
  <c r="I34" i="1"/>
  <c r="H34" i="1"/>
  <c r="G34" i="1"/>
  <c r="E34" i="1"/>
  <c r="D34" i="1"/>
  <c r="L33" i="1"/>
  <c r="K33" i="1"/>
  <c r="I33" i="1"/>
  <c r="H33" i="1"/>
  <c r="G33" i="1"/>
  <c r="E33" i="1"/>
  <c r="D33" i="1"/>
  <c r="C35" i="1"/>
  <c r="C34" i="1"/>
  <c r="C33" i="1"/>
  <c r="P12" i="1"/>
  <c r="D83" i="1" l="1"/>
  <c r="L83" i="1"/>
  <c r="L82" i="1"/>
  <c r="K82" i="1"/>
  <c r="J82" i="1"/>
  <c r="G82" i="1"/>
  <c r="H82" i="1"/>
  <c r="I82" i="1"/>
  <c r="K124" i="1"/>
  <c r="L124" i="1" s="1"/>
  <c r="D78" i="1"/>
  <c r="AA128" i="1"/>
  <c r="Z128" i="1"/>
  <c r="Z127" i="1"/>
  <c r="K127" i="1"/>
  <c r="K129" i="1" s="1"/>
  <c r="L108" i="1"/>
  <c r="L127" i="1" s="1"/>
  <c r="L129" i="1" s="1"/>
  <c r="H129" i="1"/>
  <c r="I127" i="1"/>
  <c r="D129" i="1"/>
  <c r="E129" i="1"/>
  <c r="F129" i="1"/>
  <c r="L78" i="1"/>
  <c r="L132" i="1" l="1"/>
  <c r="Z129" i="1"/>
  <c r="H132" i="1"/>
  <c r="I129" i="1"/>
  <c r="I140" i="1" s="1"/>
  <c r="E136" i="1"/>
  <c r="J127" i="1"/>
  <c r="J129" i="1" s="1"/>
  <c r="K140" i="1" s="1"/>
  <c r="G132" i="1"/>
  <c r="H136" i="1"/>
  <c r="F132" i="1"/>
  <c r="H140" i="1"/>
  <c r="G136" i="1"/>
  <c r="G140" i="1"/>
  <c r="F136" i="1"/>
  <c r="E132" i="1"/>
  <c r="D132" i="1"/>
  <c r="F140" i="1"/>
  <c r="I136" i="1" l="1"/>
  <c r="I132" i="1"/>
  <c r="AA127" i="1"/>
  <c r="AA129" i="1"/>
  <c r="L140" i="1"/>
  <c r="J132" i="1"/>
  <c r="K136" i="1"/>
  <c r="J136" i="1"/>
  <c r="J140" i="1"/>
  <c r="L136" i="1"/>
  <c r="K132" i="1"/>
  <c r="H6" i="2" l="1"/>
  <c r="D4" i="4"/>
  <c r="L4" i="4"/>
  <c r="I4" i="4"/>
  <c r="I3" i="4"/>
  <c r="F2" i="5"/>
  <c r="G2" i="5" s="1"/>
  <c r="H2" i="5" s="1"/>
  <c r="I2" i="5" s="1"/>
  <c r="J2" i="5" s="1"/>
  <c r="K2" i="5" s="1"/>
  <c r="L2" i="5" s="1"/>
  <c r="M2" i="5" s="1"/>
  <c r="N2" i="5" s="1"/>
  <c r="O2" i="5" s="1"/>
  <c r="P2" i="5" s="1"/>
  <c r="O3" i="4"/>
  <c r="Q1" i="4" l="1"/>
  <c r="K3" i="4" s="1"/>
  <c r="D8" i="5" s="1"/>
  <c r="K4" i="4" l="1"/>
  <c r="K4" i="5"/>
  <c r="J4" i="5"/>
  <c r="P14" i="1"/>
  <c r="M10" i="1"/>
  <c r="M14" i="1" s="1"/>
  <c r="L31" i="1"/>
  <c r="AO38" i="1"/>
  <c r="L149" i="1" s="1"/>
  <c r="AO36" i="1"/>
  <c r="AA38" i="1"/>
  <c r="Z38" i="1"/>
  <c r="Y38" i="1"/>
  <c r="X38" i="1"/>
  <c r="W38" i="1"/>
  <c r="V38" i="1"/>
  <c r="U38" i="1"/>
  <c r="T38" i="1"/>
  <c r="AB19" i="1"/>
  <c r="AB18" i="1"/>
  <c r="K38" i="1"/>
  <c r="I38" i="1"/>
  <c r="H38" i="1"/>
  <c r="G38" i="1"/>
  <c r="E38" i="1"/>
  <c r="D38" i="1"/>
  <c r="C38" i="1"/>
  <c r="U31" i="1"/>
  <c r="U29" i="1"/>
  <c r="U28" i="1"/>
  <c r="T15" i="1"/>
  <c r="T39" i="1" s="1"/>
  <c r="V31" i="1"/>
  <c r="V29" i="1"/>
  <c r="V28" i="1"/>
  <c r="U15" i="1"/>
  <c r="U20" i="1" s="1"/>
  <c r="U3" i="1"/>
  <c r="V3" i="1" s="1"/>
  <c r="W3" i="1" s="1"/>
  <c r="X3" i="1" s="1"/>
  <c r="Y3" i="1" s="1"/>
  <c r="Z3" i="1" s="1"/>
  <c r="AA3" i="1" s="1"/>
  <c r="AB3" i="1" s="1"/>
  <c r="AC3" i="1" s="1"/>
  <c r="AD3" i="1" s="1"/>
  <c r="AE3" i="1" s="1"/>
  <c r="AF3" i="1" s="1"/>
  <c r="AG3" i="1" s="1"/>
  <c r="AH3" i="1" s="1"/>
  <c r="AI3" i="1" s="1"/>
  <c r="AJ3" i="1" s="1"/>
  <c r="AK3" i="1" s="1"/>
  <c r="W31" i="1"/>
  <c r="W29" i="1"/>
  <c r="W28" i="1"/>
  <c r="V15" i="1"/>
  <c r="V39" i="1" s="1"/>
  <c r="X31" i="1"/>
  <c r="X29" i="1"/>
  <c r="X28" i="1"/>
  <c r="W15" i="1"/>
  <c r="W39" i="1" s="1"/>
  <c r="Y31" i="1"/>
  <c r="Y29" i="1"/>
  <c r="Y28" i="1"/>
  <c r="X15" i="1"/>
  <c r="X20" i="1" s="1"/>
  <c r="X22" i="1" s="1"/>
  <c r="X24" i="1" s="1"/>
  <c r="E75" i="1"/>
  <c r="E77" i="1" s="1"/>
  <c r="E62" i="1"/>
  <c r="E68" i="1" s="1"/>
  <c r="E49" i="1"/>
  <c r="G75" i="1"/>
  <c r="G77" i="1" s="1"/>
  <c r="G62" i="1"/>
  <c r="G68" i="1" s="1"/>
  <c r="G49" i="1"/>
  <c r="H75" i="1"/>
  <c r="H77" i="1" s="1"/>
  <c r="H62" i="1"/>
  <c r="H68" i="1" s="1"/>
  <c r="H49" i="1"/>
  <c r="F75" i="1"/>
  <c r="F77" i="1" s="1"/>
  <c r="F62" i="1"/>
  <c r="F68" i="1" s="1"/>
  <c r="F49" i="1"/>
  <c r="I75" i="1"/>
  <c r="I77" i="1" s="1"/>
  <c r="I62" i="1"/>
  <c r="I68" i="1" s="1"/>
  <c r="I49" i="1"/>
  <c r="J75" i="1"/>
  <c r="J77" i="1" s="1"/>
  <c r="J62" i="1"/>
  <c r="J68" i="1" s="1"/>
  <c r="J49" i="1"/>
  <c r="K75" i="1"/>
  <c r="K77" i="1" s="1"/>
  <c r="K62" i="1"/>
  <c r="K68" i="1" s="1"/>
  <c r="K49" i="1"/>
  <c r="Z29" i="1"/>
  <c r="AA29" i="1"/>
  <c r="Z31" i="1"/>
  <c r="AA31" i="1"/>
  <c r="K31" i="1"/>
  <c r="I31" i="1"/>
  <c r="H31" i="1"/>
  <c r="G31" i="1"/>
  <c r="K29" i="1"/>
  <c r="I29" i="1"/>
  <c r="H29" i="1"/>
  <c r="G29" i="1"/>
  <c r="G28" i="1"/>
  <c r="C15" i="1"/>
  <c r="F25" i="1"/>
  <c r="F23" i="1"/>
  <c r="F21" i="1"/>
  <c r="F19" i="1"/>
  <c r="F18" i="1"/>
  <c r="F17" i="1"/>
  <c r="F16" i="1"/>
  <c r="F14" i="1"/>
  <c r="F13" i="1"/>
  <c r="F12" i="1"/>
  <c r="F11" i="1"/>
  <c r="F84" i="1" s="1"/>
  <c r="F85" i="1" s="1"/>
  <c r="F10" i="1"/>
  <c r="D15" i="1"/>
  <c r="D20" i="1" s="1"/>
  <c r="H28" i="1"/>
  <c r="H15" i="1"/>
  <c r="H20" i="1" s="1"/>
  <c r="H37" i="1" s="1"/>
  <c r="F2" i="1"/>
  <c r="J2" i="1"/>
  <c r="J25" i="1"/>
  <c r="J23" i="1"/>
  <c r="J21" i="1"/>
  <c r="J19" i="1"/>
  <c r="J18" i="1"/>
  <c r="J17" i="1"/>
  <c r="J16" i="1"/>
  <c r="J14" i="1"/>
  <c r="J13" i="1"/>
  <c r="J12" i="1"/>
  <c r="J11" i="1"/>
  <c r="J84" i="1" s="1"/>
  <c r="J85" i="1" s="1"/>
  <c r="J10" i="1"/>
  <c r="E15" i="1"/>
  <c r="E20" i="1" s="1"/>
  <c r="I28" i="1"/>
  <c r="I15" i="1"/>
  <c r="I20" i="1" s="1"/>
  <c r="AA28" i="1"/>
  <c r="AA15" i="1"/>
  <c r="AA20" i="1" s="1"/>
  <c r="AA22" i="1" s="1"/>
  <c r="AA24" i="1" s="1"/>
  <c r="Z28" i="1"/>
  <c r="Z15" i="1"/>
  <c r="Z20" i="1" s="1"/>
  <c r="Z22" i="1" s="1"/>
  <c r="Z24" i="1" s="1"/>
  <c r="Y15" i="1"/>
  <c r="Y20" i="1" s="1"/>
  <c r="K28" i="1"/>
  <c r="G15" i="1"/>
  <c r="G20" i="1" s="1"/>
  <c r="K15" i="1"/>
  <c r="I5" i="2"/>
  <c r="I6" i="2" s="1"/>
  <c r="H4" i="2"/>
  <c r="H55" i="1" l="1"/>
  <c r="H83" i="1"/>
  <c r="F55" i="1"/>
  <c r="F83" i="1"/>
  <c r="G55" i="1"/>
  <c r="G83" i="1"/>
  <c r="K55" i="1"/>
  <c r="K83" i="1"/>
  <c r="E55" i="1"/>
  <c r="E83" i="1"/>
  <c r="I55" i="1"/>
  <c r="I83" i="1"/>
  <c r="J55" i="1"/>
  <c r="J83" i="1"/>
  <c r="Z26" i="1"/>
  <c r="Z130" i="1"/>
  <c r="AA26" i="1"/>
  <c r="AA130" i="1"/>
  <c r="F38" i="1"/>
  <c r="J30" i="1"/>
  <c r="J38" i="1"/>
  <c r="D22" i="1"/>
  <c r="D24" i="1" s="1"/>
  <c r="D37" i="1"/>
  <c r="E22" i="1"/>
  <c r="E24" i="1" s="1"/>
  <c r="E37" i="1"/>
  <c r="I22" i="1"/>
  <c r="I24" i="1" s="1"/>
  <c r="I37" i="1"/>
  <c r="G22" i="1"/>
  <c r="G24" i="1" s="1"/>
  <c r="G37" i="1"/>
  <c r="F33" i="1"/>
  <c r="F35" i="1"/>
  <c r="J34" i="1"/>
  <c r="J35" i="1"/>
  <c r="J33" i="1"/>
  <c r="F34" i="1"/>
  <c r="K20" i="1"/>
  <c r="J78" i="1"/>
  <c r="M12" i="1"/>
  <c r="L28" i="1"/>
  <c r="N10" i="1"/>
  <c r="AB10" i="1" s="1"/>
  <c r="AB28" i="1" s="1"/>
  <c r="E3" i="5"/>
  <c r="K3" i="5"/>
  <c r="J3" i="5"/>
  <c r="I3" i="5"/>
  <c r="G3" i="5"/>
  <c r="F3" i="5"/>
  <c r="H3" i="5"/>
  <c r="L15" i="1"/>
  <c r="M11" i="1"/>
  <c r="M28" i="1"/>
  <c r="M13" i="1"/>
  <c r="M35" i="1" s="1"/>
  <c r="H7" i="2"/>
  <c r="T20" i="1"/>
  <c r="T22" i="1" s="1"/>
  <c r="T24" i="1" s="1"/>
  <c r="T40" i="1" s="1"/>
  <c r="U22" i="1"/>
  <c r="U24" i="1" s="1"/>
  <c r="U40" i="1" s="1"/>
  <c r="U39" i="1"/>
  <c r="K78" i="1"/>
  <c r="F15" i="1"/>
  <c r="F39" i="1" s="1"/>
  <c r="V20" i="1"/>
  <c r="V22" i="1" s="1"/>
  <c r="V24" i="1" s="1"/>
  <c r="V40" i="1" s="1"/>
  <c r="W20" i="1"/>
  <c r="W22" i="1" s="1"/>
  <c r="W24" i="1" s="1"/>
  <c r="W40" i="1" s="1"/>
  <c r="X40" i="1"/>
  <c r="X26" i="1"/>
  <c r="X39" i="1"/>
  <c r="E78" i="1"/>
  <c r="G78" i="1"/>
  <c r="H78" i="1"/>
  <c r="F78" i="1"/>
  <c r="I78" i="1"/>
  <c r="J31" i="1"/>
  <c r="I39" i="1"/>
  <c r="D39" i="1"/>
  <c r="J29" i="1"/>
  <c r="AA39" i="1"/>
  <c r="Z39" i="1"/>
  <c r="K39" i="1"/>
  <c r="E39" i="1"/>
  <c r="J28" i="1"/>
  <c r="G39" i="1"/>
  <c r="AA40" i="1"/>
  <c r="C39" i="1"/>
  <c r="Y39" i="1"/>
  <c r="H39" i="1"/>
  <c r="Z40" i="1"/>
  <c r="C20" i="1"/>
  <c r="C37" i="1" s="1"/>
  <c r="J20" i="1"/>
  <c r="J37" i="1" s="1"/>
  <c r="H22" i="1"/>
  <c r="H24" i="1" s="1"/>
  <c r="J15" i="1"/>
  <c r="J39" i="1" s="1"/>
  <c r="Y22" i="1"/>
  <c r="Y24" i="1" s="1"/>
  <c r="G40" i="1" l="1"/>
  <c r="D40" i="1"/>
  <c r="E40" i="1"/>
  <c r="I26" i="1"/>
  <c r="I130" i="1"/>
  <c r="H130" i="1"/>
  <c r="I40" i="1"/>
  <c r="K22" i="1"/>
  <c r="K24" i="1" s="1"/>
  <c r="K37" i="1"/>
  <c r="G26" i="1"/>
  <c r="G130" i="1"/>
  <c r="D26" i="1"/>
  <c r="D130" i="1"/>
  <c r="E26" i="1"/>
  <c r="E130" i="1"/>
  <c r="M34" i="1"/>
  <c r="M30" i="1"/>
  <c r="M29" i="1"/>
  <c r="M33" i="1"/>
  <c r="N11" i="1"/>
  <c r="N33" i="1" s="1"/>
  <c r="N28" i="1"/>
  <c r="N12" i="1"/>
  <c r="N30" i="1" s="1"/>
  <c r="N14" i="1"/>
  <c r="AB14" i="1" s="1"/>
  <c r="N13" i="1"/>
  <c r="L29" i="1"/>
  <c r="L38" i="1"/>
  <c r="P3" i="4"/>
  <c r="Q3" i="4" s="1"/>
  <c r="L20" i="1"/>
  <c r="L37" i="1" s="1"/>
  <c r="L39" i="1"/>
  <c r="M38" i="1"/>
  <c r="M15" i="1"/>
  <c r="M39" i="1" s="1"/>
  <c r="M31" i="1"/>
  <c r="T26" i="1"/>
  <c r="U26" i="1"/>
  <c r="V26" i="1"/>
  <c r="W26" i="1"/>
  <c r="Y26" i="1"/>
  <c r="Y40" i="1"/>
  <c r="H26" i="1"/>
  <c r="H40" i="1"/>
  <c r="F20" i="1"/>
  <c r="F37" i="1" s="1"/>
  <c r="C22" i="1"/>
  <c r="J22" i="1"/>
  <c r="J24" i="1"/>
  <c r="J130" i="1" s="1"/>
  <c r="K86" i="1" l="1"/>
  <c r="J86" i="1"/>
  <c r="E133" i="1"/>
  <c r="E134" i="1" s="1"/>
  <c r="I133" i="1"/>
  <c r="I134" i="1" s="1"/>
  <c r="J137" i="1"/>
  <c r="J138" i="1" s="1"/>
  <c r="H133" i="1"/>
  <c r="H134" i="1" s="1"/>
  <c r="I137" i="1"/>
  <c r="I138" i="1" s="1"/>
  <c r="J141" i="1"/>
  <c r="J142" i="1" s="1"/>
  <c r="K26" i="1"/>
  <c r="K130" i="1"/>
  <c r="K80" i="1"/>
  <c r="J80" i="1"/>
  <c r="K137" i="1"/>
  <c r="K138" i="1" s="1"/>
  <c r="J133" i="1"/>
  <c r="J134" i="1" s="1"/>
  <c r="K40" i="1"/>
  <c r="N31" i="1"/>
  <c r="N34" i="1"/>
  <c r="AB11" i="1"/>
  <c r="AB38" i="1" s="1"/>
  <c r="AB13" i="1"/>
  <c r="N35" i="1"/>
  <c r="AC28" i="1"/>
  <c r="N38" i="1"/>
  <c r="N29" i="1"/>
  <c r="N15" i="1"/>
  <c r="N39" i="1" s="1"/>
  <c r="AB12" i="1"/>
  <c r="M17" i="1"/>
  <c r="M16" i="1"/>
  <c r="AD28" i="1"/>
  <c r="L22" i="1"/>
  <c r="J26" i="1"/>
  <c r="J40" i="1"/>
  <c r="C24" i="1"/>
  <c r="F22" i="1"/>
  <c r="C40" i="1" l="1"/>
  <c r="C130" i="1"/>
  <c r="K141" i="1"/>
  <c r="K142" i="1" s="1"/>
  <c r="K133" i="1"/>
  <c r="K134" i="1" s="1"/>
  <c r="AB29" i="1"/>
  <c r="AB33" i="1"/>
  <c r="AC33" i="1" s="1"/>
  <c r="AB31" i="1"/>
  <c r="AB34" i="1"/>
  <c r="AC34" i="1" s="1"/>
  <c r="AB35" i="1"/>
  <c r="AC35" i="1" s="1"/>
  <c r="N17" i="1"/>
  <c r="AB17" i="1" s="1"/>
  <c r="AB15" i="1"/>
  <c r="AB39" i="1" s="1"/>
  <c r="N16" i="1"/>
  <c r="M20" i="1"/>
  <c r="M21" i="1" s="1"/>
  <c r="AE28" i="1"/>
  <c r="C26" i="1"/>
  <c r="F24" i="1"/>
  <c r="I86" i="1" l="1"/>
  <c r="G86" i="1"/>
  <c r="H86" i="1"/>
  <c r="F86" i="1"/>
  <c r="N20" i="1"/>
  <c r="AB20" i="1" s="1"/>
  <c r="AB16" i="1"/>
  <c r="F130" i="1"/>
  <c r="I80" i="1"/>
  <c r="G80" i="1"/>
  <c r="H80" i="1"/>
  <c r="AD35" i="1"/>
  <c r="AC13" i="1"/>
  <c r="M22" i="1"/>
  <c r="M23" i="1" s="1"/>
  <c r="M37" i="1"/>
  <c r="AD34" i="1"/>
  <c r="AC12" i="1"/>
  <c r="F80" i="1"/>
  <c r="D133" i="1"/>
  <c r="D134" i="1" s="1"/>
  <c r="E137" i="1"/>
  <c r="E138" i="1" s="1"/>
  <c r="AD33" i="1"/>
  <c r="AC11" i="1"/>
  <c r="AF28" i="1"/>
  <c r="L24" i="1"/>
  <c r="L86" i="1" s="1"/>
  <c r="F26" i="1"/>
  <c r="F40" i="1"/>
  <c r="N21" i="1" l="1"/>
  <c r="N22" i="1" s="1"/>
  <c r="AB22" i="1" s="1"/>
  <c r="AC15" i="1"/>
  <c r="AC18" i="1" s="1"/>
  <c r="AC31" i="1"/>
  <c r="L26" i="1"/>
  <c r="M26" i="1" s="1"/>
  <c r="N26" i="1" s="1"/>
  <c r="L130" i="1"/>
  <c r="L80" i="1"/>
  <c r="AC38" i="1"/>
  <c r="AC29" i="1"/>
  <c r="I141" i="1"/>
  <c r="I142" i="1" s="1"/>
  <c r="G133" i="1"/>
  <c r="G134" i="1" s="1"/>
  <c r="H137" i="1"/>
  <c r="H138" i="1" s="1"/>
  <c r="G141" i="1"/>
  <c r="G142" i="1" s="1"/>
  <c r="G137" i="1"/>
  <c r="G138" i="1" s="1"/>
  <c r="H141" i="1"/>
  <c r="H142" i="1" s="1"/>
  <c r="F133" i="1"/>
  <c r="F134" i="1" s="1"/>
  <c r="F137" i="1"/>
  <c r="F138" i="1" s="1"/>
  <c r="AE33" i="1"/>
  <c r="AD11" i="1"/>
  <c r="AE34" i="1"/>
  <c r="AD12" i="1"/>
  <c r="AD31" i="1" s="1"/>
  <c r="F141" i="1"/>
  <c r="F142" i="1" s="1"/>
  <c r="AE35" i="1"/>
  <c r="AD13" i="1"/>
  <c r="AG28" i="1"/>
  <c r="M24" i="1"/>
  <c r="L40" i="1"/>
  <c r="AB21" i="1" l="1"/>
  <c r="N37" i="1"/>
  <c r="AC16" i="1"/>
  <c r="AC17" i="1"/>
  <c r="AC39" i="1"/>
  <c r="AD15" i="1"/>
  <c r="AD39" i="1" s="1"/>
  <c r="L141" i="1"/>
  <c r="L142" i="1" s="1"/>
  <c r="L137" i="1"/>
  <c r="L138" i="1" s="1"/>
  <c r="L133" i="1"/>
  <c r="L134" i="1" s="1"/>
  <c r="N23" i="1"/>
  <c r="AB23" i="1" s="1"/>
  <c r="AD29" i="1"/>
  <c r="AD38" i="1"/>
  <c r="AF33" i="1"/>
  <c r="AE11" i="1"/>
  <c r="AF34" i="1"/>
  <c r="AE12" i="1"/>
  <c r="AE31" i="1" s="1"/>
  <c r="AF35" i="1"/>
  <c r="AE13" i="1"/>
  <c r="AH28" i="1"/>
  <c r="M40" i="1"/>
  <c r="M25" i="1"/>
  <c r="AC20" i="1" l="1"/>
  <c r="AC21" i="1" s="1"/>
  <c r="AC22" i="1" s="1"/>
  <c r="AC23" i="1" s="1"/>
  <c r="AC24" i="1" s="1"/>
  <c r="AC40" i="1" s="1"/>
  <c r="AD16" i="1"/>
  <c r="AD17" i="1"/>
  <c r="AD18" i="1"/>
  <c r="AG33" i="1"/>
  <c r="AF11" i="1"/>
  <c r="AG35" i="1"/>
  <c r="AF13" i="1"/>
  <c r="AG34" i="1"/>
  <c r="AF12" i="1"/>
  <c r="AE15" i="1"/>
  <c r="AE39" i="1" s="1"/>
  <c r="N24" i="1"/>
  <c r="AB24" i="1" s="1"/>
  <c r="AB40" i="1" s="1"/>
  <c r="AE29" i="1"/>
  <c r="AE38" i="1"/>
  <c r="AI28" i="1"/>
  <c r="AD20" i="1" l="1"/>
  <c r="AD21" i="1" s="1"/>
  <c r="AD22" i="1" s="1"/>
  <c r="AD23" i="1" s="1"/>
  <c r="AD24" i="1" s="1"/>
  <c r="AD40" i="1" s="1"/>
  <c r="AO40" i="1"/>
  <c r="N25" i="1"/>
  <c r="AB25" i="1" s="1"/>
  <c r="AB26" i="1" s="1"/>
  <c r="AC26" i="1" s="1"/>
  <c r="AD26" i="1" s="1"/>
  <c r="AE26" i="1" s="1"/>
  <c r="AF26" i="1" s="1"/>
  <c r="AG26" i="1" s="1"/>
  <c r="AH26" i="1" s="1"/>
  <c r="AI26" i="1" s="1"/>
  <c r="AJ26" i="1" s="1"/>
  <c r="AK26" i="1" s="1"/>
  <c r="AF15" i="1"/>
  <c r="AF39" i="1" s="1"/>
  <c r="N40" i="1"/>
  <c r="AE17" i="1"/>
  <c r="AF31" i="1"/>
  <c r="AH35" i="1"/>
  <c r="AG13" i="1"/>
  <c r="AE18" i="1"/>
  <c r="AE16" i="1"/>
  <c r="AH34" i="1"/>
  <c r="AG12" i="1"/>
  <c r="AG31" i="1" s="1"/>
  <c r="AF29" i="1"/>
  <c r="AF38" i="1"/>
  <c r="AH33" i="1"/>
  <c r="AG11" i="1"/>
  <c r="AJ28" i="1"/>
  <c r="AD25" i="1" l="1"/>
  <c r="AF17" i="1"/>
  <c r="AF16" i="1"/>
  <c r="AC25" i="1"/>
  <c r="AG15" i="1"/>
  <c r="AF18" i="1"/>
  <c r="AF20" i="1" s="1"/>
  <c r="AE20" i="1"/>
  <c r="AE21" i="1" s="1"/>
  <c r="AE22" i="1" s="1"/>
  <c r="AE23" i="1" s="1"/>
  <c r="AI33" i="1"/>
  <c r="AH11" i="1"/>
  <c r="AI34" i="1"/>
  <c r="AH12" i="1"/>
  <c r="AH31" i="1" s="1"/>
  <c r="AG38" i="1"/>
  <c r="AG29" i="1"/>
  <c r="AI35" i="1"/>
  <c r="AH13" i="1"/>
  <c r="AK28" i="1"/>
  <c r="AG17" i="1" l="1"/>
  <c r="AG18" i="1"/>
  <c r="AG16" i="1"/>
  <c r="AG39" i="1"/>
  <c r="AH15" i="1"/>
  <c r="AF21" i="1"/>
  <c r="AF22" i="1" s="1"/>
  <c r="AF23" i="1" s="1"/>
  <c r="AJ35" i="1"/>
  <c r="AI13" i="1"/>
  <c r="AJ34" i="1"/>
  <c r="AI12" i="1"/>
  <c r="AI31" i="1" s="1"/>
  <c r="AH38" i="1"/>
  <c r="AH29" i="1"/>
  <c r="AJ33" i="1"/>
  <c r="AI11" i="1"/>
  <c r="AE24" i="1"/>
  <c r="AE25" i="1" s="1"/>
  <c r="AG20" i="1" l="1"/>
  <c r="AH16" i="1"/>
  <c r="AH17" i="1"/>
  <c r="AH18" i="1"/>
  <c r="AH39" i="1"/>
  <c r="AG21" i="1"/>
  <c r="AG22" i="1" s="1"/>
  <c r="AG23" i="1" s="1"/>
  <c r="AG24" i="1" s="1"/>
  <c r="AG25" i="1" s="1"/>
  <c r="AI29" i="1"/>
  <c r="AI38" i="1"/>
  <c r="AK33" i="1"/>
  <c r="AK11" i="1" s="1"/>
  <c r="AJ11" i="1"/>
  <c r="AI15" i="1"/>
  <c r="AK34" i="1"/>
  <c r="AK12" i="1" s="1"/>
  <c r="AJ12" i="1"/>
  <c r="AJ31" i="1" s="1"/>
  <c r="AK35" i="1"/>
  <c r="AK13" i="1" s="1"/>
  <c r="AJ13" i="1"/>
  <c r="AF24" i="1"/>
  <c r="AE40" i="1"/>
  <c r="AH20" i="1" l="1"/>
  <c r="AH21" i="1" s="1"/>
  <c r="AH22" i="1" s="1"/>
  <c r="AH23" i="1" s="1"/>
  <c r="AH24" i="1" s="1"/>
  <c r="AI16" i="1"/>
  <c r="AI39" i="1"/>
  <c r="AI18" i="1"/>
  <c r="AI17" i="1"/>
  <c r="AJ15" i="1"/>
  <c r="AJ39" i="1" s="1"/>
  <c r="AK38" i="1"/>
  <c r="AK29" i="1"/>
  <c r="AJ38" i="1"/>
  <c r="AJ29" i="1"/>
  <c r="AG40" i="1"/>
  <c r="AK31" i="1"/>
  <c r="AK15" i="1"/>
  <c r="AF40" i="1"/>
  <c r="AF25" i="1"/>
  <c r="AI20" i="1" l="1"/>
  <c r="AI21" i="1" s="1"/>
  <c r="AI22" i="1" s="1"/>
  <c r="AI23" i="1" s="1"/>
  <c r="AI24" i="1" s="1"/>
  <c r="AI40" i="1" s="1"/>
  <c r="AJ17" i="1"/>
  <c r="AJ18" i="1"/>
  <c r="AK18" i="1" s="1"/>
  <c r="AJ16" i="1"/>
  <c r="AK16" i="1" s="1"/>
  <c r="AK17" i="1"/>
  <c r="AK39" i="1"/>
  <c r="AH40" i="1"/>
  <c r="AH25" i="1"/>
  <c r="AJ20" i="1" l="1"/>
  <c r="AJ21" i="1" s="1"/>
  <c r="AJ22" i="1" s="1"/>
  <c r="AJ23" i="1" s="1"/>
  <c r="AJ24" i="1" s="1"/>
  <c r="AJ40" i="1" s="1"/>
  <c r="AI25" i="1"/>
  <c r="AK20" i="1"/>
  <c r="AJ25" i="1" l="1"/>
  <c r="AK21" i="1"/>
  <c r="AK22" i="1" s="1"/>
  <c r="AK23" i="1" s="1"/>
  <c r="AK24" i="1" s="1"/>
  <c r="AL24" i="1" s="1"/>
  <c r="AM24" i="1" s="1"/>
  <c r="AN24" i="1" s="1"/>
  <c r="AO24" i="1" s="1"/>
  <c r="AP24" i="1" s="1"/>
  <c r="AQ24" i="1" s="1"/>
  <c r="AR24" i="1" s="1"/>
  <c r="AS24" i="1" s="1"/>
  <c r="AT24" i="1" s="1"/>
  <c r="AU24" i="1" s="1"/>
  <c r="AV24" i="1" s="1"/>
  <c r="AW24" i="1" s="1"/>
  <c r="AX24" i="1" s="1"/>
  <c r="AY24" i="1" s="1"/>
  <c r="AZ24" i="1" s="1"/>
  <c r="BA24" i="1" s="1"/>
  <c r="BB24" i="1" s="1"/>
  <c r="BC24" i="1" s="1"/>
  <c r="BD24" i="1" s="1"/>
  <c r="BE24" i="1" s="1"/>
  <c r="BF24" i="1" s="1"/>
  <c r="BG24" i="1" s="1"/>
  <c r="BH24" i="1" s="1"/>
  <c r="BI24" i="1" s="1"/>
  <c r="BJ24" i="1" s="1"/>
  <c r="BK24" i="1" s="1"/>
  <c r="BL24" i="1" s="1"/>
  <c r="BM24" i="1" s="1"/>
  <c r="BN24" i="1" s="1"/>
  <c r="BO24" i="1" s="1"/>
  <c r="BP24" i="1" s="1"/>
  <c r="BQ24" i="1" s="1"/>
  <c r="BR24" i="1" s="1"/>
  <c r="BS24" i="1" s="1"/>
  <c r="BT24" i="1" s="1"/>
  <c r="BU24" i="1" s="1"/>
  <c r="BV24" i="1" s="1"/>
  <c r="BW24" i="1" s="1"/>
  <c r="BX24" i="1" s="1"/>
  <c r="BY24" i="1" s="1"/>
  <c r="BZ24" i="1" s="1"/>
  <c r="CA24" i="1" s="1"/>
  <c r="CB24" i="1" s="1"/>
  <c r="CC24" i="1" s="1"/>
  <c r="CD24" i="1" s="1"/>
  <c r="CE24" i="1" s="1"/>
  <c r="CF24" i="1" s="1"/>
  <c r="CG24" i="1" s="1"/>
  <c r="CH24" i="1" s="1"/>
  <c r="CI24" i="1" s="1"/>
  <c r="CJ24" i="1" s="1"/>
  <c r="CK24" i="1" s="1"/>
  <c r="CL24" i="1" s="1"/>
  <c r="CM24" i="1" s="1"/>
  <c r="CN24" i="1" s="1"/>
  <c r="CO24" i="1" s="1"/>
  <c r="CP24" i="1" s="1"/>
  <c r="CQ24" i="1" s="1"/>
  <c r="CR24" i="1" s="1"/>
  <c r="CS24" i="1" s="1"/>
  <c r="CT24" i="1" s="1"/>
  <c r="CU24" i="1" s="1"/>
  <c r="CV24" i="1" s="1"/>
  <c r="CW24" i="1" s="1"/>
  <c r="CX24" i="1" s="1"/>
  <c r="CY24" i="1" s="1"/>
  <c r="CZ24" i="1" s="1"/>
  <c r="DA24" i="1" s="1"/>
  <c r="DB24" i="1" s="1"/>
  <c r="DC24" i="1" s="1"/>
  <c r="DD24" i="1" s="1"/>
  <c r="DE24" i="1" s="1"/>
  <c r="DF24" i="1" s="1"/>
  <c r="DG24" i="1" s="1"/>
  <c r="DH24" i="1" s="1"/>
  <c r="DI24" i="1" s="1"/>
  <c r="DJ24" i="1" s="1"/>
  <c r="DK24" i="1" s="1"/>
  <c r="DL24" i="1" s="1"/>
  <c r="DM24" i="1" s="1"/>
  <c r="DN24" i="1" s="1"/>
  <c r="DO24" i="1" s="1"/>
  <c r="DP24" i="1" s="1"/>
  <c r="DQ24" i="1" s="1"/>
  <c r="DR24" i="1" s="1"/>
  <c r="DS24" i="1" s="1"/>
  <c r="DT24" i="1" s="1"/>
  <c r="DU24" i="1" s="1"/>
  <c r="DV24" i="1" s="1"/>
  <c r="DW24" i="1" s="1"/>
  <c r="DX24" i="1" s="1"/>
  <c r="DY24" i="1" s="1"/>
  <c r="DZ24" i="1" s="1"/>
  <c r="EA24" i="1" s="1"/>
  <c r="EB24" i="1" s="1"/>
  <c r="EC24" i="1" s="1"/>
  <c r="ED24" i="1" s="1"/>
  <c r="EE24" i="1" s="1"/>
  <c r="EF24" i="1" s="1"/>
  <c r="EG24" i="1" s="1"/>
  <c r="EH24" i="1" s="1"/>
  <c r="EI24" i="1" s="1"/>
  <c r="EJ24" i="1" s="1"/>
  <c r="EK24" i="1" s="1"/>
  <c r="EL24" i="1" s="1"/>
  <c r="EM24" i="1" s="1"/>
  <c r="EN24" i="1" s="1"/>
  <c r="EO24" i="1" s="1"/>
  <c r="EP24" i="1" s="1"/>
  <c r="EQ24" i="1" s="1"/>
  <c r="ER24" i="1" s="1"/>
  <c r="ES24" i="1" s="1"/>
  <c r="ET24" i="1" s="1"/>
  <c r="EU24" i="1" s="1"/>
  <c r="EV24" i="1" s="1"/>
  <c r="EW24" i="1" s="1"/>
  <c r="EX24" i="1" s="1"/>
  <c r="EY24" i="1" s="1"/>
  <c r="EZ24" i="1" s="1"/>
  <c r="FA24" i="1" s="1"/>
  <c r="FB24" i="1" s="1"/>
  <c r="FC24" i="1" s="1"/>
  <c r="FD24" i="1" s="1"/>
  <c r="FE24" i="1" s="1"/>
  <c r="AO33" i="1" s="1"/>
  <c r="AO35" i="1" l="1"/>
  <c r="AK25" i="1"/>
  <c r="AK40" i="1"/>
  <c r="AO39"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Brannon, Jameel A.</author>
  </authors>
  <commentList>
    <comment ref="B3" authorId="0" shapeId="0" xr:uid="{6A49B6B8-61A0-0E49-A0F8-AE2724FAC348}">
      <text>
        <r>
          <rPr>
            <b/>
            <sz val="10"/>
            <color rgb="FF000000"/>
            <rFont val="Tahoma"/>
            <family val="2"/>
          </rPr>
          <t>Brannon, Jameel A.:</t>
        </r>
        <r>
          <rPr>
            <sz val="10"/>
            <color rgb="FF000000"/>
            <rFont val="Tahoma"/>
            <family val="2"/>
          </rPr>
          <t xml:space="preserve">
</t>
        </r>
        <r>
          <rPr>
            <sz val="10"/>
            <color rgb="FF000000"/>
            <rFont val="IntelClear-Regular"/>
          </rPr>
          <t>Mr. McMullen was elected Chairman of the Board effective January 1, 2015, and Chief Executive Officer effective January 1, 2014. Prior to that, he served as President and Chief Operating Officer from August 2009 to December 2013. Prior to that he held numerous leadership roles, including Vice Chairman, Executive Vice President of Strategy, Planning and Finance, Executive Vice President and Chief Financial Officer, Senior Vice President, Group Vice President and Chief Financial Officer, Vice President, Control and Financial Services, and Vice President, Planning and Capital Management. Mr. McMullen joined Kroger in 1978 as a part-time stock clerk.</t>
        </r>
      </text>
    </comment>
    <comment ref="B4" authorId="0" shapeId="0" xr:uid="{555304C7-4902-6A4F-B77F-F1B467F5AF63}">
      <text>
        <r>
          <rPr>
            <b/>
            <sz val="10"/>
            <color rgb="FF000000"/>
            <rFont val="Tahoma"/>
            <family val="2"/>
          </rPr>
          <t>Brannon, Jameel A.:</t>
        </r>
        <r>
          <rPr>
            <sz val="10"/>
            <color rgb="FF000000"/>
            <rFont val="Tahoma"/>
            <family val="2"/>
          </rPr>
          <t xml:space="preserve">
</t>
        </r>
        <r>
          <rPr>
            <sz val="10"/>
            <color rgb="FF000000"/>
            <rFont val="IntelClear-Regular"/>
          </rPr>
          <t>Mr. Millerchip was elected Senior Vice President and Chief Financial Officer effective April 2019. He joined Kroger in 2008, serving as Chief Executive Officer for Kroger Personal Finance. Before coming to Kroger, Mr. Millerchip was responsible for the Royal Bank of Scotland (RBS) Personal Credit Card business in the United Kingdom. He joined RBS in 1987 and held leadership positions in Sales &amp; Marketing, Finance, Change Management, Retail Banking Distribution Strategy and Branch Operations during his time there.</t>
        </r>
      </text>
    </comment>
    <comment ref="E12" authorId="0" shapeId="0" xr:uid="{DA8F0924-900B-AD43-BBB6-A1B5AC538C24}">
      <text>
        <r>
          <rPr>
            <b/>
            <sz val="10"/>
            <color rgb="FF000000"/>
            <rFont val="Tahoma"/>
            <family val="2"/>
          </rPr>
          <t>Brannon, Jameel A.:</t>
        </r>
        <r>
          <rPr>
            <sz val="10"/>
            <color rgb="FF000000"/>
            <rFont val="Tahoma"/>
            <family val="2"/>
          </rPr>
          <t xml:space="preserve">
</t>
        </r>
        <r>
          <rPr>
            <sz val="10"/>
            <color rgb="FF000000"/>
            <rFont val="Tahoma"/>
            <family val="2"/>
          </rPr>
          <t xml:space="preserve">Alberton Merger Agreement.  
</t>
        </r>
        <r>
          <rPr>
            <sz val="10"/>
            <color rgb="FF000000"/>
            <rFont val="Tahoma"/>
            <family val="2"/>
          </rPr>
          <t xml:space="preserve">
</t>
        </r>
        <r>
          <rPr>
            <sz val="10"/>
            <color rgb="FF000000"/>
            <rFont val="Tahoma"/>
            <family val="2"/>
          </rPr>
          <t>1. Kroger to acquire all outstanding shares of Albertsons ~$34 per share, EV @$24.6B</t>
        </r>
      </text>
    </comment>
    <comment ref="E13" authorId="0" shapeId="0" xr:uid="{6D7FFFA6-D7E4-2E49-83AE-A6AF3F0AEC79}">
      <text>
        <r>
          <rPr>
            <b/>
            <sz val="10"/>
            <color rgb="FF000000"/>
            <rFont val="Tahoma"/>
            <family val="2"/>
          </rPr>
          <t>Brannon, Jameel A.:</t>
        </r>
        <r>
          <rPr>
            <sz val="10"/>
            <color rgb="FF000000"/>
            <rFont val="Tahoma"/>
            <family val="2"/>
          </rPr>
          <t xml:space="preserve">
</t>
        </r>
        <r>
          <rPr>
            <sz val="10"/>
            <color rgb="FF000000"/>
            <rFont val="Tahoma"/>
            <family val="2"/>
          </rPr>
          <t xml:space="preserve">
</t>
        </r>
        <r>
          <rPr>
            <b/>
            <sz val="10"/>
            <color rgb="FF000000"/>
            <rFont val="Tahoma"/>
            <family val="2"/>
          </rPr>
          <t xml:space="preserve">Capital Allocation Strategy
</t>
        </r>
        <r>
          <rPr>
            <b/>
            <sz val="10"/>
            <color rgb="FF000000"/>
            <rFont val="Tahoma"/>
            <family val="2"/>
          </rPr>
          <t xml:space="preserve">1. </t>
        </r>
        <r>
          <rPr>
            <sz val="10"/>
            <color rgb="FF000000"/>
            <rFont val="Tahoma"/>
            <family val="2"/>
          </rPr>
          <t xml:space="preserve"> FCF generationa nd returning shares back to shareholders via buybacks &amp; dividends
</t>
        </r>
        <r>
          <rPr>
            <sz val="10"/>
            <color rgb="FF000000"/>
            <rFont val="Tahoma"/>
            <family val="2"/>
          </rPr>
          <t xml:space="preserve">2. Earlier this year Kroger raised dividend 24%
</t>
        </r>
        <r>
          <rPr>
            <sz val="10"/>
            <color rgb="FF000000"/>
            <rFont val="Tahoma"/>
            <family val="2"/>
          </rPr>
          <t xml:space="preserve">3. Kroger repurchased $309M in shares YTD and has bought back 976M shares
</t>
        </r>
        <r>
          <rPr>
            <sz val="10"/>
            <color rgb="FF000000"/>
            <rFont val="Tahoma"/>
            <family val="2"/>
          </rPr>
          <t xml:space="preserve">4. BOD authorized new share repurchase program ($1B)
</t>
        </r>
        <r>
          <rPr>
            <sz val="10"/>
            <color rgb="FF000000"/>
            <rFont val="Tahoma"/>
            <family val="2"/>
          </rPr>
          <t xml:space="preserve">
</t>
        </r>
        <r>
          <rPr>
            <b/>
            <sz val="10"/>
            <color rgb="FF000000"/>
            <rFont val="Tahoma"/>
            <family val="2"/>
          </rPr>
          <t xml:space="preserve">Ownership 
</t>
        </r>
        <r>
          <rPr>
            <sz val="10"/>
            <color rgb="FF000000"/>
            <rFont val="Tahoma"/>
            <family val="2"/>
          </rPr>
          <t xml:space="preserve">1. In Q1'21, purchased 28 previously leased properties for $455M
</t>
        </r>
        <r>
          <rPr>
            <sz val="10"/>
            <color rgb="FF000000"/>
            <rFont val="Tahoma"/>
            <family val="2"/>
          </rPr>
          <t xml:space="preserve">2. Company then entered into transaction to sell those properties for $621M
</t>
        </r>
        <r>
          <rPr>
            <sz val="10"/>
            <color rgb="FF000000"/>
            <rFont val="Tahoma"/>
            <family val="2"/>
          </rPr>
          <t xml:space="preserve">3. Sale did not qualify for sale-lease back accounting treatment, as result co. reported PP&amp;E of  $455M &amp; $621 financing obligation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Brannon, Jameel A.</author>
  </authors>
  <commentList>
    <comment ref="AC14" authorId="0" shapeId="0" xr:uid="{ABDEFBCB-CEEE-4F4B-9E3E-D82FEFD2188E}">
      <text>
        <r>
          <rPr>
            <b/>
            <sz val="10"/>
            <color rgb="FF000000"/>
            <rFont val="Tahoma"/>
            <family val="2"/>
          </rPr>
          <t>Brannon, Jameel A.:</t>
        </r>
        <r>
          <rPr>
            <sz val="10"/>
            <color rgb="FF000000"/>
            <rFont val="Tahoma"/>
            <family val="2"/>
          </rPr>
          <t xml:space="preserve">
</t>
        </r>
        <r>
          <rPr>
            <sz val="10"/>
            <color rgb="FF000000"/>
            <rFont val="Tahoma"/>
            <family val="2"/>
          </rPr>
          <t xml:space="preserve">Keeping D&amp;A for conservative cash flows
</t>
        </r>
      </text>
    </comment>
    <comment ref="AD14" authorId="0" shapeId="0" xr:uid="{38BC3506-03BC-C44A-BA49-85AE1D0AC4CF}">
      <text>
        <r>
          <rPr>
            <b/>
            <sz val="10"/>
            <color rgb="FF000000"/>
            <rFont val="Tahoma"/>
            <family val="2"/>
          </rPr>
          <t>Brannon, Jameel A.:</t>
        </r>
        <r>
          <rPr>
            <sz val="10"/>
            <color rgb="FF000000"/>
            <rFont val="Tahoma"/>
            <family val="2"/>
          </rPr>
          <t xml:space="preserve">
</t>
        </r>
        <r>
          <rPr>
            <sz val="10"/>
            <color rgb="FF000000"/>
            <rFont val="Tahoma"/>
            <family val="2"/>
          </rPr>
          <t xml:space="preserve">Keeping D&amp;A for conservative cash flows
</t>
        </r>
      </text>
    </comment>
    <comment ref="AE14" authorId="0" shapeId="0" xr:uid="{D7B5F852-1FE9-7D4F-B90A-9E8021220813}">
      <text>
        <r>
          <rPr>
            <b/>
            <sz val="10"/>
            <color rgb="FF000000"/>
            <rFont val="Tahoma"/>
            <family val="2"/>
          </rPr>
          <t>Brannon, Jameel A.:</t>
        </r>
        <r>
          <rPr>
            <sz val="10"/>
            <color rgb="FF000000"/>
            <rFont val="Tahoma"/>
            <family val="2"/>
          </rPr>
          <t xml:space="preserve">
</t>
        </r>
        <r>
          <rPr>
            <sz val="10"/>
            <color rgb="FF000000"/>
            <rFont val="Tahoma"/>
            <family val="2"/>
          </rPr>
          <t xml:space="preserve">Keeping D&amp;A for conservative cash flows
</t>
        </r>
      </text>
    </comment>
    <comment ref="AF14" authorId="0" shapeId="0" xr:uid="{F1F6A8B0-05CA-184C-8D80-69A9FD44927B}">
      <text>
        <r>
          <rPr>
            <b/>
            <sz val="10"/>
            <color rgb="FF000000"/>
            <rFont val="Tahoma"/>
            <family val="2"/>
          </rPr>
          <t>Brannon, Jameel A.:</t>
        </r>
        <r>
          <rPr>
            <sz val="10"/>
            <color rgb="FF000000"/>
            <rFont val="Tahoma"/>
            <family val="2"/>
          </rPr>
          <t xml:space="preserve">
</t>
        </r>
        <r>
          <rPr>
            <sz val="10"/>
            <color rgb="FF000000"/>
            <rFont val="Tahoma"/>
            <family val="2"/>
          </rPr>
          <t xml:space="preserve">Keeping D&amp;A for conservative cash flows
</t>
        </r>
      </text>
    </comment>
    <comment ref="AG14" authorId="0" shapeId="0" xr:uid="{A95C96FB-59E8-584F-ABAB-3A303B724438}">
      <text>
        <r>
          <rPr>
            <b/>
            <sz val="10"/>
            <color rgb="FF000000"/>
            <rFont val="Tahoma"/>
            <family val="2"/>
          </rPr>
          <t>Brannon, Jameel A.:</t>
        </r>
        <r>
          <rPr>
            <sz val="10"/>
            <color rgb="FF000000"/>
            <rFont val="Tahoma"/>
            <family val="2"/>
          </rPr>
          <t xml:space="preserve">
</t>
        </r>
        <r>
          <rPr>
            <sz val="10"/>
            <color rgb="FF000000"/>
            <rFont val="Tahoma"/>
            <family val="2"/>
          </rPr>
          <t xml:space="preserve">Keeping D&amp;A for conservative cash flows
</t>
        </r>
      </text>
    </comment>
    <comment ref="AH14" authorId="0" shapeId="0" xr:uid="{981DBC12-3700-3449-908B-8532D506CD4D}">
      <text>
        <r>
          <rPr>
            <b/>
            <sz val="10"/>
            <color rgb="FF000000"/>
            <rFont val="Tahoma"/>
            <family val="2"/>
          </rPr>
          <t>Brannon, Jameel A.:</t>
        </r>
        <r>
          <rPr>
            <sz val="10"/>
            <color rgb="FF000000"/>
            <rFont val="Tahoma"/>
            <family val="2"/>
          </rPr>
          <t xml:space="preserve">
</t>
        </r>
        <r>
          <rPr>
            <sz val="10"/>
            <color rgb="FF000000"/>
            <rFont val="Tahoma"/>
            <family val="2"/>
          </rPr>
          <t xml:space="preserve">Keeping D&amp;A for conservative cash flows
</t>
        </r>
      </text>
    </comment>
    <comment ref="AI14" authorId="0" shapeId="0" xr:uid="{A837C4A3-F821-A94B-B096-B25773D53A59}">
      <text>
        <r>
          <rPr>
            <b/>
            <sz val="10"/>
            <color rgb="FF000000"/>
            <rFont val="Tahoma"/>
            <family val="2"/>
          </rPr>
          <t>Brannon, Jameel A.:</t>
        </r>
        <r>
          <rPr>
            <sz val="10"/>
            <color rgb="FF000000"/>
            <rFont val="Tahoma"/>
            <family val="2"/>
          </rPr>
          <t xml:space="preserve">
</t>
        </r>
        <r>
          <rPr>
            <sz val="10"/>
            <color rgb="FF000000"/>
            <rFont val="Tahoma"/>
            <family val="2"/>
          </rPr>
          <t xml:space="preserve">Keeping D&amp;A for conservative cash flows
</t>
        </r>
      </text>
    </comment>
    <comment ref="AJ14" authorId="0" shapeId="0" xr:uid="{0695F9E1-A0B2-7E4A-966E-1C27E7B2CBEE}">
      <text>
        <r>
          <rPr>
            <b/>
            <sz val="10"/>
            <color rgb="FF000000"/>
            <rFont val="Tahoma"/>
            <family val="2"/>
          </rPr>
          <t>Brannon, Jameel A.:</t>
        </r>
        <r>
          <rPr>
            <sz val="10"/>
            <color rgb="FF000000"/>
            <rFont val="Tahoma"/>
            <family val="2"/>
          </rPr>
          <t xml:space="preserve">
</t>
        </r>
        <r>
          <rPr>
            <sz val="10"/>
            <color rgb="FF000000"/>
            <rFont val="Tahoma"/>
            <family val="2"/>
          </rPr>
          <t xml:space="preserve">Keeping D&amp;A for conservative cash flows
</t>
        </r>
      </text>
    </comment>
    <comment ref="AK14" authorId="0" shapeId="0" xr:uid="{38BE6313-81F9-1443-AA00-EB8D423AED2D}">
      <text>
        <r>
          <rPr>
            <b/>
            <sz val="10"/>
            <color rgb="FF000000"/>
            <rFont val="Tahoma"/>
            <family val="2"/>
          </rPr>
          <t>Brannon, Jameel A.:</t>
        </r>
        <r>
          <rPr>
            <sz val="10"/>
            <color rgb="FF000000"/>
            <rFont val="Tahoma"/>
            <family val="2"/>
          </rPr>
          <t xml:space="preserve">
</t>
        </r>
        <r>
          <rPr>
            <sz val="10"/>
            <color rgb="FF000000"/>
            <rFont val="Tahoma"/>
            <family val="2"/>
          </rPr>
          <t xml:space="preserve">Keeping D&amp;A for conservative cash flows
</t>
        </r>
      </text>
    </comment>
    <comment ref="L25" authorId="0" shapeId="0" xr:uid="{CA0DE147-DBD7-E641-AD85-476B518326F0}">
      <text>
        <r>
          <rPr>
            <b/>
            <sz val="10"/>
            <color rgb="FF000000"/>
            <rFont val="Tahoma"/>
            <family val="2"/>
          </rPr>
          <t>Brannon, Jameel A.:</t>
        </r>
        <r>
          <rPr>
            <sz val="10"/>
            <color rgb="FF000000"/>
            <rFont val="Tahoma"/>
            <family val="2"/>
          </rPr>
          <t xml:space="preserve">
</t>
        </r>
        <r>
          <rPr>
            <sz val="10"/>
            <color rgb="FF000000"/>
            <rFont val="Tahoma"/>
            <family val="2"/>
          </rPr>
          <t>64% growth y/y</t>
        </r>
      </text>
    </comment>
    <comment ref="L38" authorId="0" shapeId="0" xr:uid="{B2908097-58C7-154D-8312-0CCEE7A2A43B}">
      <text>
        <r>
          <rPr>
            <b/>
            <sz val="10"/>
            <color rgb="FF000000"/>
            <rFont val="Tahoma"/>
            <family val="2"/>
          </rPr>
          <t>Brannon, Jameel A.:</t>
        </r>
        <r>
          <rPr>
            <sz val="10"/>
            <color rgb="FF000000"/>
            <rFont val="Tahoma"/>
            <family val="2"/>
          </rPr>
          <t xml:space="preserve">
</t>
        </r>
        <r>
          <rPr>
            <sz val="10"/>
            <color rgb="FF000000"/>
            <rFont val="Tahoma"/>
            <family val="2"/>
          </rPr>
          <t>Lower y/y due to increased fuel sales, which have lower GM rates</t>
        </r>
      </text>
    </comment>
    <comment ref="L80" authorId="0" shapeId="0" xr:uid="{89C4879C-E969-FC41-AF0A-7CD01FBF5D40}">
      <text>
        <r>
          <rPr>
            <b/>
            <sz val="10"/>
            <color rgb="FF000000"/>
            <rFont val="Tahoma"/>
            <family val="2"/>
          </rPr>
          <t>Brannon, Jameel A.:</t>
        </r>
        <r>
          <rPr>
            <sz val="10"/>
            <color rgb="FF000000"/>
            <rFont val="Tahoma"/>
            <family val="2"/>
          </rPr>
          <t xml:space="preserve">
</t>
        </r>
        <r>
          <rPr>
            <sz val="10"/>
            <color rgb="FF000000"/>
            <rFont val="Tahoma"/>
            <family val="2"/>
          </rPr>
          <t>Every dollar of shareholder equity earned ~25 cents</t>
        </r>
      </text>
    </comment>
    <comment ref="L82" authorId="0" shapeId="0" xr:uid="{4A1907A3-4DB0-334F-A6A5-4B19E0C76668}">
      <text>
        <r>
          <rPr>
            <b/>
            <sz val="10"/>
            <color rgb="FF000000"/>
            <rFont val="Tahoma"/>
            <family val="2"/>
          </rPr>
          <t>Brannon, Jameel A.:</t>
        </r>
        <r>
          <rPr>
            <sz val="10"/>
            <color rgb="FF000000"/>
            <rFont val="Tahoma"/>
            <family val="2"/>
          </rPr>
          <t xml:space="preserve">
</t>
        </r>
        <r>
          <rPr>
            <sz val="10"/>
            <color rgb="FF000000"/>
            <rFont val="Tahoma"/>
            <family val="2"/>
          </rPr>
          <t>l87m lower due to $400M payment of senior notes @ 2.80%</t>
        </r>
      </text>
    </comment>
    <comment ref="L148" authorId="0" shapeId="0" xr:uid="{77CF7468-03BF-EC45-8607-70F246F41FAF}">
      <text>
        <r>
          <rPr>
            <b/>
            <sz val="10"/>
            <color rgb="FF000000"/>
            <rFont val="Tahoma"/>
            <family val="2"/>
          </rPr>
          <t>Brannon, Jameel A.:</t>
        </r>
        <r>
          <rPr>
            <sz val="10"/>
            <color rgb="FF000000"/>
            <rFont val="Tahoma"/>
            <family val="2"/>
          </rPr>
          <t xml:space="preserve">
</t>
        </r>
        <r>
          <rPr>
            <sz val="10"/>
            <color rgb="FF000000"/>
            <rFont val="Tahoma"/>
            <family val="2"/>
          </rPr>
          <t xml:space="preserve">Current price is lower than avg buy back price.
</t>
        </r>
        <r>
          <rPr>
            <sz val="10"/>
            <color rgb="FF000000"/>
            <rFont val="Tahoma"/>
            <family val="2"/>
          </rPr>
          <t xml:space="preserve">
</t>
        </r>
        <r>
          <rPr>
            <sz val="10"/>
            <color rgb="FF000000"/>
            <rFont val="Tahoma"/>
            <family val="2"/>
          </rPr>
          <t xml:space="preserve">Hypo: Mgt will continue to buyback shares to get average cost  lower.  If you can buy the stock for less than AVg buy back price in q2 -- should equate to "intrinisc" upside of (avg buy back p / current p) -1 ...  current case (50/48)-1 </t>
        </r>
        <r>
          <rPr>
            <b/>
            <sz val="10"/>
            <color rgb="FF000000"/>
            <rFont val="Tahoma"/>
            <family val="2"/>
          </rPr>
          <t xml:space="preserve">~4%
</t>
        </r>
        <r>
          <rPr>
            <b/>
            <sz val="10"/>
            <color rgb="FF000000"/>
            <rFont val="Tahoma"/>
            <family val="2"/>
          </rPr>
          <t xml:space="preserve">
</t>
        </r>
        <r>
          <rPr>
            <b/>
            <sz val="10"/>
            <color rgb="FF000000"/>
            <rFont val="Tahoma"/>
            <family val="2"/>
          </rPr>
          <t>"</t>
        </r>
        <r>
          <rPr>
            <sz val="10"/>
            <color rgb="FF000000"/>
            <rFont val="IntelClear-Regular"/>
          </rPr>
          <t xml:space="preserve">We remain committed to our dividend and share repurchase programs and we will evaluate the optimal use of any excess free cash flow, consistent with our capital allocation strategy." Korger Q2 </t>
        </r>
      </text>
    </comment>
  </commentList>
</comments>
</file>

<file path=xl/sharedStrings.xml><?xml version="1.0" encoding="utf-8"?>
<sst xmlns="http://schemas.openxmlformats.org/spreadsheetml/2006/main" count="212" uniqueCount="176">
  <si>
    <t>Price</t>
  </si>
  <si>
    <t>Shares</t>
  </si>
  <si>
    <t>MC</t>
  </si>
  <si>
    <t>Cash</t>
  </si>
  <si>
    <t>Debt</t>
  </si>
  <si>
    <t>EV</t>
  </si>
  <si>
    <t>Q122</t>
  </si>
  <si>
    <t>Q120</t>
  </si>
  <si>
    <t>Q220</t>
  </si>
  <si>
    <t>Q320</t>
  </si>
  <si>
    <t>Q420</t>
  </si>
  <si>
    <t>Q121</t>
  </si>
  <si>
    <t>Q221</t>
  </si>
  <si>
    <t>Q321</t>
  </si>
  <si>
    <t>Q421</t>
  </si>
  <si>
    <t>Q222</t>
  </si>
  <si>
    <t>EPS</t>
  </si>
  <si>
    <t>Sales</t>
  </si>
  <si>
    <t>Merchandise costs</t>
  </si>
  <si>
    <t>Op, G&amp;A</t>
  </si>
  <si>
    <t>Rent</t>
  </si>
  <si>
    <t>D&amp;A</t>
  </si>
  <si>
    <t>Operating P</t>
  </si>
  <si>
    <t>Interest expense</t>
  </si>
  <si>
    <t>Pension costs</t>
  </si>
  <si>
    <t>Investments</t>
  </si>
  <si>
    <t>Pretax Income</t>
  </si>
  <si>
    <t>Taxes</t>
  </si>
  <si>
    <t>Net Income</t>
  </si>
  <si>
    <t>Noncontrolling</t>
  </si>
  <si>
    <t>Sales y/y</t>
  </si>
  <si>
    <t>Biz sale</t>
  </si>
  <si>
    <t>…</t>
  </si>
  <si>
    <t>..</t>
  </si>
  <si>
    <t>Costs y/y</t>
  </si>
  <si>
    <t>Rent y/y</t>
  </si>
  <si>
    <t>OM%</t>
  </si>
  <si>
    <t>NM%</t>
  </si>
  <si>
    <t>E</t>
  </si>
  <si>
    <t>TL + E</t>
  </si>
  <si>
    <t>Op lease</t>
  </si>
  <si>
    <t>Trade A/P</t>
  </si>
  <si>
    <t>Accrued Salaries</t>
  </si>
  <si>
    <t>Other current</t>
  </si>
  <si>
    <t>Current Liabilities</t>
  </si>
  <si>
    <t>LTD</t>
  </si>
  <si>
    <t>Noncurrent op lease</t>
  </si>
  <si>
    <t>Deferred income Tx</t>
  </si>
  <si>
    <t>Pension/Postretirement</t>
  </si>
  <si>
    <t>Other LT</t>
  </si>
  <si>
    <t>TL</t>
  </si>
  <si>
    <t xml:space="preserve">Common </t>
  </si>
  <si>
    <t>Preferred</t>
  </si>
  <si>
    <t>Paid in Capital</t>
  </si>
  <si>
    <t>Accumulated loss</t>
  </si>
  <si>
    <t>Accumulated earnings</t>
  </si>
  <si>
    <t>Shares in Treasury</t>
  </si>
  <si>
    <t>Total E</t>
  </si>
  <si>
    <t>Store deposits</t>
  </si>
  <si>
    <t>Recievables</t>
  </si>
  <si>
    <t>FIFO</t>
  </si>
  <si>
    <t>Prepaid/OCA</t>
  </si>
  <si>
    <t>Current Assets</t>
  </si>
  <si>
    <t>LIFO Reserve</t>
  </si>
  <si>
    <t>PPE</t>
  </si>
  <si>
    <t>Intangibles</t>
  </si>
  <si>
    <t>Goodwill</t>
  </si>
  <si>
    <t>OA</t>
  </si>
  <si>
    <t>Total Assets</t>
  </si>
  <si>
    <t>PR</t>
  </si>
  <si>
    <t>Kroger Delivery in Louisville</t>
  </si>
  <si>
    <t>Kroger delivery in Dallas</t>
  </si>
  <si>
    <t>GM%</t>
  </si>
  <si>
    <t>Maturity</t>
  </si>
  <si>
    <t>Discount</t>
  </si>
  <si>
    <t>NPV</t>
  </si>
  <si>
    <t>Estimate</t>
  </si>
  <si>
    <t>Current</t>
  </si>
  <si>
    <t>Delta</t>
  </si>
  <si>
    <t>EV/E</t>
  </si>
  <si>
    <t>Symbol</t>
  </si>
  <si>
    <t>Cusip</t>
  </si>
  <si>
    <t>Size</t>
  </si>
  <si>
    <t>Description</t>
  </si>
  <si>
    <t>Coupon</t>
  </si>
  <si>
    <t>Yield</t>
  </si>
  <si>
    <t>Semi</t>
  </si>
  <si>
    <t>Years</t>
  </si>
  <si>
    <t>Callable</t>
  </si>
  <si>
    <t>Sub-Product Type</t>
  </si>
  <si>
    <t>P/D</t>
  </si>
  <si>
    <t>semi coupon</t>
  </si>
  <si>
    <t>KR.GI</t>
  </si>
  <si>
    <t>501044BT7</t>
  </si>
  <si>
    <t>Senior</t>
  </si>
  <si>
    <t>Yes</t>
  </si>
  <si>
    <t>Corporate Bond</t>
  </si>
  <si>
    <t>Semiannual Discount</t>
  </si>
  <si>
    <t># of Payments</t>
  </si>
  <si>
    <t>FV</t>
  </si>
  <si>
    <t>Semi-coupon</t>
  </si>
  <si>
    <t># Coupons</t>
  </si>
  <si>
    <t>Semiannual coupons</t>
  </si>
  <si>
    <t>KR.GN</t>
  </si>
  <si>
    <t>50144BZ3</t>
  </si>
  <si>
    <t>Q2'22</t>
  </si>
  <si>
    <t>Q322E</t>
  </si>
  <si>
    <t>Q422E</t>
  </si>
  <si>
    <t>Costs % Sales</t>
  </si>
  <si>
    <t>Op, G&amp;A % Salaes</t>
  </si>
  <si>
    <t>Rent % Sales</t>
  </si>
  <si>
    <t xml:space="preserve">Net Cash </t>
  </si>
  <si>
    <t>ROE</t>
  </si>
  <si>
    <t>NI</t>
  </si>
  <si>
    <t>CFFO</t>
  </si>
  <si>
    <t>Capex</t>
  </si>
  <si>
    <t xml:space="preserve">Free Cash Flow </t>
  </si>
  <si>
    <t>2Q Moving FCF</t>
  </si>
  <si>
    <t>2Q Moving NI</t>
  </si>
  <si>
    <t xml:space="preserve">Difference </t>
  </si>
  <si>
    <t>3Q Moving FCF</t>
  </si>
  <si>
    <t>3Q Moving NI</t>
  </si>
  <si>
    <t>4Q Moving FCF</t>
  </si>
  <si>
    <t>4Q Moving NI</t>
  </si>
  <si>
    <t>Tax Rate</t>
  </si>
  <si>
    <t>Buybacks</t>
  </si>
  <si>
    <t>Dividends Paid</t>
  </si>
  <si>
    <t>Dividend Per Common</t>
  </si>
  <si>
    <t>Op Lease</t>
  </si>
  <si>
    <t>LIFO</t>
  </si>
  <si>
    <t>SBC'</t>
  </si>
  <si>
    <t>Pension</t>
  </si>
  <si>
    <t>Deferred Income Tx</t>
  </si>
  <si>
    <t>Gain on Sales</t>
  </si>
  <si>
    <t>Investment loss</t>
  </si>
  <si>
    <t>Other</t>
  </si>
  <si>
    <t>Inventories</t>
  </si>
  <si>
    <t xml:space="preserve">Prepaid &amp; other </t>
  </si>
  <si>
    <t>Accrued E</t>
  </si>
  <si>
    <t>Income Tx rec</t>
  </si>
  <si>
    <t>Gains from sales</t>
  </si>
  <si>
    <t>CFFI</t>
  </si>
  <si>
    <t>Proceeds from LTD</t>
  </si>
  <si>
    <t>CFFF</t>
  </si>
  <si>
    <t>LTD Payments</t>
  </si>
  <si>
    <t>Stock Issuance proceeds</t>
  </si>
  <si>
    <t>Treasury stock buys</t>
  </si>
  <si>
    <t>Proceeds from fin</t>
  </si>
  <si>
    <t>Cash Increase</t>
  </si>
  <si>
    <t>Total Debt</t>
  </si>
  <si>
    <t>Change in Debt</t>
  </si>
  <si>
    <t>Avg Price</t>
  </si>
  <si>
    <t>Current Price</t>
  </si>
  <si>
    <t>NWC</t>
  </si>
  <si>
    <t>Inventory Turnover</t>
  </si>
  <si>
    <t>Days Inventory</t>
  </si>
  <si>
    <t>ROOA</t>
  </si>
  <si>
    <t xml:space="preserve">Key </t>
  </si>
  <si>
    <t>x = read</t>
  </si>
  <si>
    <t>y = not</t>
  </si>
  <si>
    <t>x</t>
  </si>
  <si>
    <t># of Pharmacies</t>
  </si>
  <si>
    <t># of Fuel Centers</t>
  </si>
  <si>
    <t>Total Supermarkets</t>
  </si>
  <si>
    <t xml:space="preserve">Gary Millerchip </t>
  </si>
  <si>
    <t>W. Rodney McMullen</t>
  </si>
  <si>
    <t>Links</t>
  </si>
  <si>
    <t>Locate</t>
  </si>
  <si>
    <t>NC</t>
  </si>
  <si>
    <t>Total Value</t>
  </si>
  <si>
    <t>WS E</t>
  </si>
  <si>
    <t>CAGR</t>
  </si>
  <si>
    <t>P/E M</t>
  </si>
  <si>
    <t>E 1</t>
  </si>
  <si>
    <t>E 2</t>
  </si>
  <si>
    <t>Net Estimate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</si>
</sst>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6" formatCode="&quot;$&quot;#,##0_);[Red]\(&quot;$&quot;#,##0\)"/>
    <numFmt numFmtId="43" formatCode="_(* #,##0.00_);_(* \(#,##0.00\);_(* &quot;-&quot;??_);_(@_)"/>
    <numFmt numFmtId="164" formatCode="#\ ?/2"/>
    <numFmt numFmtId="165" formatCode="#,##0.0000"/>
    <numFmt numFmtId="166" formatCode="_(* #,##0.0_);_(* \(#,##0.0\);_(* &quot;-&quot;??_);_(@_)"/>
    <numFmt numFmtId="167" formatCode="_(* #,##0_);_(* \(#,##0\);_(* &quot;-&quot;??_);_(@_)"/>
    <numFmt numFmtId="168" formatCode="0&quot;E&quot;"/>
    <numFmt numFmtId="169" formatCode="0.000%"/>
    <numFmt numFmtId="170" formatCode="#,##0.0"/>
    <numFmt numFmtId="171" formatCode="0.0%"/>
    <numFmt numFmtId="172" formatCode="0\x"/>
    <numFmt numFmtId="175" formatCode="0.0\x"/>
    <numFmt numFmtId="182" formatCode="0.0"/>
  </numFmts>
  <fonts count="13">
    <font>
      <sz val="10"/>
      <color theme="1"/>
      <name val="IntelClear-Regular"/>
      <family val="2"/>
    </font>
    <font>
      <sz val="10"/>
      <color theme="1"/>
      <name val="IntelClear-Regular"/>
      <family val="2"/>
    </font>
    <font>
      <b/>
      <sz val="10"/>
      <color theme="1"/>
      <name val="IntelClear-Regular"/>
    </font>
    <font>
      <u/>
      <sz val="10"/>
      <color theme="10"/>
      <name val="IntelClear-Regular"/>
      <family val="2"/>
    </font>
    <font>
      <sz val="10"/>
      <color theme="1"/>
      <name val="Intel Clear"/>
      <family val="2"/>
    </font>
    <font>
      <sz val="11"/>
      <color theme="1"/>
      <name val="Intel Clear"/>
      <family val="2"/>
    </font>
    <font>
      <b/>
      <sz val="10"/>
      <color theme="1"/>
      <name val="IntelClear-Regular"/>
      <family val="2"/>
    </font>
    <font>
      <b/>
      <i/>
      <sz val="10"/>
      <color theme="1"/>
      <name val="IntelClear-Regular"/>
    </font>
    <font>
      <sz val="10"/>
      <color rgb="FF000000"/>
      <name val="Tahoma"/>
      <family val="2"/>
    </font>
    <font>
      <b/>
      <sz val="10"/>
      <color rgb="FF000000"/>
      <name val="Tahoma"/>
      <family val="2"/>
    </font>
    <font>
      <sz val="10"/>
      <color theme="1"/>
      <name val="IntelClear-Regular"/>
    </font>
    <font>
      <sz val="10"/>
      <color rgb="FF000000"/>
      <name val="IntelClear-Regular"/>
    </font>
    <font>
      <b/>
      <sz val="11"/>
      <color theme="1"/>
      <name val="Intel Clear"/>
      <family val="2"/>
    </font>
  </fonts>
  <fills count="3">
    <fill>
      <patternFill patternType="none"/>
    </fill>
    <fill>
      <patternFill patternType="gray125"/>
    </fill>
    <fill>
      <patternFill patternType="solid">
        <fgColor theme="1"/>
        <bgColor indexed="64"/>
      </patternFill>
    </fill>
  </fills>
  <borders count="7">
    <border>
      <left/>
      <right/>
      <top/>
      <bottom/>
      <diagonal/>
    </border>
    <border>
      <left style="thin">
        <color auto="1"/>
      </left>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cellStyleXfs>
  <cellXfs count="98">
    <xf numFmtId="0" fontId="0" fillId="0" borderId="0" xfId="0"/>
    <xf numFmtId="3" fontId="0" fillId="0" borderId="0" xfId="0" applyNumberFormat="1"/>
    <xf numFmtId="9" fontId="0" fillId="0" borderId="0" xfId="0" applyNumberFormat="1"/>
    <xf numFmtId="14" fontId="0" fillId="0" borderId="0" xfId="0" applyNumberFormat="1"/>
    <xf numFmtId="43" fontId="0" fillId="0" borderId="0" xfId="0" applyNumberFormat="1"/>
    <xf numFmtId="14" fontId="0" fillId="0" borderId="0" xfId="0" applyNumberFormat="1" applyAlignment="1">
      <alignment horizontal="center"/>
    </xf>
    <xf numFmtId="14" fontId="3" fillId="0" borderId="0" xfId="3" applyNumberFormat="1"/>
    <xf numFmtId="3" fontId="3" fillId="0" borderId="0" xfId="3" applyNumberFormat="1"/>
    <xf numFmtId="0" fontId="4" fillId="0" borderId="0" xfId="0" applyFont="1" applyAlignment="1">
      <alignment horizontal="center"/>
    </xf>
    <xf numFmtId="3" fontId="4" fillId="0" borderId="0" xfId="0" applyNumberFormat="1" applyFont="1" applyAlignment="1">
      <alignment horizontal="center"/>
    </xf>
    <xf numFmtId="43" fontId="4" fillId="0" borderId="0" xfId="1" applyFont="1" applyAlignment="1">
      <alignment horizontal="center"/>
    </xf>
    <xf numFmtId="166" fontId="4" fillId="0" borderId="0" xfId="1" applyNumberFormat="1" applyFont="1" applyAlignment="1">
      <alignment horizontal="center"/>
    </xf>
    <xf numFmtId="9" fontId="4" fillId="0" borderId="0" xfId="2" applyFont="1" applyAlignment="1">
      <alignment horizontal="center"/>
    </xf>
    <xf numFmtId="9" fontId="4" fillId="0" borderId="0" xfId="0" applyNumberFormat="1" applyFont="1" applyAlignment="1">
      <alignment horizontal="center"/>
    </xf>
    <xf numFmtId="14" fontId="4" fillId="0" borderId="0" xfId="0" applyNumberFormat="1" applyFont="1" applyAlignment="1">
      <alignment horizontal="center"/>
    </xf>
    <xf numFmtId="169" fontId="0" fillId="0" borderId="0" xfId="0" applyNumberFormat="1"/>
    <xf numFmtId="169" fontId="4" fillId="0" borderId="0" xfId="0" applyNumberFormat="1" applyFont="1" applyAlignment="1">
      <alignment horizontal="center"/>
    </xf>
    <xf numFmtId="0" fontId="3" fillId="0" borderId="0" xfId="3"/>
    <xf numFmtId="1" fontId="0" fillId="0" borderId="0" xfId="0" applyNumberFormat="1"/>
    <xf numFmtId="1" fontId="4" fillId="0" borderId="0" xfId="0" applyNumberFormat="1" applyFont="1" applyAlignment="1">
      <alignment horizontal="center"/>
    </xf>
    <xf numFmtId="14" fontId="3" fillId="0" borderId="0" xfId="3" applyNumberFormat="1" applyAlignment="1">
      <alignment horizontal="center"/>
    </xf>
    <xf numFmtId="14" fontId="10" fillId="0" borderId="0" xfId="0" applyNumberFormat="1" applyFont="1" applyAlignment="1">
      <alignment horizontal="left"/>
    </xf>
    <xf numFmtId="3" fontId="10" fillId="0" borderId="0" xfId="0" applyNumberFormat="1" applyFont="1" applyAlignment="1">
      <alignment horizontal="left"/>
    </xf>
    <xf numFmtId="3" fontId="2" fillId="0" borderId="0" xfId="0" applyNumberFormat="1" applyFont="1" applyAlignment="1">
      <alignment horizontal="left"/>
    </xf>
    <xf numFmtId="4" fontId="10" fillId="0" borderId="0" xfId="0" applyNumberFormat="1" applyFont="1" applyAlignment="1">
      <alignment horizontal="left"/>
    </xf>
    <xf numFmtId="9" fontId="2" fillId="0" borderId="0" xfId="0" applyNumberFormat="1" applyFont="1" applyAlignment="1">
      <alignment horizontal="left"/>
    </xf>
    <xf numFmtId="171" fontId="10" fillId="0" borderId="0" xfId="0" applyNumberFormat="1" applyFont="1" applyAlignment="1">
      <alignment horizontal="left"/>
    </xf>
    <xf numFmtId="9" fontId="10" fillId="0" borderId="0" xfId="0" applyNumberFormat="1" applyFont="1" applyAlignment="1">
      <alignment horizontal="left"/>
    </xf>
    <xf numFmtId="175" fontId="10" fillId="0" borderId="0" xfId="0" applyNumberFormat="1" applyFont="1" applyAlignment="1">
      <alignment horizontal="left"/>
    </xf>
    <xf numFmtId="38" fontId="10" fillId="0" borderId="0" xfId="0" applyNumberFormat="1" applyFont="1" applyAlignment="1">
      <alignment horizontal="left"/>
    </xf>
    <xf numFmtId="38" fontId="2" fillId="0" borderId="0" xfId="0" applyNumberFormat="1" applyFont="1" applyAlignment="1">
      <alignment horizontal="left"/>
    </xf>
    <xf numFmtId="14" fontId="0" fillId="0" borderId="0" xfId="0" applyNumberFormat="1" applyAlignment="1">
      <alignment horizontal="left"/>
    </xf>
    <xf numFmtId="14" fontId="0" fillId="0" borderId="1" xfId="0" applyNumberFormat="1" applyBorder="1" applyAlignment="1">
      <alignment horizontal="left"/>
    </xf>
    <xf numFmtId="14" fontId="0" fillId="2" borderId="0" xfId="0" applyNumberFormat="1" applyFill="1" applyAlignment="1">
      <alignment horizontal="left"/>
    </xf>
    <xf numFmtId="3" fontId="0" fillId="0" borderId="0" xfId="0" applyNumberFormat="1" applyAlignment="1">
      <alignment horizontal="left"/>
    </xf>
    <xf numFmtId="3" fontId="0" fillId="0" borderId="1" xfId="0" applyNumberFormat="1" applyBorder="1" applyAlignment="1">
      <alignment horizontal="left"/>
    </xf>
    <xf numFmtId="3" fontId="0" fillId="2" borderId="0" xfId="0" applyNumberFormat="1" applyFill="1" applyAlignment="1">
      <alignment horizontal="left"/>
    </xf>
    <xf numFmtId="1" fontId="0" fillId="0" borderId="0" xfId="0" applyNumberFormat="1" applyAlignment="1">
      <alignment horizontal="left"/>
    </xf>
    <xf numFmtId="168" fontId="0" fillId="0" borderId="1" xfId="0" applyNumberFormat="1" applyBorder="1" applyAlignment="1">
      <alignment horizontal="left"/>
    </xf>
    <xf numFmtId="168" fontId="0" fillId="0" borderId="0" xfId="0" applyNumberFormat="1" applyAlignment="1">
      <alignment horizontal="left"/>
    </xf>
    <xf numFmtId="3" fontId="2" fillId="0" borderId="1" xfId="0" applyNumberFormat="1" applyFont="1" applyBorder="1" applyAlignment="1">
      <alignment horizontal="left"/>
    </xf>
    <xf numFmtId="3" fontId="2" fillId="2" borderId="0" xfId="0" applyNumberFormat="1" applyFont="1" applyFill="1" applyAlignment="1">
      <alignment horizontal="left"/>
    </xf>
    <xf numFmtId="1" fontId="2" fillId="0" borderId="0" xfId="0" applyNumberFormat="1" applyFont="1" applyAlignment="1">
      <alignment horizontal="left"/>
    </xf>
    <xf numFmtId="168" fontId="2" fillId="0" borderId="1" xfId="0" applyNumberFormat="1" applyFont="1" applyBorder="1" applyAlignment="1">
      <alignment horizontal="left"/>
    </xf>
    <xf numFmtId="168" fontId="2" fillId="0" borderId="0" xfId="0" applyNumberFormat="1" applyFont="1" applyAlignment="1">
      <alignment horizontal="left"/>
    </xf>
    <xf numFmtId="3" fontId="0" fillId="0" borderId="0" xfId="0" applyNumberFormat="1" applyFont="1" applyAlignment="1">
      <alignment horizontal="left"/>
    </xf>
    <xf numFmtId="9" fontId="0" fillId="2" borderId="0" xfId="0" applyNumberFormat="1" applyFill="1" applyAlignment="1">
      <alignment horizontal="left"/>
    </xf>
    <xf numFmtId="4" fontId="0" fillId="0" borderId="0" xfId="0" applyNumberFormat="1" applyAlignment="1">
      <alignment horizontal="left"/>
    </xf>
    <xf numFmtId="4" fontId="0" fillId="0" borderId="1" xfId="0" applyNumberFormat="1" applyBorder="1" applyAlignment="1">
      <alignment horizontal="left"/>
    </xf>
    <xf numFmtId="4" fontId="0" fillId="2" borderId="0" xfId="0" applyNumberFormat="1" applyFill="1" applyAlignment="1">
      <alignment horizontal="left"/>
    </xf>
    <xf numFmtId="9" fontId="0" fillId="0" borderId="0" xfId="0" applyNumberFormat="1" applyAlignment="1">
      <alignment horizontal="left"/>
    </xf>
    <xf numFmtId="9" fontId="0" fillId="0" borderId="1" xfId="0" applyNumberFormat="1" applyBorder="1" applyAlignment="1">
      <alignment horizontal="left"/>
    </xf>
    <xf numFmtId="165" fontId="0" fillId="2" borderId="0" xfId="0" applyNumberFormat="1" applyFill="1" applyAlignment="1">
      <alignment horizontal="left"/>
    </xf>
    <xf numFmtId="165" fontId="0" fillId="0" borderId="0" xfId="0" applyNumberFormat="1" applyAlignment="1">
      <alignment horizontal="left"/>
    </xf>
    <xf numFmtId="171" fontId="0" fillId="0" borderId="0" xfId="0" applyNumberFormat="1" applyAlignment="1">
      <alignment horizontal="left"/>
    </xf>
    <xf numFmtId="171" fontId="0" fillId="0" borderId="1" xfId="0" applyNumberFormat="1" applyBorder="1" applyAlignment="1">
      <alignment horizontal="left"/>
    </xf>
    <xf numFmtId="171" fontId="0" fillId="2" borderId="0" xfId="0" applyNumberFormat="1" applyFill="1" applyAlignment="1">
      <alignment horizontal="left"/>
    </xf>
    <xf numFmtId="164" fontId="0" fillId="2" borderId="0" xfId="0" applyNumberFormat="1" applyFill="1" applyAlignment="1">
      <alignment horizontal="left"/>
    </xf>
    <xf numFmtId="164" fontId="0" fillId="0" borderId="0" xfId="0" applyNumberFormat="1" applyAlignment="1">
      <alignment horizontal="left"/>
    </xf>
    <xf numFmtId="175" fontId="0" fillId="0" borderId="0" xfId="0" applyNumberFormat="1" applyAlignment="1">
      <alignment horizontal="left"/>
    </xf>
    <xf numFmtId="175" fontId="0" fillId="0" borderId="1" xfId="0" applyNumberFormat="1" applyBorder="1" applyAlignment="1">
      <alignment horizontal="left"/>
    </xf>
    <xf numFmtId="175" fontId="0" fillId="2" borderId="0" xfId="0" applyNumberFormat="1" applyFill="1" applyAlignment="1">
      <alignment horizontal="left"/>
    </xf>
    <xf numFmtId="3" fontId="10" fillId="0" borderId="1" xfId="0" applyNumberFormat="1" applyFont="1" applyBorder="1" applyAlignment="1">
      <alignment horizontal="left"/>
    </xf>
    <xf numFmtId="3" fontId="10" fillId="2" borderId="0" xfId="0" applyNumberFormat="1" applyFont="1" applyFill="1" applyAlignment="1">
      <alignment horizontal="left"/>
    </xf>
    <xf numFmtId="38" fontId="0" fillId="0" borderId="0" xfId="0" applyNumberFormat="1" applyAlignment="1">
      <alignment horizontal="left"/>
    </xf>
    <xf numFmtId="38" fontId="0" fillId="0" borderId="1" xfId="0" applyNumberFormat="1" applyBorder="1" applyAlignment="1">
      <alignment horizontal="left"/>
    </xf>
    <xf numFmtId="38" fontId="0" fillId="2" borderId="0" xfId="0" applyNumberFormat="1" applyFill="1" applyAlignment="1">
      <alignment horizontal="left"/>
    </xf>
    <xf numFmtId="38" fontId="7" fillId="0" borderId="0" xfId="0" applyNumberFormat="1" applyFont="1" applyAlignment="1">
      <alignment horizontal="left"/>
    </xf>
    <xf numFmtId="38" fontId="7" fillId="0" borderId="1" xfId="0" applyNumberFormat="1" applyFont="1" applyBorder="1" applyAlignment="1">
      <alignment horizontal="left"/>
    </xf>
    <xf numFmtId="38" fontId="7" fillId="2" borderId="0" xfId="0" applyNumberFormat="1" applyFont="1" applyFill="1" applyAlignment="1">
      <alignment horizontal="left"/>
    </xf>
    <xf numFmtId="3" fontId="7" fillId="0" borderId="0" xfId="0" applyNumberFormat="1" applyFont="1" applyAlignment="1">
      <alignment horizontal="left"/>
    </xf>
    <xf numFmtId="3" fontId="7" fillId="2" borderId="0" xfId="0" applyNumberFormat="1" applyFont="1" applyFill="1" applyAlignment="1">
      <alignment horizontal="left"/>
    </xf>
    <xf numFmtId="3" fontId="7" fillId="0" borderId="1" xfId="0" applyNumberFormat="1" applyFont="1" applyBorder="1" applyAlignment="1">
      <alignment horizontal="left"/>
    </xf>
    <xf numFmtId="14" fontId="2" fillId="0" borderId="0" xfId="0" applyNumberFormat="1" applyFont="1"/>
    <xf numFmtId="0" fontId="2" fillId="0" borderId="0" xfId="0" applyFont="1" applyAlignment="1">
      <alignment horizontal="left"/>
    </xf>
    <xf numFmtId="0" fontId="0" fillId="0" borderId="0" xfId="0" applyAlignment="1">
      <alignment horizontal="left"/>
    </xf>
    <xf numFmtId="167" fontId="0" fillId="0" borderId="0" xfId="0" applyNumberFormat="1" applyAlignment="1">
      <alignment horizontal="left"/>
    </xf>
    <xf numFmtId="0" fontId="5" fillId="0" borderId="0" xfId="0" applyFont="1" applyAlignment="1">
      <alignment horizontal="left"/>
    </xf>
    <xf numFmtId="0" fontId="12" fillId="0" borderId="0" xfId="0" applyFont="1" applyAlignment="1">
      <alignment horizontal="left"/>
    </xf>
    <xf numFmtId="0" fontId="2" fillId="0" borderId="0" xfId="0" applyFont="1" applyAlignment="1"/>
    <xf numFmtId="0" fontId="0" fillId="0" borderId="0" xfId="0" applyAlignment="1"/>
    <xf numFmtId="43" fontId="0" fillId="0" borderId="0" xfId="0" applyNumberFormat="1" applyAlignment="1"/>
    <xf numFmtId="9" fontId="0" fillId="0" borderId="0" xfId="0" applyNumberFormat="1" applyAlignment="1"/>
    <xf numFmtId="43" fontId="6" fillId="0" borderId="0" xfId="0" applyNumberFormat="1" applyFont="1" applyAlignment="1"/>
    <xf numFmtId="182" fontId="0" fillId="0" borderId="0" xfId="0" applyNumberFormat="1" applyAlignment="1"/>
    <xf numFmtId="172" fontId="0" fillId="0" borderId="0" xfId="0" applyNumberFormat="1" applyAlignment="1">
      <alignment horizontal="left"/>
    </xf>
    <xf numFmtId="3" fontId="0" fillId="0" borderId="2" xfId="0" applyNumberFormat="1" applyBorder="1" applyAlignment="1">
      <alignment horizontal="left"/>
    </xf>
    <xf numFmtId="9" fontId="0" fillId="0" borderId="3" xfId="0" applyNumberFormat="1" applyBorder="1" applyAlignment="1">
      <alignment horizontal="left"/>
    </xf>
    <xf numFmtId="171" fontId="0" fillId="0" borderId="4" xfId="0" applyNumberFormat="1" applyBorder="1" applyAlignment="1">
      <alignment horizontal="left"/>
    </xf>
    <xf numFmtId="3" fontId="0" fillId="0" borderId="4" xfId="0" applyNumberFormat="1" applyBorder="1" applyAlignment="1">
      <alignment horizontal="left"/>
    </xf>
    <xf numFmtId="9" fontId="0" fillId="0" borderId="4" xfId="0" applyNumberFormat="1" applyBorder="1" applyAlignment="1">
      <alignment horizontal="left"/>
    </xf>
    <xf numFmtId="3" fontId="0" fillId="0" borderId="5" xfId="0" applyNumberFormat="1" applyBorder="1" applyAlignment="1">
      <alignment horizontal="left"/>
    </xf>
    <xf numFmtId="172" fontId="0" fillId="0" borderId="6" xfId="0" applyNumberFormat="1" applyBorder="1" applyAlignment="1">
      <alignment horizontal="left"/>
    </xf>
    <xf numFmtId="170" fontId="2" fillId="0" borderId="0" xfId="0" applyNumberFormat="1" applyFont="1" applyAlignment="1">
      <alignment horizontal="left"/>
    </xf>
    <xf numFmtId="172" fontId="10" fillId="0" borderId="0" xfId="0" applyNumberFormat="1" applyFont="1" applyAlignment="1">
      <alignment horizontal="left"/>
    </xf>
    <xf numFmtId="172" fontId="0" fillId="0" borderId="1" xfId="0" applyNumberFormat="1" applyBorder="1" applyAlignment="1">
      <alignment horizontal="left"/>
    </xf>
    <xf numFmtId="172" fontId="0" fillId="2" borderId="0" xfId="0" applyNumberFormat="1" applyFill="1" applyAlignment="1">
      <alignment horizontal="left"/>
    </xf>
    <xf numFmtId="6" fontId="0" fillId="0" borderId="4" xfId="0" applyNumberFormat="1" applyBorder="1" applyAlignment="1">
      <alignment horizontal="left"/>
    </xf>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ir.kroger.com/CorporateProfile/press-releases/press-release/2022/Kroger-and-Albertsons-Companies-Announce-Definitive-Merger-Agreement/default.aspx" TargetMode="External"/><Relationship Id="rId3" Type="http://schemas.openxmlformats.org/officeDocument/2006/relationships/hyperlink" Target="https://ir.kroger.com/CorporateProfile/press-releases/press-release/2022/Kroger-Reports-Second-Quarter-2022-Results-and-Raises-Full-Year-Guidance/default.aspx" TargetMode="External"/><Relationship Id="rId7" Type="http://schemas.openxmlformats.org/officeDocument/2006/relationships/hyperlink" Target="https://ir.kroger.com/CorporateProfile/press-releases/press-release/2022/Kroger-Delivery-Arrives-in-Greater-Detroit/default.aspx" TargetMode="External"/><Relationship Id="rId2" Type="http://schemas.openxmlformats.org/officeDocument/2006/relationships/hyperlink" Target="https://ir.kroger.com/CorporateProfile/press-releases/press-release/2022/Kroger-Delivery-Now-Available-in-Dallas/default.aspx" TargetMode="External"/><Relationship Id="rId1" Type="http://schemas.openxmlformats.org/officeDocument/2006/relationships/hyperlink" Target="https://ir.kroger.com/CorporateProfile/press-releases/press-release/2022/Kroger-Delivery-Arrives-in-Louisville/default.aspx" TargetMode="External"/><Relationship Id="rId6" Type="http://schemas.openxmlformats.org/officeDocument/2006/relationships/hyperlink" Target="https://ir.kroger.com/CorporateProfile/press-releases/press-release/2022/Kroger-Foundation-and-Thurgood-Marshall-College-Fund-Collaborate-for-Second-Annual-Zero-Hunger--Zero-Waste-Innovation-Challenge/default.aspx" TargetMode="External"/><Relationship Id="rId11" Type="http://schemas.openxmlformats.org/officeDocument/2006/relationships/comments" Target="../comments1.xml"/><Relationship Id="rId5" Type="http://schemas.openxmlformats.org/officeDocument/2006/relationships/hyperlink" Target="https://ir.kroger.com/CorporateProfile/press-releases/press-release/2022/Kroger-unveils-heartfelt-holiday-campaign-with-new-Kroji-characters/default.aspx" TargetMode="External"/><Relationship Id="rId10" Type="http://schemas.openxmlformats.org/officeDocument/2006/relationships/vmlDrawing" Target="../drawings/vmlDrawing1.vml"/><Relationship Id="rId4" Type="http://schemas.openxmlformats.org/officeDocument/2006/relationships/hyperlink" Target="https://ir.kroger.com/CorporateProfile/press-releases/press-release/2022/The-Kroger-Family-of-Companies-to-Host-Veteran-Career-Expo-Event-on-November-10/default.aspx" TargetMode="External"/><Relationship Id="rId9" Type="http://schemas.openxmlformats.org/officeDocument/2006/relationships/hyperlink" Target="https://www.kroger.com/stores/search?searchText=94040"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FEF81-C044-9C43-A3D2-F09E98187241}">
  <dimension ref="B2:I19"/>
  <sheetViews>
    <sheetView zoomScale="220" zoomScaleNormal="220" workbookViewId="0">
      <selection activeCell="B10" sqref="B10"/>
    </sheetView>
  </sheetViews>
  <sheetFormatPr baseColWidth="10" defaultRowHeight="14"/>
  <cols>
    <col min="1" max="1" width="10.83203125" style="1"/>
    <col min="2" max="2" width="17" style="1" bestFit="1" customWidth="1"/>
    <col min="3" max="3" width="10.83203125" style="1"/>
    <col min="4" max="4" width="7" style="1" bestFit="1" customWidth="1"/>
    <col min="5" max="5" width="8.5" style="3" bestFit="1" customWidth="1"/>
    <col min="6" max="6" width="10.83203125" style="1"/>
    <col min="7" max="7" width="6.33203125" style="1" bestFit="1" customWidth="1"/>
    <col min="8" max="8" width="6.5" style="1" bestFit="1" customWidth="1"/>
    <col min="9" max="9" width="5.83203125" style="1" bestFit="1" customWidth="1"/>
    <col min="10" max="16384" width="10.83203125" style="1"/>
  </cols>
  <sheetData>
    <row r="2" spans="2:9">
      <c r="G2" s="1" t="s">
        <v>0</v>
      </c>
      <c r="H2" s="1">
        <v>48.11</v>
      </c>
    </row>
    <row r="3" spans="2:9">
      <c r="B3" s="1" t="s">
        <v>165</v>
      </c>
      <c r="G3" s="1" t="s">
        <v>1</v>
      </c>
      <c r="H3" s="1">
        <v>715.80631900000003</v>
      </c>
      <c r="I3" s="1" t="s">
        <v>105</v>
      </c>
    </row>
    <row r="4" spans="2:9">
      <c r="B4" s="1" t="s">
        <v>164</v>
      </c>
      <c r="D4" s="1" t="s">
        <v>157</v>
      </c>
      <c r="G4" s="1" t="s">
        <v>2</v>
      </c>
      <c r="H4" s="1">
        <f>+H2*H3</f>
        <v>34437.442007090001</v>
      </c>
    </row>
    <row r="5" spans="2:9">
      <c r="D5" s="1" t="s">
        <v>158</v>
      </c>
      <c r="G5" s="1" t="s">
        <v>3</v>
      </c>
      <c r="H5" s="1">
        <v>1102</v>
      </c>
      <c r="I5" s="1" t="str">
        <f>+I3</f>
        <v>Q2'22</v>
      </c>
    </row>
    <row r="6" spans="2:9">
      <c r="D6" s="1" t="s">
        <v>159</v>
      </c>
      <c r="G6" s="1" t="s">
        <v>4</v>
      </c>
      <c r="H6" s="1">
        <f>789+12488</f>
        <v>13277</v>
      </c>
      <c r="I6" s="1" t="str">
        <f>+I5</f>
        <v>Q2'22</v>
      </c>
    </row>
    <row r="7" spans="2:9">
      <c r="E7" s="5" t="s">
        <v>69</v>
      </c>
      <c r="G7" s="1" t="s">
        <v>5</v>
      </c>
      <c r="H7" s="1">
        <f>+H4-H5+H6</f>
        <v>46612.442007090001</v>
      </c>
    </row>
    <row r="8" spans="2:9">
      <c r="D8" s="1" t="s">
        <v>160</v>
      </c>
      <c r="E8" s="20">
        <v>44869</v>
      </c>
    </row>
    <row r="9" spans="2:9">
      <c r="D9" s="1" t="s">
        <v>160</v>
      </c>
      <c r="E9" s="20">
        <v>44868</v>
      </c>
    </row>
    <row r="10" spans="2:9">
      <c r="D10" s="1" t="s">
        <v>160</v>
      </c>
      <c r="E10" s="20">
        <v>44865</v>
      </c>
    </row>
    <row r="11" spans="2:9">
      <c r="D11" s="1" t="s">
        <v>160</v>
      </c>
      <c r="E11" s="20">
        <v>44852</v>
      </c>
    </row>
    <row r="12" spans="2:9">
      <c r="D12" s="1" t="s">
        <v>160</v>
      </c>
      <c r="E12" s="20">
        <v>44848</v>
      </c>
    </row>
    <row r="13" spans="2:9">
      <c r="D13" s="1" t="s">
        <v>160</v>
      </c>
      <c r="E13" s="20">
        <v>44813</v>
      </c>
    </row>
    <row r="14" spans="2:9">
      <c r="B14" s="7"/>
      <c r="D14" s="1" t="s">
        <v>160</v>
      </c>
      <c r="E14" s="6">
        <v>44775</v>
      </c>
      <c r="F14" s="1" t="s">
        <v>70</v>
      </c>
    </row>
    <row r="15" spans="2:9">
      <c r="D15" s="1" t="s">
        <v>160</v>
      </c>
      <c r="E15" s="6">
        <v>44770</v>
      </c>
      <c r="F15" s="1" t="s">
        <v>71</v>
      </c>
    </row>
    <row r="18" spans="5:5">
      <c r="E18" s="73" t="s">
        <v>166</v>
      </c>
    </row>
    <row r="19" spans="5:5">
      <c r="E19" s="6" t="s">
        <v>167</v>
      </c>
    </row>
  </sheetData>
  <hyperlinks>
    <hyperlink ref="E14" r:id="rId1" display="https://ir.kroger.com/CorporateProfile/press-releases/press-release/2022/Kroger-Delivery-Arrives-in-Louisville/default.aspx" xr:uid="{D709F8E3-06E4-784A-AF47-0F1C219A7952}"/>
    <hyperlink ref="E15" r:id="rId2" display="https://ir.kroger.com/CorporateProfile/press-releases/press-release/2022/Kroger-Delivery-Now-Available-in-Dallas/default.aspx" xr:uid="{CC229208-AD30-3247-94DB-2F0C21E5A043}"/>
    <hyperlink ref="E13" r:id="rId3" display="https://ir.kroger.com/CorporateProfile/press-releases/press-release/2022/Kroger-Reports-Second-Quarter-2022-Results-and-Raises-Full-Year-Guidance/default.aspx" xr:uid="{0DC47B34-FE87-5840-8F7F-41954E1B742C}"/>
    <hyperlink ref="E8" r:id="rId4" display="https://ir.kroger.com/CorporateProfile/press-releases/press-release/2022/The-Kroger-Family-of-Companies-to-Host-Veteran-Career-Expo-Event-on-November-10/default.aspx" xr:uid="{37D57840-AF2B-5142-8A64-DBA90754BABE}"/>
    <hyperlink ref="E9" r:id="rId5" display="https://ir.kroger.com/CorporateProfile/press-releases/press-release/2022/Kroger-unveils-heartfelt-holiday-campaign-with-new-Kroji-characters/default.aspx" xr:uid="{A72F7685-62F1-3243-8E62-811113FB72F4}"/>
    <hyperlink ref="E10" r:id="rId6" display="https://ir.kroger.com/CorporateProfile/press-releases/press-release/2022/Kroger-Foundation-and-Thurgood-Marshall-College-Fund-Collaborate-for-Second-Annual-Zero-Hunger--Zero-Waste-Innovation-Challenge/default.aspx" xr:uid="{C16E0025-F10C-024E-B264-AC267E99B51E}"/>
    <hyperlink ref="E11" r:id="rId7" display="https://ir.kroger.com/CorporateProfile/press-releases/press-release/2022/Kroger-Delivery-Arrives-in-Greater-Detroit/default.aspx" xr:uid="{5E4EBC59-3C67-0940-A2B8-BA914E47D2E4}"/>
    <hyperlink ref="E12" r:id="rId8" display="https://ir.kroger.com/CorporateProfile/press-releases/press-release/2022/Kroger-and-Albertsons-Companies-Announce-Definitive-Merger-Agreement/default.aspx" xr:uid="{5627739D-B71B-FE43-B5FC-E38998D87801}"/>
    <hyperlink ref="E19" r:id="rId9" xr:uid="{CE4455D3-E16E-EA46-9965-ED7EBAC02195}"/>
  </hyperlinks>
  <pageMargins left="0.7" right="0.7" top="0.75" bottom="0.75" header="0.3" footer="0.3"/>
  <legacyDrawing r:id="rId1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C58ED-1DE3-7C4E-A342-277DF1D3C7CB}">
  <dimension ref="B2:FE151"/>
  <sheetViews>
    <sheetView tabSelected="1" zoomScale="160" zoomScaleNormal="110" workbookViewId="0">
      <pane xSplit="2" ySplit="3" topLeftCell="V4" activePane="bottomRight" state="frozen"/>
      <selection pane="topRight" activeCell="C1" sqref="C1"/>
      <selection pane="bottomLeft" activeCell="A3" sqref="A3"/>
      <selection pane="bottomRight" activeCell="AJ41" sqref="AJ41"/>
    </sheetView>
  </sheetViews>
  <sheetFormatPr baseColWidth="10" defaultRowHeight="14"/>
  <cols>
    <col min="1" max="1" width="4" style="34" customWidth="1"/>
    <col min="2" max="2" width="19.83203125" style="22" bestFit="1" customWidth="1"/>
    <col min="3" max="12" width="7.5" style="34" bestFit="1" customWidth="1"/>
    <col min="13" max="13" width="6.5" style="35" bestFit="1" customWidth="1"/>
    <col min="14" max="14" width="7.6640625" style="34" bestFit="1" customWidth="1"/>
    <col min="15" max="15" width="2.1640625" style="34" bestFit="1" customWidth="1"/>
    <col min="16" max="16" width="1.33203125" style="36" customWidth="1"/>
    <col min="17" max="17" width="10.83203125" style="34"/>
    <col min="18" max="19" width="5.1640625" style="34" bestFit="1" customWidth="1"/>
    <col min="20" max="27" width="7.5" style="34" bestFit="1" customWidth="1"/>
    <col min="28" max="28" width="7.5" style="35" bestFit="1" customWidth="1"/>
    <col min="29" max="37" width="7.5" style="34" bestFit="1" customWidth="1"/>
    <col min="38" max="39" width="5.5" style="34" bestFit="1" customWidth="1"/>
    <col min="40" max="40" width="10.6640625" style="34" bestFit="1" customWidth="1"/>
    <col min="41" max="41" width="8.1640625" style="34" bestFit="1" customWidth="1"/>
    <col min="42" max="161" width="5.5" style="34" bestFit="1" customWidth="1"/>
    <col min="162" max="16384" width="10.83203125" style="34"/>
  </cols>
  <sheetData>
    <row r="2" spans="2:39" s="31" customFormat="1">
      <c r="B2" s="21"/>
      <c r="C2" s="31">
        <v>43974</v>
      </c>
      <c r="D2" s="31">
        <v>44058</v>
      </c>
      <c r="E2" s="31">
        <v>44142</v>
      </c>
      <c r="F2" s="31">
        <f>+Z2</f>
        <v>44226</v>
      </c>
      <c r="G2" s="31">
        <v>44338</v>
      </c>
      <c r="H2" s="31">
        <v>44422</v>
      </c>
      <c r="I2" s="31">
        <v>44506</v>
      </c>
      <c r="J2" s="31">
        <f>+AA2</f>
        <v>44590</v>
      </c>
      <c r="K2" s="31">
        <v>44702</v>
      </c>
      <c r="L2" s="31">
        <v>44786</v>
      </c>
      <c r="M2" s="32"/>
      <c r="P2" s="33"/>
      <c r="U2" s="31">
        <v>42399</v>
      </c>
      <c r="V2" s="31">
        <v>42763</v>
      </c>
      <c r="W2" s="31">
        <v>43134</v>
      </c>
      <c r="X2" s="31">
        <v>43498</v>
      </c>
      <c r="Y2" s="31">
        <v>43862</v>
      </c>
      <c r="Z2" s="31">
        <v>44226</v>
      </c>
      <c r="AA2" s="31">
        <v>44590</v>
      </c>
      <c r="AB2" s="32"/>
    </row>
    <row r="3" spans="2:39">
      <c r="C3" s="34" t="s">
        <v>7</v>
      </c>
      <c r="D3" s="34" t="s">
        <v>8</v>
      </c>
      <c r="E3" s="34" t="s">
        <v>9</v>
      </c>
      <c r="F3" s="34" t="s">
        <v>10</v>
      </c>
      <c r="G3" s="34" t="s">
        <v>11</v>
      </c>
      <c r="H3" s="34" t="s">
        <v>12</v>
      </c>
      <c r="I3" s="34" t="s">
        <v>13</v>
      </c>
      <c r="J3" s="34" t="s">
        <v>14</v>
      </c>
      <c r="K3" s="34" t="s">
        <v>6</v>
      </c>
      <c r="L3" s="34" t="s">
        <v>15</v>
      </c>
      <c r="M3" s="35" t="s">
        <v>106</v>
      </c>
      <c r="N3" s="34" t="s">
        <v>107</v>
      </c>
      <c r="R3" s="37"/>
      <c r="S3" s="37">
        <v>2013</v>
      </c>
      <c r="T3" s="37">
        <v>2014</v>
      </c>
      <c r="U3" s="37">
        <f>+T3+1</f>
        <v>2015</v>
      </c>
      <c r="V3" s="37">
        <f t="shared" ref="V3:AK3" si="0">+U3+1</f>
        <v>2016</v>
      </c>
      <c r="W3" s="37">
        <f t="shared" si="0"/>
        <v>2017</v>
      </c>
      <c r="X3" s="37">
        <f t="shared" si="0"/>
        <v>2018</v>
      </c>
      <c r="Y3" s="37">
        <f t="shared" si="0"/>
        <v>2019</v>
      </c>
      <c r="Z3" s="37">
        <f t="shared" si="0"/>
        <v>2020</v>
      </c>
      <c r="AA3" s="37">
        <f t="shared" si="0"/>
        <v>2021</v>
      </c>
      <c r="AB3" s="38">
        <f t="shared" si="0"/>
        <v>2022</v>
      </c>
      <c r="AC3" s="39">
        <f t="shared" si="0"/>
        <v>2023</v>
      </c>
      <c r="AD3" s="39">
        <f t="shared" si="0"/>
        <v>2024</v>
      </c>
      <c r="AE3" s="39">
        <f t="shared" si="0"/>
        <v>2025</v>
      </c>
      <c r="AF3" s="39">
        <f t="shared" si="0"/>
        <v>2026</v>
      </c>
      <c r="AG3" s="39">
        <f t="shared" si="0"/>
        <v>2027</v>
      </c>
      <c r="AH3" s="39">
        <f t="shared" si="0"/>
        <v>2028</v>
      </c>
      <c r="AI3" s="39">
        <f t="shared" si="0"/>
        <v>2029</v>
      </c>
      <c r="AJ3" s="39">
        <f t="shared" si="0"/>
        <v>2030</v>
      </c>
      <c r="AK3" s="39">
        <f t="shared" si="0"/>
        <v>2031</v>
      </c>
      <c r="AL3" s="37"/>
      <c r="AM3" s="37"/>
    </row>
    <row r="4" spans="2:39" s="23" customFormat="1">
      <c r="B4" s="23" t="s">
        <v>163</v>
      </c>
      <c r="J4" s="23">
        <v>2726</v>
      </c>
      <c r="M4" s="40"/>
      <c r="P4" s="41"/>
      <c r="T4" s="42"/>
      <c r="U4" s="42"/>
      <c r="V4" s="42"/>
      <c r="W4" s="42"/>
      <c r="X4" s="42"/>
      <c r="Y4" s="42"/>
      <c r="Z4" s="42"/>
      <c r="AA4" s="42"/>
      <c r="AB4" s="43"/>
      <c r="AC4" s="44"/>
      <c r="AD4" s="44"/>
      <c r="AE4" s="44"/>
      <c r="AF4" s="44"/>
      <c r="AG4" s="44"/>
      <c r="AH4" s="44"/>
      <c r="AI4" s="44"/>
      <c r="AJ4" s="44"/>
      <c r="AK4" s="44"/>
      <c r="AL4" s="42"/>
      <c r="AM4" s="42"/>
    </row>
    <row r="5" spans="2:39">
      <c r="B5" s="22" t="s">
        <v>161</v>
      </c>
      <c r="J5" s="34">
        <v>2252</v>
      </c>
      <c r="T5" s="37"/>
      <c r="U5" s="37"/>
      <c r="V5" s="37"/>
      <c r="W5" s="37"/>
      <c r="X5" s="37"/>
      <c r="Y5" s="37"/>
      <c r="Z5" s="37"/>
      <c r="AA5" s="37"/>
      <c r="AB5" s="38"/>
      <c r="AC5" s="39"/>
      <c r="AD5" s="39"/>
      <c r="AE5" s="39"/>
      <c r="AF5" s="39"/>
      <c r="AG5" s="39"/>
      <c r="AH5" s="39"/>
      <c r="AI5" s="39"/>
      <c r="AJ5" s="39"/>
      <c r="AK5" s="39"/>
      <c r="AL5" s="37"/>
      <c r="AM5" s="37"/>
    </row>
    <row r="6" spans="2:39">
      <c r="B6" s="22" t="s">
        <v>162</v>
      </c>
      <c r="J6" s="34">
        <v>1613</v>
      </c>
      <c r="T6" s="37"/>
      <c r="U6" s="37"/>
      <c r="V6" s="37"/>
      <c r="W6" s="37"/>
      <c r="X6" s="37"/>
      <c r="Y6" s="37"/>
      <c r="Z6" s="37"/>
      <c r="AA6" s="37"/>
      <c r="AB6" s="38"/>
      <c r="AC6" s="39"/>
      <c r="AD6" s="39"/>
      <c r="AE6" s="39"/>
      <c r="AF6" s="39"/>
      <c r="AG6" s="39"/>
      <c r="AH6" s="39"/>
      <c r="AI6" s="39"/>
      <c r="AJ6" s="39"/>
      <c r="AK6" s="39"/>
      <c r="AL6" s="37"/>
      <c r="AM6" s="37"/>
    </row>
    <row r="7" spans="2:39">
      <c r="T7" s="37"/>
      <c r="U7" s="37"/>
      <c r="V7" s="37"/>
      <c r="W7" s="37"/>
      <c r="X7" s="37"/>
      <c r="Y7" s="37"/>
      <c r="Z7" s="37"/>
      <c r="AA7" s="37"/>
      <c r="AB7" s="38"/>
      <c r="AC7" s="39"/>
      <c r="AD7" s="39"/>
      <c r="AE7" s="39"/>
      <c r="AF7" s="39"/>
      <c r="AG7" s="39"/>
      <c r="AH7" s="39"/>
      <c r="AI7" s="39"/>
      <c r="AJ7" s="39"/>
      <c r="AK7" s="39"/>
      <c r="AL7" s="37"/>
      <c r="AM7" s="37"/>
    </row>
    <row r="8" spans="2:39">
      <c r="T8" s="37"/>
      <c r="U8" s="37"/>
      <c r="V8" s="37"/>
      <c r="W8" s="37"/>
      <c r="X8" s="37"/>
      <c r="Y8" s="37"/>
      <c r="Z8" s="37"/>
      <c r="AA8" s="37"/>
      <c r="AB8" s="38"/>
      <c r="AC8" s="39"/>
      <c r="AD8" s="39"/>
      <c r="AE8" s="39"/>
      <c r="AF8" s="39"/>
      <c r="AG8" s="39"/>
      <c r="AH8" s="39"/>
      <c r="AI8" s="39"/>
      <c r="AJ8" s="39"/>
      <c r="AK8" s="39"/>
      <c r="AL8" s="37"/>
      <c r="AM8" s="37"/>
    </row>
    <row r="9" spans="2:39">
      <c r="T9" s="37"/>
      <c r="U9" s="37"/>
      <c r="V9" s="37"/>
      <c r="W9" s="37"/>
      <c r="X9" s="37"/>
      <c r="Y9" s="37"/>
      <c r="Z9" s="37"/>
      <c r="AA9" s="37"/>
      <c r="AB9" s="38"/>
      <c r="AC9" s="39"/>
      <c r="AD9" s="39"/>
      <c r="AE9" s="39"/>
      <c r="AF9" s="39"/>
      <c r="AG9" s="39"/>
      <c r="AH9" s="39"/>
      <c r="AI9" s="39"/>
      <c r="AJ9" s="39"/>
      <c r="AK9" s="39"/>
      <c r="AL9" s="37"/>
      <c r="AM9" s="37"/>
    </row>
    <row r="10" spans="2:39">
      <c r="B10" s="22" t="s">
        <v>17</v>
      </c>
      <c r="C10" s="34">
        <v>41549</v>
      </c>
      <c r="D10" s="34">
        <v>30489</v>
      </c>
      <c r="E10" s="34">
        <v>29723</v>
      </c>
      <c r="F10" s="34">
        <f>+Z10-SUM(C10:E10)</f>
        <v>30737</v>
      </c>
      <c r="G10" s="34">
        <v>41298</v>
      </c>
      <c r="H10" s="34">
        <v>31682</v>
      </c>
      <c r="I10" s="34">
        <v>31860</v>
      </c>
      <c r="J10" s="34">
        <f>+AA10-SUM(G10:I10)</f>
        <v>33048</v>
      </c>
      <c r="K10" s="34">
        <v>44600</v>
      </c>
      <c r="L10" s="34">
        <v>34638</v>
      </c>
      <c r="M10" s="35">
        <f t="shared" ref="M10:N10" si="1">+I10*1.04</f>
        <v>33134.400000000001</v>
      </c>
      <c r="N10" s="34">
        <f t="shared" si="1"/>
        <v>34369.919999999998</v>
      </c>
      <c r="T10" s="34">
        <v>108465</v>
      </c>
      <c r="U10" s="34">
        <v>109830</v>
      </c>
      <c r="V10" s="34">
        <v>115337</v>
      </c>
      <c r="W10" s="34">
        <v>123280</v>
      </c>
      <c r="X10" s="34">
        <v>121852</v>
      </c>
      <c r="Y10" s="34">
        <v>122286</v>
      </c>
      <c r="Z10" s="34">
        <v>132498</v>
      </c>
      <c r="AA10" s="34">
        <v>137888</v>
      </c>
      <c r="AB10" s="35">
        <f>+SUM(K10:N10)</f>
        <v>146742.32</v>
      </c>
      <c r="AC10" s="34">
        <f>+AB10*1.04</f>
        <v>152612.01280000003</v>
      </c>
      <c r="AD10" s="34">
        <f t="shared" ref="AD10:AK10" si="2">+AC10*1.04</f>
        <v>158716.49331200004</v>
      </c>
      <c r="AE10" s="34">
        <f t="shared" si="2"/>
        <v>165065.15304448004</v>
      </c>
      <c r="AF10" s="34">
        <f t="shared" si="2"/>
        <v>171667.75916625926</v>
      </c>
      <c r="AG10" s="34">
        <f t="shared" si="2"/>
        <v>178534.46953290963</v>
      </c>
      <c r="AH10" s="34">
        <f t="shared" si="2"/>
        <v>185675.84831422602</v>
      </c>
      <c r="AI10" s="34">
        <f t="shared" si="2"/>
        <v>193102.88224679508</v>
      </c>
      <c r="AJ10" s="34">
        <f t="shared" si="2"/>
        <v>200826.9975366669</v>
      </c>
      <c r="AK10" s="34">
        <f t="shared" si="2"/>
        <v>208860.07743813357</v>
      </c>
    </row>
    <row r="11" spans="2:39">
      <c r="B11" s="22" t="s">
        <v>18</v>
      </c>
      <c r="C11" s="34">
        <v>31454</v>
      </c>
      <c r="D11" s="34">
        <v>23551</v>
      </c>
      <c r="E11" s="34">
        <v>22901</v>
      </c>
      <c r="F11" s="34">
        <f t="shared" ref="F11:F25" si="3">+Z11-SUM(C11:E11)</f>
        <v>23691</v>
      </c>
      <c r="G11" s="34">
        <v>31947</v>
      </c>
      <c r="H11" s="34">
        <v>24914</v>
      </c>
      <c r="I11" s="34">
        <v>24959</v>
      </c>
      <c r="J11" s="34">
        <f t="shared" ref="J11:J25" si="4">+AA11-SUM(G11:I11)</f>
        <v>25719</v>
      </c>
      <c r="K11" s="45">
        <v>34952</v>
      </c>
      <c r="L11" s="34">
        <v>27392</v>
      </c>
      <c r="M11" s="35">
        <f t="shared" ref="M11:N13" si="5">+M$10*(I11/I$10)</f>
        <v>25957.360000000001</v>
      </c>
      <c r="N11" s="34">
        <f t="shared" si="5"/>
        <v>26747.759999999998</v>
      </c>
      <c r="T11" s="34">
        <v>85512</v>
      </c>
      <c r="U11" s="34">
        <v>85496</v>
      </c>
      <c r="V11" s="34">
        <v>89502</v>
      </c>
      <c r="W11" s="34">
        <v>95811</v>
      </c>
      <c r="X11" s="34">
        <v>95103</v>
      </c>
      <c r="Y11" s="34">
        <v>95294</v>
      </c>
      <c r="Z11" s="34">
        <v>101597</v>
      </c>
      <c r="AA11" s="34">
        <v>107539</v>
      </c>
      <c r="AB11" s="35">
        <f t="shared" ref="AB11:AB25" si="6">+SUM(K11:N11)</f>
        <v>115049.12</v>
      </c>
      <c r="AC11" s="34">
        <f>+AC$10*AC33</f>
        <v>119651.0848</v>
      </c>
      <c r="AD11" s="34">
        <f t="shared" ref="AD11:AK11" si="7">+AD$10*AD33</f>
        <v>124437.128192</v>
      </c>
      <c r="AE11" s="34">
        <f t="shared" si="7"/>
        <v>129414.61331968002</v>
      </c>
      <c r="AF11" s="34">
        <f t="shared" si="7"/>
        <v>134591.19785246722</v>
      </c>
      <c r="AG11" s="34">
        <f t="shared" si="7"/>
        <v>139974.84576656591</v>
      </c>
      <c r="AH11" s="34">
        <f t="shared" si="7"/>
        <v>145573.83959722857</v>
      </c>
      <c r="AI11" s="34">
        <f t="shared" si="7"/>
        <v>151396.79318111771</v>
      </c>
      <c r="AJ11" s="34">
        <f t="shared" si="7"/>
        <v>157452.66490836244</v>
      </c>
      <c r="AK11" s="34">
        <f t="shared" si="7"/>
        <v>163750.77150469692</v>
      </c>
    </row>
    <row r="12" spans="2:39">
      <c r="B12" s="22" t="s">
        <v>19</v>
      </c>
      <c r="C12" s="34">
        <v>7671</v>
      </c>
      <c r="D12" s="34">
        <v>5297</v>
      </c>
      <c r="E12" s="34">
        <v>5194</v>
      </c>
      <c r="F12" s="34">
        <f t="shared" si="3"/>
        <v>6338</v>
      </c>
      <c r="G12" s="34">
        <v>7424</v>
      </c>
      <c r="H12" s="34">
        <v>5091</v>
      </c>
      <c r="I12" s="34">
        <v>5177</v>
      </c>
      <c r="J12" s="34">
        <f t="shared" si="4"/>
        <v>5511</v>
      </c>
      <c r="K12" s="34">
        <v>6997</v>
      </c>
      <c r="L12" s="34">
        <v>5417</v>
      </c>
      <c r="M12" s="35">
        <f>+M10*0.16</f>
        <v>5301.5039999999999</v>
      </c>
      <c r="N12" s="34">
        <f>+N10*0.17</f>
        <v>5842.8864000000003</v>
      </c>
      <c r="P12" s="46">
        <f>+K12/K10</f>
        <v>0.15688340807174889</v>
      </c>
      <c r="T12" s="34">
        <v>17161</v>
      </c>
      <c r="U12" s="34">
        <v>17946</v>
      </c>
      <c r="V12" s="34">
        <v>19162</v>
      </c>
      <c r="W12" s="34">
        <v>21510</v>
      </c>
      <c r="X12" s="34">
        <v>20786</v>
      </c>
      <c r="Y12" s="34">
        <v>21208</v>
      </c>
      <c r="Z12" s="34">
        <v>24500</v>
      </c>
      <c r="AA12" s="34">
        <v>23203</v>
      </c>
      <c r="AB12" s="35">
        <f t="shared" si="6"/>
        <v>23558.3904</v>
      </c>
      <c r="AC12" s="34">
        <f t="shared" ref="AC12:AK13" si="8">+AC$10*AC34</f>
        <v>24500.726016000001</v>
      </c>
      <c r="AD12" s="34">
        <f t="shared" si="8"/>
        <v>25480.755056640002</v>
      </c>
      <c r="AE12" s="34">
        <f t="shared" si="8"/>
        <v>26499.985258905603</v>
      </c>
      <c r="AF12" s="34">
        <f t="shared" si="8"/>
        <v>27559.98466926183</v>
      </c>
      <c r="AG12" s="34">
        <f t="shared" si="8"/>
        <v>28662.384056032304</v>
      </c>
      <c r="AH12" s="34">
        <f t="shared" si="8"/>
        <v>29808.879418273598</v>
      </c>
      <c r="AI12" s="34">
        <f t="shared" si="8"/>
        <v>31001.234595004542</v>
      </c>
      <c r="AJ12" s="34">
        <f t="shared" si="8"/>
        <v>32241.283978804728</v>
      </c>
      <c r="AK12" s="34">
        <f t="shared" si="8"/>
        <v>33530.935337956915</v>
      </c>
    </row>
    <row r="13" spans="2:39">
      <c r="B13" s="22" t="s">
        <v>20</v>
      </c>
      <c r="C13" s="34">
        <v>273</v>
      </c>
      <c r="D13" s="34">
        <v>204</v>
      </c>
      <c r="E13" s="34">
        <v>205</v>
      </c>
      <c r="F13" s="34">
        <f t="shared" si="3"/>
        <v>192</v>
      </c>
      <c r="G13" s="34">
        <v>261</v>
      </c>
      <c r="H13" s="34">
        <v>191</v>
      </c>
      <c r="I13" s="34">
        <v>197</v>
      </c>
      <c r="J13" s="34">
        <f t="shared" si="4"/>
        <v>196</v>
      </c>
      <c r="K13" s="34">
        <v>256</v>
      </c>
      <c r="L13" s="34">
        <v>191</v>
      </c>
      <c r="M13" s="35">
        <f t="shared" si="5"/>
        <v>204.88</v>
      </c>
      <c r="N13" s="34">
        <f t="shared" si="5"/>
        <v>203.83999999999997</v>
      </c>
      <c r="T13" s="34">
        <v>707</v>
      </c>
      <c r="U13" s="34">
        <v>723</v>
      </c>
      <c r="V13" s="34">
        <v>881</v>
      </c>
      <c r="W13" s="34">
        <v>911</v>
      </c>
      <c r="X13" s="34">
        <v>884</v>
      </c>
      <c r="Y13" s="34">
        <v>884</v>
      </c>
      <c r="Z13" s="34">
        <v>874</v>
      </c>
      <c r="AA13" s="34">
        <v>845</v>
      </c>
      <c r="AB13" s="35">
        <f t="shared" si="6"/>
        <v>855.72</v>
      </c>
      <c r="AC13" s="34">
        <f t="shared" si="8"/>
        <v>889.94880000000012</v>
      </c>
      <c r="AD13" s="34">
        <f t="shared" si="8"/>
        <v>925.5467520000002</v>
      </c>
      <c r="AE13" s="34">
        <f t="shared" si="8"/>
        <v>962.5686220800003</v>
      </c>
      <c r="AF13" s="34">
        <f t="shared" si="8"/>
        <v>1001.0713669632004</v>
      </c>
      <c r="AG13" s="34">
        <f t="shared" si="8"/>
        <v>1041.1142216417284</v>
      </c>
      <c r="AH13" s="34">
        <f t="shared" si="8"/>
        <v>1082.7587905073976</v>
      </c>
      <c r="AI13" s="34">
        <f t="shared" si="8"/>
        <v>1126.0691421276936</v>
      </c>
      <c r="AJ13" s="34">
        <f t="shared" si="8"/>
        <v>1171.1119078128013</v>
      </c>
      <c r="AK13" s="34">
        <f t="shared" si="8"/>
        <v>1217.9563841253134</v>
      </c>
    </row>
    <row r="14" spans="2:39">
      <c r="B14" s="22" t="s">
        <v>21</v>
      </c>
      <c r="C14" s="34">
        <v>825</v>
      </c>
      <c r="D14" s="34">
        <v>617</v>
      </c>
      <c r="E14" s="34">
        <v>631</v>
      </c>
      <c r="F14" s="34">
        <f t="shared" si="3"/>
        <v>674</v>
      </c>
      <c r="G14" s="34">
        <v>861</v>
      </c>
      <c r="H14" s="34">
        <v>647</v>
      </c>
      <c r="I14" s="34">
        <v>659</v>
      </c>
      <c r="J14" s="34">
        <f t="shared" si="4"/>
        <v>657</v>
      </c>
      <c r="K14" s="34">
        <v>890</v>
      </c>
      <c r="L14" s="34">
        <v>684</v>
      </c>
      <c r="M14" s="35">
        <f>+M10*0.02</f>
        <v>662.68799999999999</v>
      </c>
      <c r="N14" s="34">
        <f>+N10*0.02</f>
        <v>687.39839999999992</v>
      </c>
      <c r="P14" s="46">
        <f>+K14/K10</f>
        <v>1.9955156950672646E-2</v>
      </c>
      <c r="T14" s="34">
        <v>1948</v>
      </c>
      <c r="U14" s="34">
        <v>2089</v>
      </c>
      <c r="V14" s="34">
        <v>2340</v>
      </c>
      <c r="W14" s="34">
        <v>2436</v>
      </c>
      <c r="X14" s="34">
        <v>2465</v>
      </c>
      <c r="Y14" s="34">
        <v>2649</v>
      </c>
      <c r="Z14" s="34">
        <v>2747</v>
      </c>
      <c r="AA14" s="34">
        <v>2824</v>
      </c>
      <c r="AB14" s="35">
        <f t="shared" si="6"/>
        <v>2924.0864000000001</v>
      </c>
      <c r="AC14" s="34">
        <f>+AC$10*(AB14/AB$10)</f>
        <v>3041.0498560000005</v>
      </c>
      <c r="AD14" s="34">
        <f t="shared" ref="AD14:AK14" si="9">+AD$10*(AC14/AC$10)</f>
        <v>3162.6918502400008</v>
      </c>
      <c r="AE14" s="34">
        <f t="shared" si="9"/>
        <v>3289.1995242496014</v>
      </c>
      <c r="AF14" s="34">
        <f t="shared" si="9"/>
        <v>3420.7675052195855</v>
      </c>
      <c r="AG14" s="34">
        <f t="shared" si="9"/>
        <v>3557.5982054283691</v>
      </c>
      <c r="AH14" s="34">
        <f t="shared" si="9"/>
        <v>3699.9021336455039</v>
      </c>
      <c r="AI14" s="34">
        <f t="shared" si="9"/>
        <v>3847.8982189913245</v>
      </c>
      <c r="AJ14" s="34">
        <f t="shared" si="9"/>
        <v>4001.8141477509776</v>
      </c>
      <c r="AK14" s="34">
        <f t="shared" si="9"/>
        <v>4161.8867136610161</v>
      </c>
    </row>
    <row r="15" spans="2:39" s="23" customFormat="1">
      <c r="B15" s="23" t="s">
        <v>22</v>
      </c>
      <c r="C15" s="23">
        <f>+C10-SUM(C11:C14)</f>
        <v>1326</v>
      </c>
      <c r="D15" s="23">
        <f>+D10-SUM(D11:D14)</f>
        <v>820</v>
      </c>
      <c r="E15" s="23">
        <f>+E10-SUM(E11:E14)</f>
        <v>792</v>
      </c>
      <c r="F15" s="23">
        <f t="shared" si="3"/>
        <v>-158</v>
      </c>
      <c r="G15" s="23">
        <f>+G10-SUM(G11:G14)</f>
        <v>805</v>
      </c>
      <c r="H15" s="23">
        <f>+H10-SUM(H11:H14)</f>
        <v>839</v>
      </c>
      <c r="I15" s="23">
        <f>+I10-SUM(I11:I14)</f>
        <v>868</v>
      </c>
      <c r="J15" s="23">
        <f t="shared" si="4"/>
        <v>965</v>
      </c>
      <c r="K15" s="23">
        <f>+K10-SUM(K11:K14)</f>
        <v>1505</v>
      </c>
      <c r="L15" s="23">
        <f t="shared" ref="L15:N15" si="10">+L10-SUM(L11:L14)</f>
        <v>954</v>
      </c>
      <c r="M15" s="40">
        <f t="shared" si="10"/>
        <v>1007.9680000000008</v>
      </c>
      <c r="N15" s="23">
        <f t="shared" si="10"/>
        <v>888.03520000000572</v>
      </c>
      <c r="P15" s="41"/>
      <c r="T15" s="23">
        <f t="shared" ref="T15:AA15" si="11">+T10-SUM(T11:T14)</f>
        <v>3137</v>
      </c>
      <c r="U15" s="23">
        <f t="shared" si="11"/>
        <v>3576</v>
      </c>
      <c r="V15" s="23">
        <f t="shared" si="11"/>
        <v>3452</v>
      </c>
      <c r="W15" s="23">
        <f t="shared" si="11"/>
        <v>2612</v>
      </c>
      <c r="X15" s="23">
        <f t="shared" si="11"/>
        <v>2614</v>
      </c>
      <c r="Y15" s="23">
        <f t="shared" si="11"/>
        <v>2251</v>
      </c>
      <c r="Z15" s="23">
        <f t="shared" si="11"/>
        <v>2780</v>
      </c>
      <c r="AA15" s="23">
        <f t="shared" si="11"/>
        <v>3477</v>
      </c>
      <c r="AB15" s="40">
        <f>+SUM(K15:N15)</f>
        <v>4355.0032000000065</v>
      </c>
      <c r="AC15" s="23">
        <f>+AC10-SUM(AC11:AC14)</f>
        <v>4529.2033280000323</v>
      </c>
      <c r="AD15" s="23">
        <f t="shared" ref="AD15:AK15" si="12">+AD10-SUM(AD11:AD14)</f>
        <v>4710.3714611200558</v>
      </c>
      <c r="AE15" s="23">
        <f t="shared" si="12"/>
        <v>4898.7863195648242</v>
      </c>
      <c r="AF15" s="23">
        <f t="shared" si="12"/>
        <v>5094.7377723474347</v>
      </c>
      <c r="AG15" s="23">
        <f t="shared" si="12"/>
        <v>5298.5272832413029</v>
      </c>
      <c r="AH15" s="23">
        <f t="shared" si="12"/>
        <v>5510.4683745709772</v>
      </c>
      <c r="AI15" s="23">
        <f t="shared" si="12"/>
        <v>5730.8871095537907</v>
      </c>
      <c r="AJ15" s="23">
        <f t="shared" si="12"/>
        <v>5960.1225939359865</v>
      </c>
      <c r="AK15" s="23">
        <f t="shared" si="12"/>
        <v>6198.5274976934015</v>
      </c>
    </row>
    <row r="16" spans="2:39">
      <c r="B16" s="22" t="s">
        <v>23</v>
      </c>
      <c r="C16" s="34">
        <v>-174</v>
      </c>
      <c r="D16" s="34">
        <v>-135</v>
      </c>
      <c r="E16" s="34">
        <v>-129</v>
      </c>
      <c r="F16" s="34">
        <f t="shared" si="3"/>
        <v>-106</v>
      </c>
      <c r="G16" s="34">
        <v>-165</v>
      </c>
      <c r="H16" s="34">
        <v>-137</v>
      </c>
      <c r="I16" s="34">
        <v>-135</v>
      </c>
      <c r="J16" s="34">
        <f t="shared" si="4"/>
        <v>-134</v>
      </c>
      <c r="K16" s="34">
        <v>-177</v>
      </c>
      <c r="L16" s="34">
        <v>-127</v>
      </c>
      <c r="M16" s="35">
        <f t="shared" ref="M16:N16" si="13">+M15*(L16/L15)</f>
        <v>-134.18441928721182</v>
      </c>
      <c r="N16" s="34">
        <f t="shared" si="13"/>
        <v>-118.21852243186657</v>
      </c>
      <c r="T16" s="34">
        <v>-488</v>
      </c>
      <c r="U16" s="34">
        <v>-482</v>
      </c>
      <c r="V16" s="34">
        <v>-522</v>
      </c>
      <c r="W16" s="34">
        <v>-601</v>
      </c>
      <c r="X16" s="34">
        <v>-620</v>
      </c>
      <c r="Y16" s="34">
        <v>-603</v>
      </c>
      <c r="Z16" s="34">
        <v>-544</v>
      </c>
      <c r="AA16" s="34">
        <v>-571</v>
      </c>
      <c r="AB16" s="35">
        <f t="shared" si="6"/>
        <v>-556.4029417190784</v>
      </c>
      <c r="AC16" s="34">
        <f>+AC15*(AB16/AB15)</f>
        <v>-578.65905938784476</v>
      </c>
      <c r="AD16" s="34">
        <f t="shared" ref="AD16:AK16" si="14">+AD15*(AC16/AC15)</f>
        <v>-601.80542176336144</v>
      </c>
      <c r="AE16" s="34">
        <f t="shared" si="14"/>
        <v>-625.87763863389159</v>
      </c>
      <c r="AF16" s="34">
        <f t="shared" si="14"/>
        <v>-650.91274417924944</v>
      </c>
      <c r="AG16" s="34">
        <f t="shared" si="14"/>
        <v>-676.94925394641575</v>
      </c>
      <c r="AH16" s="34">
        <f t="shared" si="14"/>
        <v>-704.02722410427521</v>
      </c>
      <c r="AI16" s="34">
        <f t="shared" si="14"/>
        <v>-732.18831306844288</v>
      </c>
      <c r="AJ16" s="34">
        <f t="shared" si="14"/>
        <v>-761.47584559118627</v>
      </c>
      <c r="AK16" s="34">
        <f t="shared" si="14"/>
        <v>-791.93487941483068</v>
      </c>
    </row>
    <row r="17" spans="2:161">
      <c r="B17" s="22" t="s">
        <v>24</v>
      </c>
      <c r="C17" s="34">
        <v>11</v>
      </c>
      <c r="D17" s="34">
        <v>8</v>
      </c>
      <c r="E17" s="34">
        <v>9</v>
      </c>
      <c r="F17" s="34">
        <f t="shared" si="3"/>
        <v>1</v>
      </c>
      <c r="G17" s="34">
        <v>18</v>
      </c>
      <c r="H17" s="34">
        <v>15</v>
      </c>
      <c r="I17" s="34">
        <v>-77</v>
      </c>
      <c r="J17" s="34">
        <f t="shared" si="4"/>
        <v>10</v>
      </c>
      <c r="K17" s="34">
        <v>16</v>
      </c>
      <c r="L17" s="34">
        <v>11</v>
      </c>
      <c r="M17" s="35">
        <f t="shared" ref="M17:N17" si="15">+M15*(L17/L15)</f>
        <v>11.622272536687639</v>
      </c>
      <c r="N17" s="34">
        <f t="shared" si="15"/>
        <v>10.239399580712854</v>
      </c>
      <c r="T17" s="34">
        <v>0</v>
      </c>
      <c r="U17" s="34">
        <v>0</v>
      </c>
      <c r="V17" s="34">
        <v>-16</v>
      </c>
      <c r="W17" s="34">
        <v>-527</v>
      </c>
      <c r="X17" s="34">
        <v>-26</v>
      </c>
      <c r="Y17" s="34">
        <v>0</v>
      </c>
      <c r="Z17" s="34">
        <v>29</v>
      </c>
      <c r="AA17" s="34">
        <v>-34</v>
      </c>
      <c r="AB17" s="35">
        <f t="shared" si="6"/>
        <v>48.861672117400495</v>
      </c>
      <c r="AC17" s="34">
        <f>+AC15*(AB17/AB15)</f>
        <v>50.816139002096804</v>
      </c>
      <c r="AD17" s="34">
        <f t="shared" ref="AD17:AK17" si="16">+AD15*(AC17/AC15)</f>
        <v>52.848784562180924</v>
      </c>
      <c r="AE17" s="34">
        <f t="shared" si="16"/>
        <v>54.962735944667777</v>
      </c>
      <c r="AF17" s="34">
        <f t="shared" si="16"/>
        <v>57.161245382454688</v>
      </c>
      <c r="AG17" s="34">
        <f t="shared" si="16"/>
        <v>59.447695197752552</v>
      </c>
      <c r="AH17" s="34">
        <f t="shared" si="16"/>
        <v>61.825603005662899</v>
      </c>
      <c r="AI17" s="34">
        <f t="shared" si="16"/>
        <v>64.298627125889126</v>
      </c>
      <c r="AJ17" s="34">
        <f t="shared" si="16"/>
        <v>66.870572210925189</v>
      </c>
      <c r="AK17" s="34">
        <f t="shared" si="16"/>
        <v>69.545395099361926</v>
      </c>
    </row>
    <row r="18" spans="2:161">
      <c r="B18" s="22" t="s">
        <v>25</v>
      </c>
      <c r="C18" s="34">
        <v>422</v>
      </c>
      <c r="D18" s="34">
        <v>368</v>
      </c>
      <c r="E18" s="34">
        <v>162</v>
      </c>
      <c r="F18" s="34">
        <f t="shared" si="3"/>
        <v>153</v>
      </c>
      <c r="G18" s="34">
        <v>-479</v>
      </c>
      <c r="H18" s="34">
        <v>-122</v>
      </c>
      <c r="I18" s="34">
        <v>-94</v>
      </c>
      <c r="J18" s="34">
        <f t="shared" si="4"/>
        <v>-126</v>
      </c>
      <c r="K18" s="34">
        <v>-532</v>
      </c>
      <c r="L18" s="34">
        <v>103</v>
      </c>
      <c r="M18" s="35">
        <v>-532</v>
      </c>
      <c r="N18" s="34">
        <v>-532</v>
      </c>
      <c r="T18" s="34">
        <v>0</v>
      </c>
      <c r="U18" s="34">
        <v>0</v>
      </c>
      <c r="V18" s="34">
        <v>0</v>
      </c>
      <c r="W18" s="34">
        <v>0</v>
      </c>
      <c r="X18" s="34">
        <v>228</v>
      </c>
      <c r="Y18" s="34">
        <v>157</v>
      </c>
      <c r="Z18" s="34">
        <v>1105</v>
      </c>
      <c r="AA18" s="34">
        <v>-821</v>
      </c>
      <c r="AB18" s="35">
        <f t="shared" si="6"/>
        <v>-1493</v>
      </c>
      <c r="AC18" s="34">
        <f>+AC15*(AB18/AB15)</f>
        <v>-1552.7200000000089</v>
      </c>
      <c r="AD18" s="34">
        <f>+AD15*(AC18/AC15)</f>
        <v>-1614.8288000000168</v>
      </c>
      <c r="AE18" s="34">
        <f t="shared" ref="AE18:AK18" si="17">+AE15*(AD18/AD15)</f>
        <v>-1679.4219520000058</v>
      </c>
      <c r="AF18" s="34">
        <f t="shared" si="17"/>
        <v>-1746.598830080012</v>
      </c>
      <c r="AG18" s="34">
        <f t="shared" si="17"/>
        <v>-1816.4627832832025</v>
      </c>
      <c r="AH18" s="34">
        <f t="shared" si="17"/>
        <v>-1889.1212946145383</v>
      </c>
      <c r="AI18" s="34">
        <f t="shared" si="17"/>
        <v>-1964.6861463991111</v>
      </c>
      <c r="AJ18" s="34">
        <f t="shared" si="17"/>
        <v>-2043.2735922550905</v>
      </c>
      <c r="AK18" s="34">
        <f t="shared" si="17"/>
        <v>-2125.0045359452856</v>
      </c>
    </row>
    <row r="19" spans="2:161">
      <c r="B19" s="22" t="s">
        <v>31</v>
      </c>
      <c r="F19" s="34">
        <f t="shared" si="3"/>
        <v>0</v>
      </c>
      <c r="J19" s="34">
        <f t="shared" si="4"/>
        <v>0</v>
      </c>
      <c r="T19" s="34">
        <v>0</v>
      </c>
      <c r="U19" s="34">
        <v>0</v>
      </c>
      <c r="V19" s="34">
        <v>0</v>
      </c>
      <c r="W19" s="34">
        <v>0</v>
      </c>
      <c r="X19" s="34">
        <v>1782</v>
      </c>
      <c r="Y19" s="34">
        <v>176</v>
      </c>
      <c r="Z19" s="34">
        <v>0</v>
      </c>
      <c r="AA19" s="34">
        <v>0</v>
      </c>
      <c r="AB19" s="35">
        <f t="shared" si="6"/>
        <v>0</v>
      </c>
      <c r="AC19" s="34">
        <v>0</v>
      </c>
      <c r="AD19" s="34">
        <v>0</v>
      </c>
      <c r="AE19" s="34">
        <v>0</v>
      </c>
      <c r="AF19" s="34">
        <v>0</v>
      </c>
      <c r="AG19" s="34">
        <v>0</v>
      </c>
      <c r="AH19" s="34">
        <v>0</v>
      </c>
      <c r="AI19" s="34">
        <v>0</v>
      </c>
      <c r="AJ19" s="34">
        <v>0</v>
      </c>
      <c r="AK19" s="34">
        <v>0</v>
      </c>
    </row>
    <row r="20" spans="2:161">
      <c r="B20" s="22" t="s">
        <v>26</v>
      </c>
      <c r="C20" s="34">
        <f>+SUM(C15:C18)</f>
        <v>1585</v>
      </c>
      <c r="D20" s="34">
        <f>+SUM(D15:D18)</f>
        <v>1061</v>
      </c>
      <c r="E20" s="34">
        <f>+SUM(E15:E18)</f>
        <v>834</v>
      </c>
      <c r="F20" s="34">
        <f t="shared" si="3"/>
        <v>-110</v>
      </c>
      <c r="G20" s="34">
        <f>+SUM(G15:G18)</f>
        <v>179</v>
      </c>
      <c r="H20" s="34">
        <f>+SUM(H15:H18)</f>
        <v>595</v>
      </c>
      <c r="I20" s="34">
        <f>+SUM(I15:I18)</f>
        <v>562</v>
      </c>
      <c r="J20" s="34">
        <f t="shared" si="4"/>
        <v>715</v>
      </c>
      <c r="K20" s="34">
        <f>+SUM(K15:K18)</f>
        <v>812</v>
      </c>
      <c r="L20" s="34">
        <f t="shared" ref="L20:N20" si="18">+SUM(L15:L18)</f>
        <v>941</v>
      </c>
      <c r="M20" s="35">
        <f t="shared" si="18"/>
        <v>353.40585324947665</v>
      </c>
      <c r="N20" s="34">
        <f t="shared" si="18"/>
        <v>248.05607714885195</v>
      </c>
      <c r="T20" s="34">
        <f t="shared" ref="T20:AA20" si="19">+SUM(T15:T19)</f>
        <v>2649</v>
      </c>
      <c r="U20" s="34">
        <f t="shared" si="19"/>
        <v>3094</v>
      </c>
      <c r="V20" s="34">
        <f t="shared" si="19"/>
        <v>2914</v>
      </c>
      <c r="W20" s="34">
        <f t="shared" si="19"/>
        <v>1484</v>
      </c>
      <c r="X20" s="34">
        <f t="shared" si="19"/>
        <v>3978</v>
      </c>
      <c r="Y20" s="34">
        <f t="shared" si="19"/>
        <v>1981</v>
      </c>
      <c r="Z20" s="34">
        <f t="shared" si="19"/>
        <v>3370</v>
      </c>
      <c r="AA20" s="34">
        <f t="shared" si="19"/>
        <v>2051</v>
      </c>
      <c r="AB20" s="35">
        <f t="shared" si="6"/>
        <v>2354.4619303983281</v>
      </c>
      <c r="AC20" s="34">
        <f>+SUM(AC15:AC19)</f>
        <v>2448.6404076142758</v>
      </c>
      <c r="AD20" s="34">
        <f t="shared" ref="AD20:AK20" si="20">+SUM(AD15:AD19)</f>
        <v>2546.5860239188587</v>
      </c>
      <c r="AE20" s="34">
        <f t="shared" si="20"/>
        <v>2648.4494648755945</v>
      </c>
      <c r="AF20" s="34">
        <f t="shared" si="20"/>
        <v>2754.3874434706277</v>
      </c>
      <c r="AG20" s="34">
        <f t="shared" si="20"/>
        <v>2864.5629412094372</v>
      </c>
      <c r="AH20" s="34">
        <f t="shared" si="20"/>
        <v>2979.1454588578267</v>
      </c>
      <c r="AI20" s="34">
        <f t="shared" si="20"/>
        <v>3098.3112772121258</v>
      </c>
      <c r="AJ20" s="34">
        <f t="shared" si="20"/>
        <v>3222.2437283006352</v>
      </c>
      <c r="AK20" s="34">
        <f t="shared" si="20"/>
        <v>3351.1334774326465</v>
      </c>
    </row>
    <row r="21" spans="2:161">
      <c r="B21" s="22" t="s">
        <v>27</v>
      </c>
      <c r="C21" s="34">
        <v>373</v>
      </c>
      <c r="D21" s="34">
        <v>241</v>
      </c>
      <c r="E21" s="34">
        <v>202</v>
      </c>
      <c r="F21" s="34">
        <f t="shared" si="3"/>
        <v>-34</v>
      </c>
      <c r="G21" s="34">
        <v>36</v>
      </c>
      <c r="H21" s="34">
        <v>126</v>
      </c>
      <c r="I21" s="34">
        <v>77</v>
      </c>
      <c r="J21" s="34">
        <f t="shared" si="4"/>
        <v>146</v>
      </c>
      <c r="K21" s="34">
        <v>146</v>
      </c>
      <c r="L21" s="34">
        <v>209</v>
      </c>
      <c r="M21" s="35">
        <f t="shared" ref="M21:N21" si="21">+M20*(L21/L20)</f>
        <v>78.492904706844442</v>
      </c>
      <c r="N21" s="34">
        <f t="shared" si="21"/>
        <v>55.094282809893798</v>
      </c>
      <c r="T21" s="34">
        <v>902</v>
      </c>
      <c r="U21" s="34">
        <v>1045</v>
      </c>
      <c r="V21" s="34">
        <v>957</v>
      </c>
      <c r="W21" s="34">
        <v>-405</v>
      </c>
      <c r="X21" s="34">
        <v>900</v>
      </c>
      <c r="Y21" s="34">
        <v>469</v>
      </c>
      <c r="Z21" s="34">
        <v>782</v>
      </c>
      <c r="AA21" s="34">
        <v>385</v>
      </c>
      <c r="AB21" s="35">
        <f t="shared" si="6"/>
        <v>488.58718751673825</v>
      </c>
      <c r="AC21" s="34">
        <f>+AC20*(AB21/AB20)</f>
        <v>508.13067501741079</v>
      </c>
      <c r="AD21" s="34">
        <f t="shared" ref="AD21:AK21" si="22">+AD20*(AC21/AC20)</f>
        <v>528.45590201810967</v>
      </c>
      <c r="AE21" s="34">
        <f t="shared" si="22"/>
        <v>549.59413809883017</v>
      </c>
      <c r="AF21" s="34">
        <f t="shared" si="22"/>
        <v>571.57790362278524</v>
      </c>
      <c r="AG21" s="34">
        <f t="shared" si="22"/>
        <v>594.44101976769343</v>
      </c>
      <c r="AH21" s="34">
        <f t="shared" si="22"/>
        <v>618.2186605584036</v>
      </c>
      <c r="AI21" s="34">
        <f t="shared" si="22"/>
        <v>642.9474069807369</v>
      </c>
      <c r="AJ21" s="34">
        <f t="shared" si="22"/>
        <v>668.66530325997144</v>
      </c>
      <c r="AK21" s="34">
        <f t="shared" si="22"/>
        <v>695.41191539036731</v>
      </c>
    </row>
    <row r="22" spans="2:161">
      <c r="B22" s="22" t="s">
        <v>28</v>
      </c>
      <c r="C22" s="34">
        <f>+C20-C21</f>
        <v>1212</v>
      </c>
      <c r="D22" s="34">
        <f>+D20-D21</f>
        <v>820</v>
      </c>
      <c r="E22" s="34">
        <f>+E20-E21</f>
        <v>632</v>
      </c>
      <c r="F22" s="34">
        <f t="shared" si="3"/>
        <v>-76</v>
      </c>
      <c r="G22" s="34">
        <f>+G20-G21</f>
        <v>143</v>
      </c>
      <c r="H22" s="34">
        <f>+H20-H21</f>
        <v>469</v>
      </c>
      <c r="I22" s="34">
        <f>+I20-I21</f>
        <v>485</v>
      </c>
      <c r="J22" s="34">
        <f t="shared" si="4"/>
        <v>569</v>
      </c>
      <c r="K22" s="34">
        <f>+K20-K21</f>
        <v>666</v>
      </c>
      <c r="L22" s="34">
        <f t="shared" ref="L22:N22" si="23">+L20-L21</f>
        <v>732</v>
      </c>
      <c r="M22" s="35">
        <f t="shared" si="23"/>
        <v>274.91294854263219</v>
      </c>
      <c r="N22" s="34">
        <f t="shared" si="23"/>
        <v>192.96179433895816</v>
      </c>
      <c r="T22" s="34">
        <f t="shared" ref="T22:AA22" si="24">+T20-T21</f>
        <v>1747</v>
      </c>
      <c r="U22" s="34">
        <f t="shared" si="24"/>
        <v>2049</v>
      </c>
      <c r="V22" s="34">
        <f t="shared" si="24"/>
        <v>1957</v>
      </c>
      <c r="W22" s="34">
        <f t="shared" si="24"/>
        <v>1889</v>
      </c>
      <c r="X22" s="34">
        <f t="shared" si="24"/>
        <v>3078</v>
      </c>
      <c r="Y22" s="34">
        <f t="shared" si="24"/>
        <v>1512</v>
      </c>
      <c r="Z22" s="34">
        <f t="shared" si="24"/>
        <v>2588</v>
      </c>
      <c r="AA22" s="34">
        <f t="shared" si="24"/>
        <v>1666</v>
      </c>
      <c r="AB22" s="35">
        <f t="shared" si="6"/>
        <v>1865.8747428815905</v>
      </c>
      <c r="AC22" s="34">
        <f>+AC20-AC21</f>
        <v>1940.509732596865</v>
      </c>
      <c r="AD22" s="34">
        <f t="shared" ref="AD22:AK22" si="25">+AD20-AD21</f>
        <v>2018.1301219007491</v>
      </c>
      <c r="AE22" s="34">
        <f t="shared" si="25"/>
        <v>2098.8553267767643</v>
      </c>
      <c r="AF22" s="34">
        <f t="shared" si="25"/>
        <v>2182.8095398478426</v>
      </c>
      <c r="AG22" s="34">
        <f t="shared" si="25"/>
        <v>2270.1219214417438</v>
      </c>
      <c r="AH22" s="34">
        <f t="shared" si="25"/>
        <v>2360.9267982994234</v>
      </c>
      <c r="AI22" s="34">
        <f t="shared" si="25"/>
        <v>2455.3638702313888</v>
      </c>
      <c r="AJ22" s="34">
        <f t="shared" si="25"/>
        <v>2553.5784250406637</v>
      </c>
      <c r="AK22" s="34">
        <f t="shared" si="25"/>
        <v>2655.7215620422794</v>
      </c>
    </row>
    <row r="23" spans="2:161">
      <c r="B23" s="22" t="s">
        <v>29</v>
      </c>
      <c r="C23" s="34">
        <v>0</v>
      </c>
      <c r="D23" s="34">
        <v>1</v>
      </c>
      <c r="E23" s="34">
        <v>1</v>
      </c>
      <c r="F23" s="34">
        <f t="shared" si="3"/>
        <v>1</v>
      </c>
      <c r="G23" s="34">
        <v>3</v>
      </c>
      <c r="H23" s="34">
        <v>2</v>
      </c>
      <c r="I23" s="34">
        <v>2</v>
      </c>
      <c r="J23" s="34">
        <f t="shared" si="4"/>
        <v>4</v>
      </c>
      <c r="K23" s="34">
        <v>2</v>
      </c>
      <c r="L23" s="34">
        <v>1</v>
      </c>
      <c r="M23" s="35">
        <f t="shared" ref="M23:N23" si="26">+M22*(L23/L22)</f>
        <v>0.37556413735332267</v>
      </c>
      <c r="N23" s="34">
        <f t="shared" si="26"/>
        <v>0.26360900865977888</v>
      </c>
      <c r="T23" s="34">
        <v>19</v>
      </c>
      <c r="U23" s="34">
        <v>10</v>
      </c>
      <c r="V23" s="34">
        <v>-18</v>
      </c>
      <c r="W23" s="34">
        <v>-18</v>
      </c>
      <c r="X23" s="34">
        <v>-32</v>
      </c>
      <c r="Y23" s="34">
        <v>-147</v>
      </c>
      <c r="Z23" s="34">
        <v>3</v>
      </c>
      <c r="AA23" s="34">
        <v>11</v>
      </c>
      <c r="AB23" s="35">
        <f t="shared" si="6"/>
        <v>3.6391731460131016</v>
      </c>
      <c r="AC23" s="34">
        <f>+AC22*(AB23/AB22)</f>
        <v>3.7847400718536468</v>
      </c>
      <c r="AD23" s="34">
        <f t="shared" ref="AD23:AK23" si="27">+AD22*(AC23/AC22)</f>
        <v>3.9361296747278112</v>
      </c>
      <c r="AE23" s="34">
        <f t="shared" si="27"/>
        <v>4.0935748617168946</v>
      </c>
      <c r="AF23" s="34">
        <f t="shared" si="27"/>
        <v>4.2573178561855851</v>
      </c>
      <c r="AG23" s="34">
        <f t="shared" si="27"/>
        <v>4.427610570432984</v>
      </c>
      <c r="AH23" s="34">
        <f t="shared" si="27"/>
        <v>4.6047149932503224</v>
      </c>
      <c r="AI23" s="34">
        <f t="shared" si="27"/>
        <v>4.7889035929803123</v>
      </c>
      <c r="AJ23" s="34">
        <f t="shared" si="27"/>
        <v>4.9804597366995624</v>
      </c>
      <c r="AK23" s="34">
        <f t="shared" si="27"/>
        <v>5.1796781261675235</v>
      </c>
    </row>
    <row r="24" spans="2:161" s="23" customFormat="1">
      <c r="B24" s="23" t="s">
        <v>28</v>
      </c>
      <c r="C24" s="23">
        <f>+C22-C23</f>
        <v>1212</v>
      </c>
      <c r="D24" s="23">
        <f>+D22-D23</f>
        <v>819</v>
      </c>
      <c r="E24" s="23">
        <f>+E22-E23</f>
        <v>631</v>
      </c>
      <c r="F24" s="23">
        <f t="shared" si="3"/>
        <v>-77</v>
      </c>
      <c r="G24" s="23">
        <f>+G22-G23</f>
        <v>140</v>
      </c>
      <c r="H24" s="23">
        <f>+H22-H23</f>
        <v>467</v>
      </c>
      <c r="I24" s="23">
        <f>+I22-I23</f>
        <v>483</v>
      </c>
      <c r="J24" s="23">
        <f t="shared" si="4"/>
        <v>565</v>
      </c>
      <c r="K24" s="23">
        <f>+K22-K23</f>
        <v>664</v>
      </c>
      <c r="L24" s="23">
        <f t="shared" ref="L24:N24" si="28">+L22-L23</f>
        <v>731</v>
      </c>
      <c r="M24" s="40">
        <f t="shared" si="28"/>
        <v>274.53738440527889</v>
      </c>
      <c r="N24" s="23">
        <f t="shared" si="28"/>
        <v>192.69818533029837</v>
      </c>
      <c r="P24" s="41"/>
      <c r="T24" s="23">
        <f t="shared" ref="T24:AA24" si="29">+T22-T23</f>
        <v>1728</v>
      </c>
      <c r="U24" s="23">
        <f t="shared" si="29"/>
        <v>2039</v>
      </c>
      <c r="V24" s="23">
        <f t="shared" si="29"/>
        <v>1975</v>
      </c>
      <c r="W24" s="23">
        <f t="shared" si="29"/>
        <v>1907</v>
      </c>
      <c r="X24" s="23">
        <f t="shared" si="29"/>
        <v>3110</v>
      </c>
      <c r="Y24" s="23">
        <f t="shared" si="29"/>
        <v>1659</v>
      </c>
      <c r="Z24" s="23">
        <f t="shared" si="29"/>
        <v>2585</v>
      </c>
      <c r="AA24" s="23">
        <f t="shared" si="29"/>
        <v>1655</v>
      </c>
      <c r="AB24" s="40">
        <f t="shared" si="6"/>
        <v>1862.2355697355772</v>
      </c>
      <c r="AC24" s="23">
        <f>+AC22-AC23</f>
        <v>1936.7249925250114</v>
      </c>
      <c r="AD24" s="23">
        <f>+AD22-AD23</f>
        <v>2014.1939922260212</v>
      </c>
      <c r="AE24" s="23">
        <f t="shared" ref="AE24:AK24" si="30">+AE22-AE23</f>
        <v>2094.7617519150472</v>
      </c>
      <c r="AF24" s="23">
        <f t="shared" si="30"/>
        <v>2178.552221991657</v>
      </c>
      <c r="AG24" s="23">
        <f t="shared" si="30"/>
        <v>2265.6943108713108</v>
      </c>
      <c r="AH24" s="23">
        <f t="shared" si="30"/>
        <v>2356.3220833061732</v>
      </c>
      <c r="AI24" s="23">
        <f t="shared" si="30"/>
        <v>2450.5749666384086</v>
      </c>
      <c r="AJ24" s="23">
        <f t="shared" si="30"/>
        <v>2548.597965303964</v>
      </c>
      <c r="AK24" s="23">
        <f t="shared" si="30"/>
        <v>2650.5418839161121</v>
      </c>
      <c r="AL24" s="23">
        <f>+AK24*(1+$AO$31)</f>
        <v>2677.047302755273</v>
      </c>
      <c r="AM24" s="23">
        <f t="shared" ref="AM24:CX24" si="31">+AL24*(1+$AO$31)</f>
        <v>2703.8177757828257</v>
      </c>
      <c r="AN24" s="23">
        <f t="shared" si="31"/>
        <v>2730.8559535406539</v>
      </c>
      <c r="AO24" s="23">
        <f t="shared" si="31"/>
        <v>2758.1645130760603</v>
      </c>
      <c r="AP24" s="23">
        <f t="shared" si="31"/>
        <v>2785.7461582068208</v>
      </c>
      <c r="AQ24" s="23">
        <f t="shared" si="31"/>
        <v>2813.6036197888889</v>
      </c>
      <c r="AR24" s="23">
        <f t="shared" si="31"/>
        <v>2841.739655986778</v>
      </c>
      <c r="AS24" s="23">
        <f t="shared" si="31"/>
        <v>2870.1570525466459</v>
      </c>
      <c r="AT24" s="23">
        <f t="shared" si="31"/>
        <v>2898.8586230721126</v>
      </c>
      <c r="AU24" s="23">
        <f t="shared" si="31"/>
        <v>2927.8472093028336</v>
      </c>
      <c r="AV24" s="23">
        <f t="shared" si="31"/>
        <v>2957.1256813958621</v>
      </c>
      <c r="AW24" s="23">
        <f t="shared" si="31"/>
        <v>2986.6969382098209</v>
      </c>
      <c r="AX24" s="23">
        <f t="shared" si="31"/>
        <v>3016.5639075919194</v>
      </c>
      <c r="AY24" s="23">
        <f t="shared" si="31"/>
        <v>3046.7295466678388</v>
      </c>
      <c r="AZ24" s="23">
        <f t="shared" si="31"/>
        <v>3077.1968421345173</v>
      </c>
      <c r="BA24" s="23">
        <f t="shared" si="31"/>
        <v>3107.9688105558625</v>
      </c>
      <c r="BB24" s="23">
        <f t="shared" si="31"/>
        <v>3139.048498661421</v>
      </c>
      <c r="BC24" s="23">
        <f t="shared" si="31"/>
        <v>3170.4389836480354</v>
      </c>
      <c r="BD24" s="23">
        <f t="shared" si="31"/>
        <v>3202.1433734845159</v>
      </c>
      <c r="BE24" s="23">
        <f t="shared" si="31"/>
        <v>3234.1648072193611</v>
      </c>
      <c r="BF24" s="23">
        <f t="shared" si="31"/>
        <v>3266.5064552915546</v>
      </c>
      <c r="BG24" s="23">
        <f t="shared" si="31"/>
        <v>3299.1715198444704</v>
      </c>
      <c r="BH24" s="23">
        <f t="shared" si="31"/>
        <v>3332.1632350429149</v>
      </c>
      <c r="BI24" s="23">
        <f t="shared" si="31"/>
        <v>3365.4848673933443</v>
      </c>
      <c r="BJ24" s="23">
        <f t="shared" si="31"/>
        <v>3399.1397160672777</v>
      </c>
      <c r="BK24" s="23">
        <f t="shared" si="31"/>
        <v>3433.1311132279507</v>
      </c>
      <c r="BL24" s="23">
        <f t="shared" si="31"/>
        <v>3467.4624243602302</v>
      </c>
      <c r="BM24" s="23">
        <f t="shared" si="31"/>
        <v>3502.1370486038327</v>
      </c>
      <c r="BN24" s="23">
        <f t="shared" si="31"/>
        <v>3537.1584190898711</v>
      </c>
      <c r="BO24" s="23">
        <f t="shared" si="31"/>
        <v>3572.53000328077</v>
      </c>
      <c r="BP24" s="23">
        <f t="shared" si="31"/>
        <v>3608.2553033135778</v>
      </c>
      <c r="BQ24" s="23">
        <f t="shared" si="31"/>
        <v>3644.3378563467136</v>
      </c>
      <c r="BR24" s="23">
        <f t="shared" si="31"/>
        <v>3680.781234910181</v>
      </c>
      <c r="BS24" s="23">
        <f t="shared" si="31"/>
        <v>3717.5890472592828</v>
      </c>
      <c r="BT24" s="23">
        <f t="shared" si="31"/>
        <v>3754.7649377318758</v>
      </c>
      <c r="BU24" s="23">
        <f t="shared" si="31"/>
        <v>3792.3125871091947</v>
      </c>
      <c r="BV24" s="23">
        <f t="shared" si="31"/>
        <v>3830.2357129802867</v>
      </c>
      <c r="BW24" s="23">
        <f t="shared" si="31"/>
        <v>3868.5380701100898</v>
      </c>
      <c r="BX24" s="23">
        <f t="shared" si="31"/>
        <v>3907.2234508111906</v>
      </c>
      <c r="BY24" s="23">
        <f t="shared" si="31"/>
        <v>3946.2956853193027</v>
      </c>
      <c r="BZ24" s="23">
        <f t="shared" si="31"/>
        <v>3985.7586421724959</v>
      </c>
      <c r="CA24" s="23">
        <f t="shared" si="31"/>
        <v>4025.616228594221</v>
      </c>
      <c r="CB24" s="23">
        <f t="shared" si="31"/>
        <v>4065.872390880163</v>
      </c>
      <c r="CC24" s="23">
        <f t="shared" si="31"/>
        <v>4106.5311147889643</v>
      </c>
      <c r="CD24" s="23">
        <f t="shared" si="31"/>
        <v>4147.5964259368538</v>
      </c>
      <c r="CE24" s="23">
        <f t="shared" si="31"/>
        <v>4189.0723901962228</v>
      </c>
      <c r="CF24" s="23">
        <f t="shared" si="31"/>
        <v>4230.9631140981855</v>
      </c>
      <c r="CG24" s="23">
        <f t="shared" si="31"/>
        <v>4273.2727452391673</v>
      </c>
      <c r="CH24" s="23">
        <f t="shared" si="31"/>
        <v>4316.0054726915587</v>
      </c>
      <c r="CI24" s="23">
        <f t="shared" si="31"/>
        <v>4359.1655274184741</v>
      </c>
      <c r="CJ24" s="23">
        <f t="shared" si="31"/>
        <v>4402.7571826926587</v>
      </c>
      <c r="CK24" s="23">
        <f t="shared" si="31"/>
        <v>4446.7847545195855</v>
      </c>
      <c r="CL24" s="23">
        <f t="shared" si="31"/>
        <v>4491.2526020647811</v>
      </c>
      <c r="CM24" s="23">
        <f t="shared" si="31"/>
        <v>4536.1651280854285</v>
      </c>
      <c r="CN24" s="23">
        <f t="shared" si="31"/>
        <v>4581.5267793662824</v>
      </c>
      <c r="CO24" s="23">
        <f t="shared" si="31"/>
        <v>4627.3420471599457</v>
      </c>
      <c r="CP24" s="23">
        <f t="shared" si="31"/>
        <v>4673.6154676315455</v>
      </c>
      <c r="CQ24" s="23">
        <f t="shared" si="31"/>
        <v>4720.3516223078614</v>
      </c>
      <c r="CR24" s="23">
        <f t="shared" si="31"/>
        <v>4767.55513853094</v>
      </c>
      <c r="CS24" s="23">
        <f t="shared" si="31"/>
        <v>4815.2306899162495</v>
      </c>
      <c r="CT24" s="23">
        <f t="shared" si="31"/>
        <v>4863.3829968154123</v>
      </c>
      <c r="CU24" s="23">
        <f t="shared" si="31"/>
        <v>4912.0168267835661</v>
      </c>
      <c r="CV24" s="23">
        <f t="shared" si="31"/>
        <v>4961.1369950514018</v>
      </c>
      <c r="CW24" s="23">
        <f t="shared" si="31"/>
        <v>5010.7483650019158</v>
      </c>
      <c r="CX24" s="23">
        <f t="shared" si="31"/>
        <v>5060.855848651935</v>
      </c>
      <c r="CY24" s="23">
        <f t="shared" ref="CY24:FE24" si="32">+CX24*(1+$AO$31)</f>
        <v>5111.4644071384546</v>
      </c>
      <c r="CZ24" s="23">
        <f t="shared" si="32"/>
        <v>5162.5790512098392</v>
      </c>
      <c r="DA24" s="23">
        <f t="shared" si="32"/>
        <v>5214.2048417219376</v>
      </c>
      <c r="DB24" s="23">
        <f t="shared" si="32"/>
        <v>5266.346890139157</v>
      </c>
      <c r="DC24" s="23">
        <f t="shared" si="32"/>
        <v>5319.0103590405488</v>
      </c>
      <c r="DD24" s="23">
        <f t="shared" si="32"/>
        <v>5372.2004626309545</v>
      </c>
      <c r="DE24" s="23">
        <f t="shared" si="32"/>
        <v>5425.9224672572636</v>
      </c>
      <c r="DF24" s="23">
        <f t="shared" si="32"/>
        <v>5480.1816919298362</v>
      </c>
      <c r="DG24" s="23">
        <f t="shared" si="32"/>
        <v>5534.9835088491345</v>
      </c>
      <c r="DH24" s="23">
        <f t="shared" si="32"/>
        <v>5590.3333439376256</v>
      </c>
      <c r="DI24" s="23">
        <f t="shared" si="32"/>
        <v>5646.2366773770018</v>
      </c>
      <c r="DJ24" s="23">
        <f t="shared" si="32"/>
        <v>5702.6990441507714</v>
      </c>
      <c r="DK24" s="23">
        <f t="shared" si="32"/>
        <v>5759.7260345922796</v>
      </c>
      <c r="DL24" s="23">
        <f t="shared" si="32"/>
        <v>5817.3232949382027</v>
      </c>
      <c r="DM24" s="23">
        <f t="shared" si="32"/>
        <v>5875.4965278875852</v>
      </c>
      <c r="DN24" s="23">
        <f t="shared" si="32"/>
        <v>5934.2514931664609</v>
      </c>
      <c r="DO24" s="23">
        <f t="shared" si="32"/>
        <v>5993.5940080981254</v>
      </c>
      <c r="DP24" s="23">
        <f t="shared" si="32"/>
        <v>6053.5299481791071</v>
      </c>
      <c r="DQ24" s="23">
        <f t="shared" si="32"/>
        <v>6114.0652476608984</v>
      </c>
      <c r="DR24" s="23">
        <f t="shared" si="32"/>
        <v>6175.2059001375073</v>
      </c>
      <c r="DS24" s="23">
        <f t="shared" si="32"/>
        <v>6236.9579591388829</v>
      </c>
      <c r="DT24" s="23">
        <f t="shared" si="32"/>
        <v>6299.327538730272</v>
      </c>
      <c r="DU24" s="23">
        <f t="shared" si="32"/>
        <v>6362.3208141175746</v>
      </c>
      <c r="DV24" s="23">
        <f t="shared" si="32"/>
        <v>6425.94402225875</v>
      </c>
      <c r="DW24" s="23">
        <f t="shared" si="32"/>
        <v>6490.2034624813377</v>
      </c>
      <c r="DX24" s="23">
        <f t="shared" si="32"/>
        <v>6555.1054971061512</v>
      </c>
      <c r="DY24" s="23">
        <f t="shared" si="32"/>
        <v>6620.6565520772128</v>
      </c>
      <c r="DZ24" s="23">
        <f t="shared" si="32"/>
        <v>6686.8631175979854</v>
      </c>
      <c r="EA24" s="23">
        <f t="shared" si="32"/>
        <v>6753.7317487739656</v>
      </c>
      <c r="EB24" s="23">
        <f t="shared" si="32"/>
        <v>6821.2690662617051</v>
      </c>
      <c r="EC24" s="23">
        <f t="shared" si="32"/>
        <v>6889.4817569243223</v>
      </c>
      <c r="ED24" s="23">
        <f t="shared" si="32"/>
        <v>6958.3765744935654</v>
      </c>
      <c r="EE24" s="23">
        <f t="shared" si="32"/>
        <v>7027.960340238501</v>
      </c>
      <c r="EF24" s="23">
        <f t="shared" si="32"/>
        <v>7098.2399436408859</v>
      </c>
      <c r="EG24" s="23">
        <f t="shared" si="32"/>
        <v>7169.2223430772947</v>
      </c>
      <c r="EH24" s="23">
        <f t="shared" si="32"/>
        <v>7240.9145665080678</v>
      </c>
      <c r="EI24" s="23">
        <f t="shared" si="32"/>
        <v>7313.3237121731481</v>
      </c>
      <c r="EJ24" s="23">
        <f t="shared" si="32"/>
        <v>7386.4569492948795</v>
      </c>
      <c r="EK24" s="23">
        <f t="shared" si="32"/>
        <v>7460.3215187878286</v>
      </c>
      <c r="EL24" s="23">
        <f t="shared" si="32"/>
        <v>7534.9247339757067</v>
      </c>
      <c r="EM24" s="23">
        <f t="shared" si="32"/>
        <v>7610.273981315464</v>
      </c>
      <c r="EN24" s="23">
        <f t="shared" si="32"/>
        <v>7686.3767211286186</v>
      </c>
      <c r="EO24" s="23">
        <f t="shared" si="32"/>
        <v>7763.2404883399049</v>
      </c>
      <c r="EP24" s="23">
        <f t="shared" si="32"/>
        <v>7840.8728932233043</v>
      </c>
      <c r="EQ24" s="23">
        <f t="shared" si="32"/>
        <v>7919.2816221555377</v>
      </c>
      <c r="ER24" s="23">
        <f t="shared" si="32"/>
        <v>7998.4744383770931</v>
      </c>
      <c r="ES24" s="23">
        <f t="shared" si="32"/>
        <v>8078.4591827608638</v>
      </c>
      <c r="ET24" s="23">
        <f t="shared" si="32"/>
        <v>8159.2437745884727</v>
      </c>
      <c r="EU24" s="23">
        <f t="shared" si="32"/>
        <v>8240.8362123343577</v>
      </c>
      <c r="EV24" s="23">
        <f t="shared" si="32"/>
        <v>8323.2445744577017</v>
      </c>
      <c r="EW24" s="23">
        <f t="shared" si="32"/>
        <v>8406.4770202022792</v>
      </c>
      <c r="EX24" s="23">
        <f t="shared" si="32"/>
        <v>8490.5417904043024</v>
      </c>
      <c r="EY24" s="23">
        <f t="shared" si="32"/>
        <v>8575.4472083083456</v>
      </c>
      <c r="EZ24" s="23">
        <f t="shared" si="32"/>
        <v>8661.2016803914285</v>
      </c>
      <c r="FA24" s="23">
        <f t="shared" si="32"/>
        <v>8747.8136971953427</v>
      </c>
      <c r="FB24" s="23">
        <f t="shared" si="32"/>
        <v>8835.2918341672957</v>
      </c>
      <c r="FC24" s="23">
        <f t="shared" si="32"/>
        <v>8923.6447525089679</v>
      </c>
      <c r="FD24" s="23">
        <f t="shared" si="32"/>
        <v>9012.8812000340586</v>
      </c>
      <c r="FE24" s="23">
        <f t="shared" si="32"/>
        <v>9103.0100120343996</v>
      </c>
    </row>
    <row r="25" spans="2:161" s="47" customFormat="1">
      <c r="B25" s="24" t="s">
        <v>16</v>
      </c>
      <c r="C25" s="47">
        <v>1.52</v>
      </c>
      <c r="D25" s="47">
        <v>1.03</v>
      </c>
      <c r="E25" s="47">
        <v>0.81</v>
      </c>
      <c r="F25" s="34">
        <f t="shared" si="3"/>
        <v>-4.9999999999999822E-2</v>
      </c>
      <c r="G25" s="47">
        <v>0.18</v>
      </c>
      <c r="H25" s="47">
        <v>0.61</v>
      </c>
      <c r="I25" s="47">
        <v>0.64</v>
      </c>
      <c r="J25" s="34">
        <f t="shared" si="4"/>
        <v>0.77</v>
      </c>
      <c r="K25" s="47">
        <v>0.91</v>
      </c>
      <c r="L25" s="47">
        <v>1</v>
      </c>
      <c r="M25" s="48">
        <f t="shared" ref="M25:N25" si="33">+M24/M26</f>
        <v>0.37556413735332267</v>
      </c>
      <c r="N25" s="47">
        <f t="shared" si="33"/>
        <v>0.26360900865977888</v>
      </c>
      <c r="P25" s="49"/>
      <c r="S25" s="47">
        <v>1.45</v>
      </c>
      <c r="T25" s="47">
        <v>1.72</v>
      </c>
      <c r="U25" s="47">
        <v>2.06</v>
      </c>
      <c r="V25" s="47">
        <v>2.0499999999999998</v>
      </c>
      <c r="W25" s="47">
        <v>2.09</v>
      </c>
      <c r="X25" s="47">
        <v>3.76</v>
      </c>
      <c r="Y25" s="47">
        <v>2.0499999999999998</v>
      </c>
      <c r="Z25" s="47">
        <v>3.31</v>
      </c>
      <c r="AA25" s="47">
        <v>2.2000000000000002</v>
      </c>
      <c r="AB25" s="35">
        <f t="shared" si="6"/>
        <v>2.5491731460131017</v>
      </c>
      <c r="AC25" s="47">
        <f>+AC24/AC26</f>
        <v>2.6511400718536411</v>
      </c>
      <c r="AD25" s="47">
        <f t="shared" ref="AD25:AK25" si="34">+AD24/AD26</f>
        <v>2.7571856747277992</v>
      </c>
      <c r="AE25" s="47">
        <f t="shared" si="34"/>
        <v>2.8674731017168908</v>
      </c>
      <c r="AF25" s="47">
        <f t="shared" si="34"/>
        <v>2.9821720257855775</v>
      </c>
      <c r="AG25" s="47">
        <f t="shared" si="34"/>
        <v>3.1014589068169833</v>
      </c>
      <c r="AH25" s="47">
        <f t="shared" si="34"/>
        <v>3.2255172630896767</v>
      </c>
      <c r="AI25" s="47">
        <f t="shared" si="34"/>
        <v>3.3545379536132476</v>
      </c>
      <c r="AJ25" s="47">
        <f t="shared" si="34"/>
        <v>3.4887194717578036</v>
      </c>
      <c r="AK25" s="47">
        <f t="shared" si="34"/>
        <v>3.6282682506281017</v>
      </c>
    </row>
    <row r="26" spans="2:161">
      <c r="B26" s="22" t="s">
        <v>1</v>
      </c>
      <c r="C26" s="34">
        <f t="shared" ref="C26:K26" si="35">+C24/C25</f>
        <v>797.36842105263156</v>
      </c>
      <c r="D26" s="34">
        <f t="shared" si="35"/>
        <v>795.14563106796118</v>
      </c>
      <c r="E26" s="34">
        <f t="shared" si="35"/>
        <v>779.01234567901224</v>
      </c>
      <c r="F26" s="34">
        <f t="shared" si="35"/>
        <v>1540.0000000000055</v>
      </c>
      <c r="G26" s="34">
        <f t="shared" si="35"/>
        <v>777.77777777777783</v>
      </c>
      <c r="H26" s="34">
        <f t="shared" si="35"/>
        <v>765.57377049180332</v>
      </c>
      <c r="I26" s="34">
        <f t="shared" si="35"/>
        <v>754.6875</v>
      </c>
      <c r="J26" s="34">
        <f t="shared" si="35"/>
        <v>733.76623376623377</v>
      </c>
      <c r="K26" s="34">
        <f t="shared" si="35"/>
        <v>729.67032967032969</v>
      </c>
      <c r="L26" s="34">
        <f>+L24/L25</f>
        <v>731</v>
      </c>
      <c r="M26" s="35">
        <f t="shared" ref="M26:N26" si="36">+L26</f>
        <v>731</v>
      </c>
      <c r="N26" s="34">
        <f t="shared" si="36"/>
        <v>731</v>
      </c>
      <c r="T26" s="34">
        <f t="shared" ref="T26:AB26" si="37">+T24/T25</f>
        <v>1004.6511627906976</v>
      </c>
      <c r="U26" s="34">
        <f t="shared" si="37"/>
        <v>989.80582524271847</v>
      </c>
      <c r="V26" s="34">
        <f t="shared" si="37"/>
        <v>963.41463414634154</v>
      </c>
      <c r="W26" s="34">
        <f t="shared" si="37"/>
        <v>912.44019138755982</v>
      </c>
      <c r="X26" s="34">
        <f t="shared" si="37"/>
        <v>827.12765957446811</v>
      </c>
      <c r="Y26" s="34">
        <f t="shared" si="37"/>
        <v>809.26829268292693</v>
      </c>
      <c r="Z26" s="34">
        <f t="shared" si="37"/>
        <v>780.96676737160124</v>
      </c>
      <c r="AA26" s="34">
        <f t="shared" si="37"/>
        <v>752.27272727272725</v>
      </c>
      <c r="AB26" s="35">
        <f t="shared" si="37"/>
        <v>730.52533628329934</v>
      </c>
      <c r="AC26" s="34">
        <f>+AB26</f>
        <v>730.52533628329934</v>
      </c>
      <c r="AD26" s="34">
        <f t="shared" ref="AD26:AK26" si="38">+AC26</f>
        <v>730.52533628329934</v>
      </c>
      <c r="AE26" s="34">
        <f t="shared" si="38"/>
        <v>730.52533628329934</v>
      </c>
      <c r="AF26" s="34">
        <f t="shared" si="38"/>
        <v>730.52533628329934</v>
      </c>
      <c r="AG26" s="34">
        <f t="shared" si="38"/>
        <v>730.52533628329934</v>
      </c>
      <c r="AH26" s="34">
        <f t="shared" si="38"/>
        <v>730.52533628329934</v>
      </c>
      <c r="AI26" s="34">
        <f t="shared" si="38"/>
        <v>730.52533628329934</v>
      </c>
      <c r="AJ26" s="34">
        <f t="shared" si="38"/>
        <v>730.52533628329934</v>
      </c>
      <c r="AK26" s="34">
        <f t="shared" si="38"/>
        <v>730.52533628329934</v>
      </c>
    </row>
    <row r="27" spans="2:161" s="85" customFormat="1">
      <c r="B27" s="94"/>
      <c r="F27" s="85" t="s">
        <v>33</v>
      </c>
      <c r="J27" s="85" t="s">
        <v>32</v>
      </c>
      <c r="M27" s="95"/>
      <c r="P27" s="96"/>
      <c r="Z27" s="85">
        <v>18.04</v>
      </c>
      <c r="AA27" s="85">
        <v>17.55</v>
      </c>
      <c r="AB27" s="95"/>
    </row>
    <row r="28" spans="2:161" s="50" customFormat="1">
      <c r="B28" s="25" t="s">
        <v>30</v>
      </c>
      <c r="G28" s="50">
        <f t="shared" ref="G28" si="39">+G10/C10-1</f>
        <v>-6.0410599533081699E-3</v>
      </c>
      <c r="H28" s="50">
        <f t="shared" ref="H28:K29" si="40">+H10/D10-1</f>
        <v>3.9128866148447017E-2</v>
      </c>
      <c r="I28" s="50">
        <f t="shared" si="40"/>
        <v>7.1897183998923309E-2</v>
      </c>
      <c r="J28" s="50">
        <f t="shared" si="40"/>
        <v>7.5186257604840989E-2</v>
      </c>
      <c r="K28" s="50">
        <f t="shared" si="40"/>
        <v>7.9955445784299473E-2</v>
      </c>
      <c r="L28" s="50">
        <f t="shared" ref="L28:N28" si="41">+L10/H10-1</f>
        <v>9.3302190518275374E-2</v>
      </c>
      <c r="M28" s="51">
        <f t="shared" si="41"/>
        <v>4.0000000000000036E-2</v>
      </c>
      <c r="N28" s="50">
        <f t="shared" si="41"/>
        <v>4.0000000000000036E-2</v>
      </c>
      <c r="P28" s="46"/>
      <c r="U28" s="50">
        <f t="shared" ref="U28:AA28" si="42">+U10/T10-1</f>
        <v>1.2584704743465736E-2</v>
      </c>
      <c r="V28" s="50">
        <f t="shared" si="42"/>
        <v>5.0141127196576596E-2</v>
      </c>
      <c r="W28" s="50">
        <f t="shared" si="42"/>
        <v>6.8867752759305345E-2</v>
      </c>
      <c r="X28" s="50">
        <f t="shared" si="42"/>
        <v>-1.158338741077225E-2</v>
      </c>
      <c r="Y28" s="50">
        <f t="shared" si="42"/>
        <v>3.5616977973278452E-3</v>
      </c>
      <c r="Z28" s="50">
        <f t="shared" si="42"/>
        <v>8.3509150679554445E-2</v>
      </c>
      <c r="AA28" s="50">
        <f t="shared" si="42"/>
        <v>4.0679859318631273E-2</v>
      </c>
      <c r="AB28" s="51">
        <f t="shared" ref="AB28:AK28" si="43">+AB10/AA10-1</f>
        <v>6.4213854722673602E-2</v>
      </c>
      <c r="AC28" s="50">
        <f t="shared" si="43"/>
        <v>4.0000000000000036E-2</v>
      </c>
      <c r="AD28" s="50">
        <f t="shared" si="43"/>
        <v>4.0000000000000036E-2</v>
      </c>
      <c r="AE28" s="50">
        <f t="shared" si="43"/>
        <v>4.0000000000000036E-2</v>
      </c>
      <c r="AF28" s="50">
        <f t="shared" si="43"/>
        <v>4.0000000000000036E-2</v>
      </c>
      <c r="AG28" s="50">
        <f t="shared" si="43"/>
        <v>4.0000000000000036E-2</v>
      </c>
      <c r="AH28" s="50">
        <f t="shared" si="43"/>
        <v>4.0000000000000036E-2</v>
      </c>
      <c r="AI28" s="50">
        <f t="shared" si="43"/>
        <v>4.0000000000000036E-2</v>
      </c>
      <c r="AJ28" s="50">
        <f t="shared" si="43"/>
        <v>4.0000000000000036E-2</v>
      </c>
      <c r="AK28" s="50">
        <f t="shared" si="43"/>
        <v>4.0000000000000036E-2</v>
      </c>
    </row>
    <row r="29" spans="2:161">
      <c r="B29" s="22" t="s">
        <v>34</v>
      </c>
      <c r="G29" s="50">
        <f t="shared" ref="G29" si="44">+G11/C11-1</f>
        <v>1.5673682202581585E-2</v>
      </c>
      <c r="H29" s="50">
        <f t="shared" si="40"/>
        <v>5.7874400237781787E-2</v>
      </c>
      <c r="I29" s="50">
        <f t="shared" si="40"/>
        <v>8.9865071394262364E-2</v>
      </c>
      <c r="J29" s="50">
        <f t="shared" si="40"/>
        <v>8.5602127390148164E-2</v>
      </c>
      <c r="K29" s="50">
        <f t="shared" si="40"/>
        <v>9.4062040254170975E-2</v>
      </c>
      <c r="L29" s="50">
        <f t="shared" ref="L29:N29" si="45">+L11/H11-1</f>
        <v>9.9462149795295884E-2</v>
      </c>
      <c r="M29" s="51">
        <f t="shared" si="45"/>
        <v>4.0000000000000036E-2</v>
      </c>
      <c r="N29" s="50">
        <f t="shared" si="45"/>
        <v>4.0000000000000036E-2</v>
      </c>
      <c r="O29" s="50"/>
      <c r="P29" s="52"/>
      <c r="Q29" s="53"/>
      <c r="R29" s="53"/>
      <c r="S29" s="53"/>
      <c r="U29" s="50">
        <f t="shared" ref="U29" si="46">+U11/T11-1</f>
        <v>-1.8710824211809474E-4</v>
      </c>
      <c r="V29" s="50">
        <f t="shared" ref="V29:W29" si="47">+V11/U11-1</f>
        <v>4.6855993262842732E-2</v>
      </c>
      <c r="W29" s="50">
        <f t="shared" si="47"/>
        <v>7.0490044915197503E-2</v>
      </c>
      <c r="X29" s="50">
        <f t="shared" ref="X29:Y29" si="48">+X11/W11-1</f>
        <v>-7.3895481729655543E-3</v>
      </c>
      <c r="Y29" s="50">
        <f t="shared" si="48"/>
        <v>2.0083488428335183E-3</v>
      </c>
      <c r="Z29" s="50">
        <f t="shared" ref="Z29:AA29" si="49">+Z11/Y11-1</f>
        <v>6.6142674250215139E-2</v>
      </c>
      <c r="AA29" s="50">
        <f t="shared" si="49"/>
        <v>5.8485978916700265E-2</v>
      </c>
      <c r="AB29" s="51">
        <f t="shared" ref="AB29:AK29" si="50">+AB11/AA11-1</f>
        <v>6.9836245455137114E-2</v>
      </c>
      <c r="AC29" s="50">
        <f t="shared" si="50"/>
        <v>4.0000000000000036E-2</v>
      </c>
      <c r="AD29" s="50">
        <f t="shared" si="50"/>
        <v>4.0000000000000036E-2</v>
      </c>
      <c r="AE29" s="50">
        <f t="shared" si="50"/>
        <v>4.0000000000000036E-2</v>
      </c>
      <c r="AF29" s="50">
        <f t="shared" si="50"/>
        <v>4.0000000000000036E-2</v>
      </c>
      <c r="AG29" s="50">
        <f t="shared" si="50"/>
        <v>4.0000000000000036E-2</v>
      </c>
      <c r="AH29" s="50">
        <f t="shared" si="50"/>
        <v>4.0000000000000258E-2</v>
      </c>
      <c r="AI29" s="50">
        <f t="shared" si="50"/>
        <v>4.0000000000000036E-2</v>
      </c>
      <c r="AJ29" s="50">
        <f t="shared" si="50"/>
        <v>4.0000000000000036E-2</v>
      </c>
      <c r="AK29" s="50">
        <f t="shared" si="50"/>
        <v>4.0000000000000036E-2</v>
      </c>
    </row>
    <row r="30" spans="2:161">
      <c r="B30" s="22" t="s">
        <v>19</v>
      </c>
      <c r="G30" s="50">
        <f>+G12/C12-1</f>
        <v>-3.2199191761178469E-2</v>
      </c>
      <c r="H30" s="50">
        <f t="shared" ref="H30:N30" si="51">+H12/D12-1</f>
        <v>-3.8889937700585242E-2</v>
      </c>
      <c r="I30" s="50">
        <f t="shared" si="51"/>
        <v>-3.2730073161340023E-3</v>
      </c>
      <c r="J30" s="50">
        <f t="shared" si="51"/>
        <v>-0.13048280214578734</v>
      </c>
      <c r="K30" s="50">
        <f t="shared" si="51"/>
        <v>-5.7516163793103425E-2</v>
      </c>
      <c r="L30" s="50">
        <f t="shared" si="51"/>
        <v>6.4034570811235536E-2</v>
      </c>
      <c r="M30" s="51">
        <f t="shared" si="51"/>
        <v>2.4049449488120489E-2</v>
      </c>
      <c r="N30" s="50">
        <f t="shared" si="51"/>
        <v>6.0222536744692468E-2</v>
      </c>
      <c r="O30" s="50"/>
      <c r="P30" s="52"/>
      <c r="Q30" s="53"/>
      <c r="R30" s="53"/>
      <c r="S30" s="53"/>
      <c r="U30" s="50"/>
      <c r="V30" s="50"/>
      <c r="W30" s="50"/>
      <c r="X30" s="50"/>
      <c r="Y30" s="50"/>
      <c r="Z30" s="50"/>
      <c r="AA30" s="50"/>
      <c r="AB30" s="51"/>
      <c r="AC30" s="50"/>
      <c r="AD30" s="50"/>
      <c r="AE30" s="50"/>
      <c r="AF30" s="50"/>
      <c r="AG30" s="50"/>
      <c r="AH30" s="50"/>
      <c r="AI30" s="50"/>
      <c r="AJ30" s="50"/>
      <c r="AK30" s="50"/>
    </row>
    <row r="31" spans="2:161">
      <c r="B31" s="22" t="s">
        <v>35</v>
      </c>
      <c r="G31" s="50">
        <f t="shared" ref="G31" si="52">+G12/C12-1</f>
        <v>-3.2199191761178469E-2</v>
      </c>
      <c r="H31" s="50">
        <f>+H12/D12-1</f>
        <v>-3.8889937700585242E-2</v>
      </c>
      <c r="I31" s="50">
        <f>+I12/E12-1</f>
        <v>-3.2730073161340023E-3</v>
      </c>
      <c r="J31" s="50">
        <f>+J12/F12-1</f>
        <v>-0.13048280214578734</v>
      </c>
      <c r="K31" s="50">
        <f>+K12/G12-1</f>
        <v>-5.7516163793103425E-2</v>
      </c>
      <c r="L31" s="50">
        <f t="shared" ref="L31:N31" si="53">+L12/H12-1</f>
        <v>6.4034570811235536E-2</v>
      </c>
      <c r="M31" s="51">
        <f t="shared" si="53"/>
        <v>2.4049449488120489E-2</v>
      </c>
      <c r="N31" s="50">
        <f t="shared" si="53"/>
        <v>6.0222536744692468E-2</v>
      </c>
      <c r="O31" s="50"/>
      <c r="U31" s="50">
        <f t="shared" ref="U31" si="54">+U12/T12-1</f>
        <v>4.5743255055066712E-2</v>
      </c>
      <c r="V31" s="50">
        <f t="shared" ref="V31:W31" si="55">+V12/U12-1</f>
        <v>6.7758832051710627E-2</v>
      </c>
      <c r="W31" s="50">
        <f t="shared" si="55"/>
        <v>0.12253418223567469</v>
      </c>
      <c r="X31" s="50">
        <f t="shared" ref="X31:Y31" si="56">+X12/W12-1</f>
        <v>-3.3658763365876365E-2</v>
      </c>
      <c r="Y31" s="50">
        <f t="shared" si="56"/>
        <v>2.0302126431251732E-2</v>
      </c>
      <c r="Z31" s="50">
        <f t="shared" ref="Z31:AA31" si="57">+Z12/Y12-1</f>
        <v>0.15522444360618626</v>
      </c>
      <c r="AA31" s="50">
        <f t="shared" si="57"/>
        <v>-5.2938775510204095E-2</v>
      </c>
      <c r="AB31" s="51">
        <f t="shared" ref="AB31:AK31" si="58">+AB12/AA12-1</f>
        <v>1.5316571133043189E-2</v>
      </c>
      <c r="AC31" s="50">
        <f t="shared" si="58"/>
        <v>4.0000000000000036E-2</v>
      </c>
      <c r="AD31" s="50">
        <f t="shared" si="58"/>
        <v>4.0000000000000036E-2</v>
      </c>
      <c r="AE31" s="50">
        <f t="shared" si="58"/>
        <v>4.0000000000000036E-2</v>
      </c>
      <c r="AF31" s="50">
        <f t="shared" si="58"/>
        <v>4.0000000000000036E-2</v>
      </c>
      <c r="AG31" s="50">
        <f t="shared" si="58"/>
        <v>4.0000000000000036E-2</v>
      </c>
      <c r="AH31" s="50">
        <f t="shared" si="58"/>
        <v>4.0000000000000036E-2</v>
      </c>
      <c r="AI31" s="50">
        <f t="shared" si="58"/>
        <v>4.0000000000000036E-2</v>
      </c>
      <c r="AJ31" s="50">
        <f t="shared" si="58"/>
        <v>4.0000000000000036E-2</v>
      </c>
      <c r="AK31" s="50">
        <f t="shared" si="58"/>
        <v>4.0000000000000036E-2</v>
      </c>
      <c r="AN31" s="86" t="s">
        <v>73</v>
      </c>
      <c r="AO31" s="87">
        <v>0.01</v>
      </c>
    </row>
    <row r="32" spans="2:161">
      <c r="G32" s="50"/>
      <c r="H32" s="50"/>
      <c r="I32" s="50"/>
      <c r="J32" s="50"/>
      <c r="K32" s="50"/>
      <c r="L32" s="50"/>
      <c r="M32" s="51"/>
      <c r="N32" s="50"/>
      <c r="O32" s="50"/>
      <c r="U32" s="50"/>
      <c r="V32" s="50"/>
      <c r="W32" s="50"/>
      <c r="X32" s="50"/>
      <c r="Y32" s="50"/>
      <c r="Z32" s="50"/>
      <c r="AA32" s="50"/>
      <c r="AB32" s="51"/>
      <c r="AC32" s="50"/>
      <c r="AD32" s="50"/>
      <c r="AE32" s="50"/>
      <c r="AF32" s="50"/>
      <c r="AG32" s="50"/>
      <c r="AH32" s="50"/>
      <c r="AI32" s="50"/>
      <c r="AJ32" s="50"/>
      <c r="AK32" s="50"/>
      <c r="AN32" s="55" t="s">
        <v>74</v>
      </c>
      <c r="AO32" s="88">
        <v>7.0000000000000007E-2</v>
      </c>
    </row>
    <row r="33" spans="2:41" s="54" customFormat="1">
      <c r="B33" s="26" t="s">
        <v>108</v>
      </c>
      <c r="C33" s="54">
        <f>+C11/C$10</f>
        <v>0.75703386363089364</v>
      </c>
      <c r="D33" s="54">
        <f t="shared" ref="D33:N33" si="59">+D11/D$10</f>
        <v>0.77244252025320603</v>
      </c>
      <c r="E33" s="54">
        <f t="shared" si="59"/>
        <v>0.77048077246576729</v>
      </c>
      <c r="F33" s="54">
        <f t="shared" si="59"/>
        <v>0.77076487620782774</v>
      </c>
      <c r="G33" s="54">
        <f t="shared" si="59"/>
        <v>0.77357257010024694</v>
      </c>
      <c r="H33" s="54">
        <f t="shared" si="59"/>
        <v>0.78637712265639792</v>
      </c>
      <c r="I33" s="54">
        <f t="shared" si="59"/>
        <v>0.78339610797237913</v>
      </c>
      <c r="J33" s="54">
        <f t="shared" si="59"/>
        <v>0.77823166303558455</v>
      </c>
      <c r="K33" s="54">
        <f t="shared" si="59"/>
        <v>0.78367713004484307</v>
      </c>
      <c r="L33" s="54">
        <f t="shared" si="59"/>
        <v>0.79080778335931634</v>
      </c>
      <c r="M33" s="55">
        <f t="shared" si="59"/>
        <v>0.78339610797237913</v>
      </c>
      <c r="N33" s="54">
        <f t="shared" si="59"/>
        <v>0.77823166303558455</v>
      </c>
      <c r="P33" s="56"/>
      <c r="T33" s="54">
        <f t="shared" ref="T33:AB33" si="60">+T11/T$10</f>
        <v>0.78838334946757016</v>
      </c>
      <c r="U33" s="54">
        <f t="shared" si="60"/>
        <v>0.77843940635527631</v>
      </c>
      <c r="V33" s="54">
        <f t="shared" si="60"/>
        <v>0.77600423107935879</v>
      </c>
      <c r="W33" s="54">
        <f t="shared" si="60"/>
        <v>0.77718202465931219</v>
      </c>
      <c r="X33" s="54">
        <f t="shared" si="60"/>
        <v>0.78047959820109636</v>
      </c>
      <c r="Y33" s="54">
        <f t="shared" si="60"/>
        <v>0.77927154375807528</v>
      </c>
      <c r="Z33" s="54">
        <f t="shared" si="60"/>
        <v>0.76678138537940199</v>
      </c>
      <c r="AA33" s="54">
        <f t="shared" si="60"/>
        <v>0.7799010791366906</v>
      </c>
      <c r="AB33" s="55">
        <f t="shared" si="60"/>
        <v>0.78402140568583067</v>
      </c>
      <c r="AC33" s="54">
        <f>+AB33</f>
        <v>0.78402140568583067</v>
      </c>
      <c r="AD33" s="54">
        <f t="shared" ref="AD33:AK33" si="61">+AC33</f>
        <v>0.78402140568583067</v>
      </c>
      <c r="AE33" s="54">
        <f t="shared" si="61"/>
        <v>0.78402140568583067</v>
      </c>
      <c r="AF33" s="54">
        <f t="shared" si="61"/>
        <v>0.78402140568583067</v>
      </c>
      <c r="AG33" s="54">
        <f t="shared" si="61"/>
        <v>0.78402140568583067</v>
      </c>
      <c r="AH33" s="54">
        <f t="shared" si="61"/>
        <v>0.78402140568583067</v>
      </c>
      <c r="AI33" s="54">
        <f t="shared" si="61"/>
        <v>0.78402140568583067</v>
      </c>
      <c r="AJ33" s="54">
        <f t="shared" si="61"/>
        <v>0.78402140568583067</v>
      </c>
      <c r="AK33" s="54">
        <f t="shared" si="61"/>
        <v>0.78402140568583067</v>
      </c>
      <c r="AN33" s="51" t="s">
        <v>75</v>
      </c>
      <c r="AO33" s="97">
        <f>NPV(AO32,AB24:FE24)</f>
        <v>38028.168017985045</v>
      </c>
    </row>
    <row r="34" spans="2:41">
      <c r="B34" s="22" t="s">
        <v>109</v>
      </c>
      <c r="C34" s="50">
        <f t="shared" ref="C34:N35" si="62">+C12/C$10</f>
        <v>0.18462538207899107</v>
      </c>
      <c r="D34" s="50">
        <f t="shared" si="62"/>
        <v>0.17373478959624783</v>
      </c>
      <c r="E34" s="50">
        <f t="shared" si="62"/>
        <v>0.17474682905494063</v>
      </c>
      <c r="F34" s="50">
        <f t="shared" si="62"/>
        <v>0.20620099554283111</v>
      </c>
      <c r="G34" s="50">
        <f t="shared" si="62"/>
        <v>0.17976657465252555</v>
      </c>
      <c r="H34" s="50">
        <f t="shared" si="62"/>
        <v>0.16069061296635315</v>
      </c>
      <c r="I34" s="50">
        <f t="shared" si="62"/>
        <v>0.16249215317011928</v>
      </c>
      <c r="J34" s="50">
        <f t="shared" si="62"/>
        <v>0.16675744371822804</v>
      </c>
      <c r="K34" s="50">
        <f t="shared" si="62"/>
        <v>0.15688340807174889</v>
      </c>
      <c r="L34" s="50">
        <f t="shared" si="62"/>
        <v>0.15638893700560078</v>
      </c>
      <c r="M34" s="51">
        <f t="shared" si="62"/>
        <v>0.16</v>
      </c>
      <c r="N34" s="50">
        <f t="shared" si="62"/>
        <v>0.17</v>
      </c>
      <c r="O34" s="50"/>
      <c r="T34" s="50">
        <f t="shared" ref="T34:AB34" si="63">+T12/T$10</f>
        <v>0.15821693633891118</v>
      </c>
      <c r="U34" s="50">
        <f t="shared" si="63"/>
        <v>0.1633979786943458</v>
      </c>
      <c r="V34" s="50">
        <f t="shared" si="63"/>
        <v>0.16613922678758769</v>
      </c>
      <c r="W34" s="50">
        <f t="shared" si="63"/>
        <v>0.17448085658663207</v>
      </c>
      <c r="X34" s="50">
        <f t="shared" si="63"/>
        <v>0.17058398713193054</v>
      </c>
      <c r="Y34" s="50">
        <f t="shared" si="63"/>
        <v>0.1734295013329408</v>
      </c>
      <c r="Z34" s="50">
        <f t="shared" si="63"/>
        <v>0.18490845144832374</v>
      </c>
      <c r="AA34" s="50">
        <f t="shared" si="63"/>
        <v>0.16827425156648873</v>
      </c>
      <c r="AB34" s="51">
        <f t="shared" si="63"/>
        <v>0.16054257831006077</v>
      </c>
      <c r="AC34" s="50">
        <f>+AB34</f>
        <v>0.16054257831006077</v>
      </c>
      <c r="AD34" s="50">
        <f t="shared" ref="AD34:AK34" si="64">+AC34</f>
        <v>0.16054257831006077</v>
      </c>
      <c r="AE34" s="50">
        <f t="shared" si="64"/>
        <v>0.16054257831006077</v>
      </c>
      <c r="AF34" s="50">
        <f t="shared" si="64"/>
        <v>0.16054257831006077</v>
      </c>
      <c r="AG34" s="50">
        <f t="shared" si="64"/>
        <v>0.16054257831006077</v>
      </c>
      <c r="AH34" s="50">
        <f t="shared" si="64"/>
        <v>0.16054257831006077</v>
      </c>
      <c r="AI34" s="50">
        <f t="shared" si="64"/>
        <v>0.16054257831006077</v>
      </c>
      <c r="AJ34" s="50">
        <f t="shared" si="64"/>
        <v>0.16054257831006077</v>
      </c>
      <c r="AK34" s="50">
        <f t="shared" si="64"/>
        <v>0.16054257831006077</v>
      </c>
      <c r="AN34" s="35" t="s">
        <v>168</v>
      </c>
      <c r="AO34" s="89">
        <f>+L42</f>
        <v>-12175</v>
      </c>
    </row>
    <row r="35" spans="2:41">
      <c r="B35" s="22" t="s">
        <v>110</v>
      </c>
      <c r="C35" s="50">
        <f t="shared" si="62"/>
        <v>6.5705552480204094E-3</v>
      </c>
      <c r="D35" s="50">
        <f t="shared" si="62"/>
        <v>6.6909377152415623E-3</v>
      </c>
      <c r="E35" s="50">
        <f t="shared" si="62"/>
        <v>6.8970157790263428E-3</v>
      </c>
      <c r="F35" s="50">
        <f t="shared" si="62"/>
        <v>6.2465432540586268E-3</v>
      </c>
      <c r="G35" s="50">
        <f t="shared" si="62"/>
        <v>6.3199186401278517E-3</v>
      </c>
      <c r="H35" s="50">
        <f t="shared" si="62"/>
        <v>6.0286598068303773E-3</v>
      </c>
      <c r="I35" s="50">
        <f t="shared" si="62"/>
        <v>6.1833019460138102E-3</v>
      </c>
      <c r="J35" s="50">
        <f t="shared" si="62"/>
        <v>5.930767368675865E-3</v>
      </c>
      <c r="K35" s="50">
        <f t="shared" si="62"/>
        <v>5.739910313901345E-3</v>
      </c>
      <c r="L35" s="50">
        <f t="shared" si="62"/>
        <v>5.5141751833246719E-3</v>
      </c>
      <c r="M35" s="51">
        <f t="shared" si="62"/>
        <v>6.1833019460138102E-3</v>
      </c>
      <c r="N35" s="50">
        <f t="shared" si="62"/>
        <v>5.930767368675865E-3</v>
      </c>
      <c r="O35" s="50"/>
      <c r="T35" s="50">
        <f t="shared" ref="T35:AB35" si="65">+T13/T$10</f>
        <v>6.5182316876411742E-3</v>
      </c>
      <c r="U35" s="50">
        <f t="shared" si="65"/>
        <v>6.5829008467631796E-3</v>
      </c>
      <c r="V35" s="50">
        <f t="shared" si="65"/>
        <v>7.6384854816754378E-3</v>
      </c>
      <c r="W35" s="50">
        <f t="shared" si="65"/>
        <v>7.3896820246593118E-3</v>
      </c>
      <c r="X35" s="50">
        <f t="shared" si="65"/>
        <v>7.2547024258937075E-3</v>
      </c>
      <c r="Y35" s="50">
        <f t="shared" si="65"/>
        <v>7.228955072534877E-3</v>
      </c>
      <c r="Z35" s="50">
        <f t="shared" si="65"/>
        <v>6.5963259822789779E-3</v>
      </c>
      <c r="AA35" s="50">
        <f t="shared" si="65"/>
        <v>6.1281619865398004E-3</v>
      </c>
      <c r="AB35" s="51">
        <f t="shared" si="65"/>
        <v>5.8314465792826502E-3</v>
      </c>
      <c r="AC35" s="50">
        <f>+AB35</f>
        <v>5.8314465792826502E-3</v>
      </c>
      <c r="AD35" s="50">
        <f t="shared" ref="AD35:AK35" si="66">+AC35</f>
        <v>5.8314465792826502E-3</v>
      </c>
      <c r="AE35" s="50">
        <f t="shared" si="66"/>
        <v>5.8314465792826502E-3</v>
      </c>
      <c r="AF35" s="50">
        <f t="shared" si="66"/>
        <v>5.8314465792826502E-3</v>
      </c>
      <c r="AG35" s="50">
        <f t="shared" si="66"/>
        <v>5.8314465792826502E-3</v>
      </c>
      <c r="AH35" s="50">
        <f t="shared" si="66"/>
        <v>5.8314465792826502E-3</v>
      </c>
      <c r="AI35" s="50">
        <f t="shared" si="66"/>
        <v>5.8314465792826502E-3</v>
      </c>
      <c r="AJ35" s="50">
        <f t="shared" si="66"/>
        <v>5.8314465792826502E-3</v>
      </c>
      <c r="AK35" s="50">
        <f t="shared" si="66"/>
        <v>5.8314465792826502E-3</v>
      </c>
      <c r="AN35" s="35" t="s">
        <v>169</v>
      </c>
      <c r="AO35" s="89">
        <f>+SUM(AO33:AO34)</f>
        <v>25853.168017985045</v>
      </c>
    </row>
    <row r="36" spans="2:41">
      <c r="G36" s="50"/>
      <c r="H36" s="50"/>
      <c r="I36" s="50"/>
      <c r="J36" s="50"/>
      <c r="K36" s="50"/>
      <c r="L36" s="50"/>
      <c r="M36" s="51"/>
      <c r="N36" s="50"/>
      <c r="O36" s="50"/>
      <c r="U36" s="50"/>
      <c r="V36" s="50"/>
      <c r="W36" s="50"/>
      <c r="X36" s="50"/>
      <c r="Y36" s="50"/>
      <c r="Z36" s="50"/>
      <c r="AA36" s="50"/>
      <c r="AB36" s="51"/>
      <c r="AC36" s="50"/>
      <c r="AD36" s="50"/>
      <c r="AE36" s="50"/>
      <c r="AF36" s="50"/>
      <c r="AG36" s="50"/>
      <c r="AH36" s="50"/>
      <c r="AI36" s="50"/>
      <c r="AJ36" s="50"/>
      <c r="AK36" s="50"/>
      <c r="AN36" s="35" t="s">
        <v>1</v>
      </c>
      <c r="AO36" s="89">
        <f>+Main!H3</f>
        <v>715.80631900000003</v>
      </c>
    </row>
    <row r="37" spans="2:41">
      <c r="B37" s="22" t="s">
        <v>124</v>
      </c>
      <c r="C37" s="50">
        <f>+C21/C20</f>
        <v>0.23533123028391167</v>
      </c>
      <c r="D37" s="50">
        <f t="shared" ref="D37:N37" si="67">+D21/D20</f>
        <v>0.22714420358152687</v>
      </c>
      <c r="E37" s="50">
        <f t="shared" si="67"/>
        <v>0.2422062350119904</v>
      </c>
      <c r="F37" s="50">
        <f t="shared" si="67"/>
        <v>0.30909090909090908</v>
      </c>
      <c r="G37" s="50">
        <f t="shared" si="67"/>
        <v>0.2011173184357542</v>
      </c>
      <c r="H37" s="50">
        <f t="shared" si="67"/>
        <v>0.21176470588235294</v>
      </c>
      <c r="I37" s="50">
        <f t="shared" si="67"/>
        <v>0.13701067615658363</v>
      </c>
      <c r="J37" s="50">
        <f t="shared" si="67"/>
        <v>0.20419580419580419</v>
      </c>
      <c r="K37" s="50">
        <f t="shared" si="67"/>
        <v>0.17980295566502463</v>
      </c>
      <c r="L37" s="50">
        <f t="shared" si="67"/>
        <v>0.22210414452709884</v>
      </c>
      <c r="M37" s="50">
        <f t="shared" si="67"/>
        <v>0.22210414452709884</v>
      </c>
      <c r="N37" s="50">
        <f t="shared" si="67"/>
        <v>0.22210414452709884</v>
      </c>
      <c r="O37" s="50"/>
      <c r="U37" s="50"/>
      <c r="V37" s="50"/>
      <c r="W37" s="50"/>
      <c r="X37" s="50"/>
      <c r="Y37" s="50"/>
      <c r="Z37" s="50"/>
      <c r="AA37" s="50"/>
      <c r="AB37" s="51"/>
      <c r="AC37" s="50"/>
      <c r="AD37" s="50"/>
      <c r="AE37" s="50"/>
      <c r="AF37" s="50"/>
      <c r="AG37" s="50"/>
      <c r="AH37" s="50"/>
      <c r="AI37" s="50"/>
      <c r="AJ37" s="50"/>
      <c r="AK37" s="50"/>
      <c r="AN37" s="40" t="s">
        <v>173</v>
      </c>
      <c r="AO37" s="89">
        <f>+AO35/AO36</f>
        <v>36.11754650909284</v>
      </c>
    </row>
    <row r="38" spans="2:41" s="54" customFormat="1">
      <c r="B38" s="26" t="s">
        <v>72</v>
      </c>
      <c r="C38" s="54">
        <f>(C10-C11)/C10</f>
        <v>0.24296613636910636</v>
      </c>
      <c r="D38" s="54">
        <f t="shared" ref="D38:K38" si="68">(D10-D11)/D10</f>
        <v>0.22755747974679394</v>
      </c>
      <c r="E38" s="54">
        <f t="shared" si="68"/>
        <v>0.22951922753423276</v>
      </c>
      <c r="F38" s="54">
        <f t="shared" si="68"/>
        <v>0.22923512379217231</v>
      </c>
      <c r="G38" s="54">
        <f t="shared" si="68"/>
        <v>0.22642742989975301</v>
      </c>
      <c r="H38" s="54">
        <f t="shared" si="68"/>
        <v>0.21362287734360205</v>
      </c>
      <c r="I38" s="54">
        <f t="shared" si="68"/>
        <v>0.21660389202762084</v>
      </c>
      <c r="J38" s="54">
        <f t="shared" si="68"/>
        <v>0.22176833696441539</v>
      </c>
      <c r="K38" s="54">
        <f t="shared" si="68"/>
        <v>0.21632286995515695</v>
      </c>
      <c r="L38" s="54">
        <f t="shared" ref="L38:N38" si="69">(L10-L11)/L10</f>
        <v>0.20919221664068363</v>
      </c>
      <c r="M38" s="55">
        <f t="shared" si="69"/>
        <v>0.21660389202762087</v>
      </c>
      <c r="N38" s="54">
        <f t="shared" si="69"/>
        <v>0.22176833696441539</v>
      </c>
      <c r="P38" s="56"/>
      <c r="T38" s="54">
        <f t="shared" ref="T38:AK38" si="70">(T10-T11)/T10</f>
        <v>0.21161665053242981</v>
      </c>
      <c r="U38" s="54">
        <f t="shared" si="70"/>
        <v>0.22156059364472366</v>
      </c>
      <c r="V38" s="54">
        <f t="shared" si="70"/>
        <v>0.22399576892064124</v>
      </c>
      <c r="W38" s="54">
        <f t="shared" si="70"/>
        <v>0.22281797534068787</v>
      </c>
      <c r="X38" s="54">
        <f t="shared" si="70"/>
        <v>0.21952040179890359</v>
      </c>
      <c r="Y38" s="54">
        <f t="shared" si="70"/>
        <v>0.22072845624192466</v>
      </c>
      <c r="Z38" s="54">
        <f t="shared" si="70"/>
        <v>0.23321861462059804</v>
      </c>
      <c r="AA38" s="54">
        <f t="shared" si="70"/>
        <v>0.22009892086330934</v>
      </c>
      <c r="AB38" s="55">
        <f t="shared" si="70"/>
        <v>0.2159785943141693</v>
      </c>
      <c r="AC38" s="54">
        <f t="shared" si="70"/>
        <v>0.21597859431416938</v>
      </c>
      <c r="AD38" s="54">
        <f t="shared" si="70"/>
        <v>0.21597859431416938</v>
      </c>
      <c r="AE38" s="54">
        <f t="shared" si="70"/>
        <v>0.2159785943141693</v>
      </c>
      <c r="AF38" s="54">
        <f t="shared" si="70"/>
        <v>0.21597859431416941</v>
      </c>
      <c r="AG38" s="54">
        <f t="shared" si="70"/>
        <v>0.21597859431416938</v>
      </c>
      <c r="AH38" s="54">
        <f t="shared" si="70"/>
        <v>0.2159785943141693</v>
      </c>
      <c r="AI38" s="54">
        <f t="shared" si="70"/>
        <v>0.21597859431416935</v>
      </c>
      <c r="AJ38" s="54">
        <f t="shared" si="70"/>
        <v>0.2159785943141693</v>
      </c>
      <c r="AK38" s="54">
        <f t="shared" si="70"/>
        <v>0.21597859431416933</v>
      </c>
      <c r="AN38" s="35" t="s">
        <v>77</v>
      </c>
      <c r="AO38" s="89">
        <f>+Main!H2</f>
        <v>48.11</v>
      </c>
    </row>
    <row r="39" spans="2:41" s="50" customFormat="1">
      <c r="B39" s="27" t="s">
        <v>36</v>
      </c>
      <c r="C39" s="50">
        <f t="shared" ref="C39:F39" si="71">+C15/C10</f>
        <v>3.1914125490384845E-2</v>
      </c>
      <c r="D39" s="50">
        <f t="shared" si="71"/>
        <v>2.6894945718127849E-2</v>
      </c>
      <c r="E39" s="50">
        <f t="shared" si="71"/>
        <v>2.6646031692628604E-2</v>
      </c>
      <c r="F39" s="50">
        <f t="shared" si="71"/>
        <v>-5.1403845528190783E-3</v>
      </c>
      <c r="G39" s="50">
        <f>+G15/G10</f>
        <v>1.9492469368976705E-2</v>
      </c>
      <c r="H39" s="50">
        <f t="shared" ref="H39:K39" si="72">+H15/H10</f>
        <v>2.6481914020579509E-2</v>
      </c>
      <c r="I39" s="50">
        <f t="shared" si="72"/>
        <v>2.7244193345888262E-2</v>
      </c>
      <c r="J39" s="50">
        <f t="shared" si="72"/>
        <v>2.9199951585572502E-2</v>
      </c>
      <c r="K39" s="50">
        <f t="shared" si="72"/>
        <v>3.3744394618834078E-2</v>
      </c>
      <c r="L39" s="50">
        <f t="shared" ref="L39:N39" si="73">+L15/L10</f>
        <v>2.7542005889485535E-2</v>
      </c>
      <c r="M39" s="51">
        <f t="shared" si="73"/>
        <v>3.0420590081607052E-2</v>
      </c>
      <c r="N39" s="50">
        <f t="shared" si="73"/>
        <v>2.5837569595739698E-2</v>
      </c>
      <c r="P39" s="46"/>
      <c r="T39" s="50">
        <f t="shared" ref="T39" si="74">+T15/T10</f>
        <v>2.8921772000184393E-2</v>
      </c>
      <c r="U39" s="50">
        <f t="shared" ref="U39:V39" si="75">+U15/U10</f>
        <v>3.2559409997268508E-2</v>
      </c>
      <c r="V39" s="50">
        <f t="shared" si="75"/>
        <v>2.9929684316394565E-2</v>
      </c>
      <c r="W39" s="50">
        <f t="shared" ref="W39:X39" si="76">+W15/W10</f>
        <v>2.1187540558079171E-2</v>
      </c>
      <c r="X39" s="50">
        <f t="shared" si="76"/>
        <v>2.1452253553491122E-2</v>
      </c>
      <c r="Y39" s="50">
        <f t="shared" ref="Y39:AA39" si="77">+Y15/Y10</f>
        <v>1.8407667271805438E-2</v>
      </c>
      <c r="Z39" s="50">
        <f t="shared" si="77"/>
        <v>2.0981448776585306E-2</v>
      </c>
      <c r="AA39" s="50">
        <f t="shared" si="77"/>
        <v>2.5216117428637736E-2</v>
      </c>
      <c r="AB39" s="51">
        <f t="shared" ref="AB39:AK39" si="78">+AB15/AB10</f>
        <v>2.9677895238401617E-2</v>
      </c>
      <c r="AC39" s="50">
        <f t="shared" si="78"/>
        <v>2.967789523840178E-2</v>
      </c>
      <c r="AD39" s="50">
        <f t="shared" si="78"/>
        <v>2.9677895238401919E-2</v>
      </c>
      <c r="AE39" s="50">
        <f t="shared" si="78"/>
        <v>2.9677895238401711E-2</v>
      </c>
      <c r="AF39" s="50">
        <f t="shared" si="78"/>
        <v>2.9677895238401811E-2</v>
      </c>
      <c r="AG39" s="50">
        <f t="shared" si="78"/>
        <v>2.9677895238401648E-2</v>
      </c>
      <c r="AH39" s="50">
        <f t="shared" si="78"/>
        <v>2.9677895238401766E-2</v>
      </c>
      <c r="AI39" s="50">
        <f t="shared" si="78"/>
        <v>2.9677895238401631E-2</v>
      </c>
      <c r="AJ39" s="50">
        <f t="shared" si="78"/>
        <v>2.967789523840185E-2</v>
      </c>
      <c r="AK39" s="50">
        <f t="shared" si="78"/>
        <v>2.9677895238401735E-2</v>
      </c>
      <c r="AN39" s="35" t="s">
        <v>78</v>
      </c>
      <c r="AO39" s="90">
        <f>+AO37/AO38-1</f>
        <v>-0.24927153379561751</v>
      </c>
    </row>
    <row r="40" spans="2:41">
      <c r="B40" s="22" t="s">
        <v>37</v>
      </c>
      <c r="C40" s="50">
        <f>+C24/C10</f>
        <v>2.9170377145057644E-2</v>
      </c>
      <c r="D40" s="50">
        <f t="shared" ref="D40:K40" si="79">+D24/D10</f>
        <v>2.6862147003837451E-2</v>
      </c>
      <c r="E40" s="50">
        <f t="shared" si="79"/>
        <v>2.1229351007637183E-2</v>
      </c>
      <c r="F40" s="50">
        <f t="shared" si="79"/>
        <v>-2.5051241175130948E-3</v>
      </c>
      <c r="G40" s="50">
        <f t="shared" si="79"/>
        <v>3.3899946728655141E-3</v>
      </c>
      <c r="H40" s="50">
        <f t="shared" si="79"/>
        <v>1.4740231046019823E-2</v>
      </c>
      <c r="I40" s="50">
        <f t="shared" si="79"/>
        <v>1.5160075329566855E-2</v>
      </c>
      <c r="J40" s="50">
        <f t="shared" si="79"/>
        <v>1.7096344710723795E-2</v>
      </c>
      <c r="K40" s="50">
        <f t="shared" si="79"/>
        <v>1.4887892376681615E-2</v>
      </c>
      <c r="L40" s="50">
        <f t="shared" ref="L40:N40" si="80">+L24/L10</f>
        <v>2.1103989837750449E-2</v>
      </c>
      <c r="M40" s="51">
        <f t="shared" si="80"/>
        <v>8.2855698128011628E-3</v>
      </c>
      <c r="N40" s="50">
        <f t="shared" si="80"/>
        <v>5.6065939440737246E-3</v>
      </c>
      <c r="O40" s="50"/>
      <c r="P40" s="57"/>
      <c r="Q40" s="58"/>
      <c r="R40" s="58"/>
      <c r="S40" s="58"/>
      <c r="T40" s="50">
        <f t="shared" ref="T40" si="81">+T24/T10</f>
        <v>1.5931406444475178E-2</v>
      </c>
      <c r="U40" s="50">
        <f t="shared" ref="U40:V40" si="82">+U24/U10</f>
        <v>1.8565055085131565E-2</v>
      </c>
      <c r="V40" s="50">
        <f t="shared" si="82"/>
        <v>1.7123733060509638E-2</v>
      </c>
      <c r="W40" s="50">
        <f t="shared" ref="W40:X40" si="83">+W24/W10</f>
        <v>1.5468851395197923E-2</v>
      </c>
      <c r="X40" s="50">
        <f t="shared" si="83"/>
        <v>2.552276532186587E-2</v>
      </c>
      <c r="Y40" s="50">
        <f t="shared" ref="Y40:AA40" si="84">+Y24/Y10</f>
        <v>1.3566557087483441E-2</v>
      </c>
      <c r="Z40" s="50">
        <f t="shared" si="84"/>
        <v>1.9509728448731303E-2</v>
      </c>
      <c r="AA40" s="50">
        <f t="shared" si="84"/>
        <v>1.2002494778370851E-2</v>
      </c>
      <c r="AB40" s="51">
        <f t="shared" ref="AB40:AK40" si="85">+AB24/AB10</f>
        <v>1.2690514704521347E-2</v>
      </c>
      <c r="AC40" s="50">
        <f t="shared" si="85"/>
        <v>1.269051470452142E-2</v>
      </c>
      <c r="AD40" s="50">
        <f t="shared" si="85"/>
        <v>1.2690514704521478E-2</v>
      </c>
      <c r="AE40" s="50">
        <f t="shared" si="85"/>
        <v>1.2690514704521387E-2</v>
      </c>
      <c r="AF40" s="50">
        <f t="shared" si="85"/>
        <v>1.2690514704521432E-2</v>
      </c>
      <c r="AG40" s="50">
        <f t="shared" si="85"/>
        <v>1.2690514704521363E-2</v>
      </c>
      <c r="AH40" s="50">
        <f t="shared" si="85"/>
        <v>1.2690514704521415E-2</v>
      </c>
      <c r="AI40" s="50">
        <f t="shared" si="85"/>
        <v>1.2690514704521354E-2</v>
      </c>
      <c r="AJ40" s="50">
        <f t="shared" si="85"/>
        <v>1.2690514704521448E-2</v>
      </c>
      <c r="AK40" s="50">
        <f t="shared" si="85"/>
        <v>1.26905147045214E-2</v>
      </c>
      <c r="AN40" s="91" t="s">
        <v>79</v>
      </c>
      <c r="AO40" s="92">
        <f>+Main!H7/Model!AB24</f>
        <v>25.030368211530082</v>
      </c>
    </row>
    <row r="42" spans="2:41" s="23" customFormat="1">
      <c r="B42" s="23" t="s">
        <v>111</v>
      </c>
      <c r="D42" s="23">
        <f t="shared" ref="D42:K42" si="86">+D43-D57-D63</f>
        <v>-10662</v>
      </c>
      <c r="E42" s="23">
        <f t="shared" si="86"/>
        <v>-11340</v>
      </c>
      <c r="F42" s="23">
        <f t="shared" si="86"/>
        <v>-11726</v>
      </c>
      <c r="G42" s="23">
        <f t="shared" si="86"/>
        <v>-11815</v>
      </c>
      <c r="H42" s="23">
        <f t="shared" si="86"/>
        <v>-11930</v>
      </c>
      <c r="I42" s="23">
        <f t="shared" si="86"/>
        <v>-11433</v>
      </c>
      <c r="J42" s="23">
        <f t="shared" si="86"/>
        <v>-11543</v>
      </c>
      <c r="K42" s="23">
        <f t="shared" si="86"/>
        <v>-12257</v>
      </c>
      <c r="L42" s="23">
        <f>+L43-L57-L63</f>
        <v>-12175</v>
      </c>
      <c r="M42" s="40"/>
      <c r="P42" s="41"/>
      <c r="AB42" s="40"/>
      <c r="AN42" s="23" t="s">
        <v>170</v>
      </c>
      <c r="AO42" s="93">
        <v>51.08</v>
      </c>
    </row>
    <row r="43" spans="2:41">
      <c r="B43" s="22" t="s">
        <v>3</v>
      </c>
      <c r="D43" s="34">
        <v>2820</v>
      </c>
      <c r="E43" s="34">
        <v>2180</v>
      </c>
      <c r="F43" s="34">
        <v>1687</v>
      </c>
      <c r="G43" s="34">
        <v>2309</v>
      </c>
      <c r="H43" s="34">
        <v>2225</v>
      </c>
      <c r="I43" s="34">
        <v>2288</v>
      </c>
      <c r="J43" s="34">
        <v>1821</v>
      </c>
      <c r="K43" s="34">
        <v>1382</v>
      </c>
      <c r="L43" s="34">
        <v>1102</v>
      </c>
    </row>
    <row r="44" spans="2:41">
      <c r="B44" s="22" t="s">
        <v>58</v>
      </c>
      <c r="D44" s="34">
        <v>1058</v>
      </c>
      <c r="E44" s="34">
        <v>1102</v>
      </c>
      <c r="F44" s="34">
        <v>1096</v>
      </c>
      <c r="G44" s="34">
        <v>1011</v>
      </c>
      <c r="H44" s="34">
        <v>1055</v>
      </c>
      <c r="I44" s="34">
        <v>1140</v>
      </c>
      <c r="J44" s="34">
        <v>1082</v>
      </c>
      <c r="K44" s="34">
        <v>1110</v>
      </c>
      <c r="L44" s="34">
        <v>1087</v>
      </c>
      <c r="AN44" s="34" t="s">
        <v>171</v>
      </c>
      <c r="AO44" s="50">
        <f>_xlfn.RRI(COUNT(S3:AA3),S25,AA25)</f>
        <v>4.7411134871124361E-2</v>
      </c>
    </row>
    <row r="45" spans="2:41">
      <c r="B45" s="22" t="s">
        <v>59</v>
      </c>
      <c r="D45" s="34">
        <v>1526</v>
      </c>
      <c r="E45" s="34">
        <v>1610</v>
      </c>
      <c r="F45" s="34">
        <v>1781</v>
      </c>
      <c r="G45" s="34">
        <v>1936</v>
      </c>
      <c r="H45" s="34">
        <v>1961</v>
      </c>
      <c r="I45" s="34">
        <v>1914</v>
      </c>
      <c r="J45" s="34">
        <v>1828</v>
      </c>
      <c r="K45" s="34">
        <v>1887</v>
      </c>
      <c r="L45" s="34">
        <v>1869</v>
      </c>
      <c r="AN45" s="34" t="s">
        <v>172</v>
      </c>
      <c r="AO45" s="34">
        <f>AVERAGE(Z27:AA27)</f>
        <v>17.795000000000002</v>
      </c>
    </row>
    <row r="46" spans="2:41">
      <c r="B46" s="22" t="s">
        <v>60</v>
      </c>
      <c r="D46" s="34">
        <v>7778</v>
      </c>
      <c r="E46" s="34">
        <v>8935</v>
      </c>
      <c r="F46" s="34">
        <v>8436</v>
      </c>
      <c r="G46" s="34">
        <v>8177</v>
      </c>
      <c r="H46" s="34">
        <v>7998</v>
      </c>
      <c r="I46" s="34">
        <v>9070</v>
      </c>
      <c r="J46" s="34">
        <v>8353</v>
      </c>
      <c r="K46" s="34">
        <v>9021</v>
      </c>
      <c r="L46" s="34">
        <v>9125</v>
      </c>
      <c r="AN46" s="34" t="s">
        <v>99</v>
      </c>
      <c r="AO46" s="47">
        <f>FV(AO44,10,,-AA25)</f>
        <v>3.4961861329491288</v>
      </c>
    </row>
    <row r="47" spans="2:41">
      <c r="B47" s="22" t="s">
        <v>63</v>
      </c>
      <c r="D47" s="34">
        <v>-1434</v>
      </c>
      <c r="E47" s="34">
        <v>-1457</v>
      </c>
      <c r="F47" s="34">
        <v>-1373</v>
      </c>
      <c r="G47" s="34">
        <v>-1410</v>
      </c>
      <c r="H47" s="34">
        <v>-1457</v>
      </c>
      <c r="I47" s="34">
        <v>-1550</v>
      </c>
      <c r="J47" s="34">
        <v>-1570</v>
      </c>
      <c r="K47" s="34">
        <v>-1663</v>
      </c>
      <c r="L47" s="34">
        <v>-1810</v>
      </c>
      <c r="AN47" s="23" t="s">
        <v>174</v>
      </c>
      <c r="AO47" s="23">
        <f>+AO46*AO45</f>
        <v>62.214632235829754</v>
      </c>
    </row>
    <row r="48" spans="2:41">
      <c r="B48" s="22" t="s">
        <v>61</v>
      </c>
      <c r="D48" s="34">
        <v>538</v>
      </c>
      <c r="E48" s="34">
        <v>576</v>
      </c>
      <c r="F48" s="34">
        <v>876</v>
      </c>
      <c r="G48" s="34">
        <v>522</v>
      </c>
      <c r="H48" s="34">
        <v>550</v>
      </c>
      <c r="I48" s="34">
        <v>518</v>
      </c>
      <c r="J48" s="34">
        <v>660</v>
      </c>
      <c r="K48" s="34">
        <v>539</v>
      </c>
      <c r="L48" s="34">
        <v>536</v>
      </c>
    </row>
    <row r="49" spans="2:41" s="23" customFormat="1">
      <c r="B49" s="23" t="s">
        <v>62</v>
      </c>
      <c r="D49" s="23">
        <f t="shared" ref="D49" si="87">+SUM(D43:D48)</f>
        <v>12286</v>
      </c>
      <c r="E49" s="23">
        <f t="shared" ref="E49:K49" si="88">+SUM(E43:E48)</f>
        <v>12946</v>
      </c>
      <c r="F49" s="23">
        <f t="shared" si="88"/>
        <v>12503</v>
      </c>
      <c r="G49" s="23">
        <f t="shared" si="88"/>
        <v>12545</v>
      </c>
      <c r="H49" s="23">
        <f t="shared" si="88"/>
        <v>12332</v>
      </c>
      <c r="I49" s="23">
        <f t="shared" si="88"/>
        <v>13380</v>
      </c>
      <c r="J49" s="23">
        <f t="shared" si="88"/>
        <v>12174</v>
      </c>
      <c r="K49" s="23">
        <f t="shared" si="88"/>
        <v>12276</v>
      </c>
      <c r="L49" s="23">
        <f t="shared" ref="L49" si="89">+SUM(L43:L48)</f>
        <v>11909</v>
      </c>
      <c r="M49" s="40"/>
      <c r="P49" s="41"/>
      <c r="AB49" s="40"/>
      <c r="AN49" s="23" t="s">
        <v>175</v>
      </c>
      <c r="AO49" s="23">
        <f>+AVERAGE(AO47,AO37)</f>
        <v>49.1660893724613</v>
      </c>
    </row>
    <row r="50" spans="2:41">
      <c r="B50" s="22" t="s">
        <v>64</v>
      </c>
      <c r="D50" s="34">
        <v>21881</v>
      </c>
      <c r="E50" s="34">
        <v>21902</v>
      </c>
      <c r="F50" s="34">
        <v>22386</v>
      </c>
      <c r="G50" s="34">
        <v>23057</v>
      </c>
      <c r="H50" s="34">
        <v>22986</v>
      </c>
      <c r="I50" s="34">
        <v>23316</v>
      </c>
      <c r="J50" s="34">
        <v>23789</v>
      </c>
      <c r="K50" s="34">
        <v>24209</v>
      </c>
      <c r="L50" s="34">
        <v>24118</v>
      </c>
      <c r="AO50" s="23"/>
    </row>
    <row r="51" spans="2:41">
      <c r="B51" s="22" t="s">
        <v>40</v>
      </c>
      <c r="D51" s="34">
        <v>6822</v>
      </c>
      <c r="E51" s="34">
        <v>6843</v>
      </c>
      <c r="F51" s="34">
        <v>6796</v>
      </c>
      <c r="G51" s="34">
        <v>6663</v>
      </c>
      <c r="H51" s="34">
        <v>6704</v>
      </c>
      <c r="I51" s="34">
        <v>6655</v>
      </c>
      <c r="J51" s="34">
        <v>6695</v>
      </c>
      <c r="K51" s="34">
        <v>6760</v>
      </c>
      <c r="L51" s="34">
        <v>6771</v>
      </c>
    </row>
    <row r="52" spans="2:41">
      <c r="B52" s="22" t="s">
        <v>65</v>
      </c>
      <c r="D52" s="34">
        <v>1029</v>
      </c>
      <c r="E52" s="34">
        <v>1012</v>
      </c>
      <c r="F52" s="34">
        <v>997</v>
      </c>
      <c r="G52" s="34">
        <v>978</v>
      </c>
      <c r="H52" s="34">
        <v>966</v>
      </c>
      <c r="I52" s="34">
        <v>954</v>
      </c>
      <c r="J52" s="34">
        <v>942</v>
      </c>
      <c r="K52" s="34">
        <v>928</v>
      </c>
      <c r="L52" s="34">
        <v>917</v>
      </c>
    </row>
    <row r="53" spans="2:41">
      <c r="B53" s="22" t="s">
        <v>66</v>
      </c>
      <c r="D53" s="34">
        <v>3076</v>
      </c>
      <c r="E53" s="34">
        <v>3076</v>
      </c>
      <c r="F53" s="34">
        <v>3076</v>
      </c>
      <c r="G53" s="34">
        <v>3076</v>
      </c>
      <c r="H53" s="34">
        <v>3076</v>
      </c>
      <c r="I53" s="34">
        <v>3076</v>
      </c>
      <c r="J53" s="34">
        <v>3076</v>
      </c>
      <c r="K53" s="34">
        <v>3076</v>
      </c>
      <c r="L53" s="34">
        <v>3076</v>
      </c>
    </row>
    <row r="54" spans="2:41">
      <c r="B54" s="22" t="s">
        <v>67</v>
      </c>
      <c r="D54" s="34">
        <v>2449</v>
      </c>
      <c r="E54" s="34">
        <v>2686</v>
      </c>
      <c r="F54" s="34">
        <v>2904</v>
      </c>
      <c r="G54" s="34">
        <v>2492</v>
      </c>
      <c r="H54" s="34">
        <v>2397</v>
      </c>
      <c r="I54" s="34">
        <v>2448</v>
      </c>
      <c r="J54" s="34">
        <v>2410</v>
      </c>
      <c r="K54" s="34">
        <v>1842</v>
      </c>
      <c r="L54" s="34">
        <v>1950</v>
      </c>
    </row>
    <row r="55" spans="2:41" s="23" customFormat="1">
      <c r="B55" s="23" t="s">
        <v>68</v>
      </c>
      <c r="D55" s="23">
        <f t="shared" ref="D55" si="90">+SUM(D49:D54)</f>
        <v>47543</v>
      </c>
      <c r="E55" s="23">
        <f t="shared" ref="E55:K55" si="91">+SUM(E49:E54)</f>
        <v>48465</v>
      </c>
      <c r="F55" s="23">
        <f t="shared" si="91"/>
        <v>48662</v>
      </c>
      <c r="G55" s="23">
        <f t="shared" si="91"/>
        <v>48811</v>
      </c>
      <c r="H55" s="23">
        <f t="shared" si="91"/>
        <v>48461</v>
      </c>
      <c r="I55" s="23">
        <f t="shared" si="91"/>
        <v>49829</v>
      </c>
      <c r="J55" s="23">
        <f t="shared" si="91"/>
        <v>49086</v>
      </c>
      <c r="K55" s="23">
        <f t="shared" si="91"/>
        <v>49091</v>
      </c>
      <c r="L55" s="23">
        <f t="shared" ref="L55" si="92">+SUM(L49:L54)</f>
        <v>48741</v>
      </c>
      <c r="M55" s="40"/>
      <c r="P55" s="41"/>
      <c r="AB55" s="40"/>
    </row>
    <row r="57" spans="2:41">
      <c r="B57" s="22" t="s">
        <v>4</v>
      </c>
      <c r="D57" s="34">
        <v>1096</v>
      </c>
      <c r="E57" s="34">
        <v>1595</v>
      </c>
      <c r="F57" s="34">
        <v>911</v>
      </c>
      <c r="G57" s="34">
        <v>1150</v>
      </c>
      <c r="H57" s="34">
        <v>1547</v>
      </c>
      <c r="I57" s="34">
        <v>1048</v>
      </c>
      <c r="J57" s="34">
        <v>555</v>
      </c>
      <c r="K57" s="34">
        <v>587</v>
      </c>
      <c r="L57" s="34">
        <v>789</v>
      </c>
    </row>
    <row r="58" spans="2:41">
      <c r="B58" s="22" t="s">
        <v>40</v>
      </c>
      <c r="D58" s="34">
        <v>666</v>
      </c>
      <c r="E58" s="34">
        <v>669</v>
      </c>
      <c r="F58" s="34">
        <v>667</v>
      </c>
      <c r="G58" s="34">
        <v>644</v>
      </c>
      <c r="H58" s="34">
        <v>644</v>
      </c>
      <c r="I58" s="34">
        <v>642</v>
      </c>
      <c r="J58" s="34">
        <v>650</v>
      </c>
      <c r="K58" s="34">
        <v>652</v>
      </c>
      <c r="L58" s="34">
        <v>656</v>
      </c>
    </row>
    <row r="59" spans="2:41">
      <c r="B59" s="22" t="s">
        <v>41</v>
      </c>
      <c r="D59" s="34">
        <v>6871</v>
      </c>
      <c r="E59" s="34">
        <v>7355</v>
      </c>
      <c r="F59" s="34">
        <v>6679</v>
      </c>
      <c r="G59" s="34">
        <v>7015</v>
      </c>
      <c r="H59" s="34">
        <v>6772</v>
      </c>
      <c r="I59" s="34">
        <v>7879</v>
      </c>
      <c r="J59" s="34">
        <v>7117</v>
      </c>
      <c r="K59" s="34">
        <v>7556</v>
      </c>
      <c r="L59" s="34">
        <v>7446</v>
      </c>
    </row>
    <row r="60" spans="2:41">
      <c r="B60" s="22" t="s">
        <v>42</v>
      </c>
      <c r="D60" s="34">
        <v>1267</v>
      </c>
      <c r="E60" s="34">
        <v>1236</v>
      </c>
      <c r="F60" s="34">
        <v>1413</v>
      </c>
      <c r="G60" s="34">
        <v>1165</v>
      </c>
      <c r="H60" s="34">
        <v>1274</v>
      </c>
      <c r="I60" s="34">
        <v>1458</v>
      </c>
      <c r="J60" s="34">
        <v>1736</v>
      </c>
      <c r="K60" s="34">
        <v>1171</v>
      </c>
      <c r="L60" s="34">
        <v>1356</v>
      </c>
    </row>
    <row r="61" spans="2:41">
      <c r="B61" s="22" t="s">
        <v>43</v>
      </c>
      <c r="D61" s="34">
        <v>4678</v>
      </c>
      <c r="E61" s="34">
        <v>4662</v>
      </c>
      <c r="F61" s="34">
        <v>5696</v>
      </c>
      <c r="G61" s="34">
        <v>5236</v>
      </c>
      <c r="H61" s="34">
        <v>5366</v>
      </c>
      <c r="I61" s="34">
        <v>5771</v>
      </c>
      <c r="J61" s="34">
        <v>6265</v>
      </c>
      <c r="K61" s="34">
        <v>6272</v>
      </c>
      <c r="L61" s="34">
        <v>6319</v>
      </c>
    </row>
    <row r="62" spans="2:41" s="23" customFormat="1">
      <c r="B62" s="23" t="s">
        <v>44</v>
      </c>
      <c r="D62" s="23">
        <f t="shared" ref="D62" si="93">+SUM(D57:D61)</f>
        <v>14578</v>
      </c>
      <c r="E62" s="23">
        <f t="shared" ref="E62:K62" si="94">+SUM(E57:E61)</f>
        <v>15517</v>
      </c>
      <c r="F62" s="23">
        <f t="shared" si="94"/>
        <v>15366</v>
      </c>
      <c r="G62" s="23">
        <f t="shared" si="94"/>
        <v>15210</v>
      </c>
      <c r="H62" s="23">
        <f t="shared" si="94"/>
        <v>15603</v>
      </c>
      <c r="I62" s="23">
        <f t="shared" si="94"/>
        <v>16798</v>
      </c>
      <c r="J62" s="23">
        <f t="shared" si="94"/>
        <v>16323</v>
      </c>
      <c r="K62" s="23">
        <f t="shared" si="94"/>
        <v>16238</v>
      </c>
      <c r="L62" s="23">
        <f t="shared" ref="L62" si="95">+SUM(L57:L61)</f>
        <v>16566</v>
      </c>
      <c r="M62" s="40"/>
      <c r="P62" s="41"/>
      <c r="AB62" s="40"/>
    </row>
    <row r="63" spans="2:41">
      <c r="B63" s="22" t="s">
        <v>45</v>
      </c>
      <c r="D63" s="34">
        <v>12386</v>
      </c>
      <c r="E63" s="34">
        <v>11925</v>
      </c>
      <c r="F63" s="34">
        <v>12502</v>
      </c>
      <c r="G63" s="34">
        <v>12974</v>
      </c>
      <c r="H63" s="34">
        <v>12608</v>
      </c>
      <c r="I63" s="34">
        <v>12673</v>
      </c>
      <c r="J63" s="34">
        <v>12809</v>
      </c>
      <c r="K63" s="34">
        <v>13052</v>
      </c>
      <c r="L63" s="34">
        <v>12488</v>
      </c>
    </row>
    <row r="64" spans="2:41">
      <c r="B64" s="22" t="s">
        <v>46</v>
      </c>
      <c r="D64" s="34">
        <v>6478</v>
      </c>
      <c r="E64" s="34">
        <v>6482</v>
      </c>
      <c r="F64" s="34">
        <v>6507</v>
      </c>
      <c r="G64" s="34">
        <v>6385</v>
      </c>
      <c r="H64" s="34">
        <v>6408</v>
      </c>
      <c r="I64" s="34">
        <v>6343</v>
      </c>
      <c r="J64" s="34">
        <v>6426</v>
      </c>
      <c r="K64" s="34">
        <v>6460</v>
      </c>
      <c r="L64" s="34">
        <v>6449</v>
      </c>
    </row>
    <row r="65" spans="2:28">
      <c r="B65" s="22" t="s">
        <v>47</v>
      </c>
      <c r="D65" s="34">
        <v>1634</v>
      </c>
      <c r="E65" s="34">
        <v>1682</v>
      </c>
      <c r="F65" s="34">
        <v>1542</v>
      </c>
      <c r="G65" s="34">
        <v>1541</v>
      </c>
      <c r="H65" s="34">
        <v>1522</v>
      </c>
      <c r="I65" s="34">
        <v>1619</v>
      </c>
      <c r="J65" s="34">
        <v>1562</v>
      </c>
      <c r="K65" s="34">
        <v>1532</v>
      </c>
      <c r="L65" s="34">
        <v>1522</v>
      </c>
    </row>
    <row r="66" spans="2:28">
      <c r="B66" s="22" t="s">
        <v>48</v>
      </c>
      <c r="D66" s="34">
        <v>578</v>
      </c>
      <c r="E66" s="34">
        <v>543</v>
      </c>
      <c r="F66" s="34">
        <v>535</v>
      </c>
      <c r="G66" s="34">
        <v>507</v>
      </c>
      <c r="H66" s="34">
        <v>494</v>
      </c>
      <c r="I66" s="34">
        <v>490</v>
      </c>
      <c r="J66" s="34">
        <v>478</v>
      </c>
      <c r="K66" s="34">
        <v>455</v>
      </c>
      <c r="L66" s="34">
        <v>439</v>
      </c>
    </row>
    <row r="67" spans="2:28">
      <c r="B67" s="22" t="s">
        <v>49</v>
      </c>
      <c r="D67" s="34">
        <v>2096</v>
      </c>
      <c r="E67" s="34">
        <v>2272</v>
      </c>
      <c r="F67" s="34">
        <v>2660</v>
      </c>
      <c r="G67" s="34">
        <v>2965</v>
      </c>
      <c r="H67" s="34">
        <v>2568</v>
      </c>
      <c r="I67" s="34">
        <v>2415</v>
      </c>
      <c r="J67" s="34">
        <v>2059</v>
      </c>
      <c r="K67" s="34">
        <v>1961</v>
      </c>
      <c r="L67" s="34">
        <v>1638</v>
      </c>
    </row>
    <row r="68" spans="2:28" s="23" customFormat="1">
      <c r="B68" s="23" t="s">
        <v>50</v>
      </c>
      <c r="D68" s="23">
        <f t="shared" ref="D68" si="96">+SUM(D62:D67)</f>
        <v>37750</v>
      </c>
      <c r="E68" s="23">
        <f t="shared" ref="E68:K68" si="97">+SUM(E62:E67)</f>
        <v>38421</v>
      </c>
      <c r="F68" s="23">
        <f t="shared" si="97"/>
        <v>39112</v>
      </c>
      <c r="G68" s="23">
        <f t="shared" si="97"/>
        <v>39582</v>
      </c>
      <c r="H68" s="23">
        <f t="shared" si="97"/>
        <v>39203</v>
      </c>
      <c r="I68" s="23">
        <f t="shared" si="97"/>
        <v>40338</v>
      </c>
      <c r="J68" s="23">
        <f t="shared" si="97"/>
        <v>39657</v>
      </c>
      <c r="K68" s="23">
        <f t="shared" si="97"/>
        <v>39698</v>
      </c>
      <c r="L68" s="23">
        <f t="shared" ref="L68" si="98">+SUM(L62:L67)</f>
        <v>39102</v>
      </c>
      <c r="M68" s="40"/>
      <c r="P68" s="41"/>
      <c r="AB68" s="40"/>
    </row>
    <row r="69" spans="2:28">
      <c r="B69" s="22" t="s">
        <v>52</v>
      </c>
      <c r="D69" s="34">
        <v>0</v>
      </c>
      <c r="E69" s="34">
        <v>0</v>
      </c>
      <c r="F69" s="34">
        <v>0</v>
      </c>
      <c r="G69" s="34">
        <v>0</v>
      </c>
      <c r="H69" s="34">
        <v>0</v>
      </c>
      <c r="I69" s="34">
        <v>0</v>
      </c>
      <c r="J69" s="34">
        <v>0</v>
      </c>
      <c r="K69" s="34">
        <v>0</v>
      </c>
      <c r="L69" s="34">
        <v>0</v>
      </c>
    </row>
    <row r="70" spans="2:28">
      <c r="B70" s="22" t="s">
        <v>51</v>
      </c>
      <c r="D70" s="34">
        <v>1918</v>
      </c>
      <c r="E70" s="34">
        <v>1918</v>
      </c>
      <c r="F70" s="34">
        <v>1918</v>
      </c>
      <c r="G70" s="34">
        <v>1918</v>
      </c>
      <c r="H70" s="34">
        <v>1918</v>
      </c>
      <c r="I70" s="34">
        <v>1918</v>
      </c>
      <c r="J70" s="34">
        <v>1918</v>
      </c>
      <c r="K70" s="34">
        <v>1918</v>
      </c>
      <c r="L70" s="34">
        <v>1918</v>
      </c>
    </row>
    <row r="71" spans="2:28">
      <c r="B71" s="22" t="s">
        <v>53</v>
      </c>
      <c r="D71" s="34">
        <v>3379</v>
      </c>
      <c r="E71" s="34">
        <v>3420</v>
      </c>
      <c r="F71" s="34">
        <v>3461</v>
      </c>
      <c r="G71" s="34">
        <v>3505</v>
      </c>
      <c r="H71" s="34">
        <v>3527</v>
      </c>
      <c r="I71" s="34">
        <v>3590</v>
      </c>
      <c r="J71" s="34">
        <v>3657</v>
      </c>
      <c r="K71" s="34">
        <v>3714</v>
      </c>
      <c r="L71" s="34">
        <v>3716</v>
      </c>
    </row>
    <row r="72" spans="2:28">
      <c r="B72" s="22" t="s">
        <v>54</v>
      </c>
      <c r="D72" s="34">
        <v>-651</v>
      </c>
      <c r="E72" s="34">
        <v>-621</v>
      </c>
      <c r="F72" s="34">
        <v>-630</v>
      </c>
      <c r="G72" s="34">
        <v>-627</v>
      </c>
      <c r="H72" s="34">
        <v>-625</v>
      </c>
      <c r="I72" s="34">
        <v>-491</v>
      </c>
      <c r="J72" s="34">
        <v>-467</v>
      </c>
      <c r="K72" s="34">
        <v>-465</v>
      </c>
      <c r="L72" s="34">
        <v>-464</v>
      </c>
    </row>
    <row r="73" spans="2:28">
      <c r="B73" s="22" t="s">
        <v>55</v>
      </c>
      <c r="D73" s="34">
        <v>22744</v>
      </c>
      <c r="E73" s="34">
        <v>23234</v>
      </c>
      <c r="F73" s="34">
        <v>23018</v>
      </c>
      <c r="G73" s="34">
        <v>23021</v>
      </c>
      <c r="H73" s="34">
        <v>23334</v>
      </c>
      <c r="I73" s="34">
        <v>23658</v>
      </c>
      <c r="J73" s="34">
        <v>24066</v>
      </c>
      <c r="K73" s="34">
        <v>24583</v>
      </c>
      <c r="L73" s="34">
        <v>25128</v>
      </c>
    </row>
    <row r="74" spans="2:28">
      <c r="B74" s="22" t="s">
        <v>56</v>
      </c>
      <c r="D74" s="34">
        <v>-17570</v>
      </c>
      <c r="E74" s="34">
        <v>-17881</v>
      </c>
      <c r="F74" s="34">
        <v>-18191</v>
      </c>
      <c r="G74" s="34">
        <v>-18568</v>
      </c>
      <c r="H74" s="34">
        <v>-18876</v>
      </c>
      <c r="I74" s="34">
        <v>-19156</v>
      </c>
      <c r="J74" s="34">
        <v>-19722</v>
      </c>
      <c r="K74" s="34">
        <v>-20339</v>
      </c>
      <c r="L74" s="34">
        <v>-20641</v>
      </c>
    </row>
    <row r="75" spans="2:28">
      <c r="B75" s="22" t="s">
        <v>38</v>
      </c>
      <c r="D75" s="34">
        <f t="shared" ref="D75" si="99">+SUM(D69:D74)</f>
        <v>9820</v>
      </c>
      <c r="E75" s="34">
        <f t="shared" ref="E75:K75" si="100">+SUM(E69:E74)</f>
        <v>10070</v>
      </c>
      <c r="F75" s="34">
        <f t="shared" si="100"/>
        <v>9576</v>
      </c>
      <c r="G75" s="34">
        <f t="shared" si="100"/>
        <v>9249</v>
      </c>
      <c r="H75" s="34">
        <f t="shared" si="100"/>
        <v>9278</v>
      </c>
      <c r="I75" s="34">
        <f t="shared" si="100"/>
        <v>9519</v>
      </c>
      <c r="J75" s="34">
        <f t="shared" si="100"/>
        <v>9452</v>
      </c>
      <c r="K75" s="34">
        <f t="shared" si="100"/>
        <v>9411</v>
      </c>
      <c r="L75" s="34">
        <f t="shared" ref="L75" si="101">+SUM(L69:L74)</f>
        <v>9657</v>
      </c>
    </row>
    <row r="76" spans="2:28">
      <c r="B76" s="22" t="s">
        <v>29</v>
      </c>
      <c r="D76" s="34">
        <v>-27</v>
      </c>
      <c r="E76" s="34">
        <v>-26</v>
      </c>
      <c r="F76" s="34">
        <v>-26</v>
      </c>
      <c r="G76" s="34">
        <v>-20</v>
      </c>
      <c r="H76" s="34">
        <v>-20</v>
      </c>
      <c r="I76" s="34">
        <v>-28</v>
      </c>
      <c r="J76" s="34">
        <v>-23</v>
      </c>
      <c r="K76" s="34">
        <v>-18</v>
      </c>
      <c r="L76" s="34">
        <v>-18</v>
      </c>
    </row>
    <row r="77" spans="2:28">
      <c r="B77" s="22" t="s">
        <v>57</v>
      </c>
      <c r="D77" s="34">
        <f t="shared" ref="D77" si="102">+D75+D76</f>
        <v>9793</v>
      </c>
      <c r="E77" s="34">
        <f t="shared" ref="E77:K77" si="103">+E75+E76</f>
        <v>10044</v>
      </c>
      <c r="F77" s="34">
        <f t="shared" si="103"/>
        <v>9550</v>
      </c>
      <c r="G77" s="34">
        <f t="shared" si="103"/>
        <v>9229</v>
      </c>
      <c r="H77" s="34">
        <f t="shared" si="103"/>
        <v>9258</v>
      </c>
      <c r="I77" s="34">
        <f t="shared" si="103"/>
        <v>9491</v>
      </c>
      <c r="J77" s="34">
        <f t="shared" si="103"/>
        <v>9429</v>
      </c>
      <c r="K77" s="34">
        <f t="shared" si="103"/>
        <v>9393</v>
      </c>
      <c r="L77" s="34">
        <f t="shared" ref="L77" si="104">+L75+L76</f>
        <v>9639</v>
      </c>
    </row>
    <row r="78" spans="2:28" s="23" customFormat="1">
      <c r="B78" s="23" t="s">
        <v>39</v>
      </c>
      <c r="D78" s="23">
        <f t="shared" ref="D78" si="105">+D68+D77</f>
        <v>47543</v>
      </c>
      <c r="E78" s="23">
        <f t="shared" ref="E78:K78" si="106">+E68+E77</f>
        <v>48465</v>
      </c>
      <c r="F78" s="23">
        <f t="shared" si="106"/>
        <v>48662</v>
      </c>
      <c r="G78" s="23">
        <f t="shared" si="106"/>
        <v>48811</v>
      </c>
      <c r="H78" s="23">
        <f t="shared" si="106"/>
        <v>48461</v>
      </c>
      <c r="I78" s="23">
        <f t="shared" si="106"/>
        <v>49829</v>
      </c>
      <c r="J78" s="23">
        <f t="shared" si="106"/>
        <v>49086</v>
      </c>
      <c r="K78" s="23">
        <f t="shared" si="106"/>
        <v>49091</v>
      </c>
      <c r="L78" s="23">
        <f t="shared" ref="L78" si="107">+L68+L77</f>
        <v>48741</v>
      </c>
      <c r="M78" s="40"/>
      <c r="P78" s="41"/>
      <c r="AB78" s="40"/>
    </row>
    <row r="80" spans="2:28" s="50" customFormat="1">
      <c r="B80" s="27" t="s">
        <v>112</v>
      </c>
      <c r="F80" s="50">
        <f t="shared" ref="F80:K80" si="108">+SUM(C24:F24)/F77</f>
        <v>0.27068062827225131</v>
      </c>
      <c r="G80" s="50">
        <f t="shared" si="108"/>
        <v>0.16393975511973127</v>
      </c>
      <c r="H80" s="50">
        <f t="shared" si="108"/>
        <v>0.12540505508749189</v>
      </c>
      <c r="I80" s="50">
        <f t="shared" si="108"/>
        <v>0.10673269413128227</v>
      </c>
      <c r="J80" s="50">
        <f t="shared" si="108"/>
        <v>0.17552232474281473</v>
      </c>
      <c r="K80" s="50">
        <f t="shared" si="108"/>
        <v>0.23198126264239327</v>
      </c>
      <c r="L80" s="50">
        <f>+SUM(I24:L24)/L77</f>
        <v>0.2534495279593319</v>
      </c>
      <c r="M80" s="51"/>
      <c r="P80" s="46"/>
      <c r="AB80" s="51"/>
    </row>
    <row r="81" spans="2:28">
      <c r="B81" s="22" t="s">
        <v>149</v>
      </c>
      <c r="D81" s="34">
        <f t="shared" ref="D81:K81" si="109">+D57+D63</f>
        <v>13482</v>
      </c>
      <c r="E81" s="34">
        <f t="shared" si="109"/>
        <v>13520</v>
      </c>
      <c r="F81" s="34">
        <f t="shared" si="109"/>
        <v>13413</v>
      </c>
      <c r="G81" s="34">
        <f t="shared" si="109"/>
        <v>14124</v>
      </c>
      <c r="H81" s="34">
        <f t="shared" si="109"/>
        <v>14155</v>
      </c>
      <c r="I81" s="34">
        <f t="shared" si="109"/>
        <v>13721</v>
      </c>
      <c r="J81" s="34">
        <f t="shared" si="109"/>
        <v>13364</v>
      </c>
      <c r="K81" s="34">
        <f t="shared" si="109"/>
        <v>13639</v>
      </c>
      <c r="L81" s="34">
        <f>+L57+L63</f>
        <v>13277</v>
      </c>
    </row>
    <row r="82" spans="2:28">
      <c r="B82" s="22" t="s">
        <v>150</v>
      </c>
      <c r="G82" s="34">
        <f>+$G$81-F81</f>
        <v>711</v>
      </c>
      <c r="H82" s="34">
        <f t="shared" ref="H82:J82" si="110">+$G$81-G81</f>
        <v>0</v>
      </c>
      <c r="I82" s="34">
        <f t="shared" si="110"/>
        <v>-31</v>
      </c>
      <c r="J82" s="34">
        <f t="shared" si="110"/>
        <v>403</v>
      </c>
      <c r="K82" s="34">
        <f>+K81-$J$81</f>
        <v>275</v>
      </c>
      <c r="L82" s="34">
        <f>+L81-$J$81</f>
        <v>-87</v>
      </c>
    </row>
    <row r="83" spans="2:28">
      <c r="B83" s="22" t="s">
        <v>153</v>
      </c>
      <c r="D83" s="34">
        <f>+D49-D62</f>
        <v>-2292</v>
      </c>
      <c r="E83" s="34">
        <f>+E49-E62</f>
        <v>-2571</v>
      </c>
      <c r="F83" s="34">
        <f>+F49-F62</f>
        <v>-2863</v>
      </c>
      <c r="G83" s="34">
        <f>+G49-G62</f>
        <v>-2665</v>
      </c>
      <c r="H83" s="34">
        <f>+H49-H62</f>
        <v>-3271</v>
      </c>
      <c r="I83" s="34">
        <f>+I49-I62</f>
        <v>-3418</v>
      </c>
      <c r="J83" s="34">
        <f>+J49-J62</f>
        <v>-4149</v>
      </c>
      <c r="K83" s="34">
        <f>+K49-K62</f>
        <v>-3962</v>
      </c>
      <c r="L83" s="34">
        <f>+L49-L62</f>
        <v>-4657</v>
      </c>
    </row>
    <row r="84" spans="2:28" s="59" customFormat="1">
      <c r="B84" s="28" t="s">
        <v>154</v>
      </c>
      <c r="F84" s="59">
        <f t="shared" ref="F84:K84" si="111">+F11/AVERAGE(E46:F46)</f>
        <v>2.7276495308272408</v>
      </c>
      <c r="G84" s="59">
        <f t="shared" si="111"/>
        <v>3.8460241979172936</v>
      </c>
      <c r="H84" s="59">
        <f t="shared" si="111"/>
        <v>3.0805564142194743</v>
      </c>
      <c r="I84" s="59">
        <f t="shared" si="111"/>
        <v>2.9246543238809468</v>
      </c>
      <c r="J84" s="59">
        <f t="shared" si="111"/>
        <v>2.9523044251851003</v>
      </c>
      <c r="K84" s="59">
        <f t="shared" si="111"/>
        <v>4.0234833659491196</v>
      </c>
      <c r="L84" s="59">
        <f>+L11/AVERAGE(K46:L46)</f>
        <v>3.0190675630993056</v>
      </c>
      <c r="M84" s="60"/>
      <c r="P84" s="61"/>
      <c r="AB84" s="60"/>
    </row>
    <row r="85" spans="2:28">
      <c r="B85" s="22" t="s">
        <v>155</v>
      </c>
      <c r="F85" s="34">
        <f t="shared" ref="F85:K85" si="112">365/F84</f>
        <v>133.81484529990291</v>
      </c>
      <c r="G85" s="34">
        <f t="shared" si="112"/>
        <v>94.903199048423957</v>
      </c>
      <c r="H85" s="34">
        <f t="shared" si="112"/>
        <v>118.48508870514571</v>
      </c>
      <c r="I85" s="34">
        <f t="shared" si="112"/>
        <v>124.80107376096798</v>
      </c>
      <c r="J85" s="34">
        <f t="shared" si="112"/>
        <v>123.63223686768536</v>
      </c>
      <c r="K85" s="34">
        <f t="shared" si="112"/>
        <v>90.717412451361866</v>
      </c>
      <c r="L85" s="34">
        <f>365/L84</f>
        <v>120.89825496495327</v>
      </c>
    </row>
    <row r="86" spans="2:28" s="50" customFormat="1">
      <c r="B86" s="27" t="s">
        <v>156</v>
      </c>
      <c r="F86" s="50">
        <f t="shared" ref="F86:K86" si="113">+SUM(C24:F24)/(F50+F46+F45)</f>
        <v>7.9287182161150813E-2</v>
      </c>
      <c r="G86" s="50">
        <f t="shared" si="113"/>
        <v>4.561350618028339E-2</v>
      </c>
      <c r="H86" s="50">
        <f t="shared" si="113"/>
        <v>3.5240552435877981E-2</v>
      </c>
      <c r="I86" s="50">
        <f t="shared" si="113"/>
        <v>2.9533527696793002E-2</v>
      </c>
      <c r="J86" s="50">
        <f t="shared" si="113"/>
        <v>4.8719458345599057E-2</v>
      </c>
      <c r="K86" s="50">
        <f t="shared" si="113"/>
        <v>6.2049719509069678E-2</v>
      </c>
      <c r="L86" s="50">
        <f>+SUM(I24:L24)/(L50+L46+L45)</f>
        <v>6.9577352472089321E-2</v>
      </c>
      <c r="M86" s="51"/>
      <c r="P86" s="46"/>
      <c r="AB86" s="51"/>
    </row>
    <row r="89" spans="2:28">
      <c r="B89" s="22" t="s">
        <v>113</v>
      </c>
      <c r="K89" s="34">
        <v>666</v>
      </c>
      <c r="L89" s="34">
        <f>1397-K89</f>
        <v>731</v>
      </c>
    </row>
    <row r="90" spans="2:28">
      <c r="B90" s="22" t="s">
        <v>21</v>
      </c>
      <c r="K90" s="34">
        <v>890</v>
      </c>
      <c r="L90" s="34">
        <f>1574-K90</f>
        <v>684</v>
      </c>
    </row>
    <row r="91" spans="2:28">
      <c r="B91" s="22" t="s">
        <v>128</v>
      </c>
      <c r="K91" s="34">
        <v>186</v>
      </c>
      <c r="L91" s="34">
        <f>329-K91</f>
        <v>143</v>
      </c>
    </row>
    <row r="92" spans="2:28">
      <c r="B92" s="22" t="s">
        <v>129</v>
      </c>
      <c r="K92" s="34">
        <v>93</v>
      </c>
      <c r="L92" s="34">
        <f>240-K92</f>
        <v>147</v>
      </c>
    </row>
    <row r="93" spans="2:28">
      <c r="B93" s="22" t="s">
        <v>130</v>
      </c>
      <c r="K93" s="34">
        <v>57</v>
      </c>
      <c r="L93" s="34">
        <f>103-K93</f>
        <v>46</v>
      </c>
    </row>
    <row r="94" spans="2:28">
      <c r="B94" s="22" t="s">
        <v>131</v>
      </c>
      <c r="K94" s="34">
        <v>-12</v>
      </c>
      <c r="L94" s="34">
        <f>+-20-K94</f>
        <v>-8</v>
      </c>
    </row>
    <row r="95" spans="2:28">
      <c r="B95" s="22" t="s">
        <v>132</v>
      </c>
      <c r="K95" s="34">
        <v>-30</v>
      </c>
      <c r="L95" s="34">
        <f>+-40-K95</f>
        <v>-10</v>
      </c>
    </row>
    <row r="96" spans="2:28">
      <c r="B96" s="22" t="s">
        <v>133</v>
      </c>
      <c r="K96" s="34">
        <v>0</v>
      </c>
      <c r="L96" s="34">
        <f>+-13-K96</f>
        <v>-13</v>
      </c>
    </row>
    <row r="97" spans="2:28">
      <c r="B97" s="22" t="s">
        <v>134</v>
      </c>
      <c r="K97" s="34">
        <v>532</v>
      </c>
      <c r="L97" s="34">
        <f>429-K97</f>
        <v>-103</v>
      </c>
    </row>
    <row r="98" spans="2:28">
      <c r="B98" s="22" t="s">
        <v>135</v>
      </c>
      <c r="K98" s="34">
        <v>54</v>
      </c>
      <c r="L98" s="34">
        <f>66-K98</f>
        <v>12</v>
      </c>
    </row>
    <row r="99" spans="2:28">
      <c r="B99" s="22" t="s">
        <v>58</v>
      </c>
      <c r="K99" s="34">
        <v>-28</v>
      </c>
      <c r="L99" s="34">
        <f>+-5-K99</f>
        <v>23</v>
      </c>
    </row>
    <row r="100" spans="2:28">
      <c r="B100" s="22" t="s">
        <v>59</v>
      </c>
      <c r="K100" s="34">
        <v>-2</v>
      </c>
      <c r="L100" s="34">
        <f>+-10-K100</f>
        <v>-8</v>
      </c>
    </row>
    <row r="101" spans="2:28">
      <c r="B101" s="22" t="s">
        <v>136</v>
      </c>
      <c r="K101" s="34">
        <v>-676</v>
      </c>
      <c r="L101" s="34">
        <f>+-774-K101</f>
        <v>-98</v>
      </c>
    </row>
    <row r="102" spans="2:28">
      <c r="B102" s="22" t="s">
        <v>137</v>
      </c>
      <c r="K102" s="34">
        <v>117</v>
      </c>
      <c r="L102" s="34">
        <f>115-K102</f>
        <v>-2</v>
      </c>
    </row>
    <row r="103" spans="2:28">
      <c r="B103" s="22" t="s">
        <v>41</v>
      </c>
      <c r="K103" s="34">
        <v>439</v>
      </c>
      <c r="L103" s="34">
        <f>330-K103</f>
        <v>-109</v>
      </c>
    </row>
    <row r="104" spans="2:28">
      <c r="B104" s="22" t="s">
        <v>138</v>
      </c>
      <c r="K104" s="34">
        <v>-748</v>
      </c>
      <c r="L104" s="34">
        <f>+-407-K104</f>
        <v>341</v>
      </c>
    </row>
    <row r="105" spans="2:28">
      <c r="B105" s="22" t="s">
        <v>139</v>
      </c>
      <c r="K105" s="34">
        <v>-70</v>
      </c>
      <c r="L105" s="34">
        <f>+-41-K105</f>
        <v>29</v>
      </c>
    </row>
    <row r="106" spans="2:28">
      <c r="B106" s="22" t="s">
        <v>128</v>
      </c>
      <c r="K106" s="34">
        <v>-214</v>
      </c>
      <c r="L106" s="34">
        <f>+-373-K106</f>
        <v>-159</v>
      </c>
    </row>
    <row r="107" spans="2:28">
      <c r="B107" s="22" t="s">
        <v>135</v>
      </c>
      <c r="K107" s="34">
        <v>-152</v>
      </c>
      <c r="L107" s="34">
        <f>+-473-K107</f>
        <v>-321</v>
      </c>
    </row>
    <row r="108" spans="2:28" s="23" customFormat="1">
      <c r="B108" s="23" t="s">
        <v>114</v>
      </c>
      <c r="K108" s="23">
        <f>+SUM(K89:K107)</f>
        <v>1102</v>
      </c>
      <c r="L108" s="23">
        <f>+SUM(L89:L107)</f>
        <v>1325</v>
      </c>
      <c r="M108" s="40"/>
      <c r="P108" s="41"/>
      <c r="AB108" s="40"/>
    </row>
    <row r="109" spans="2:28" s="23" customFormat="1">
      <c r="M109" s="40"/>
      <c r="P109" s="41"/>
      <c r="AB109" s="40"/>
    </row>
    <row r="110" spans="2:28" s="22" customFormat="1">
      <c r="B110" s="22" t="s">
        <v>115</v>
      </c>
      <c r="K110" s="22">
        <v>-745</v>
      </c>
      <c r="L110" s="22">
        <v>-1430</v>
      </c>
      <c r="M110" s="62"/>
      <c r="P110" s="63"/>
      <c r="AB110" s="62"/>
    </row>
    <row r="111" spans="2:28" s="22" customFormat="1">
      <c r="B111" s="22" t="s">
        <v>140</v>
      </c>
      <c r="K111" s="22">
        <v>14</v>
      </c>
      <c r="L111" s="22">
        <v>37</v>
      </c>
      <c r="M111" s="62"/>
      <c r="P111" s="63"/>
      <c r="AB111" s="62"/>
    </row>
    <row r="112" spans="2:28" s="22" customFormat="1">
      <c r="B112" s="22" t="s">
        <v>135</v>
      </c>
      <c r="K112" s="22">
        <v>8</v>
      </c>
      <c r="L112" s="22">
        <v>5</v>
      </c>
      <c r="M112" s="62"/>
      <c r="P112" s="63"/>
      <c r="AB112" s="62"/>
    </row>
    <row r="113" spans="2:28" s="23" customFormat="1">
      <c r="B113" s="23" t="s">
        <v>141</v>
      </c>
      <c r="K113" s="23">
        <f>+SUM(K110:K112)</f>
        <v>-723</v>
      </c>
      <c r="L113" s="23">
        <f>+SUM(L110:L112)</f>
        <v>-1388</v>
      </c>
      <c r="M113" s="40"/>
      <c r="P113" s="41"/>
      <c r="AB113" s="40"/>
    </row>
    <row r="114" spans="2:28" s="23" customFormat="1">
      <c r="M114" s="40"/>
      <c r="P114" s="41"/>
      <c r="AB114" s="40"/>
    </row>
    <row r="115" spans="2:28" s="23" customFormat="1">
      <c r="B115" s="22" t="s">
        <v>142</v>
      </c>
      <c r="K115" s="22">
        <v>0</v>
      </c>
      <c r="L115" s="22">
        <v>0</v>
      </c>
      <c r="M115" s="40"/>
      <c r="P115" s="41"/>
      <c r="AB115" s="40"/>
    </row>
    <row r="116" spans="2:28" s="23" customFormat="1">
      <c r="B116" s="22" t="s">
        <v>144</v>
      </c>
      <c r="K116" s="22">
        <v>-45</v>
      </c>
      <c r="L116" s="22">
        <v>-486</v>
      </c>
      <c r="M116" s="40"/>
      <c r="P116" s="41"/>
      <c r="AB116" s="40"/>
    </row>
    <row r="117" spans="2:28" s="23" customFormat="1">
      <c r="B117" s="22" t="s">
        <v>126</v>
      </c>
      <c r="K117" s="22">
        <v>-154</v>
      </c>
      <c r="L117" s="22">
        <v>-307</v>
      </c>
      <c r="M117" s="40"/>
      <c r="P117" s="41"/>
      <c r="AB117" s="40"/>
    </row>
    <row r="118" spans="2:28" s="23" customFormat="1">
      <c r="B118" s="22" t="s">
        <v>145</v>
      </c>
      <c r="K118" s="22">
        <v>113</v>
      </c>
      <c r="L118" s="22">
        <v>119</v>
      </c>
      <c r="M118" s="40"/>
      <c r="P118" s="41"/>
      <c r="AB118" s="40"/>
    </row>
    <row r="119" spans="2:28">
      <c r="B119" s="22" t="s">
        <v>146</v>
      </c>
      <c r="K119" s="22">
        <v>-665</v>
      </c>
      <c r="L119" s="22">
        <v>-975</v>
      </c>
    </row>
    <row r="120" spans="2:28">
      <c r="B120" s="22" t="s">
        <v>147</v>
      </c>
      <c r="K120" s="22">
        <v>0</v>
      </c>
      <c r="L120" s="22">
        <v>0</v>
      </c>
    </row>
    <row r="121" spans="2:28">
      <c r="B121" s="22" t="s">
        <v>135</v>
      </c>
      <c r="K121" s="22">
        <v>-67</v>
      </c>
      <c r="L121" s="22">
        <v>-109</v>
      </c>
    </row>
    <row r="122" spans="2:28" s="23" customFormat="1">
      <c r="B122" s="23" t="s">
        <v>143</v>
      </c>
      <c r="K122" s="23">
        <f>+SUM(K115:K121)</f>
        <v>-818</v>
      </c>
      <c r="L122" s="23">
        <f>+SUM(L115:L121)</f>
        <v>-1758</v>
      </c>
      <c r="M122" s="40"/>
      <c r="P122" s="41"/>
      <c r="AB122" s="40"/>
    </row>
    <row r="123" spans="2:28" s="23" customFormat="1">
      <c r="M123" s="40"/>
      <c r="P123" s="41"/>
      <c r="AB123" s="40"/>
    </row>
    <row r="124" spans="2:28" s="64" customFormat="1">
      <c r="B124" s="29" t="s">
        <v>148</v>
      </c>
      <c r="K124" s="64">
        <f>+K108+K113+K122</f>
        <v>-439</v>
      </c>
      <c r="L124" s="64">
        <f>+-1821-K124</f>
        <v>-1382</v>
      </c>
      <c r="M124" s="65"/>
      <c r="P124" s="66"/>
      <c r="AB124" s="65"/>
    </row>
    <row r="127" spans="2:28">
      <c r="B127" s="22" t="s">
        <v>114</v>
      </c>
      <c r="C127" s="34">
        <v>2256</v>
      </c>
      <c r="D127" s="34">
        <f>5405-C127</f>
        <v>3149</v>
      </c>
      <c r="E127" s="34">
        <f>5897-SUM(C127:D127)</f>
        <v>492</v>
      </c>
      <c r="F127" s="34">
        <f>6815-SUM(C127:E127)</f>
        <v>918</v>
      </c>
      <c r="G127" s="34">
        <v>2256</v>
      </c>
      <c r="H127" s="34">
        <f>3123-G127</f>
        <v>867</v>
      </c>
      <c r="I127" s="34">
        <f>4791-SUM(G127:H127)</f>
        <v>1668</v>
      </c>
      <c r="J127" s="34">
        <f>6190-SUM(G127:I127)</f>
        <v>1399</v>
      </c>
      <c r="K127" s="34">
        <f>+K108</f>
        <v>1102</v>
      </c>
      <c r="L127" s="34">
        <f>+L108</f>
        <v>1325</v>
      </c>
      <c r="Z127" s="34">
        <f>+SUM(C127:F127)</f>
        <v>6815</v>
      </c>
      <c r="AA127" s="34">
        <f>SUM(G127:J127)</f>
        <v>6190</v>
      </c>
    </row>
    <row r="128" spans="2:28">
      <c r="B128" s="22" t="s">
        <v>115</v>
      </c>
      <c r="C128" s="34">
        <v>-820</v>
      </c>
      <c r="D128" s="34">
        <f>+-1343-C128</f>
        <v>-523</v>
      </c>
      <c r="E128" s="34">
        <f>+-2062-SUM(C128:D128)</f>
        <v>-719</v>
      </c>
      <c r="F128" s="34">
        <f>-2865-SUM(C128:E128)</f>
        <v>-803</v>
      </c>
      <c r="G128" s="34">
        <v>-820</v>
      </c>
      <c r="H128" s="34">
        <f>-1319-G128</f>
        <v>-499</v>
      </c>
      <c r="I128" s="34">
        <f>+-2008-SUM(G128:H128)</f>
        <v>-689</v>
      </c>
      <c r="J128" s="34">
        <f>+-2614-SUM(G128:I128)</f>
        <v>-606</v>
      </c>
      <c r="K128" s="34">
        <v>-745</v>
      </c>
      <c r="L128" s="34">
        <f>+-1430-K128</f>
        <v>-685</v>
      </c>
      <c r="Z128" s="34">
        <f t="shared" ref="Z128:Z129" si="114">+SUM(C128:F128)</f>
        <v>-2865</v>
      </c>
      <c r="AA128" s="34">
        <f t="shared" ref="AA128:AA129" si="115">SUM(G128:J128)</f>
        <v>-2614</v>
      </c>
    </row>
    <row r="129" spans="2:28" s="23" customFormat="1">
      <c r="B129" s="23" t="s">
        <v>116</v>
      </c>
      <c r="C129" s="23">
        <f>+SUM(C127:C128)</f>
        <v>1436</v>
      </c>
      <c r="D129" s="23">
        <f>+SUM(D127:D128)</f>
        <v>2626</v>
      </c>
      <c r="E129" s="23">
        <f>+SUM(E127:E128)</f>
        <v>-227</v>
      </c>
      <c r="F129" s="23">
        <f>+SUM(F127:F128)</f>
        <v>115</v>
      </c>
      <c r="G129" s="23">
        <f>+SUM(G127:G128)</f>
        <v>1436</v>
      </c>
      <c r="H129" s="23">
        <f>+SUM(H127:H128)</f>
        <v>368</v>
      </c>
      <c r="I129" s="23">
        <f>+SUM(I127:I128)</f>
        <v>979</v>
      </c>
      <c r="J129" s="23">
        <f>+SUM(J127:J128)</f>
        <v>793</v>
      </c>
      <c r="K129" s="23">
        <f>+SUM(K127:K128)</f>
        <v>357</v>
      </c>
      <c r="L129" s="23">
        <f>+SUM(L127:L128)</f>
        <v>640</v>
      </c>
      <c r="M129" s="40"/>
      <c r="P129" s="41"/>
      <c r="Z129" s="34">
        <f t="shared" si="114"/>
        <v>3950</v>
      </c>
      <c r="AA129" s="34">
        <f t="shared" si="115"/>
        <v>3576</v>
      </c>
      <c r="AB129" s="40"/>
    </row>
    <row r="130" spans="2:28">
      <c r="B130" s="22" t="s">
        <v>28</v>
      </c>
      <c r="C130" s="34">
        <f>+C24</f>
        <v>1212</v>
      </c>
      <c r="D130" s="34">
        <f t="shared" ref="D130:L130" si="116">+D24</f>
        <v>819</v>
      </c>
      <c r="E130" s="34">
        <f t="shared" si="116"/>
        <v>631</v>
      </c>
      <c r="F130" s="34">
        <f t="shared" si="116"/>
        <v>-77</v>
      </c>
      <c r="G130" s="34">
        <f t="shared" si="116"/>
        <v>140</v>
      </c>
      <c r="H130" s="34">
        <f t="shared" si="116"/>
        <v>467</v>
      </c>
      <c r="I130" s="34">
        <f t="shared" si="116"/>
        <v>483</v>
      </c>
      <c r="J130" s="34">
        <f t="shared" si="116"/>
        <v>565</v>
      </c>
      <c r="K130" s="34">
        <f t="shared" si="116"/>
        <v>664</v>
      </c>
      <c r="L130" s="34">
        <f t="shared" si="116"/>
        <v>731</v>
      </c>
      <c r="Z130" s="34">
        <f t="shared" ref="Z130:AA130" si="117">+Z24</f>
        <v>2585</v>
      </c>
      <c r="AA130" s="34">
        <f t="shared" si="117"/>
        <v>1655</v>
      </c>
    </row>
    <row r="132" spans="2:28">
      <c r="B132" s="22" t="s">
        <v>117</v>
      </c>
      <c r="D132" s="34">
        <f t="shared" ref="D132:K132" si="118">+SUM(C129:D129)</f>
        <v>4062</v>
      </c>
      <c r="E132" s="34">
        <f t="shared" si="118"/>
        <v>2399</v>
      </c>
      <c r="F132" s="34">
        <f t="shared" si="118"/>
        <v>-112</v>
      </c>
      <c r="G132" s="34">
        <f t="shared" si="118"/>
        <v>1551</v>
      </c>
      <c r="H132" s="34">
        <f t="shared" si="118"/>
        <v>1804</v>
      </c>
      <c r="I132" s="34">
        <f t="shared" si="118"/>
        <v>1347</v>
      </c>
      <c r="J132" s="34">
        <f t="shared" si="118"/>
        <v>1772</v>
      </c>
      <c r="K132" s="34">
        <f t="shared" si="118"/>
        <v>1150</v>
      </c>
      <c r="L132" s="34">
        <f>+SUM(K129:L129)</f>
        <v>997</v>
      </c>
    </row>
    <row r="133" spans="2:28">
      <c r="B133" s="22" t="s">
        <v>118</v>
      </c>
      <c r="D133" s="34">
        <f t="shared" ref="D133:K133" si="119">+SUM(C130:D130)</f>
        <v>2031</v>
      </c>
      <c r="E133" s="34">
        <f t="shared" si="119"/>
        <v>1450</v>
      </c>
      <c r="F133" s="34">
        <f t="shared" si="119"/>
        <v>554</v>
      </c>
      <c r="G133" s="34">
        <f t="shared" si="119"/>
        <v>63</v>
      </c>
      <c r="H133" s="34">
        <f t="shared" si="119"/>
        <v>607</v>
      </c>
      <c r="I133" s="34">
        <f t="shared" si="119"/>
        <v>950</v>
      </c>
      <c r="J133" s="34">
        <f t="shared" si="119"/>
        <v>1048</v>
      </c>
      <c r="K133" s="34">
        <f t="shared" si="119"/>
        <v>1229</v>
      </c>
      <c r="L133" s="34">
        <f>+SUM(K130:L130)</f>
        <v>1395</v>
      </c>
    </row>
    <row r="134" spans="2:28" s="67" customFormat="1">
      <c r="B134" s="30" t="s">
        <v>119</v>
      </c>
      <c r="D134" s="67">
        <f>+D132-D133</f>
        <v>2031</v>
      </c>
      <c r="E134" s="67">
        <f t="shared" ref="E134:L134" si="120">+E132-E133</f>
        <v>949</v>
      </c>
      <c r="F134" s="67">
        <f t="shared" si="120"/>
        <v>-666</v>
      </c>
      <c r="G134" s="67">
        <f t="shared" si="120"/>
        <v>1488</v>
      </c>
      <c r="H134" s="67">
        <f t="shared" si="120"/>
        <v>1197</v>
      </c>
      <c r="I134" s="67">
        <f t="shared" si="120"/>
        <v>397</v>
      </c>
      <c r="J134" s="67">
        <f t="shared" si="120"/>
        <v>724</v>
      </c>
      <c r="K134" s="67">
        <f t="shared" si="120"/>
        <v>-79</v>
      </c>
      <c r="L134" s="67">
        <f t="shared" si="120"/>
        <v>-398</v>
      </c>
      <c r="M134" s="68"/>
      <c r="P134" s="69"/>
      <c r="AB134" s="68"/>
    </row>
    <row r="136" spans="2:28">
      <c r="B136" s="22" t="s">
        <v>120</v>
      </c>
      <c r="E136" s="34">
        <f t="shared" ref="E136:K136" si="121">+SUM(C129:E129)</f>
        <v>3835</v>
      </c>
      <c r="F136" s="34">
        <f t="shared" si="121"/>
        <v>2514</v>
      </c>
      <c r="G136" s="34">
        <f t="shared" si="121"/>
        <v>1324</v>
      </c>
      <c r="H136" s="34">
        <f t="shared" si="121"/>
        <v>1919</v>
      </c>
      <c r="I136" s="34">
        <f t="shared" si="121"/>
        <v>2783</v>
      </c>
      <c r="J136" s="34">
        <f t="shared" si="121"/>
        <v>2140</v>
      </c>
      <c r="K136" s="34">
        <f t="shared" si="121"/>
        <v>2129</v>
      </c>
      <c r="L136" s="34">
        <f>+SUM(J129:L129)</f>
        <v>1790</v>
      </c>
    </row>
    <row r="137" spans="2:28">
      <c r="B137" s="22" t="s">
        <v>121</v>
      </c>
      <c r="E137" s="34">
        <f t="shared" ref="E137:K137" si="122">+SUM(C130:E130)</f>
        <v>2662</v>
      </c>
      <c r="F137" s="34">
        <f t="shared" si="122"/>
        <v>1373</v>
      </c>
      <c r="G137" s="34">
        <f t="shared" si="122"/>
        <v>694</v>
      </c>
      <c r="H137" s="34">
        <f t="shared" si="122"/>
        <v>530</v>
      </c>
      <c r="I137" s="34">
        <f t="shared" si="122"/>
        <v>1090</v>
      </c>
      <c r="J137" s="34">
        <f t="shared" si="122"/>
        <v>1515</v>
      </c>
      <c r="K137" s="34">
        <f t="shared" si="122"/>
        <v>1712</v>
      </c>
      <c r="L137" s="34">
        <f>+SUM(J130:L130)</f>
        <v>1960</v>
      </c>
    </row>
    <row r="138" spans="2:28" s="70" customFormat="1">
      <c r="B138" s="30" t="s">
        <v>119</v>
      </c>
      <c r="E138" s="67">
        <f>+E136-E137</f>
        <v>1173</v>
      </c>
      <c r="F138" s="67">
        <f t="shared" ref="F138" si="123">+F136-F137</f>
        <v>1141</v>
      </c>
      <c r="G138" s="67">
        <f t="shared" ref="G138" si="124">+G136-G137</f>
        <v>630</v>
      </c>
      <c r="H138" s="67">
        <f t="shared" ref="H138" si="125">+H136-H137</f>
        <v>1389</v>
      </c>
      <c r="I138" s="67">
        <f t="shared" ref="I138" si="126">+I136-I137</f>
        <v>1693</v>
      </c>
      <c r="J138" s="67">
        <f t="shared" ref="J138" si="127">+J136-J137</f>
        <v>625</v>
      </c>
      <c r="K138" s="67">
        <f t="shared" ref="K138" si="128">+K136-K137</f>
        <v>417</v>
      </c>
      <c r="L138" s="67">
        <f t="shared" ref="L138" si="129">+L136-L137</f>
        <v>-170</v>
      </c>
      <c r="M138" s="68"/>
      <c r="P138" s="71"/>
      <c r="AB138" s="72"/>
    </row>
    <row r="140" spans="2:28">
      <c r="B140" s="22" t="s">
        <v>122</v>
      </c>
      <c r="F140" s="34">
        <f t="shared" ref="F140:K140" si="130">+SUM(C129:F129)</f>
        <v>3950</v>
      </c>
      <c r="G140" s="34">
        <f t="shared" si="130"/>
        <v>3950</v>
      </c>
      <c r="H140" s="34">
        <f t="shared" si="130"/>
        <v>1692</v>
      </c>
      <c r="I140" s="34">
        <f t="shared" si="130"/>
        <v>2898</v>
      </c>
      <c r="J140" s="34">
        <f t="shared" si="130"/>
        <v>3576</v>
      </c>
      <c r="K140" s="34">
        <f t="shared" si="130"/>
        <v>2497</v>
      </c>
      <c r="L140" s="34">
        <f>+SUM(I129:L129)</f>
        <v>2769</v>
      </c>
    </row>
    <row r="141" spans="2:28">
      <c r="B141" s="22" t="s">
        <v>123</v>
      </c>
      <c r="F141" s="34">
        <f t="shared" ref="F141:K141" si="131">+SUM(C130:F130)</f>
        <v>2585</v>
      </c>
      <c r="G141" s="34">
        <f t="shared" si="131"/>
        <v>1513</v>
      </c>
      <c r="H141" s="34">
        <f t="shared" si="131"/>
        <v>1161</v>
      </c>
      <c r="I141" s="34">
        <f t="shared" si="131"/>
        <v>1013</v>
      </c>
      <c r="J141" s="34">
        <f t="shared" si="131"/>
        <v>1655</v>
      </c>
      <c r="K141" s="34">
        <f t="shared" si="131"/>
        <v>2179</v>
      </c>
      <c r="L141" s="34">
        <f>+SUM(I130:L130)</f>
        <v>2443</v>
      </c>
    </row>
    <row r="142" spans="2:28" s="70" customFormat="1">
      <c r="B142" s="30" t="s">
        <v>119</v>
      </c>
      <c r="F142" s="67">
        <f>+F140-F141</f>
        <v>1365</v>
      </c>
      <c r="G142" s="67">
        <f t="shared" ref="G142" si="132">+G140-G141</f>
        <v>2437</v>
      </c>
      <c r="H142" s="67">
        <f t="shared" ref="H142" si="133">+H140-H141</f>
        <v>531</v>
      </c>
      <c r="I142" s="67">
        <f t="shared" ref="I142" si="134">+I140-I141</f>
        <v>1885</v>
      </c>
      <c r="J142" s="67">
        <f t="shared" ref="J142" si="135">+J140-J141</f>
        <v>1921</v>
      </c>
      <c r="K142" s="67">
        <f t="shared" ref="K142" si="136">+K140-K141</f>
        <v>318</v>
      </c>
      <c r="L142" s="67">
        <f t="shared" ref="L142" si="137">+L140-L141</f>
        <v>326</v>
      </c>
      <c r="M142" s="72"/>
      <c r="P142" s="71"/>
      <c r="AB142" s="72"/>
    </row>
    <row r="146" spans="2:28">
      <c r="B146" s="22" t="s">
        <v>125</v>
      </c>
      <c r="H146" s="34">
        <v>349</v>
      </c>
      <c r="L146" s="34">
        <v>309</v>
      </c>
    </row>
    <row r="147" spans="2:28">
      <c r="B147" s="22" t="s">
        <v>1</v>
      </c>
      <c r="L147" s="34">
        <v>6.2</v>
      </c>
    </row>
    <row r="148" spans="2:28">
      <c r="B148" s="22" t="s">
        <v>151</v>
      </c>
      <c r="L148" s="34">
        <f>+L146/L147</f>
        <v>49.838709677419352</v>
      </c>
    </row>
    <row r="149" spans="2:28">
      <c r="B149" s="22" t="s">
        <v>152</v>
      </c>
      <c r="L149" s="34">
        <f>+AO38</f>
        <v>48.11</v>
      </c>
    </row>
    <row r="150" spans="2:28">
      <c r="B150" s="22" t="s">
        <v>126</v>
      </c>
      <c r="H150" s="34">
        <v>136</v>
      </c>
      <c r="L150" s="34">
        <v>153</v>
      </c>
    </row>
    <row r="151" spans="2:28" s="47" customFormat="1">
      <c r="B151" s="24" t="s">
        <v>127</v>
      </c>
      <c r="H151" s="47">
        <v>0.18</v>
      </c>
      <c r="L151" s="47">
        <v>0.21</v>
      </c>
      <c r="M151" s="48"/>
      <c r="P151" s="49"/>
      <c r="AB151" s="48"/>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B26E0-907C-3144-81D8-8EE39DE2CE05}">
  <dimension ref="B1:R4"/>
  <sheetViews>
    <sheetView zoomScale="193" workbookViewId="0">
      <pane xSplit="2" ySplit="2" topLeftCell="C3" activePane="bottomRight" state="frozen"/>
      <selection pane="topRight" activeCell="C1" sqref="C1"/>
      <selection pane="bottomLeft" activeCell="A3" sqref="A3"/>
      <selection pane="bottomRight" activeCell="G14" sqref="G14"/>
    </sheetView>
  </sheetViews>
  <sheetFormatPr baseColWidth="10" defaultRowHeight="14"/>
  <cols>
    <col min="1" max="1" width="5" customWidth="1"/>
    <col min="2" max="2" width="7" bestFit="1" customWidth="1"/>
    <col min="3" max="3" width="10.1640625" bestFit="1" customWidth="1"/>
    <col min="4" max="4" width="7.1640625" bestFit="1" customWidth="1"/>
    <col min="5" max="5" width="10.1640625" bestFit="1" customWidth="1"/>
    <col min="6" max="6" width="9.6640625" bestFit="1" customWidth="1"/>
    <col min="7" max="7" width="7.1640625" style="15" bestFit="1" customWidth="1"/>
    <col min="8" max="8" width="7" style="15" bestFit="1" customWidth="1"/>
    <col min="9" max="9" width="4.83203125" style="18" bestFit="1" customWidth="1"/>
    <col min="10" max="10" width="7.1640625" bestFit="1" customWidth="1"/>
    <col min="11" max="11" width="12.1640625" bestFit="1" customWidth="1"/>
    <col min="12" max="12" width="6.5" bestFit="1" customWidth="1"/>
    <col min="13" max="13" width="7.1640625" bestFit="1" customWidth="1"/>
    <col min="14" max="14" width="14.83203125" bestFit="1" customWidth="1"/>
    <col min="15" max="15" width="8" bestFit="1" customWidth="1"/>
    <col min="16" max="16" width="8.83203125" bestFit="1" customWidth="1"/>
    <col min="17" max="17" width="9.6640625" style="2" bestFit="1" customWidth="1"/>
    <col min="18" max="18" width="11.83203125" bestFit="1" customWidth="1"/>
  </cols>
  <sheetData>
    <row r="1" spans="2:18">
      <c r="O1" s="12">
        <f>+P1/2</f>
        <v>0.05</v>
      </c>
      <c r="P1" s="13">
        <v>0.1</v>
      </c>
      <c r="Q1" s="14">
        <f ca="1">TODAY()</f>
        <v>44875</v>
      </c>
    </row>
    <row r="2" spans="2:18">
      <c r="B2" s="8" t="s">
        <v>80</v>
      </c>
      <c r="C2" s="8" t="s">
        <v>81</v>
      </c>
      <c r="D2" s="8" t="s">
        <v>0</v>
      </c>
      <c r="E2" s="9" t="s">
        <v>82</v>
      </c>
      <c r="F2" s="8" t="s">
        <v>83</v>
      </c>
      <c r="G2" s="16" t="s">
        <v>84</v>
      </c>
      <c r="H2" s="16" t="s">
        <v>85</v>
      </c>
      <c r="I2" s="19" t="s">
        <v>86</v>
      </c>
      <c r="J2" s="8" t="s">
        <v>73</v>
      </c>
      <c r="K2" s="10" t="s">
        <v>101</v>
      </c>
      <c r="L2" s="10" t="s">
        <v>100</v>
      </c>
      <c r="M2" s="8" t="s">
        <v>88</v>
      </c>
      <c r="N2" s="8" t="s">
        <v>89</v>
      </c>
      <c r="O2" s="8" t="s">
        <v>90</v>
      </c>
      <c r="P2" s="8" t="s">
        <v>76</v>
      </c>
      <c r="Q2" s="13" t="s">
        <v>78</v>
      </c>
      <c r="R2" s="11" t="s">
        <v>91</v>
      </c>
    </row>
    <row r="3" spans="2:18">
      <c r="B3" s="17" t="s">
        <v>92</v>
      </c>
      <c r="C3" t="s">
        <v>93</v>
      </c>
      <c r="D3">
        <f>10*109.03</f>
        <v>1090.3</v>
      </c>
      <c r="E3">
        <v>281145000</v>
      </c>
      <c r="F3" t="s">
        <v>94</v>
      </c>
      <c r="G3" s="15">
        <v>7.6999999999999999E-2</v>
      </c>
      <c r="H3" s="15">
        <v>6.0109999999999997E-2</v>
      </c>
      <c r="I3" s="18">
        <f>(1000*G3)/2</f>
        <v>38.5</v>
      </c>
      <c r="J3" s="3">
        <v>47270</v>
      </c>
      <c r="K3">
        <f ca="1">(J3-$Q$1)/365</f>
        <v>6.5616438356164384</v>
      </c>
      <c r="L3" s="10">
        <f>1000*G3</f>
        <v>77</v>
      </c>
      <c r="M3" t="s">
        <v>95</v>
      </c>
      <c r="N3" t="s">
        <v>96</v>
      </c>
      <c r="O3" s="8" t="str">
        <f t="shared" ref="O3" si="0">IF(H3&lt;G3,"Premium","Discount")</f>
        <v>Premium</v>
      </c>
      <c r="P3" s="4">
        <f>KR.GI!D11</f>
        <v>1156.2320817297341</v>
      </c>
      <c r="Q3" s="2">
        <f>+P3/D3-1</f>
        <v>6.047150484246E-2</v>
      </c>
    </row>
    <row r="4" spans="2:18">
      <c r="B4" t="s">
        <v>103</v>
      </c>
      <c r="C4" t="s">
        <v>104</v>
      </c>
      <c r="D4">
        <f>10*123.21</f>
        <v>1232.0999999999999</v>
      </c>
      <c r="E4">
        <v>440441000</v>
      </c>
      <c r="F4" t="s">
        <v>94</v>
      </c>
      <c r="G4" s="15">
        <v>7.4999999999999997E-2</v>
      </c>
      <c r="H4" s="15">
        <v>4.2560000000000001E-2</v>
      </c>
      <c r="I4" s="18">
        <f>(1000*G4)/2</f>
        <v>37.5</v>
      </c>
      <c r="J4" s="3">
        <v>47939</v>
      </c>
      <c r="K4">
        <f ca="1">(J4-$Q$1)/365</f>
        <v>8.3945205479452056</v>
      </c>
      <c r="L4" s="10">
        <f>1000*G4</f>
        <v>75</v>
      </c>
    </row>
  </sheetData>
  <hyperlinks>
    <hyperlink ref="B3" location="Sheet5!A1" display="KR.GI" xr:uid="{D831431C-B9F8-AC4C-8C00-FEFF4C76129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1A9AA-E57D-0C45-8DD4-7948CB62FC46}">
  <dimension ref="B2:P11"/>
  <sheetViews>
    <sheetView zoomScale="194" workbookViewId="0">
      <selection activeCell="J4" sqref="J4"/>
    </sheetView>
  </sheetViews>
  <sheetFormatPr baseColWidth="10" defaultRowHeight="14"/>
  <cols>
    <col min="1" max="1" width="3.33203125" style="75" customWidth="1"/>
    <col min="2" max="2" width="5.33203125" style="75" bestFit="1" customWidth="1"/>
    <col min="3" max="3" width="18.83203125" style="75" bestFit="1" customWidth="1"/>
    <col min="4" max="4" width="8.83203125" style="80" bestFit="1" customWidth="1"/>
    <col min="5" max="11" width="5.1640625" style="75" bestFit="1" customWidth="1"/>
    <col min="12" max="13" width="2.1640625" style="75" bestFit="1" customWidth="1"/>
    <col min="14" max="16" width="3.1640625" style="75" bestFit="1" customWidth="1"/>
    <col min="17" max="16384" width="10.83203125" style="75"/>
  </cols>
  <sheetData>
    <row r="2" spans="2:16" s="74" customFormat="1">
      <c r="B2" s="74" t="s">
        <v>87</v>
      </c>
      <c r="D2" s="79"/>
      <c r="E2" s="74">
        <v>1</v>
      </c>
      <c r="F2" s="74">
        <f>+E2+1</f>
        <v>2</v>
      </c>
      <c r="G2" s="74">
        <f t="shared" ref="G2:P2" si="0">+F2+1</f>
        <v>3</v>
      </c>
      <c r="H2" s="74">
        <f t="shared" si="0"/>
        <v>4</v>
      </c>
      <c r="I2" s="74">
        <f t="shared" si="0"/>
        <v>5</v>
      </c>
      <c r="J2" s="74">
        <f t="shared" si="0"/>
        <v>6</v>
      </c>
      <c r="K2" s="74">
        <f t="shared" si="0"/>
        <v>7</v>
      </c>
      <c r="L2" s="74">
        <f t="shared" si="0"/>
        <v>8</v>
      </c>
      <c r="M2" s="74">
        <f t="shared" si="0"/>
        <v>9</v>
      </c>
      <c r="N2" s="74">
        <f t="shared" si="0"/>
        <v>10</v>
      </c>
      <c r="O2" s="74">
        <f t="shared" si="0"/>
        <v>11</v>
      </c>
      <c r="P2" s="74">
        <f t="shared" si="0"/>
        <v>12</v>
      </c>
    </row>
    <row r="3" spans="2:16">
      <c r="E3" s="76">
        <f>$D$6/(1+$D$7)^E2</f>
        <v>73.333333333333329</v>
      </c>
      <c r="F3" s="76">
        <f t="shared" ref="F3:K3" si="1">$D$6/(1+$D$7)^F2</f>
        <v>69.841269841269835</v>
      </c>
      <c r="G3" s="76">
        <f t="shared" si="1"/>
        <v>66.51549508692365</v>
      </c>
      <c r="H3" s="76">
        <f t="shared" si="1"/>
        <v>63.34809055897491</v>
      </c>
      <c r="I3" s="76">
        <f t="shared" si="1"/>
        <v>60.331514818071341</v>
      </c>
      <c r="J3" s="76">
        <f t="shared" si="1"/>
        <v>57.458585541020334</v>
      </c>
      <c r="K3" s="76">
        <f t="shared" si="1"/>
        <v>54.722462420019355</v>
      </c>
    </row>
    <row r="4" spans="2:16">
      <c r="E4" s="76">
        <f>1000/(1+$D$7)^E2</f>
        <v>952.38095238095229</v>
      </c>
      <c r="F4" s="76">
        <f>1000/(1+$D$7)^F2</f>
        <v>907.02947845804988</v>
      </c>
      <c r="G4" s="76">
        <f>1000/(1+$D$7)^G2</f>
        <v>863.83759853147603</v>
      </c>
      <c r="H4" s="76">
        <f>1000/(1+$D$7)^H2</f>
        <v>822.70247479188197</v>
      </c>
      <c r="I4" s="76">
        <f>1000/(1+$D$7)^I2</f>
        <v>783.526166468459</v>
      </c>
      <c r="J4" s="76">
        <f t="shared" ref="F4:K4" si="2">1000/(1+$D$7)^J2</f>
        <v>746.2153966366277</v>
      </c>
      <c r="K4" s="76">
        <f t="shared" si="2"/>
        <v>710.68133013012141</v>
      </c>
    </row>
    <row r="5" spans="2:16" ht="15">
      <c r="C5" s="77"/>
    </row>
    <row r="6" spans="2:16" ht="15">
      <c r="C6" s="77" t="s">
        <v>102</v>
      </c>
      <c r="D6" s="81">
        <f>Bond!L3</f>
        <v>77</v>
      </c>
    </row>
    <row r="7" spans="2:16" ht="15">
      <c r="C7" s="77" t="s">
        <v>97</v>
      </c>
      <c r="D7" s="82">
        <f>Bond!O1</f>
        <v>0.05</v>
      </c>
    </row>
    <row r="8" spans="2:16" ht="15">
      <c r="C8" s="77" t="s">
        <v>98</v>
      </c>
      <c r="D8" s="84">
        <f ca="1">Bond!K3</f>
        <v>6.5616438356164384</v>
      </c>
    </row>
    <row r="9" spans="2:16" ht="15">
      <c r="C9" s="77" t="s">
        <v>99</v>
      </c>
      <c r="G9" s="76"/>
    </row>
    <row r="10" spans="2:16" ht="15">
      <c r="C10" s="77"/>
      <c r="G10" s="50"/>
    </row>
    <row r="11" spans="2:16" ht="15">
      <c r="C11" s="78" t="s">
        <v>76</v>
      </c>
      <c r="D11" s="83">
        <f>SUM(E3:K3)+K4</f>
        <v>1156.2320817297341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Main</vt:lpstr>
      <vt:lpstr>Model</vt:lpstr>
      <vt:lpstr>Bond</vt:lpstr>
      <vt:lpstr>KR.GI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Brannon, Jameel A.</dc:creator>
  <cp:lastModifiedBy>Brannon, Jameel A.</cp:lastModifiedBy>
  <dcterms:created xsi:type="dcterms:W3CDTF">2022-08-13T01:10:16Z</dcterms:created>
  <dcterms:modified xsi:type="dcterms:W3CDTF">2022-11-11T05:35:51Z</dcterms:modified>
</cp:coreProperties>
</file>