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C63902F-37F8-C142-9E70-BA598CC6EF37}" xr6:coauthVersionLast="47" xr6:coauthVersionMax="47" xr10:uidLastSave="{00000000-0000-0000-0000-000000000000}"/>
  <bookViews>
    <workbookView xWindow="20200" yWindow="500" windowWidth="28440" windowHeight="26780" xr2:uid="{A732EB1E-3390-624C-9AF8-8C65E890D98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2" l="1"/>
  <c r="O67" i="2"/>
  <c r="O58" i="2"/>
  <c r="O46" i="2"/>
  <c r="O44" i="2"/>
  <c r="O43" i="2"/>
  <c r="O40" i="2"/>
  <c r="O39" i="2"/>
  <c r="O38" i="2"/>
  <c r="O37" i="2"/>
  <c r="O36" i="2"/>
  <c r="O35" i="2"/>
  <c r="O34" i="2"/>
  <c r="O33" i="2"/>
  <c r="O30" i="2"/>
  <c r="O29" i="2"/>
  <c r="O27" i="2"/>
  <c r="O24" i="2"/>
  <c r="O17" i="2"/>
  <c r="O10" i="2"/>
  <c r="O8" i="2"/>
  <c r="AB46" i="2"/>
  <c r="AL31" i="2"/>
  <c r="AL25" i="2"/>
  <c r="AL12" i="2"/>
  <c r="AL10" i="2"/>
  <c r="AL15" i="2" s="1"/>
  <c r="AL3" i="2"/>
  <c r="AL4" i="2" s="1"/>
  <c r="AL2" i="2"/>
  <c r="N67" i="2"/>
  <c r="N69" i="2" s="1"/>
  <c r="N58" i="2"/>
  <c r="N46" i="2"/>
  <c r="AB15" i="2"/>
  <c r="N27" i="2"/>
  <c r="N24" i="2"/>
  <c r="N12" i="2"/>
  <c r="N13" i="2" s="1"/>
  <c r="N11" i="2"/>
  <c r="N10" i="2"/>
  <c r="N8" i="2"/>
  <c r="AB26" i="2"/>
  <c r="M46" i="2"/>
  <c r="L46" i="2"/>
  <c r="K46" i="2"/>
  <c r="J46" i="2"/>
  <c r="I46" i="2"/>
  <c r="H46" i="2"/>
  <c r="G46" i="2"/>
  <c r="AA44" i="2"/>
  <c r="AA43" i="2"/>
  <c r="Z44" i="2"/>
  <c r="Z43" i="2"/>
  <c r="AP37" i="2"/>
  <c r="AP35" i="2"/>
  <c r="AA12" i="2"/>
  <c r="AB12" i="2"/>
  <c r="AB13" i="2" s="1"/>
  <c r="AD4" i="2"/>
  <c r="AE4" i="2"/>
  <c r="AF4" i="2"/>
  <c r="AG4" i="2"/>
  <c r="AH4" i="2"/>
  <c r="AI4" i="2"/>
  <c r="AJ4" i="2"/>
  <c r="AK4" i="2"/>
  <c r="AC4" i="2"/>
  <c r="AA9" i="2"/>
  <c r="Z12" i="2"/>
  <c r="AA10" i="2"/>
  <c r="Z10" i="2"/>
  <c r="AD3" i="2"/>
  <c r="AE3" i="2" s="1"/>
  <c r="AF3" i="2" s="1"/>
  <c r="AG3" i="2" s="1"/>
  <c r="AH3" i="2" s="1"/>
  <c r="AI3" i="2" s="1"/>
  <c r="AJ3" i="2" s="1"/>
  <c r="AK3" i="2" s="1"/>
  <c r="AC3" i="2"/>
  <c r="F3" i="2"/>
  <c r="J3" i="2"/>
  <c r="AB34" i="2"/>
  <c r="AA40" i="2"/>
  <c r="AA39" i="2"/>
  <c r="AA38" i="2"/>
  <c r="AA37" i="2"/>
  <c r="AA36" i="2"/>
  <c r="AA35" i="2"/>
  <c r="AA34" i="2"/>
  <c r="AA33" i="2"/>
  <c r="AB25" i="2"/>
  <c r="AC25" i="2" s="1"/>
  <c r="AD25" i="2" s="1"/>
  <c r="AE25" i="2" s="1"/>
  <c r="AF25" i="2" s="1"/>
  <c r="AG25" i="2" s="1"/>
  <c r="AH25" i="2" s="1"/>
  <c r="AI25" i="2" s="1"/>
  <c r="AJ25" i="2" s="1"/>
  <c r="AK25" i="2" s="1"/>
  <c r="AB19" i="2"/>
  <c r="AB44" i="2" s="1"/>
  <c r="AB16" i="2"/>
  <c r="AB33" i="2"/>
  <c r="N37" i="2"/>
  <c r="N43" i="2"/>
  <c r="N34" i="2"/>
  <c r="N33" i="2"/>
  <c r="L13" i="2"/>
  <c r="K13" i="2"/>
  <c r="I13" i="2"/>
  <c r="H13" i="2"/>
  <c r="G13" i="2"/>
  <c r="M13" i="2"/>
  <c r="C8" i="2"/>
  <c r="C12" i="2"/>
  <c r="C10" i="2"/>
  <c r="I11" i="2"/>
  <c r="H11" i="2"/>
  <c r="G11" i="2"/>
  <c r="D12" i="2"/>
  <c r="D10" i="2"/>
  <c r="D8" i="2"/>
  <c r="F10" i="2"/>
  <c r="F6" i="2"/>
  <c r="F5" i="2"/>
  <c r="F8" i="2"/>
  <c r="F7" i="2"/>
  <c r="F4" i="2"/>
  <c r="F12" i="2" s="1"/>
  <c r="E12" i="2"/>
  <c r="E10" i="2"/>
  <c r="E8" i="2"/>
  <c r="K11" i="2"/>
  <c r="J6" i="2"/>
  <c r="J5" i="2"/>
  <c r="J7" i="2"/>
  <c r="J4" i="2"/>
  <c r="G12" i="2"/>
  <c r="G10" i="2"/>
  <c r="G8" i="2"/>
  <c r="K12" i="2"/>
  <c r="K10" i="2"/>
  <c r="K8" i="2"/>
  <c r="H12" i="2"/>
  <c r="H10" i="2"/>
  <c r="L11" i="2" s="1"/>
  <c r="H8" i="2"/>
  <c r="L12" i="2"/>
  <c r="L10" i="2"/>
  <c r="L8" i="2"/>
  <c r="I12" i="2"/>
  <c r="I10" i="2"/>
  <c r="I8" i="2"/>
  <c r="M12" i="2"/>
  <c r="M10" i="2"/>
  <c r="M11" i="2" s="1"/>
  <c r="M8" i="2"/>
  <c r="Y12" i="2"/>
  <c r="AA8" i="2"/>
  <c r="J8" i="2" s="1"/>
  <c r="Z8" i="2"/>
  <c r="Y8" i="2"/>
  <c r="Y10" i="2"/>
  <c r="G67" i="2"/>
  <c r="G69" i="2" s="1"/>
  <c r="G58" i="2"/>
  <c r="H67" i="2"/>
  <c r="H69" i="2" s="1"/>
  <c r="H58" i="2"/>
  <c r="I67" i="2"/>
  <c r="I69" i="2" s="1"/>
  <c r="I58" i="2"/>
  <c r="K67" i="2"/>
  <c r="K69" i="2" s="1"/>
  <c r="K58" i="2"/>
  <c r="L58" i="2"/>
  <c r="L67" i="2"/>
  <c r="L69" i="2" s="1"/>
  <c r="Z30" i="2"/>
  <c r="Z28" i="2"/>
  <c r="Z26" i="2"/>
  <c r="Z25" i="2"/>
  <c r="Z23" i="2"/>
  <c r="Z22" i="2"/>
  <c r="Z21" i="2"/>
  <c r="Z20" i="2"/>
  <c r="Z19" i="2"/>
  <c r="Z18" i="2"/>
  <c r="Z16" i="2"/>
  <c r="Z15" i="2"/>
  <c r="AA30" i="2"/>
  <c r="AA28" i="2"/>
  <c r="AA26" i="2"/>
  <c r="AA25" i="2"/>
  <c r="AA23" i="2"/>
  <c r="AA22" i="2"/>
  <c r="AA21" i="2"/>
  <c r="AA20" i="2"/>
  <c r="AA19" i="2"/>
  <c r="AA18" i="2"/>
  <c r="AA16" i="2"/>
  <c r="J12" i="2" s="1"/>
  <c r="J13" i="2" s="1"/>
  <c r="AA15" i="2"/>
  <c r="J67" i="2"/>
  <c r="J69" i="2" s="1"/>
  <c r="J58" i="2"/>
  <c r="F69" i="2"/>
  <c r="F70" i="2" s="1"/>
  <c r="E69" i="2"/>
  <c r="E70" i="2" s="1"/>
  <c r="D69" i="2"/>
  <c r="D70" i="2" s="1"/>
  <c r="C69" i="2"/>
  <c r="M67" i="2"/>
  <c r="M69" i="2" s="1"/>
  <c r="M58" i="2"/>
  <c r="G44" i="2"/>
  <c r="G43" i="2"/>
  <c r="G40" i="2"/>
  <c r="G39" i="2"/>
  <c r="G38" i="2"/>
  <c r="G37" i="2"/>
  <c r="G36" i="2"/>
  <c r="G34" i="2"/>
  <c r="G33" i="2"/>
  <c r="H44" i="2"/>
  <c r="H43" i="2"/>
  <c r="H40" i="2"/>
  <c r="H39" i="2"/>
  <c r="H38" i="2"/>
  <c r="H37" i="2"/>
  <c r="H36" i="2"/>
  <c r="H34" i="2"/>
  <c r="H33" i="2"/>
  <c r="C17" i="2"/>
  <c r="C24" i="2" s="1"/>
  <c r="C27" i="2" s="1"/>
  <c r="C29" i="2" s="1"/>
  <c r="C31" i="2" s="1"/>
  <c r="D17" i="2"/>
  <c r="D24" i="2" s="1"/>
  <c r="D27" i="2" s="1"/>
  <c r="D29" i="2" s="1"/>
  <c r="D31" i="2" s="1"/>
  <c r="I44" i="2"/>
  <c r="I43" i="2"/>
  <c r="I40" i="2"/>
  <c r="I39" i="2"/>
  <c r="I38" i="2"/>
  <c r="I37" i="2"/>
  <c r="I36" i="2"/>
  <c r="I34" i="2"/>
  <c r="I33" i="2"/>
  <c r="E17" i="2"/>
  <c r="E24" i="2" s="1"/>
  <c r="E27" i="2" s="1"/>
  <c r="E29" i="2" s="1"/>
  <c r="E31" i="2" s="1"/>
  <c r="L44" i="2"/>
  <c r="K44" i="2"/>
  <c r="J44" i="2"/>
  <c r="L43" i="2"/>
  <c r="K43" i="2"/>
  <c r="J43" i="2"/>
  <c r="J40" i="2"/>
  <c r="J39" i="2"/>
  <c r="J38" i="2"/>
  <c r="J37" i="2"/>
  <c r="J36" i="2"/>
  <c r="J34" i="2"/>
  <c r="J33" i="2"/>
  <c r="F17" i="2"/>
  <c r="F24" i="2" s="1"/>
  <c r="F27" i="2" s="1"/>
  <c r="F29" i="2" s="1"/>
  <c r="F31" i="2" s="1"/>
  <c r="K40" i="2"/>
  <c r="K39" i="2"/>
  <c r="K38" i="2"/>
  <c r="K37" i="2"/>
  <c r="K36" i="2"/>
  <c r="K34" i="2"/>
  <c r="K33" i="2"/>
  <c r="G17" i="2"/>
  <c r="G24" i="2" s="1"/>
  <c r="G27" i="2" s="1"/>
  <c r="G29" i="2" s="1"/>
  <c r="G31" i="2" s="1"/>
  <c r="K17" i="2"/>
  <c r="K24" i="2" s="1"/>
  <c r="K27" i="2" s="1"/>
  <c r="K29" i="2" s="1"/>
  <c r="K30" i="2" s="1"/>
  <c r="L40" i="2"/>
  <c r="L39" i="2"/>
  <c r="L38" i="2"/>
  <c r="L37" i="2"/>
  <c r="L36" i="2"/>
  <c r="L34" i="2"/>
  <c r="L33" i="2"/>
  <c r="H17" i="2"/>
  <c r="H24" i="2" s="1"/>
  <c r="H27" i="2" s="1"/>
  <c r="H29" i="2" s="1"/>
  <c r="H31" i="2" s="1"/>
  <c r="L17" i="2"/>
  <c r="M44" i="2"/>
  <c r="M43" i="2"/>
  <c r="M40" i="2"/>
  <c r="M39" i="2"/>
  <c r="M38" i="2"/>
  <c r="M37" i="2"/>
  <c r="M36" i="2"/>
  <c r="M34" i="2"/>
  <c r="M33" i="2"/>
  <c r="J17" i="2"/>
  <c r="I17" i="2"/>
  <c r="I24" i="2" s="1"/>
  <c r="I27" i="2" s="1"/>
  <c r="I29" i="2" s="1"/>
  <c r="I31" i="2" s="1"/>
  <c r="M17" i="2"/>
  <c r="M24" i="2" s="1"/>
  <c r="M27" i="2" s="1"/>
  <c r="M29" i="2" s="1"/>
  <c r="M31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I7" i="1"/>
  <c r="I5" i="1"/>
  <c r="I6" i="1" s="1"/>
  <c r="I9" i="1" s="1"/>
  <c r="J7" i="1"/>
  <c r="J8" i="1" s="1"/>
  <c r="AL18" i="2" l="1"/>
  <c r="AL43" i="2" s="1"/>
  <c r="AL33" i="2"/>
  <c r="AL16" i="2"/>
  <c r="N70" i="2"/>
  <c r="N44" i="2"/>
  <c r="AC12" i="2"/>
  <c r="AB37" i="2"/>
  <c r="AB18" i="2"/>
  <c r="AB36" i="2" s="1"/>
  <c r="AB10" i="2"/>
  <c r="AC10" i="2" s="1"/>
  <c r="N36" i="2"/>
  <c r="J10" i="2"/>
  <c r="J11" i="2"/>
  <c r="N17" i="2"/>
  <c r="L70" i="2"/>
  <c r="I70" i="2"/>
  <c r="J70" i="2"/>
  <c r="H70" i="2"/>
  <c r="K70" i="2"/>
  <c r="M70" i="2"/>
  <c r="G70" i="2"/>
  <c r="Z24" i="2"/>
  <c r="Z27" i="2"/>
  <c r="Z29" i="2"/>
  <c r="Z31" i="2" s="1"/>
  <c r="AA17" i="2"/>
  <c r="Z17" i="2"/>
  <c r="L35" i="2"/>
  <c r="M35" i="2"/>
  <c r="J35" i="2"/>
  <c r="H35" i="2"/>
  <c r="G35" i="2"/>
  <c r="J24" i="2"/>
  <c r="J27" i="2" s="1"/>
  <c r="J29" i="2" s="1"/>
  <c r="J31" i="2" s="1"/>
  <c r="L24" i="2"/>
  <c r="L27" i="2" s="1"/>
  <c r="L29" i="2" s="1"/>
  <c r="L31" i="2" s="1"/>
  <c r="I35" i="2"/>
  <c r="K35" i="2"/>
  <c r="AL19" i="2" l="1"/>
  <c r="AL44" i="2" s="1"/>
  <c r="AL34" i="2"/>
  <c r="AL17" i="2"/>
  <c r="AB43" i="2"/>
  <c r="AD12" i="2"/>
  <c r="AC16" i="2"/>
  <c r="AB17" i="2"/>
  <c r="AB35" i="2" s="1"/>
  <c r="AB23" i="2"/>
  <c r="AC15" i="2"/>
  <c r="AD10" i="2"/>
  <c r="N35" i="2"/>
  <c r="AA24" i="2"/>
  <c r="AA29" i="2"/>
  <c r="AA31" i="2" s="1"/>
  <c r="AA27" i="2"/>
  <c r="AL20" i="2" l="1"/>
  <c r="AL22" i="2"/>
  <c r="AL21" i="2"/>
  <c r="AL24" i="2" s="1"/>
  <c r="AL35" i="2"/>
  <c r="AC19" i="2"/>
  <c r="AC34" i="2"/>
  <c r="AE12" i="2"/>
  <c r="AD16" i="2"/>
  <c r="AC17" i="2"/>
  <c r="AC33" i="2"/>
  <c r="AC18" i="2"/>
  <c r="AC43" i="2" s="1"/>
  <c r="AE10" i="2"/>
  <c r="AD15" i="2"/>
  <c r="AB20" i="2"/>
  <c r="AB38" i="2" s="1"/>
  <c r="N38" i="2"/>
  <c r="AB21" i="2"/>
  <c r="AB39" i="2" s="1"/>
  <c r="N39" i="2"/>
  <c r="AB22" i="2"/>
  <c r="AB40" i="2" s="1"/>
  <c r="N40" i="2"/>
  <c r="AB24" i="2" l="1"/>
  <c r="AF12" i="2"/>
  <c r="AE16" i="2"/>
  <c r="AD34" i="2"/>
  <c r="AD19" i="2"/>
  <c r="AD44" i="2" s="1"/>
  <c r="AC44" i="2"/>
  <c r="AF10" i="2"/>
  <c r="AE15" i="2"/>
  <c r="AB28" i="2"/>
  <c r="AB27" i="2"/>
  <c r="AD18" i="2"/>
  <c r="AD43" i="2" s="1"/>
  <c r="AD33" i="2"/>
  <c r="AD17" i="2"/>
  <c r="AC22" i="2"/>
  <c r="AC21" i="2"/>
  <c r="AC35" i="2"/>
  <c r="AC20" i="2"/>
  <c r="AE34" i="2" l="1"/>
  <c r="AE19" i="2"/>
  <c r="AE44" i="2" s="1"/>
  <c r="AC24" i="2"/>
  <c r="AG12" i="2"/>
  <c r="AF16" i="2"/>
  <c r="AD20" i="2"/>
  <c r="AD35" i="2"/>
  <c r="AD22" i="2"/>
  <c r="AD21" i="2"/>
  <c r="N29" i="2"/>
  <c r="AE17" i="2"/>
  <c r="AE18" i="2"/>
  <c r="AE43" i="2"/>
  <c r="AE33" i="2"/>
  <c r="AG10" i="2"/>
  <c r="AF15" i="2"/>
  <c r="AD24" i="2" l="1"/>
  <c r="AF19" i="2"/>
  <c r="AF34" i="2"/>
  <c r="AH12" i="2"/>
  <c r="AG16" i="2"/>
  <c r="AE22" i="2"/>
  <c r="AH10" i="2"/>
  <c r="AG15" i="2"/>
  <c r="AE35" i="2"/>
  <c r="AE20" i="2"/>
  <c r="N30" i="2"/>
  <c r="AB30" i="2" s="1"/>
  <c r="AB29" i="2"/>
  <c r="AE21" i="2"/>
  <c r="AF33" i="2"/>
  <c r="AF17" i="2"/>
  <c r="AF18" i="2"/>
  <c r="AG18" i="2" s="1"/>
  <c r="AE24" i="2" l="1"/>
  <c r="AG34" i="2"/>
  <c r="AI12" i="2"/>
  <c r="AH16" i="2"/>
  <c r="AG19" i="2"/>
  <c r="AG44" i="2" s="1"/>
  <c r="AF44" i="2"/>
  <c r="AF43" i="2"/>
  <c r="AF22" i="2"/>
  <c r="AF21" i="2"/>
  <c r="AF35" i="2"/>
  <c r="AF20" i="2"/>
  <c r="AH33" i="2"/>
  <c r="AG43" i="2"/>
  <c r="AG33" i="2"/>
  <c r="AG17" i="2"/>
  <c r="AI10" i="2"/>
  <c r="AH15" i="2"/>
  <c r="AB31" i="2"/>
  <c r="AC31" i="2" s="1"/>
  <c r="AD31" i="2" s="1"/>
  <c r="AE31" i="2" s="1"/>
  <c r="AF31" i="2" s="1"/>
  <c r="AG31" i="2" s="1"/>
  <c r="AH31" i="2" s="1"/>
  <c r="AI31" i="2" s="1"/>
  <c r="AJ31" i="2" s="1"/>
  <c r="AK31" i="2" s="1"/>
  <c r="AC26" i="2"/>
  <c r="AC27" i="2" s="1"/>
  <c r="AF24" i="2" l="1"/>
  <c r="AJ12" i="2"/>
  <c r="AI16" i="2"/>
  <c r="AH34" i="2"/>
  <c r="AH19" i="2"/>
  <c r="AI19" i="2" s="1"/>
  <c r="AH17" i="2"/>
  <c r="AH35" i="2"/>
  <c r="AC28" i="2"/>
  <c r="AC29" i="2" s="1"/>
  <c r="AI15" i="2"/>
  <c r="AJ10" i="2"/>
  <c r="AG22" i="2"/>
  <c r="AG20" i="2"/>
  <c r="AG35" i="2"/>
  <c r="AG21" i="2"/>
  <c r="AH21" i="2" s="1"/>
  <c r="AH18" i="2"/>
  <c r="AH20" i="2" l="1"/>
  <c r="AH22" i="2"/>
  <c r="AH44" i="2"/>
  <c r="AI44" i="2"/>
  <c r="AI34" i="2"/>
  <c r="AK12" i="2"/>
  <c r="AK16" i="2" s="1"/>
  <c r="AJ16" i="2"/>
  <c r="AH43" i="2"/>
  <c r="AG24" i="2"/>
  <c r="AJ15" i="2"/>
  <c r="AK10" i="2"/>
  <c r="AK15" i="2" s="1"/>
  <c r="AI33" i="2"/>
  <c r="AI18" i="2"/>
  <c r="AI43" i="2" s="1"/>
  <c r="AI17" i="2"/>
  <c r="AC46" i="2"/>
  <c r="AC30" i="2"/>
  <c r="AH24" i="2" l="1"/>
  <c r="AJ34" i="2"/>
  <c r="AJ19" i="2"/>
  <c r="AK19" i="2" s="1"/>
  <c r="AK44" i="2"/>
  <c r="AK34" i="2"/>
  <c r="AI20" i="2"/>
  <c r="AI35" i="2"/>
  <c r="AI22" i="2"/>
  <c r="AI21" i="2"/>
  <c r="AK33" i="2"/>
  <c r="AK17" i="2"/>
  <c r="AJ33" i="2"/>
  <c r="AJ18" i="2"/>
  <c r="AJ43" i="2" s="1"/>
  <c r="AJ17" i="2"/>
  <c r="AD26" i="2"/>
  <c r="AD27" i="2" s="1"/>
  <c r="AD28" i="2" s="1"/>
  <c r="AD29" i="2" s="1"/>
  <c r="AI24" i="2" l="1"/>
  <c r="AK18" i="2"/>
  <c r="AK43" i="2" s="1"/>
  <c r="AJ44" i="2"/>
  <c r="AK35" i="2"/>
  <c r="AD30" i="2"/>
  <c r="AJ22" i="2"/>
  <c r="AK22" i="2" s="1"/>
  <c r="AJ21" i="2"/>
  <c r="AK21" i="2" s="1"/>
  <c r="AJ20" i="2"/>
  <c r="AK20" i="2" s="1"/>
  <c r="AJ35" i="2"/>
  <c r="AD46" i="2"/>
  <c r="AK24" i="2" l="1"/>
  <c r="AE26" i="2"/>
  <c r="AE27" i="2" s="1"/>
  <c r="AJ24" i="2"/>
  <c r="AE28" i="2" l="1"/>
  <c r="AE29" i="2" s="1"/>
  <c r="AE30" i="2" l="1"/>
  <c r="AE46" i="2"/>
  <c r="AF26" i="2" l="1"/>
  <c r="AF27" i="2" s="1"/>
  <c r="AF28" i="2" s="1"/>
  <c r="AF29" i="2" s="1"/>
  <c r="AF46" i="2" s="1"/>
  <c r="AG26" i="2" l="1"/>
  <c r="AG27" i="2" s="1"/>
  <c r="AG28" i="2" s="1"/>
  <c r="AG29" i="2" s="1"/>
  <c r="AG30" i="2" s="1"/>
  <c r="AF30" i="2"/>
  <c r="AG46" i="2" l="1"/>
  <c r="AH26" i="2" s="1"/>
  <c r="AH27" i="2" s="1"/>
  <c r="AH28" i="2" s="1"/>
  <c r="AH29" i="2" s="1"/>
  <c r="AH30" i="2" s="1"/>
  <c r="AH46" i="2" l="1"/>
  <c r="AI26" i="2" s="1"/>
  <c r="AI27" i="2" s="1"/>
  <c r="AI28" i="2" s="1"/>
  <c r="AI29" i="2" s="1"/>
  <c r="AI30" i="2" s="1"/>
  <c r="AI46" i="2" l="1"/>
  <c r="AJ26" i="2" s="1"/>
  <c r="AJ27" i="2" s="1"/>
  <c r="AJ28" i="2" s="1"/>
  <c r="AJ29" i="2" s="1"/>
  <c r="AJ30" i="2" l="1"/>
  <c r="AJ46" i="2"/>
  <c r="AK26" i="2" s="1"/>
  <c r="AK27" i="2" s="1"/>
  <c r="AK28" i="2" s="1"/>
  <c r="AK29" i="2" s="1"/>
  <c r="AK30" i="2" s="1"/>
  <c r="AK46" i="2" l="1"/>
  <c r="AL26" i="2" l="1"/>
  <c r="AL27" i="2" s="1"/>
  <c r="AL28" i="2" s="1"/>
  <c r="AL29" i="2" s="1"/>
  <c r="AL46" i="2"/>
  <c r="AL30" i="2" l="1"/>
  <c r="AM29" i="2"/>
  <c r="AN29" i="2" l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AP34" i="2" l="1"/>
  <c r="AP36" i="2" s="1"/>
  <c r="AP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B3" authorId="0" shapeId="0" xr:uid="{F5D1D6E8-6895-5B4D-9061-C78C907DFA4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of units shipped to retailers or D2C</t>
        </r>
      </text>
    </comment>
    <comment ref="B4" authorId="0" shapeId="0" xr:uid="{362EE43A-3B6B-8847-A780-1D4222624AC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Activated SmartCast OS through an internet connection at-least once in the past 30 days</t>
        </r>
      </text>
    </comment>
    <comment ref="B5" authorId="0" shapeId="0" xr:uid="{83509ACA-1E9A-7F4E-B4FC-E2A23ED74BA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Hours users spend utilizing Smart TVS in any capacity</t>
        </r>
      </text>
    </comment>
    <comment ref="B6" authorId="0" shapeId="0" xr:uid="{387B4F8A-20F2-814B-AE09-A185BBBF7F2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 of hours users engaged wiht smartcast platform</t>
        </r>
      </text>
    </comment>
  </commentList>
</comments>
</file>

<file path=xl/sharedStrings.xml><?xml version="1.0" encoding="utf-8"?>
<sst xmlns="http://schemas.openxmlformats.org/spreadsheetml/2006/main" count="118" uniqueCount="101">
  <si>
    <t>P</t>
  </si>
  <si>
    <t>S</t>
  </si>
  <si>
    <t>MC</t>
  </si>
  <si>
    <t>C</t>
  </si>
  <si>
    <t>D</t>
  </si>
  <si>
    <t>EV</t>
  </si>
  <si>
    <t>Q323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</si>
  <si>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</si>
  <si>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</si>
  <si>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</si>
  <si>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</si>
  <si>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</si>
  <si>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</si>
  <si>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</si>
  <si>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</si>
  <si>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</si>
  <si>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</si>
  <si>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</si>
  <si>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</si>
  <si>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</si>
  <si>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Q324</t>
  </si>
  <si>
    <t>Q424</t>
  </si>
  <si>
    <t xml:space="preserve">Cash </t>
  </si>
  <si>
    <t>STI</t>
  </si>
  <si>
    <t>A/R</t>
  </si>
  <si>
    <t>Inventories</t>
  </si>
  <si>
    <t>Prepaid</t>
  </si>
  <si>
    <t>Device</t>
  </si>
  <si>
    <t>Platform</t>
  </si>
  <si>
    <t xml:space="preserve">Revenue </t>
  </si>
  <si>
    <t xml:space="preserve">Platform </t>
  </si>
  <si>
    <t>SG&amp;A</t>
  </si>
  <si>
    <t>Marketing</t>
  </si>
  <si>
    <t>R&amp;D</t>
  </si>
  <si>
    <t>D&amp;A</t>
  </si>
  <si>
    <t>Op Income</t>
  </si>
  <si>
    <t>Interest income</t>
  </si>
  <si>
    <t>Other income</t>
  </si>
  <si>
    <t>EBT</t>
  </si>
  <si>
    <t>Taxes</t>
  </si>
  <si>
    <t xml:space="preserve">Net Income </t>
  </si>
  <si>
    <t>.</t>
  </si>
  <si>
    <t>Diluted</t>
  </si>
  <si>
    <t>Eps</t>
  </si>
  <si>
    <t>Margins</t>
  </si>
  <si>
    <t>Other Rec.</t>
  </si>
  <si>
    <t>A/P</t>
  </si>
  <si>
    <t>Accrued Exp</t>
  </si>
  <si>
    <t>OCL</t>
  </si>
  <si>
    <t>OLTL</t>
  </si>
  <si>
    <t>TL</t>
  </si>
  <si>
    <t>PPE</t>
  </si>
  <si>
    <t>Goodwill</t>
  </si>
  <si>
    <t>Deferred i/t</t>
  </si>
  <si>
    <t>OA</t>
  </si>
  <si>
    <t>TA</t>
  </si>
  <si>
    <t>TL + E</t>
  </si>
  <si>
    <t>E</t>
  </si>
  <si>
    <t xml:space="preserve">I/T Payable </t>
  </si>
  <si>
    <t>Accrued Royalties</t>
  </si>
  <si>
    <t xml:space="preserve">A/P Due </t>
  </si>
  <si>
    <t>I/T Rec</t>
  </si>
  <si>
    <t xml:space="preserve">error check </t>
  </si>
  <si>
    <t xml:space="preserve">CFFO </t>
  </si>
  <si>
    <t>Capex</t>
  </si>
  <si>
    <t xml:space="preserve">Free Cash Flow </t>
  </si>
  <si>
    <t>Founded</t>
  </si>
  <si>
    <t>Founder</t>
  </si>
  <si>
    <t>Segments</t>
  </si>
  <si>
    <t>Smart TVS, soundbars</t>
  </si>
  <si>
    <t>Smartcast. (TV OS)</t>
  </si>
  <si>
    <t xml:space="preserve">Value prop </t>
  </si>
  <si>
    <t>Consumers</t>
  </si>
  <si>
    <t>Retailers</t>
  </si>
  <si>
    <t>Competitive products</t>
  </si>
  <si>
    <t xml:space="preserve">Key Tech </t>
  </si>
  <si>
    <t>Inscape: can track view data</t>
  </si>
  <si>
    <t>Competitors</t>
  </si>
  <si>
    <t>Amazon, Samsung, Sony, LG, Hisense, TCL, Onn | Sony, LG, Bose, Sonos, Onn</t>
  </si>
  <si>
    <t>Samsung, Roku, Amazon, Apple TV, Hulu, YouTube V</t>
  </si>
  <si>
    <t>Smart TV Shipments</t>
  </si>
  <si>
    <t>SmartCast Active Accounts</t>
  </si>
  <si>
    <t>Smartcast Hours</t>
  </si>
  <si>
    <t>SmartCast ARPU</t>
  </si>
  <si>
    <t>$m</t>
  </si>
  <si>
    <t>Device Rev Per Unit</t>
  </si>
  <si>
    <t>Total VIZIO Hours</t>
  </si>
  <si>
    <t>Effective Smatcast ARPU</t>
  </si>
  <si>
    <t xml:space="preserve">Smartcast Hours % Total </t>
  </si>
  <si>
    <t xml:space="preserve">Terminal </t>
  </si>
  <si>
    <t>Discount</t>
  </si>
  <si>
    <t>NPV</t>
  </si>
  <si>
    <t>Shares</t>
  </si>
  <si>
    <t>Estimate</t>
  </si>
  <si>
    <t>Current</t>
  </si>
  <si>
    <t xml:space="preserve">Net cash </t>
  </si>
  <si>
    <t>ROIC</t>
  </si>
  <si>
    <t>q4'23</t>
  </si>
  <si>
    <t>Press</t>
  </si>
  <si>
    <t>WALMART OT ACQUIRE VZIO @ $11.50/SH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</si>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</sst>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0.0"/>
    <numFmt numFmtId="165" formatCode="#,##0.0"/>
  </numFmts>
  <fonts count="8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6" xfId="0" applyNumberFormat="1" applyFont="1" applyBorder="1"/>
    <xf numFmtId="3" fontId="2" fillId="0" borderId="1" xfId="0" applyNumberFormat="1" applyFont="1" applyBorder="1"/>
    <xf numFmtId="3" fontId="2" fillId="0" borderId="7" xfId="0" applyNumberFormat="1" applyFont="1" applyBorder="1"/>
    <xf numFmtId="164" fontId="0" fillId="0" borderId="0" xfId="0" applyNumberFormat="1"/>
    <xf numFmtId="42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2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4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9" fontId="0" fillId="0" borderId="0" xfId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6" fillId="0" borderId="0" xfId="0" applyNumberFormat="1" applyFont="1"/>
    <xf numFmtId="3" fontId="7" fillId="0" borderId="0" xfId="2" applyNumberFormat="1"/>
    <xf numFmtId="14" fontId="7" fillId="0" borderId="0" xfId="2" applyNumberFormat="1"/>
    <xf numFmtId="4" fontId="0" fillId="0" borderId="0" xfId="0" applyNumberFormat="1"/>
    <xf numFmtId="3" fontId="0" fillId="0" borderId="9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9" fontId="0" fillId="0" borderId="2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3" fontId="0" fillId="0" borderId="3" xfId="0" applyNumberFormat="1" applyBorder="1" applyAlignment="1">
      <alignment horizontal="left"/>
    </xf>
    <xf numFmtId="9" fontId="2" fillId="0" borderId="5" xfId="1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409894</xdr:colOff>
      <xdr:row>0</xdr:row>
      <xdr:rowOff>0</xdr:rowOff>
    </xdr:from>
    <xdr:to>
      <xdr:col>15</xdr:col>
      <xdr:colOff>16488</xdr:colOff>
      <xdr:row>86</xdr:row>
      <xdr:rowOff>145918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A503F7-3604-0EFB-105A-AE5B5541BD8E}"/>
            </a:ext>
          </a:extLst>
        </xdr:cNvPr>
        <xdr:cNvCxnSpPr/>
      </xdr:nvCxnSpPr>
      <xdr:spPr>
        <a:xfrm>
          <a:off x="7521894" y="0"/>
          <a:ext cx="26671" cy="14428533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427416</xdr:colOff>
      <xdr:row>0</xdr:row>
      <xdr:rowOff>0</xdr:rowOff>
    </xdr:from>
    <xdr:to>
      <xdr:col>28</xdr:col>
      <xdr:colOff>11009</xdr:colOff>
      <xdr:row>86</xdr:row>
      <xdr:rowOff>147830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3FD5177-3B94-6C4D-87C8-CB59F14A5C92}"/>
            </a:ext>
          </a:extLst>
        </xdr:cNvPr>
        <xdr:cNvCxnSpPr/>
      </xdr:nvCxnSpPr>
      <xdr:spPr>
        <a:xfrm>
          <a:off x="13000416" y="0"/>
          <a:ext cx="13439" cy="1443044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s.vizio.com/news/news-details/2024/Walmart-Agrees-to-Acquire-VIZIO-HOLDING-CORP.-to-Facilitate-Accelerated-Growth-of-Walmart-Connect-through-VIZIOs-SmartCast-Operating-System/default.aspx" TargetMode="External"/><Relationship Id="rId1" Type="http://schemas.openxmlformats.org/officeDocument/2006/relationships/hyperlink" Target="https://s29.q4cdn.com/107810760/files/doc_financials/2023/q4/Shareholder-Letter-w_Exhibit-99-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68EF-3C53-4D4E-86C9-F3E30C04A459}">
  <dimension ref="B2:J17"/>
  <sheetViews>
    <sheetView tabSelected="1" zoomScale="160" zoomScaleNormal="160" workbookViewId="0">
      <selection activeCell="C3" sqref="C3"/>
    </sheetView>
  </sheetViews>
  <sheetFormatPr baseColWidth="10" defaultRowHeight="13"/>
  <cols>
    <col min="1" max="1" width="2" style="1" customWidth="1"/>
    <col min="2" max="2" width="10.83203125" style="1"/>
    <col min="3" max="3" width="20.1640625" style="1" customWidth="1"/>
    <col min="4" max="4" width="10.83203125" style="1"/>
    <col min="5" max="5" width="14.5" style="1" customWidth="1"/>
    <col min="6" max="7" width="10.83203125" style="1"/>
    <col min="8" max="8" width="3.6640625" style="1" bestFit="1" customWidth="1"/>
    <col min="9" max="9" width="5.6640625" style="1" bestFit="1" customWidth="1"/>
    <col min="10" max="10" width="5.5" style="1" bestFit="1" customWidth="1"/>
    <col min="11" max="16384" width="10.83203125" style="1"/>
  </cols>
  <sheetData>
    <row r="2" spans="2:10">
      <c r="B2" s="1" t="s">
        <v>66</v>
      </c>
    </row>
    <row r="3" spans="2:10">
      <c r="B3" s="1" t="s">
        <v>67</v>
      </c>
    </row>
    <row r="4" spans="2:10">
      <c r="H4" s="1" t="s">
        <v>0</v>
      </c>
      <c r="I4" s="36">
        <v>10.58</v>
      </c>
    </row>
    <row r="5" spans="2:10">
      <c r="H5" s="1" t="s">
        <v>1</v>
      </c>
      <c r="I5" s="1">
        <f>121.016127+76.180453</f>
        <v>197.19657999999998</v>
      </c>
      <c r="J5" s="1" t="s">
        <v>17</v>
      </c>
    </row>
    <row r="6" spans="2:10">
      <c r="B6" s="14" t="s">
        <v>68</v>
      </c>
      <c r="C6" s="12"/>
      <c r="D6" s="16" t="s">
        <v>75</v>
      </c>
      <c r="E6" s="16" t="s">
        <v>77</v>
      </c>
      <c r="F6" s="13" t="s">
        <v>41</v>
      </c>
      <c r="H6" s="1" t="s">
        <v>2</v>
      </c>
      <c r="I6" s="1">
        <f>+I4*I5</f>
        <v>2086.3398164</v>
      </c>
    </row>
    <row r="7" spans="2:10">
      <c r="B7" s="7" t="s">
        <v>27</v>
      </c>
      <c r="C7" s="1" t="s">
        <v>69</v>
      </c>
      <c r="E7" s="1" t="s">
        <v>78</v>
      </c>
      <c r="F7" s="8" t="s">
        <v>41</v>
      </c>
      <c r="H7" s="1" t="s">
        <v>3</v>
      </c>
      <c r="I7" s="1">
        <f>215.5+119.4</f>
        <v>334.9</v>
      </c>
      <c r="J7" s="1" t="str">
        <f>+J5</f>
        <v>Q423</v>
      </c>
    </row>
    <row r="8" spans="2:10">
      <c r="B8" s="7" t="s">
        <v>28</v>
      </c>
      <c r="C8" s="1" t="s">
        <v>70</v>
      </c>
      <c r="D8" s="1" t="s">
        <v>76</v>
      </c>
      <c r="E8" s="1" t="s">
        <v>79</v>
      </c>
      <c r="F8" s="8" t="s">
        <v>41</v>
      </c>
      <c r="H8" s="1" t="s">
        <v>4</v>
      </c>
      <c r="I8" s="1">
        <v>0</v>
      </c>
      <c r="J8" s="1" t="str">
        <f>+J7</f>
        <v>Q423</v>
      </c>
    </row>
    <row r="9" spans="2:10">
      <c r="B9" s="15" t="s">
        <v>71</v>
      </c>
      <c r="F9" s="8"/>
      <c r="H9" s="1" t="s">
        <v>5</v>
      </c>
      <c r="I9" s="1">
        <f>+I6-I7+I8</f>
        <v>1751.4398163999999</v>
      </c>
    </row>
    <row r="10" spans="2:10">
      <c r="B10" s="7" t="s">
        <v>72</v>
      </c>
      <c r="C10" s="1" t="s">
        <v>69</v>
      </c>
      <c r="F10" s="8"/>
    </row>
    <row r="11" spans="2:10">
      <c r="B11" s="7" t="s">
        <v>73</v>
      </c>
      <c r="C11" s="1" t="s">
        <v>74</v>
      </c>
      <c r="F11" s="8"/>
    </row>
    <row r="12" spans="2:10">
      <c r="B12" s="9"/>
      <c r="C12" s="10"/>
      <c r="D12" s="10"/>
      <c r="E12" s="10"/>
      <c r="F12" s="11"/>
    </row>
    <row r="14" spans="2:10">
      <c r="B14" s="33" t="s">
        <v>98</v>
      </c>
    </row>
    <row r="15" spans="2:10">
      <c r="B15" s="34" t="s">
        <v>97</v>
      </c>
    </row>
    <row r="17" spans="2:3">
      <c r="B17" s="35">
        <v>45342</v>
      </c>
      <c r="C17" s="1" t="s">
        <v>99</v>
      </c>
    </row>
  </sheetData>
  <hyperlinks>
    <hyperlink ref="B15" r:id="rId1" xr:uid="{67C5654C-0D74-5A4D-A297-CF4874819F63}"/>
    <hyperlink ref="B17" r:id="rId2" display="https://investors.vizio.com/news/news-details/2024/Walmart-Agrees-to-Acquire-VIZIO-HOLDING-CORP.-to-Facilitate-Accelerated-Growth-of-Walmart-Connect-through-VIZIOs-SmartCast-Operating-System/default.aspx" xr:uid="{EE1E367A-4A6A-7B45-947A-F833044453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DB5E-EA6B-0246-A479-9797728F58FC}">
  <dimension ref="A1:DM75"/>
  <sheetViews>
    <sheetView zoomScale="130" zoomScaleNormal="13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O31" sqref="AO31:AP38"/>
    </sheetView>
  </sheetViews>
  <sheetFormatPr baseColWidth="10" defaultRowHeight="13" outlineLevelRow="1"/>
  <cols>
    <col min="1" max="1" width="3.5" style="1" bestFit="1" customWidth="1"/>
    <col min="2" max="2" width="22.33203125" style="1" bestFit="1" customWidth="1"/>
    <col min="3" max="13" width="5.6640625" style="20" bestFit="1" customWidth="1"/>
    <col min="14" max="18" width="5.5" style="20" bestFit="1" customWidth="1"/>
    <col min="19" max="19" width="4" style="20" customWidth="1"/>
    <col min="20" max="24" width="5.1640625" style="20" bestFit="1" customWidth="1"/>
    <col min="25" max="27" width="6.6640625" style="20" bestFit="1" customWidth="1"/>
    <col min="28" max="38" width="5.6640625" style="20" bestFit="1" customWidth="1"/>
    <col min="39" max="39" width="4.1640625" style="20" bestFit="1" customWidth="1"/>
    <col min="40" max="41" width="8.1640625" style="20" bestFit="1" customWidth="1"/>
    <col min="42" max="42" width="5.6640625" style="20" bestFit="1" customWidth="1"/>
    <col min="43" max="117" width="4.1640625" style="20" bestFit="1" customWidth="1"/>
    <col min="118" max="16384" width="10.83203125" style="20"/>
  </cols>
  <sheetData>
    <row r="1" spans="1:38" s="1" customFormat="1"/>
    <row r="2" spans="1:38" s="1" customFormat="1">
      <c r="A2" s="1" t="s">
        <v>84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5">
        <v>2015</v>
      </c>
      <c r="U2" s="5">
        <f>+T2+1</f>
        <v>2016</v>
      </c>
      <c r="V2" s="5">
        <f t="shared" ref="V2:AL2" si="0">+U2+1</f>
        <v>2017</v>
      </c>
      <c r="W2" s="5">
        <f t="shared" si="0"/>
        <v>2018</v>
      </c>
      <c r="X2" s="5">
        <f t="shared" si="0"/>
        <v>2019</v>
      </c>
      <c r="Y2" s="5">
        <f t="shared" si="0"/>
        <v>2020</v>
      </c>
      <c r="Z2" s="5">
        <f t="shared" si="0"/>
        <v>2021</v>
      </c>
      <c r="AA2" s="5">
        <f t="shared" si="0"/>
        <v>2022</v>
      </c>
      <c r="AB2" s="5">
        <f t="shared" si="0"/>
        <v>2023</v>
      </c>
      <c r="AC2" s="5">
        <f t="shared" si="0"/>
        <v>2024</v>
      </c>
      <c r="AD2" s="5">
        <f t="shared" si="0"/>
        <v>2025</v>
      </c>
      <c r="AE2" s="5">
        <f t="shared" si="0"/>
        <v>2026</v>
      </c>
      <c r="AF2" s="5">
        <f t="shared" si="0"/>
        <v>2027</v>
      </c>
      <c r="AG2" s="5">
        <f t="shared" si="0"/>
        <v>2028</v>
      </c>
      <c r="AH2" s="5">
        <f t="shared" si="0"/>
        <v>2029</v>
      </c>
      <c r="AI2" s="5">
        <f t="shared" si="0"/>
        <v>2030</v>
      </c>
      <c r="AJ2" s="5">
        <f t="shared" si="0"/>
        <v>2031</v>
      </c>
      <c r="AK2" s="5">
        <f t="shared" si="0"/>
        <v>2032</v>
      </c>
      <c r="AL2" s="5">
        <f t="shared" si="0"/>
        <v>2033</v>
      </c>
    </row>
    <row r="3" spans="1:38" s="19" customFormat="1">
      <c r="A3" s="17"/>
      <c r="B3" s="22" t="s">
        <v>80</v>
      </c>
      <c r="C3" s="19">
        <v>1.5</v>
      </c>
      <c r="D3" s="19">
        <v>1.1000000000000001</v>
      </c>
      <c r="E3" s="19">
        <v>1.4</v>
      </c>
      <c r="F3" s="19">
        <f>+Z3-SUM(C3:E3)</f>
        <v>1.5</v>
      </c>
      <c r="G3" s="19">
        <v>1.4</v>
      </c>
      <c r="H3" s="19">
        <v>1.1000000000000001</v>
      </c>
      <c r="I3" s="19">
        <v>1.2</v>
      </c>
      <c r="J3" s="19">
        <f>+AA3-SUM(G3:I3)</f>
        <v>1.5</v>
      </c>
      <c r="K3" s="19">
        <v>0.9</v>
      </c>
      <c r="L3" s="19">
        <v>1</v>
      </c>
      <c r="M3" s="19">
        <v>1.1000000000000001</v>
      </c>
      <c r="N3" s="19">
        <v>1.3</v>
      </c>
      <c r="O3" s="19">
        <v>0.8</v>
      </c>
      <c r="Y3" s="19">
        <v>7.1</v>
      </c>
      <c r="Z3" s="19">
        <v>5.5</v>
      </c>
      <c r="AA3" s="19">
        <v>5.2</v>
      </c>
      <c r="AB3" s="19">
        <v>4.5</v>
      </c>
      <c r="AC3" s="19">
        <f>+AB3-0.1</f>
        <v>4.4000000000000004</v>
      </c>
      <c r="AD3" s="19">
        <f t="shared" ref="AD3:AL3" si="1">+AC3-0.1</f>
        <v>4.3000000000000007</v>
      </c>
      <c r="AE3" s="19">
        <f t="shared" si="1"/>
        <v>4.2000000000000011</v>
      </c>
      <c r="AF3" s="19">
        <f t="shared" si="1"/>
        <v>4.1000000000000014</v>
      </c>
      <c r="AG3" s="19">
        <f t="shared" si="1"/>
        <v>4.0000000000000018</v>
      </c>
      <c r="AH3" s="19">
        <f t="shared" si="1"/>
        <v>3.9000000000000017</v>
      </c>
      <c r="AI3" s="19">
        <f t="shared" si="1"/>
        <v>3.8000000000000016</v>
      </c>
      <c r="AJ3" s="19">
        <f t="shared" si="1"/>
        <v>3.7000000000000015</v>
      </c>
      <c r="AK3" s="19">
        <f t="shared" si="1"/>
        <v>3.6000000000000014</v>
      </c>
      <c r="AL3" s="19">
        <f t="shared" si="1"/>
        <v>3.5000000000000013</v>
      </c>
    </row>
    <row r="4" spans="1:38" s="19" customFormat="1">
      <c r="A4" s="17"/>
      <c r="B4" s="22" t="s">
        <v>81</v>
      </c>
      <c r="C4" s="19">
        <v>13.5</v>
      </c>
      <c r="D4" s="19">
        <v>14</v>
      </c>
      <c r="E4" s="19">
        <v>14.4</v>
      </c>
      <c r="F4" s="19">
        <f t="shared" ref="F4:F8" si="2">+Z4</f>
        <v>15.1</v>
      </c>
      <c r="G4" s="19">
        <v>15.6</v>
      </c>
      <c r="H4" s="19">
        <v>16.100000000000001</v>
      </c>
      <c r="I4" s="19">
        <v>16.600000000000001</v>
      </c>
      <c r="J4" s="19">
        <f t="shared" ref="J4:J12" si="3">+AA4</f>
        <v>17.399999999999999</v>
      </c>
      <c r="K4" s="19">
        <v>17.5</v>
      </c>
      <c r="L4" s="19">
        <v>17.600000000000001</v>
      </c>
      <c r="M4" s="19">
        <v>17.899999999999999</v>
      </c>
      <c r="N4" s="19">
        <v>18.5</v>
      </c>
      <c r="O4" s="19">
        <v>18.600000000000001</v>
      </c>
      <c r="Y4" s="19">
        <v>12.2</v>
      </c>
      <c r="Z4" s="19">
        <v>15.1</v>
      </c>
      <c r="AA4" s="19">
        <v>17.399999999999999</v>
      </c>
      <c r="AB4" s="19">
        <v>17.899999999999999</v>
      </c>
      <c r="AC4" s="19">
        <f>+AC3*4</f>
        <v>17.600000000000001</v>
      </c>
      <c r="AD4" s="19">
        <f t="shared" ref="AD4:AK4" si="4">+AD3*4</f>
        <v>17.200000000000003</v>
      </c>
      <c r="AE4" s="19">
        <f t="shared" si="4"/>
        <v>16.800000000000004</v>
      </c>
      <c r="AF4" s="19">
        <f t="shared" si="4"/>
        <v>16.400000000000006</v>
      </c>
      <c r="AG4" s="19">
        <f t="shared" si="4"/>
        <v>16.000000000000007</v>
      </c>
      <c r="AH4" s="19">
        <f t="shared" si="4"/>
        <v>15.600000000000007</v>
      </c>
      <c r="AI4" s="19">
        <f t="shared" si="4"/>
        <v>15.200000000000006</v>
      </c>
      <c r="AJ4" s="19">
        <f t="shared" si="4"/>
        <v>14.800000000000006</v>
      </c>
      <c r="AK4" s="19">
        <f t="shared" si="4"/>
        <v>14.400000000000006</v>
      </c>
      <c r="AL4" s="19">
        <f t="shared" ref="AL4" si="5">+AL3*4</f>
        <v>14.000000000000005</v>
      </c>
    </row>
    <row r="5" spans="1:38">
      <c r="B5" s="23" t="s">
        <v>86</v>
      </c>
      <c r="C5" s="20">
        <v>6951</v>
      </c>
      <c r="D5" s="20">
        <v>7151</v>
      </c>
      <c r="E5" s="20">
        <v>7320</v>
      </c>
      <c r="F5" s="20">
        <f>+Z5-SUM(C5:E5)</f>
        <v>7915</v>
      </c>
      <c r="G5" s="20">
        <v>8208</v>
      </c>
      <c r="H5" s="20">
        <v>8154</v>
      </c>
      <c r="I5" s="20">
        <v>8129</v>
      </c>
      <c r="J5" s="20">
        <f>+AA5-SUM(G5:I5)</f>
        <v>8949</v>
      </c>
      <c r="K5" s="20">
        <v>8992</v>
      </c>
      <c r="L5" s="20">
        <v>8852</v>
      </c>
      <c r="M5" s="20">
        <v>8913</v>
      </c>
      <c r="N5" s="20">
        <v>9417</v>
      </c>
      <c r="O5" s="20">
        <v>9539</v>
      </c>
      <c r="Y5" s="20">
        <v>23264</v>
      </c>
      <c r="Z5" s="20">
        <v>29337</v>
      </c>
      <c r="AA5" s="20">
        <v>33440</v>
      </c>
    </row>
    <row r="6" spans="1:38">
      <c r="B6" s="23" t="s">
        <v>82</v>
      </c>
      <c r="C6" s="20">
        <v>3622</v>
      </c>
      <c r="D6" s="20">
        <v>3505</v>
      </c>
      <c r="E6" s="20">
        <v>3620</v>
      </c>
      <c r="F6" s="20">
        <f>+Z6-SUM(C6:E6)</f>
        <v>3851</v>
      </c>
      <c r="G6" s="20">
        <v>4116</v>
      </c>
      <c r="H6" s="20">
        <v>4281</v>
      </c>
      <c r="I6" s="20">
        <v>4243</v>
      </c>
      <c r="J6" s="20">
        <f>+AA6-SUM(G6:I6)</f>
        <v>4763</v>
      </c>
      <c r="K6" s="20">
        <v>4881</v>
      </c>
      <c r="L6" s="20">
        <v>4952</v>
      </c>
      <c r="M6" s="20">
        <v>5153</v>
      </c>
      <c r="N6" s="20">
        <v>5486</v>
      </c>
      <c r="O6" s="20">
        <v>5603</v>
      </c>
      <c r="Y6" s="20">
        <v>11596</v>
      </c>
      <c r="Z6" s="20">
        <v>14598</v>
      </c>
      <c r="AA6" s="20">
        <v>17403</v>
      </c>
    </row>
    <row r="7" spans="1:38" s="27" customFormat="1">
      <c r="A7" s="5"/>
      <c r="B7" s="30" t="s">
        <v>83</v>
      </c>
      <c r="C7" s="27">
        <v>14.43</v>
      </c>
      <c r="D7" s="27">
        <v>16.760000000000002</v>
      </c>
      <c r="E7" s="27">
        <v>19.89</v>
      </c>
      <c r="F7" s="27">
        <f t="shared" si="2"/>
        <v>21.68</v>
      </c>
      <c r="G7" s="27">
        <v>23.68</v>
      </c>
      <c r="H7" s="27">
        <v>25.87</v>
      </c>
      <c r="I7" s="27">
        <v>27.69</v>
      </c>
      <c r="J7" s="27">
        <f t="shared" si="3"/>
        <v>28.3</v>
      </c>
      <c r="K7" s="27">
        <v>29.2</v>
      </c>
      <c r="L7" s="27">
        <v>30.55</v>
      </c>
      <c r="M7" s="27">
        <v>31.55</v>
      </c>
      <c r="N7" s="27">
        <v>32.479999999999997</v>
      </c>
      <c r="O7" s="27">
        <v>34.24</v>
      </c>
      <c r="Y7" s="27">
        <v>12.99</v>
      </c>
      <c r="Z7" s="27">
        <v>21.68</v>
      </c>
      <c r="AA7" s="27">
        <v>28.3</v>
      </c>
    </row>
    <row r="8" spans="1:38" s="21" customFormat="1">
      <c r="A8" s="18"/>
      <c r="B8" s="24" t="s">
        <v>88</v>
      </c>
      <c r="C8" s="26">
        <f t="shared" ref="C8:D8" si="6">+C6/C5</f>
        <v>0.52107610415767514</v>
      </c>
      <c r="D8" s="26">
        <f t="shared" si="6"/>
        <v>0.49014123898755418</v>
      </c>
      <c r="E8" s="26">
        <f t="shared" ref="E8:G8" si="7">+E6/E5</f>
        <v>0.49453551912568305</v>
      </c>
      <c r="F8" s="26">
        <f t="shared" si="2"/>
        <v>0.4975968912976787</v>
      </c>
      <c r="G8" s="26">
        <f t="shared" si="7"/>
        <v>0.50146198830409361</v>
      </c>
      <c r="H8" s="26">
        <f t="shared" ref="H8:I8" si="8">+H6/H5</f>
        <v>0.52501839587932309</v>
      </c>
      <c r="I8" s="26">
        <f t="shared" si="8"/>
        <v>0.52195842046992247</v>
      </c>
      <c r="J8" s="26">
        <f t="shared" si="3"/>
        <v>0.52042464114832532</v>
      </c>
      <c r="K8" s="26">
        <f t="shared" ref="K8" si="9">+K6/K5</f>
        <v>0.54281583629893237</v>
      </c>
      <c r="L8" s="26">
        <f t="shared" ref="L8:O8" si="10">+L6/L5</f>
        <v>0.5594215996384998</v>
      </c>
      <c r="M8" s="26">
        <f t="shared" si="10"/>
        <v>0.57814428363065185</v>
      </c>
      <c r="N8" s="26">
        <f t="shared" si="10"/>
        <v>0.58256344908144841</v>
      </c>
      <c r="O8" s="26">
        <f t="shared" si="10"/>
        <v>0.58737813187965193</v>
      </c>
      <c r="Y8" s="26">
        <f>+Y6/Y5</f>
        <v>0.49845254470426409</v>
      </c>
      <c r="Z8" s="26">
        <f t="shared" ref="Z8:AA8" si="11">+Z6/Z5</f>
        <v>0.4975968912976787</v>
      </c>
      <c r="AA8" s="26">
        <f t="shared" si="11"/>
        <v>0.52042464114832532</v>
      </c>
    </row>
    <row r="9" spans="1:38" s="21" customFormat="1">
      <c r="A9" s="18"/>
      <c r="B9" s="24"/>
      <c r="C9" s="26"/>
      <c r="D9" s="26"/>
      <c r="E9" s="26"/>
      <c r="G9" s="26"/>
      <c r="H9" s="26"/>
      <c r="I9" s="26"/>
      <c r="J9" s="19"/>
      <c r="K9" s="26"/>
      <c r="L9" s="26"/>
      <c r="M9" s="26"/>
      <c r="Y9" s="26"/>
      <c r="Z9" s="26"/>
      <c r="AA9" s="26">
        <f>+AA4/Z4-1</f>
        <v>0.15231788079470188</v>
      </c>
    </row>
    <row r="10" spans="1:38">
      <c r="B10" s="23" t="s">
        <v>85</v>
      </c>
      <c r="C10" s="27">
        <f t="shared" ref="C10:I10" si="12">+C15/C3</f>
        <v>302.33333333333331</v>
      </c>
      <c r="D10" s="27">
        <f t="shared" si="12"/>
        <v>305.09090909090907</v>
      </c>
      <c r="E10" s="27">
        <f t="shared" si="12"/>
        <v>358.92857142857144</v>
      </c>
      <c r="F10" s="27">
        <f t="shared" si="12"/>
        <v>349.13333333333338</v>
      </c>
      <c r="G10" s="27">
        <f t="shared" si="12"/>
        <v>273.5</v>
      </c>
      <c r="H10" s="27">
        <f t="shared" si="12"/>
        <v>271</v>
      </c>
      <c r="I10" s="27">
        <f t="shared" si="12"/>
        <v>255.83333333333334</v>
      </c>
      <c r="J10" s="19">
        <f t="shared" si="3"/>
        <v>266.34615384615381</v>
      </c>
      <c r="K10" s="27">
        <f>+K15/K3</f>
        <v>256.88888888888886</v>
      </c>
      <c r="L10" s="27">
        <f>+L15/L3</f>
        <v>252.1</v>
      </c>
      <c r="M10" s="27">
        <f>+M15/M3</f>
        <v>245.45454545454544</v>
      </c>
      <c r="N10" s="27">
        <f>+N15/N3</f>
        <v>252.61538461538458</v>
      </c>
      <c r="O10" s="27">
        <f>+O15/O3</f>
        <v>242.875</v>
      </c>
      <c r="T10" s="27"/>
      <c r="U10" s="27"/>
      <c r="V10" s="27"/>
      <c r="W10" s="27"/>
      <c r="X10" s="27"/>
      <c r="Y10" s="27">
        <f>+Y15/Y3</f>
        <v>0</v>
      </c>
      <c r="Z10" s="27">
        <f>+Z15/Z3</f>
        <v>330.05454545454546</v>
      </c>
      <c r="AA10" s="27">
        <f t="shared" ref="AA10:AB10" si="13">+AA15/AA3</f>
        <v>266.34615384615381</v>
      </c>
      <c r="AB10" s="27">
        <f t="shared" si="13"/>
        <v>240.37777777777774</v>
      </c>
      <c r="AC10" s="27">
        <f>+AB10*0.9</f>
        <v>216.33999999999997</v>
      </c>
      <c r="AD10" s="27">
        <f t="shared" ref="AD10:AL10" si="14">+AC10*0.9</f>
        <v>194.70599999999999</v>
      </c>
      <c r="AE10" s="27">
        <f t="shared" si="14"/>
        <v>175.2354</v>
      </c>
      <c r="AF10" s="27">
        <f t="shared" si="14"/>
        <v>157.71186</v>
      </c>
      <c r="AG10" s="27">
        <f t="shared" si="14"/>
        <v>141.940674</v>
      </c>
      <c r="AH10" s="27">
        <f t="shared" si="14"/>
        <v>127.74660660000001</v>
      </c>
      <c r="AI10" s="27">
        <f t="shared" si="14"/>
        <v>114.97194594000001</v>
      </c>
      <c r="AJ10" s="27">
        <f t="shared" si="14"/>
        <v>103.47475134600002</v>
      </c>
      <c r="AK10" s="27">
        <f t="shared" si="14"/>
        <v>93.127276211400016</v>
      </c>
      <c r="AL10" s="27">
        <f t="shared" si="14"/>
        <v>83.814548590260017</v>
      </c>
    </row>
    <row r="11" spans="1:38" s="26" customFormat="1" outlineLevel="1">
      <c r="A11" s="4"/>
      <c r="B11" s="25"/>
      <c r="G11" s="26">
        <f t="shared" ref="G11" si="15">+G10/C10-1</f>
        <v>-9.536934950385878E-2</v>
      </c>
      <c r="H11" s="26">
        <f t="shared" ref="H11" si="16">+H10/D10-1</f>
        <v>-0.11174016686531574</v>
      </c>
      <c r="I11" s="26">
        <f t="shared" ref="I11" si="17">+I10/E10-1</f>
        <v>-0.28723051409618572</v>
      </c>
      <c r="J11" s="26">
        <f t="shared" ref="J11" si="18">+J10/F10-1</f>
        <v>-0.23712195766807209</v>
      </c>
      <c r="K11" s="26">
        <f t="shared" ref="K11:L11" si="19">+K10/G10-1</f>
        <v>-6.0735323989437484E-2</v>
      </c>
      <c r="L11" s="26">
        <f t="shared" si="19"/>
        <v>-6.9741697416974224E-2</v>
      </c>
      <c r="M11" s="26">
        <f>+M10/I10-1</f>
        <v>-4.0568551969203503E-2</v>
      </c>
      <c r="N11" s="26">
        <f>+N10/J10-1</f>
        <v>-5.155234657039709E-2</v>
      </c>
    </row>
    <row r="12" spans="1:38">
      <c r="B12" s="23" t="s">
        <v>87</v>
      </c>
      <c r="C12" s="27">
        <f t="shared" ref="C12:I12" si="20">+C16/C4</f>
        <v>3.8666666666666667</v>
      </c>
      <c r="D12" s="27">
        <f t="shared" si="20"/>
        <v>4.6785714285714288</v>
      </c>
      <c r="E12" s="27">
        <f t="shared" si="20"/>
        <v>5.958333333333333</v>
      </c>
      <c r="F12" s="27">
        <f t="shared" si="20"/>
        <v>6.960264900662251</v>
      </c>
      <c r="G12" s="27">
        <f t="shared" si="20"/>
        <v>6.5769230769230766</v>
      </c>
      <c r="H12" s="27">
        <f t="shared" si="20"/>
        <v>6.8819875776397508</v>
      </c>
      <c r="I12" s="27">
        <f t="shared" si="20"/>
        <v>7.710843373493975</v>
      </c>
      <c r="J12" s="19">
        <f t="shared" si="3"/>
        <v>27.46551724137931</v>
      </c>
      <c r="K12" s="27">
        <f>+K16/K4</f>
        <v>7.1714285714285717</v>
      </c>
      <c r="L12" s="27">
        <f>+L16/L4</f>
        <v>8.0852272727272734</v>
      </c>
      <c r="M12" s="27">
        <f>+M16/M4</f>
        <v>8.7262569832402228</v>
      </c>
      <c r="N12" s="27">
        <f>+N16/N4</f>
        <v>9.4162162162162151</v>
      </c>
      <c r="T12" s="27"/>
      <c r="U12" s="27"/>
      <c r="V12" s="27"/>
      <c r="W12" s="27"/>
      <c r="X12" s="27"/>
      <c r="Y12" s="28">
        <f>Y16/(Y6)</f>
        <v>0</v>
      </c>
      <c r="Z12" s="27">
        <f>+Z16/Z4</f>
        <v>20.437086092715234</v>
      </c>
      <c r="AA12" s="27">
        <f t="shared" ref="AA12:AB12" si="21">+AA16/AA4</f>
        <v>27.46551724137931</v>
      </c>
      <c r="AB12" s="27">
        <f t="shared" si="21"/>
        <v>33.418994413407823</v>
      </c>
      <c r="AC12" s="27">
        <f>+AB12*1.1</f>
        <v>36.760893854748609</v>
      </c>
      <c r="AD12" s="27">
        <f t="shared" ref="AD12:AL12" si="22">+AC12*1.1</f>
        <v>40.436983240223476</v>
      </c>
      <c r="AE12" s="27">
        <f t="shared" si="22"/>
        <v>44.480681564245828</v>
      </c>
      <c r="AF12" s="27">
        <f t="shared" si="22"/>
        <v>48.928749720670417</v>
      </c>
      <c r="AG12" s="27">
        <f t="shared" si="22"/>
        <v>53.821624692737466</v>
      </c>
      <c r="AH12" s="27">
        <f t="shared" si="22"/>
        <v>59.203787162011217</v>
      </c>
      <c r="AI12" s="27">
        <f t="shared" si="22"/>
        <v>65.124165878212338</v>
      </c>
      <c r="AJ12" s="27">
        <f t="shared" si="22"/>
        <v>71.636582466033573</v>
      </c>
      <c r="AK12" s="27">
        <f t="shared" si="22"/>
        <v>78.800240712636935</v>
      </c>
      <c r="AL12" s="27">
        <f t="shared" si="22"/>
        <v>86.68026478390064</v>
      </c>
    </row>
    <row r="13" spans="1:38" outlineLevel="1">
      <c r="B13" s="23"/>
      <c r="C13" s="27"/>
      <c r="D13" s="27"/>
      <c r="E13" s="27"/>
      <c r="F13" s="27"/>
      <c r="G13" s="26">
        <f t="shared" ref="G13:L13" si="23">+G12/C12-1</f>
        <v>0.70092838196286467</v>
      </c>
      <c r="H13" s="26">
        <f t="shared" si="23"/>
        <v>0.47095917690009936</v>
      </c>
      <c r="I13" s="26">
        <f t="shared" si="23"/>
        <v>0.29412755918780009</v>
      </c>
      <c r="J13" s="26">
        <f t="shared" si="23"/>
        <v>2.9460448177433647</v>
      </c>
      <c r="K13" s="26">
        <f t="shared" si="23"/>
        <v>9.0392648287385136E-2</v>
      </c>
      <c r="L13" s="26">
        <f t="shared" si="23"/>
        <v>0.17483898096488382</v>
      </c>
      <c r="M13" s="26">
        <f>+M12/I12-1</f>
        <v>0.13168645251396649</v>
      </c>
      <c r="N13" s="26">
        <f>+N12/J12-1</f>
        <v>-0.65716224699275549</v>
      </c>
      <c r="T13" s="27"/>
      <c r="U13" s="27"/>
      <c r="V13" s="27"/>
      <c r="W13" s="27"/>
      <c r="X13" s="27"/>
      <c r="Y13" s="28"/>
      <c r="Z13" s="27"/>
      <c r="AA13" s="27"/>
      <c r="AB13" s="31">
        <f>+AB12/AA12-1</f>
        <v>0.21676188071415803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>
      <c r="T14" s="27"/>
      <c r="U14" s="27"/>
      <c r="V14" s="27"/>
      <c r="W14" s="27"/>
      <c r="X14" s="27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>
      <c r="B15" s="1" t="s">
        <v>27</v>
      </c>
      <c r="C15" s="20">
        <v>453.5</v>
      </c>
      <c r="D15" s="20">
        <v>335.6</v>
      </c>
      <c r="E15" s="20">
        <v>502.5</v>
      </c>
      <c r="F15" s="20">
        <v>523.70000000000005</v>
      </c>
      <c r="G15" s="20">
        <v>382.9</v>
      </c>
      <c r="H15" s="20">
        <v>298.10000000000002</v>
      </c>
      <c r="I15" s="20">
        <v>307</v>
      </c>
      <c r="J15" s="20">
        <v>397</v>
      </c>
      <c r="K15" s="20">
        <v>231.2</v>
      </c>
      <c r="L15" s="20">
        <v>252.1</v>
      </c>
      <c r="M15" s="20">
        <v>270</v>
      </c>
      <c r="N15" s="20">
        <v>328.4</v>
      </c>
      <c r="O15" s="20">
        <v>194.3</v>
      </c>
      <c r="Z15" s="20">
        <f>SUM(C15:F15)</f>
        <v>1815.3</v>
      </c>
      <c r="AA15" s="20">
        <f>SUM(G15:J15)</f>
        <v>1385</v>
      </c>
      <c r="AB15" s="20">
        <f>SUM(K15:N15)</f>
        <v>1081.6999999999998</v>
      </c>
      <c r="AC15" s="20">
        <f>+AC10*AC3</f>
        <v>951.89599999999996</v>
      </c>
      <c r="AD15" s="20">
        <f t="shared" ref="AD15:AK15" si="24">+AD10*AD3</f>
        <v>837.23580000000004</v>
      </c>
      <c r="AE15" s="20">
        <f t="shared" si="24"/>
        <v>735.98868000000016</v>
      </c>
      <c r="AF15" s="20">
        <f t="shared" si="24"/>
        <v>646.61862600000018</v>
      </c>
      <c r="AG15" s="20">
        <f t="shared" si="24"/>
        <v>567.76269600000023</v>
      </c>
      <c r="AH15" s="20">
        <f t="shared" si="24"/>
        <v>498.21176574000026</v>
      </c>
      <c r="AI15" s="20">
        <f t="shared" si="24"/>
        <v>436.8933945720002</v>
      </c>
      <c r="AJ15" s="20">
        <f t="shared" si="24"/>
        <v>382.85657998020025</v>
      </c>
      <c r="AK15" s="20">
        <f t="shared" si="24"/>
        <v>335.25819436104018</v>
      </c>
      <c r="AL15" s="20">
        <f t="shared" ref="AL15" si="25">+AL10*AL3</f>
        <v>293.35092006591015</v>
      </c>
    </row>
    <row r="16" spans="1:38">
      <c r="B16" s="1" t="s">
        <v>28</v>
      </c>
      <c r="C16" s="20">
        <v>52.2</v>
      </c>
      <c r="D16" s="20">
        <v>65.5</v>
      </c>
      <c r="E16" s="20">
        <v>85.8</v>
      </c>
      <c r="F16" s="20">
        <v>105.1</v>
      </c>
      <c r="G16" s="20">
        <v>102.6</v>
      </c>
      <c r="H16" s="20">
        <v>110.8</v>
      </c>
      <c r="I16" s="20">
        <v>128</v>
      </c>
      <c r="J16" s="20">
        <v>136.5</v>
      </c>
      <c r="K16" s="20">
        <v>125.5</v>
      </c>
      <c r="L16" s="20">
        <v>142.30000000000001</v>
      </c>
      <c r="M16" s="20">
        <v>156.19999999999999</v>
      </c>
      <c r="N16" s="20">
        <v>174.2</v>
      </c>
      <c r="O16" s="20">
        <v>159.6</v>
      </c>
      <c r="Z16" s="20">
        <f t="shared" ref="Z16:Z29" si="26">SUM(C16:F16)</f>
        <v>308.60000000000002</v>
      </c>
      <c r="AA16" s="20">
        <f t="shared" ref="AA16:AA29" si="27">SUM(G16:J16)</f>
        <v>477.9</v>
      </c>
      <c r="AB16" s="20">
        <f t="shared" ref="AB16:AB30" si="28">SUM(K16:N16)</f>
        <v>598.20000000000005</v>
      </c>
      <c r="AC16" s="20">
        <f>+AC12*AC4</f>
        <v>646.99173184357562</v>
      </c>
      <c r="AD16" s="20">
        <f t="shared" ref="AD16:AK16" si="29">+AD12*AD4</f>
        <v>695.51611173184392</v>
      </c>
      <c r="AE16" s="20">
        <f t="shared" si="29"/>
        <v>747.27545027933013</v>
      </c>
      <c r="AF16" s="20">
        <f t="shared" si="29"/>
        <v>802.43149541899515</v>
      </c>
      <c r="AG16" s="20">
        <f t="shared" si="29"/>
        <v>861.14599508379979</v>
      </c>
      <c r="AH16" s="20">
        <f t="shared" si="29"/>
        <v>923.57907972737542</v>
      </c>
      <c r="AI16" s="20">
        <f t="shared" si="29"/>
        <v>989.88732134882798</v>
      </c>
      <c r="AJ16" s="20">
        <f t="shared" si="29"/>
        <v>1060.2214204972972</v>
      </c>
      <c r="AK16" s="20">
        <f t="shared" si="29"/>
        <v>1134.7234662619724</v>
      </c>
      <c r="AL16" s="20">
        <f t="shared" ref="AL16" si="30">+AL12*AL4</f>
        <v>1213.5237069746095</v>
      </c>
    </row>
    <row r="17" spans="1:117">
      <c r="B17" s="2" t="s">
        <v>29</v>
      </c>
      <c r="C17" s="20">
        <f>+SUM(C15:C16)</f>
        <v>505.7</v>
      </c>
      <c r="D17" s="20">
        <f>+SUM(D15:D16)</f>
        <v>401.1</v>
      </c>
      <c r="E17" s="20">
        <f t="shared" ref="E17" si="31">+SUM(E15:E16)</f>
        <v>588.29999999999995</v>
      </c>
      <c r="F17" s="20">
        <f t="shared" ref="F17" si="32">+SUM(F15:F16)</f>
        <v>628.80000000000007</v>
      </c>
      <c r="G17" s="20">
        <f>+SUM(G15:G16)</f>
        <v>485.5</v>
      </c>
      <c r="H17" s="20">
        <f>+SUM(H15:H16)</f>
        <v>408.90000000000003</v>
      </c>
      <c r="I17" s="20">
        <f t="shared" ref="I17:J17" si="33">+SUM(I15:I16)</f>
        <v>435</v>
      </c>
      <c r="J17" s="20">
        <f t="shared" si="33"/>
        <v>533.5</v>
      </c>
      <c r="K17" s="20">
        <f>+SUM(K15:K16)</f>
        <v>356.7</v>
      </c>
      <c r="L17" s="20">
        <f>+SUM(L15:L16)</f>
        <v>394.4</v>
      </c>
      <c r="M17" s="20">
        <f>+SUM(M15:M16)</f>
        <v>426.2</v>
      </c>
      <c r="N17" s="20">
        <f t="shared" ref="N17" si="34">+SUM(N15:N16)</f>
        <v>502.59999999999997</v>
      </c>
      <c r="O17" s="20">
        <f>+SUM(O15:O16)</f>
        <v>353.9</v>
      </c>
      <c r="Z17" s="20">
        <f t="shared" si="26"/>
        <v>2123.9</v>
      </c>
      <c r="AA17" s="20">
        <f t="shared" si="27"/>
        <v>1862.9</v>
      </c>
      <c r="AB17" s="20">
        <f t="shared" si="28"/>
        <v>1679.8999999999999</v>
      </c>
      <c r="AC17" s="20">
        <f>+SUM(AC15:AC16)</f>
        <v>1598.8877318435757</v>
      </c>
      <c r="AD17" s="20">
        <f t="shared" ref="AD17:AK17" si="35">+SUM(AD15:AD16)</f>
        <v>1532.7519117318438</v>
      </c>
      <c r="AE17" s="20">
        <f t="shared" si="35"/>
        <v>1483.2641302793304</v>
      </c>
      <c r="AF17" s="20">
        <f t="shared" si="35"/>
        <v>1449.0501214189953</v>
      </c>
      <c r="AG17" s="20">
        <f t="shared" si="35"/>
        <v>1428.9086910838</v>
      </c>
      <c r="AH17" s="20">
        <f t="shared" si="35"/>
        <v>1421.7908454673757</v>
      </c>
      <c r="AI17" s="20">
        <f t="shared" si="35"/>
        <v>1426.7807159208282</v>
      </c>
      <c r="AJ17" s="20">
        <f t="shared" si="35"/>
        <v>1443.0780004774974</v>
      </c>
      <c r="AK17" s="20">
        <f t="shared" si="35"/>
        <v>1469.9816606230124</v>
      </c>
      <c r="AL17" s="20">
        <f t="shared" ref="AL17" si="36">+SUM(AL15:AL16)</f>
        <v>1506.8746270405195</v>
      </c>
    </row>
    <row r="18" spans="1:117">
      <c r="B18" s="1" t="s">
        <v>27</v>
      </c>
      <c r="C18" s="20">
        <v>405.2</v>
      </c>
      <c r="D18" s="20">
        <v>303.60000000000002</v>
      </c>
      <c r="E18" s="20">
        <v>476.9</v>
      </c>
      <c r="F18" s="20">
        <v>513.9</v>
      </c>
      <c r="G18" s="20">
        <v>375</v>
      </c>
      <c r="H18" s="20">
        <v>294.10000000000002</v>
      </c>
      <c r="I18" s="20">
        <v>305.8</v>
      </c>
      <c r="J18" s="20">
        <v>394.1</v>
      </c>
      <c r="K18" s="20">
        <v>229.6</v>
      </c>
      <c r="L18" s="20">
        <v>251.8</v>
      </c>
      <c r="M18" s="20">
        <v>273.3</v>
      </c>
      <c r="N18" s="20">
        <v>335.7</v>
      </c>
      <c r="O18" s="20">
        <v>201.5</v>
      </c>
      <c r="Z18" s="20">
        <f t="shared" si="26"/>
        <v>1699.6</v>
      </c>
      <c r="AA18" s="20">
        <f t="shared" si="27"/>
        <v>1369</v>
      </c>
      <c r="AB18" s="20">
        <f t="shared" si="28"/>
        <v>1090.4000000000001</v>
      </c>
      <c r="AC18" s="20">
        <f>+AC15*(AB18/AB15)</f>
        <v>959.55200000000013</v>
      </c>
      <c r="AD18" s="20">
        <f t="shared" ref="AD18:AL18" si="37">+AD15*(AC18/AC15)</f>
        <v>843.96960000000024</v>
      </c>
      <c r="AE18" s="20">
        <f t="shared" si="37"/>
        <v>741.90816000000029</v>
      </c>
      <c r="AF18" s="20">
        <f t="shared" si="37"/>
        <v>651.81931200000031</v>
      </c>
      <c r="AG18" s="20">
        <f t="shared" si="37"/>
        <v>572.32915200000036</v>
      </c>
      <c r="AH18" s="20">
        <f t="shared" si="37"/>
        <v>502.21883088000038</v>
      </c>
      <c r="AI18" s="20">
        <f t="shared" si="37"/>
        <v>440.40728246400033</v>
      </c>
      <c r="AJ18" s="20">
        <f t="shared" si="37"/>
        <v>385.93585542240032</v>
      </c>
      <c r="AK18" s="20">
        <f t="shared" si="37"/>
        <v>337.95464096448023</v>
      </c>
      <c r="AL18" s="20">
        <f t="shared" si="37"/>
        <v>295.71031084392024</v>
      </c>
    </row>
    <row r="19" spans="1:117">
      <c r="B19" s="1" t="s">
        <v>28</v>
      </c>
      <c r="C19" s="20">
        <v>13.8</v>
      </c>
      <c r="D19" s="20">
        <v>18</v>
      </c>
      <c r="E19" s="20">
        <v>28.5</v>
      </c>
      <c r="F19" s="20">
        <v>37.799999999999997</v>
      </c>
      <c r="G19" s="20">
        <v>37.700000000000003</v>
      </c>
      <c r="H19" s="20">
        <v>40.9</v>
      </c>
      <c r="I19" s="20">
        <v>49.1</v>
      </c>
      <c r="J19" s="20">
        <v>53.7</v>
      </c>
      <c r="K19" s="20">
        <v>51.7</v>
      </c>
      <c r="L19" s="20">
        <v>56.5</v>
      </c>
      <c r="M19" s="20">
        <v>56.4</v>
      </c>
      <c r="N19" s="20">
        <v>68.8</v>
      </c>
      <c r="O19" s="20">
        <v>71.3</v>
      </c>
      <c r="Z19" s="20">
        <f t="shared" si="26"/>
        <v>98.1</v>
      </c>
      <c r="AA19" s="20">
        <f t="shared" si="27"/>
        <v>181.39999999999998</v>
      </c>
      <c r="AB19" s="20">
        <f t="shared" si="28"/>
        <v>233.39999999999998</v>
      </c>
      <c r="AC19" s="20">
        <f>+AC16*(AB19/AB16)</f>
        <v>252.43709497206709</v>
      </c>
      <c r="AD19" s="20">
        <f t="shared" ref="AD19:AL19" si="38">+AD16*(AC19/AC16)</f>
        <v>271.36987709497214</v>
      </c>
      <c r="AE19" s="20">
        <f t="shared" si="38"/>
        <v>291.56484469273761</v>
      </c>
      <c r="AF19" s="20">
        <f t="shared" si="38"/>
        <v>313.08510703910645</v>
      </c>
      <c r="AG19" s="20">
        <f t="shared" si="38"/>
        <v>335.99377340782155</v>
      </c>
      <c r="AH19" s="20">
        <f t="shared" si="38"/>
        <v>360.35332197988862</v>
      </c>
      <c r="AI19" s="20">
        <f t="shared" si="38"/>
        <v>386.22484253229089</v>
      </c>
      <c r="AJ19" s="20">
        <f t="shared" si="38"/>
        <v>413.66713397537467</v>
      </c>
      <c r="AK19" s="20">
        <f t="shared" si="38"/>
        <v>442.73563528175242</v>
      </c>
      <c r="AL19" s="20">
        <f t="shared" si="38"/>
        <v>473.48116550965199</v>
      </c>
    </row>
    <row r="20" spans="1:117">
      <c r="B20" s="3" t="s">
        <v>31</v>
      </c>
      <c r="C20" s="20">
        <v>58.1</v>
      </c>
      <c r="D20" s="20">
        <v>70.400000000000006</v>
      </c>
      <c r="E20" s="20">
        <v>79.900000000000006</v>
      </c>
      <c r="F20" s="20">
        <v>77.7</v>
      </c>
      <c r="G20" s="20">
        <v>62.4</v>
      </c>
      <c r="H20" s="20">
        <v>50.3</v>
      </c>
      <c r="I20" s="20">
        <v>54.8</v>
      </c>
      <c r="J20" s="20">
        <v>53.2</v>
      </c>
      <c r="K20" s="20">
        <v>58.2</v>
      </c>
      <c r="L20" s="20">
        <v>58.6</v>
      </c>
      <c r="M20" s="20">
        <v>63.6</v>
      </c>
      <c r="N20" s="20">
        <v>68.400000000000006</v>
      </c>
      <c r="O20" s="20">
        <v>76.099999999999994</v>
      </c>
      <c r="Z20" s="20">
        <f t="shared" si="26"/>
        <v>286.10000000000002</v>
      </c>
      <c r="AA20" s="20">
        <f t="shared" si="27"/>
        <v>220.7</v>
      </c>
      <c r="AB20" s="20">
        <f t="shared" si="28"/>
        <v>248.8</v>
      </c>
      <c r="AC20" s="20">
        <f>+AC$17*(AB20/AB$17)</f>
        <v>236.80175467746989</v>
      </c>
      <c r="AD20" s="20">
        <f t="shared" ref="AD20:AL20" si="39">+AD$17*(AC20/AC$17)</f>
        <v>227.00677161669313</v>
      </c>
      <c r="AE20" s="20">
        <f t="shared" si="39"/>
        <v>219.67743056937761</v>
      </c>
      <c r="AF20" s="20">
        <f t="shared" si="39"/>
        <v>214.61019715997742</v>
      </c>
      <c r="AG20" s="20">
        <f t="shared" si="39"/>
        <v>211.62716967774836</v>
      </c>
      <c r="AH20" s="20">
        <f t="shared" si="39"/>
        <v>210.57298788754275</v>
      </c>
      <c r="AI20" s="20">
        <f t="shared" si="39"/>
        <v>211.31200792969943</v>
      </c>
      <c r="AJ20" s="20">
        <f t="shared" si="39"/>
        <v>213.72570183868169</v>
      </c>
      <c r="AK20" s="20">
        <f t="shared" si="39"/>
        <v>217.71024296863237</v>
      </c>
      <c r="AL20" s="20">
        <f t="shared" si="39"/>
        <v>223.17424085224195</v>
      </c>
    </row>
    <row r="21" spans="1:117">
      <c r="B21" s="3" t="s">
        <v>32</v>
      </c>
      <c r="C21" s="20">
        <v>4.4000000000000004</v>
      </c>
      <c r="D21" s="20">
        <v>10</v>
      </c>
      <c r="E21" s="20">
        <v>8.1</v>
      </c>
      <c r="F21" s="20">
        <v>10.4</v>
      </c>
      <c r="G21" s="20">
        <v>13.3</v>
      </c>
      <c r="H21" s="20">
        <v>9.1999999999999993</v>
      </c>
      <c r="I21" s="20">
        <v>8.8000000000000007</v>
      </c>
      <c r="J21" s="20">
        <v>9.8000000000000007</v>
      </c>
      <c r="K21" s="20">
        <v>7.6</v>
      </c>
      <c r="L21" s="20">
        <v>10</v>
      </c>
      <c r="M21" s="20">
        <v>9.1999999999999993</v>
      </c>
      <c r="N21" s="20">
        <v>9.9</v>
      </c>
      <c r="O21" s="20">
        <v>8.5</v>
      </c>
      <c r="Z21" s="20">
        <f t="shared" si="26"/>
        <v>32.9</v>
      </c>
      <c r="AA21" s="20">
        <f t="shared" si="27"/>
        <v>41.1</v>
      </c>
      <c r="AB21" s="20">
        <f t="shared" si="28"/>
        <v>36.700000000000003</v>
      </c>
      <c r="AC21" s="20">
        <f t="shared" ref="AC21:AL22" si="40">+AC$17*(AB21/AB$17)</f>
        <v>34.930162366009426</v>
      </c>
      <c r="AD21" s="20">
        <f t="shared" si="40"/>
        <v>33.485323626738897</v>
      </c>
      <c r="AE21" s="20">
        <f t="shared" si="40"/>
        <v>32.404186904727325</v>
      </c>
      <c r="AF21" s="20">
        <f t="shared" si="40"/>
        <v>31.656729243453263</v>
      </c>
      <c r="AG21" s="20">
        <f t="shared" si="40"/>
        <v>31.21670871050388</v>
      </c>
      <c r="AH21" s="20">
        <f t="shared" si="40"/>
        <v>31.061208422318408</v>
      </c>
      <c r="AI21" s="20">
        <f t="shared" si="40"/>
        <v>31.170219819212097</v>
      </c>
      <c r="AJ21" s="20">
        <f t="shared" si="40"/>
        <v>31.526259073471135</v>
      </c>
      <c r="AK21" s="20">
        <f t="shared" si="40"/>
        <v>32.114010920212252</v>
      </c>
      <c r="AL21" s="20">
        <f t="shared" si="40"/>
        <v>32.919994530857238</v>
      </c>
    </row>
    <row r="22" spans="1:117">
      <c r="B22" s="3" t="s">
        <v>33</v>
      </c>
      <c r="C22" s="20">
        <v>9.8000000000000007</v>
      </c>
      <c r="D22" s="20">
        <v>7.3</v>
      </c>
      <c r="E22" s="20">
        <v>8.8000000000000007</v>
      </c>
      <c r="F22" s="20">
        <v>8.3000000000000007</v>
      </c>
      <c r="G22" s="20">
        <v>9.1999999999999993</v>
      </c>
      <c r="H22" s="20">
        <v>9.4</v>
      </c>
      <c r="I22" s="20">
        <v>10.8</v>
      </c>
      <c r="J22" s="20">
        <v>11.4</v>
      </c>
      <c r="K22" s="20">
        <v>11.9</v>
      </c>
      <c r="L22" s="20">
        <v>10</v>
      </c>
      <c r="M22" s="20">
        <v>9.8000000000000007</v>
      </c>
      <c r="N22" s="20">
        <v>9.6</v>
      </c>
      <c r="O22" s="20">
        <v>15.1</v>
      </c>
      <c r="Z22" s="20">
        <f t="shared" si="26"/>
        <v>34.200000000000003</v>
      </c>
      <c r="AA22" s="20">
        <f t="shared" si="27"/>
        <v>40.800000000000004</v>
      </c>
      <c r="AB22" s="20">
        <f t="shared" si="28"/>
        <v>41.3</v>
      </c>
      <c r="AC22" s="20">
        <f t="shared" si="40"/>
        <v>39.308329856026958</v>
      </c>
      <c r="AD22" s="20">
        <f t="shared" si="40"/>
        <v>37.682394163060401</v>
      </c>
      <c r="AE22" s="20">
        <f t="shared" si="40"/>
        <v>36.465747116219035</v>
      </c>
      <c r="AF22" s="20">
        <f t="shared" si="40"/>
        <v>35.624602663613622</v>
      </c>
      <c r="AG22" s="20">
        <f t="shared" si="40"/>
        <v>35.129429693291833</v>
      </c>
      <c r="AH22" s="20">
        <f t="shared" si="40"/>
        <v>34.954438905769763</v>
      </c>
      <c r="AI22" s="20">
        <f t="shared" si="40"/>
        <v>35.07711385649754</v>
      </c>
      <c r="AJ22" s="20">
        <f t="shared" si="40"/>
        <v>35.477779284314934</v>
      </c>
      <c r="AK22" s="20">
        <f t="shared" si="40"/>
        <v>36.139200299857386</v>
      </c>
      <c r="AL22" s="20">
        <f t="shared" si="40"/>
        <v>37.046206379411551</v>
      </c>
    </row>
    <row r="23" spans="1:117">
      <c r="B23" s="3" t="s">
        <v>34</v>
      </c>
      <c r="C23" s="20">
        <v>0.6</v>
      </c>
      <c r="D23" s="20">
        <v>0.7</v>
      </c>
      <c r="E23" s="20">
        <v>0.7</v>
      </c>
      <c r="F23" s="20">
        <v>0.8</v>
      </c>
      <c r="G23" s="20">
        <v>0.8</v>
      </c>
      <c r="H23" s="20">
        <v>0.9</v>
      </c>
      <c r="I23" s="20">
        <v>1</v>
      </c>
      <c r="J23" s="20">
        <v>0.9</v>
      </c>
      <c r="K23" s="20">
        <v>1</v>
      </c>
      <c r="L23" s="20">
        <v>1.2</v>
      </c>
      <c r="M23" s="20">
        <v>1.2</v>
      </c>
      <c r="N23" s="20">
        <v>1.3</v>
      </c>
      <c r="O23" s="20">
        <v>1.2</v>
      </c>
      <c r="Z23" s="20">
        <f t="shared" si="26"/>
        <v>2.8</v>
      </c>
      <c r="AA23" s="20">
        <f t="shared" si="27"/>
        <v>3.6</v>
      </c>
      <c r="AB23" s="20">
        <f t="shared" si="28"/>
        <v>4.7</v>
      </c>
    </row>
    <row r="24" spans="1:117">
      <c r="B24" s="3" t="s">
        <v>35</v>
      </c>
      <c r="C24" s="20">
        <f t="shared" ref="C24:O24" si="41">+C17-SUM(C18:C23)</f>
        <v>13.799999999999955</v>
      </c>
      <c r="D24" s="20">
        <f t="shared" si="41"/>
        <v>-8.8999999999999773</v>
      </c>
      <c r="E24" s="20">
        <f t="shared" si="41"/>
        <v>-14.600000000000023</v>
      </c>
      <c r="F24" s="20">
        <f t="shared" si="41"/>
        <v>-20.099999999999795</v>
      </c>
      <c r="G24" s="20">
        <f t="shared" si="41"/>
        <v>-12.899999999999977</v>
      </c>
      <c r="H24" s="20">
        <f t="shared" si="41"/>
        <v>4.1000000000000796</v>
      </c>
      <c r="I24" s="20">
        <f t="shared" si="41"/>
        <v>4.6999999999999318</v>
      </c>
      <c r="J24" s="20">
        <f t="shared" si="41"/>
        <v>10.399999999999977</v>
      </c>
      <c r="K24" s="20">
        <f t="shared" si="41"/>
        <v>-3.3000000000000114</v>
      </c>
      <c r="L24" s="20">
        <f t="shared" si="41"/>
        <v>6.2999999999999545</v>
      </c>
      <c r="M24" s="20">
        <f t="shared" si="41"/>
        <v>12.699999999999989</v>
      </c>
      <c r="N24" s="20">
        <f t="shared" si="41"/>
        <v>8.8999999999999773</v>
      </c>
      <c r="O24" s="20">
        <f t="shared" si="41"/>
        <v>-19.800000000000011</v>
      </c>
      <c r="Z24" s="20">
        <f t="shared" si="26"/>
        <v>-29.799999999999841</v>
      </c>
      <c r="AA24" s="20">
        <f t="shared" si="27"/>
        <v>6.3000000000000114</v>
      </c>
      <c r="AB24" s="20">
        <f t="shared" si="28"/>
        <v>24.599999999999909</v>
      </c>
      <c r="AC24" s="20">
        <f t="shared" ref="AC24" si="42">+AC17-SUM(AC18:AC23)</f>
        <v>75.858389972001987</v>
      </c>
      <c r="AD24" s="20">
        <f t="shared" ref="AD24" si="43">+AD17-SUM(AD18:AD23)</f>
        <v>119.23794523037895</v>
      </c>
      <c r="AE24" s="20">
        <f t="shared" ref="AE24" si="44">+AE17-SUM(AE18:AE23)</f>
        <v>161.24376099626852</v>
      </c>
      <c r="AF24" s="20">
        <f t="shared" ref="AF24" si="45">+AF17-SUM(AF18:AF23)</f>
        <v>202.25417331284416</v>
      </c>
      <c r="AG24" s="20">
        <f t="shared" ref="AG24" si="46">+AG17-SUM(AG18:AG23)</f>
        <v>242.61245759443432</v>
      </c>
      <c r="AH24" s="20">
        <f t="shared" ref="AH24" si="47">+AH17-SUM(AH18:AH23)</f>
        <v>282.63005739185564</v>
      </c>
      <c r="AI24" s="20">
        <f t="shared" ref="AI24" si="48">+AI17-SUM(AI18:AI23)</f>
        <v>322.58924931912793</v>
      </c>
      <c r="AJ24" s="20">
        <f t="shared" ref="AJ24" si="49">+AJ17-SUM(AJ18:AJ23)</f>
        <v>362.74527088325453</v>
      </c>
      <c r="AK24" s="20">
        <f t="shared" ref="AK24:AL24" si="50">+AK17-SUM(AK18:AK23)</f>
        <v>403.32793018807797</v>
      </c>
      <c r="AL24" s="20">
        <f t="shared" si="50"/>
        <v>444.54270892443651</v>
      </c>
    </row>
    <row r="25" spans="1:117">
      <c r="B25" s="3" t="s">
        <v>36</v>
      </c>
      <c r="C25" s="20">
        <v>0.1</v>
      </c>
      <c r="D25" s="20">
        <v>0.1</v>
      </c>
      <c r="E25" s="20">
        <v>0.1</v>
      </c>
      <c r="F25" s="20">
        <v>0.2</v>
      </c>
      <c r="G25" s="20">
        <v>0</v>
      </c>
      <c r="H25" s="20">
        <v>0.4</v>
      </c>
      <c r="I25" s="20">
        <v>0.4</v>
      </c>
      <c r="J25" s="20">
        <v>1.2</v>
      </c>
      <c r="K25" s="20">
        <v>2.4</v>
      </c>
      <c r="L25" s="20">
        <v>3.1</v>
      </c>
      <c r="M25" s="20">
        <v>3.5</v>
      </c>
      <c r="N25" s="20">
        <v>4.0999999999999996</v>
      </c>
      <c r="O25" s="20">
        <v>3.9</v>
      </c>
      <c r="Z25" s="20">
        <f t="shared" si="26"/>
        <v>0.5</v>
      </c>
      <c r="AA25" s="20">
        <f t="shared" si="27"/>
        <v>2</v>
      </c>
      <c r="AB25" s="20">
        <f t="shared" si="28"/>
        <v>13.1</v>
      </c>
      <c r="AC25" s="20">
        <f>+AB25</f>
        <v>13.1</v>
      </c>
      <c r="AD25" s="20">
        <f t="shared" ref="AD25:AL25" si="51">+AC25</f>
        <v>13.1</v>
      </c>
      <c r="AE25" s="20">
        <f t="shared" si="51"/>
        <v>13.1</v>
      </c>
      <c r="AF25" s="20">
        <f t="shared" si="51"/>
        <v>13.1</v>
      </c>
      <c r="AG25" s="20">
        <f t="shared" si="51"/>
        <v>13.1</v>
      </c>
      <c r="AH25" s="20">
        <f t="shared" si="51"/>
        <v>13.1</v>
      </c>
      <c r="AI25" s="20">
        <f t="shared" si="51"/>
        <v>13.1</v>
      </c>
      <c r="AJ25" s="20">
        <f t="shared" si="51"/>
        <v>13.1</v>
      </c>
      <c r="AK25" s="20">
        <f t="shared" si="51"/>
        <v>13.1</v>
      </c>
      <c r="AL25" s="20">
        <f t="shared" si="51"/>
        <v>13.1</v>
      </c>
    </row>
    <row r="26" spans="1:117">
      <c r="B26" s="3" t="s">
        <v>37</v>
      </c>
      <c r="C26" s="20">
        <v>-0.2</v>
      </c>
      <c r="D26" s="20">
        <v>0</v>
      </c>
      <c r="E26" s="20">
        <v>0</v>
      </c>
      <c r="F26" s="20">
        <v>3.2</v>
      </c>
      <c r="G26" s="20">
        <v>0</v>
      </c>
      <c r="H26" s="20">
        <v>0.1</v>
      </c>
      <c r="I26" s="20">
        <v>0.1</v>
      </c>
      <c r="J26" s="20">
        <v>-0.6</v>
      </c>
      <c r="K26" s="20">
        <v>0</v>
      </c>
      <c r="L26" s="20">
        <v>0.3</v>
      </c>
      <c r="M26" s="20">
        <v>-0.1</v>
      </c>
      <c r="N26" s="20">
        <v>0.2</v>
      </c>
      <c r="O26" s="20">
        <v>0.7</v>
      </c>
      <c r="Z26" s="20">
        <f t="shared" si="26"/>
        <v>3</v>
      </c>
      <c r="AA26" s="20">
        <f t="shared" si="27"/>
        <v>-0.39999999999999997</v>
      </c>
      <c r="AB26" s="20">
        <f t="shared" ref="AB26:AL26" si="52">+AA46*$AP$31</f>
        <v>0</v>
      </c>
      <c r="AC26" s="20">
        <f t="shared" si="52"/>
        <v>3.5150000000000001</v>
      </c>
      <c r="AD26" s="20">
        <f t="shared" si="52"/>
        <v>4.1994487131785965</v>
      </c>
      <c r="AE26" s="20">
        <f t="shared" si="52"/>
        <v>5.2100404478789439</v>
      </c>
      <c r="AF26" s="20">
        <f t="shared" si="52"/>
        <v>6.5390213404576718</v>
      </c>
      <c r="AG26" s="20">
        <f t="shared" si="52"/>
        <v>8.1813804189939194</v>
      </c>
      <c r="AH26" s="20">
        <f t="shared" si="52"/>
        <v>10.134610401140552</v>
      </c>
      <c r="AI26" s="20">
        <f t="shared" si="52"/>
        <v>12.398490619450916</v>
      </c>
      <c r="AJ26" s="20">
        <f t="shared" si="52"/>
        <v>14.974888064665592</v>
      </c>
      <c r="AK26" s="20">
        <f t="shared" si="52"/>
        <v>17.867572705697441</v>
      </c>
      <c r="AL26" s="20">
        <f t="shared" si="52"/>
        <v>21.082043357037193</v>
      </c>
    </row>
    <row r="27" spans="1:117">
      <c r="B27" s="3" t="s">
        <v>38</v>
      </c>
      <c r="C27" s="20">
        <f t="shared" ref="C27:O27" si="53">+SUM(C24:C26)</f>
        <v>13.699999999999955</v>
      </c>
      <c r="D27" s="20">
        <f t="shared" si="53"/>
        <v>-8.7999999999999776</v>
      </c>
      <c r="E27" s="20">
        <f t="shared" si="53"/>
        <v>-14.500000000000023</v>
      </c>
      <c r="F27" s="20">
        <f t="shared" si="53"/>
        <v>-16.699999999999797</v>
      </c>
      <c r="G27" s="20">
        <f t="shared" si="53"/>
        <v>-12.899999999999977</v>
      </c>
      <c r="H27" s="20">
        <f t="shared" si="53"/>
        <v>4.6000000000000796</v>
      </c>
      <c r="I27" s="20">
        <f t="shared" si="53"/>
        <v>5.1999999999999318</v>
      </c>
      <c r="J27" s="20">
        <f t="shared" si="53"/>
        <v>10.999999999999977</v>
      </c>
      <c r="K27" s="20">
        <f t="shared" si="53"/>
        <v>-0.90000000000001146</v>
      </c>
      <c r="L27" s="20">
        <f t="shared" si="53"/>
        <v>9.6999999999999549</v>
      </c>
      <c r="M27" s="20">
        <f t="shared" si="53"/>
        <v>16.099999999999987</v>
      </c>
      <c r="N27" s="20">
        <f t="shared" si="53"/>
        <v>13.199999999999976</v>
      </c>
      <c r="O27" s="20">
        <f t="shared" si="53"/>
        <v>-15.200000000000012</v>
      </c>
      <c r="Z27" s="20">
        <f t="shared" si="26"/>
        <v>-26.299999999999841</v>
      </c>
      <c r="AA27" s="20">
        <f t="shared" si="27"/>
        <v>7.900000000000011</v>
      </c>
      <c r="AB27" s="20">
        <f t="shared" si="28"/>
        <v>38.099999999999909</v>
      </c>
      <c r="AC27" s="20">
        <f t="shared" ref="AC27" si="54">+SUM(AC24:AC26)</f>
        <v>92.473389972001982</v>
      </c>
      <c r="AD27" s="20">
        <f t="shared" ref="AD27" si="55">+SUM(AD24:AD26)</f>
        <v>136.53739394355753</v>
      </c>
      <c r="AE27" s="20">
        <f t="shared" ref="AE27" si="56">+SUM(AE24:AE26)</f>
        <v>179.55380144414747</v>
      </c>
      <c r="AF27" s="20">
        <f t="shared" ref="AF27" si="57">+SUM(AF24:AF26)</f>
        <v>221.89319465330183</v>
      </c>
      <c r="AG27" s="20">
        <f t="shared" ref="AG27" si="58">+SUM(AG24:AG26)</f>
        <v>263.89383801342825</v>
      </c>
      <c r="AH27" s="20">
        <f t="shared" ref="AH27" si="59">+SUM(AH24:AH26)</f>
        <v>305.86466779299622</v>
      </c>
      <c r="AI27" s="20">
        <f t="shared" ref="AI27" si="60">+SUM(AI24:AI26)</f>
        <v>348.08773993857886</v>
      </c>
      <c r="AJ27" s="20">
        <f t="shared" ref="AJ27" si="61">+SUM(AJ24:AJ26)</f>
        <v>390.82015894792016</v>
      </c>
      <c r="AK27" s="20">
        <f t="shared" ref="AK27:AL27" si="62">+SUM(AK24:AK26)</f>
        <v>434.29550289377545</v>
      </c>
      <c r="AL27" s="20">
        <f t="shared" si="62"/>
        <v>478.72475228147374</v>
      </c>
    </row>
    <row r="28" spans="1:117">
      <c r="B28" s="3" t="s">
        <v>39</v>
      </c>
      <c r="C28" s="20">
        <v>10.3</v>
      </c>
      <c r="D28" s="20">
        <v>5.2</v>
      </c>
      <c r="E28" s="20">
        <v>4.0999999999999996</v>
      </c>
      <c r="F28" s="20">
        <v>-6.5</v>
      </c>
      <c r="G28" s="20">
        <v>-1.9</v>
      </c>
      <c r="H28" s="20">
        <v>3.2</v>
      </c>
      <c r="I28" s="20">
        <v>3.2</v>
      </c>
      <c r="J28" s="20">
        <v>4.7</v>
      </c>
      <c r="K28" s="20">
        <v>-0.2</v>
      </c>
      <c r="L28" s="20">
        <v>7.8</v>
      </c>
      <c r="M28" s="20">
        <v>2.2999999999999998</v>
      </c>
      <c r="N28" s="20">
        <v>0</v>
      </c>
      <c r="O28" s="20">
        <v>-3.1</v>
      </c>
      <c r="Z28" s="20">
        <f t="shared" si="26"/>
        <v>13.100000000000001</v>
      </c>
      <c r="AA28" s="20">
        <f t="shared" si="27"/>
        <v>9.1999999999999993</v>
      </c>
      <c r="AB28" s="20">
        <f t="shared" si="28"/>
        <v>9.8999999999999986</v>
      </c>
      <c r="AC28" s="20">
        <f>+AC27*(AB28/AB27)</f>
        <v>24.028518654142303</v>
      </c>
      <c r="AD28" s="20">
        <f t="shared" ref="AD28:AL28" si="63">+AD27*(AC28/AC27)</f>
        <v>35.478220473522903</v>
      </c>
      <c r="AE28" s="20">
        <f t="shared" si="63"/>
        <v>46.655712186274648</v>
      </c>
      <c r="AF28" s="20">
        <f t="shared" si="63"/>
        <v>57.657286799676989</v>
      </c>
      <c r="AG28" s="20">
        <f t="shared" si="63"/>
        <v>68.570839798764979</v>
      </c>
      <c r="AH28" s="20">
        <f t="shared" si="63"/>
        <v>79.476645961959832</v>
      </c>
      <c r="AI28" s="20">
        <f t="shared" si="63"/>
        <v>90.447995417111244</v>
      </c>
      <c r="AJ28" s="20">
        <f t="shared" si="63"/>
        <v>101.55169484473539</v>
      </c>
      <c r="AK28" s="20">
        <f t="shared" si="63"/>
        <v>112.84843775980018</v>
      </c>
      <c r="AL28" s="20">
        <f t="shared" si="63"/>
        <v>124.39304586841472</v>
      </c>
    </row>
    <row r="29" spans="1:117">
      <c r="B29" s="3" t="s">
        <v>40</v>
      </c>
      <c r="C29" s="20">
        <f t="shared" ref="C29:O29" si="64">+C27-C28</f>
        <v>3.3999999999999542</v>
      </c>
      <c r="D29" s="20">
        <f t="shared" si="64"/>
        <v>-13.999999999999979</v>
      </c>
      <c r="E29" s="20">
        <f t="shared" si="64"/>
        <v>-18.600000000000023</v>
      </c>
      <c r="F29" s="20">
        <f t="shared" si="64"/>
        <v>-10.199999999999797</v>
      </c>
      <c r="G29" s="20">
        <f t="shared" si="64"/>
        <v>-10.999999999999977</v>
      </c>
      <c r="H29" s="20">
        <f t="shared" si="64"/>
        <v>1.4000000000000794</v>
      </c>
      <c r="I29" s="20">
        <f t="shared" si="64"/>
        <v>1.9999999999999316</v>
      </c>
      <c r="J29" s="20">
        <f t="shared" si="64"/>
        <v>6.2999999999999767</v>
      </c>
      <c r="K29" s="20">
        <f t="shared" si="64"/>
        <v>-0.7000000000000115</v>
      </c>
      <c r="L29" s="20">
        <f t="shared" si="64"/>
        <v>1.8999999999999551</v>
      </c>
      <c r="M29" s="20">
        <f t="shared" si="64"/>
        <v>13.799999999999986</v>
      </c>
      <c r="N29" s="20">
        <f t="shared" ref="N29" si="65">+N27-N28</f>
        <v>13.199999999999976</v>
      </c>
      <c r="O29" s="20">
        <f t="shared" si="64"/>
        <v>-12.100000000000012</v>
      </c>
      <c r="Z29" s="20">
        <f t="shared" si="26"/>
        <v>-39.399999999999842</v>
      </c>
      <c r="AA29" s="20">
        <f t="shared" si="27"/>
        <v>-1.2999999999999901</v>
      </c>
      <c r="AB29" s="20">
        <f t="shared" si="28"/>
        <v>28.199999999999907</v>
      </c>
      <c r="AC29" s="20">
        <f t="shared" ref="AC29" si="66">+AC27-AC28</f>
        <v>68.444871317859679</v>
      </c>
      <c r="AD29" s="20">
        <f t="shared" ref="AD29" si="67">+AD27-AD28</f>
        <v>101.05917347003464</v>
      </c>
      <c r="AE29" s="20">
        <f t="shared" ref="AE29" si="68">+AE27-AE28</f>
        <v>132.89808925787281</v>
      </c>
      <c r="AF29" s="20">
        <f t="shared" ref="AF29" si="69">+AF27-AF28</f>
        <v>164.23590785362484</v>
      </c>
      <c r="AG29" s="20">
        <f t="shared" ref="AG29" si="70">+AG27-AG28</f>
        <v>195.32299821466327</v>
      </c>
      <c r="AH29" s="20">
        <f t="shared" ref="AH29" si="71">+AH27-AH28</f>
        <v>226.38802183103638</v>
      </c>
      <c r="AI29" s="20">
        <f t="shared" ref="AI29" si="72">+AI27-AI28</f>
        <v>257.63974452146761</v>
      </c>
      <c r="AJ29" s="20">
        <f t="shared" ref="AJ29" si="73">+AJ27-AJ28</f>
        <v>289.26846410318478</v>
      </c>
      <c r="AK29" s="20">
        <f t="shared" ref="AK29:AL29" si="74">+AK27-AK28</f>
        <v>321.44706513397529</v>
      </c>
      <c r="AL29" s="20">
        <f t="shared" si="74"/>
        <v>354.33170641305901</v>
      </c>
      <c r="AM29" s="20">
        <f t="shared" ref="AM29:BR29" si="75">+AL29*(1+$AP$32)</f>
        <v>350.78838934892843</v>
      </c>
      <c r="AN29" s="20">
        <f t="shared" si="75"/>
        <v>347.28050545543914</v>
      </c>
      <c r="AO29" s="20">
        <f t="shared" si="75"/>
        <v>343.80770040088476</v>
      </c>
      <c r="AP29" s="20">
        <f t="shared" si="75"/>
        <v>340.36962339687591</v>
      </c>
      <c r="AQ29" s="20">
        <f t="shared" si="75"/>
        <v>336.96592716290712</v>
      </c>
      <c r="AR29" s="20">
        <f t="shared" si="75"/>
        <v>333.59626789127805</v>
      </c>
      <c r="AS29" s="20">
        <f t="shared" si="75"/>
        <v>330.26030521236527</v>
      </c>
      <c r="AT29" s="20">
        <f t="shared" si="75"/>
        <v>326.95770216024164</v>
      </c>
      <c r="AU29" s="20">
        <f t="shared" si="75"/>
        <v>323.68812513863924</v>
      </c>
      <c r="AV29" s="20">
        <f t="shared" si="75"/>
        <v>320.45124388725282</v>
      </c>
      <c r="AW29" s="20">
        <f t="shared" si="75"/>
        <v>317.24673144838027</v>
      </c>
      <c r="AX29" s="20">
        <f t="shared" si="75"/>
        <v>314.07426413389646</v>
      </c>
      <c r="AY29" s="20">
        <f t="shared" si="75"/>
        <v>310.93352149255747</v>
      </c>
      <c r="AZ29" s="20">
        <f t="shared" si="75"/>
        <v>307.8241862776319</v>
      </c>
      <c r="BA29" s="20">
        <f t="shared" si="75"/>
        <v>304.74594441485556</v>
      </c>
      <c r="BB29" s="20">
        <f t="shared" si="75"/>
        <v>301.698484970707</v>
      </c>
      <c r="BC29" s="20">
        <f t="shared" si="75"/>
        <v>298.68150012099994</v>
      </c>
      <c r="BD29" s="20">
        <f t="shared" si="75"/>
        <v>295.69468511978994</v>
      </c>
      <c r="BE29" s="20">
        <f t="shared" si="75"/>
        <v>292.73773826859201</v>
      </c>
      <c r="BF29" s="20">
        <f t="shared" si="75"/>
        <v>289.81036088590611</v>
      </c>
      <c r="BG29" s="20">
        <f t="shared" si="75"/>
        <v>286.91225727704705</v>
      </c>
      <c r="BH29" s="20">
        <f t="shared" si="75"/>
        <v>284.04313470427655</v>
      </c>
      <c r="BI29" s="20">
        <f t="shared" si="75"/>
        <v>281.20270335723376</v>
      </c>
      <c r="BJ29" s="20">
        <f t="shared" si="75"/>
        <v>278.39067632366141</v>
      </c>
      <c r="BK29" s="20">
        <f t="shared" si="75"/>
        <v>275.60676956042477</v>
      </c>
      <c r="BL29" s="20">
        <f t="shared" si="75"/>
        <v>272.85070186482051</v>
      </c>
      <c r="BM29" s="20">
        <f t="shared" si="75"/>
        <v>270.12219484617231</v>
      </c>
      <c r="BN29" s="20">
        <f t="shared" si="75"/>
        <v>267.42097289771056</v>
      </c>
      <c r="BO29" s="20">
        <f t="shared" si="75"/>
        <v>264.74676316873342</v>
      </c>
      <c r="BP29" s="20">
        <f t="shared" si="75"/>
        <v>262.09929553704609</v>
      </c>
      <c r="BQ29" s="20">
        <f t="shared" si="75"/>
        <v>259.47830258167562</v>
      </c>
      <c r="BR29" s="20">
        <f t="shared" si="75"/>
        <v>256.88351955585887</v>
      </c>
      <c r="BS29" s="20">
        <f t="shared" ref="BS29:CX29" si="76">+BR29*(1+$AP$32)</f>
        <v>254.31468436030028</v>
      </c>
      <c r="BT29" s="20">
        <f t="shared" si="76"/>
        <v>251.77153751669726</v>
      </c>
      <c r="BU29" s="20">
        <f t="shared" si="76"/>
        <v>249.25382214153029</v>
      </c>
      <c r="BV29" s="20">
        <f t="shared" si="76"/>
        <v>246.76128392011498</v>
      </c>
      <c r="BW29" s="20">
        <f t="shared" si="76"/>
        <v>244.29367108091384</v>
      </c>
      <c r="BX29" s="20">
        <f t="shared" si="76"/>
        <v>241.8507343701047</v>
      </c>
      <c r="BY29" s="20">
        <f t="shared" si="76"/>
        <v>239.43222702640367</v>
      </c>
      <c r="BZ29" s="20">
        <f t="shared" si="76"/>
        <v>237.03790475613962</v>
      </c>
      <c r="CA29" s="20">
        <f t="shared" si="76"/>
        <v>234.66752570857824</v>
      </c>
      <c r="CB29" s="20">
        <f t="shared" si="76"/>
        <v>232.32085045149245</v>
      </c>
      <c r="CC29" s="20">
        <f t="shared" si="76"/>
        <v>229.99764194697752</v>
      </c>
      <c r="CD29" s="20">
        <f t="shared" si="76"/>
        <v>227.69766552750775</v>
      </c>
      <c r="CE29" s="20">
        <f t="shared" si="76"/>
        <v>225.42068887223266</v>
      </c>
      <c r="CF29" s="20">
        <f t="shared" si="76"/>
        <v>223.16648198351032</v>
      </c>
      <c r="CG29" s="20">
        <f t="shared" si="76"/>
        <v>220.93481716367521</v>
      </c>
      <c r="CH29" s="20">
        <f t="shared" si="76"/>
        <v>218.72546899203846</v>
      </c>
      <c r="CI29" s="20">
        <f t="shared" si="76"/>
        <v>216.53821430211806</v>
      </c>
      <c r="CJ29" s="20">
        <f t="shared" si="76"/>
        <v>214.37283215909687</v>
      </c>
      <c r="CK29" s="20">
        <f t="shared" si="76"/>
        <v>212.2291038375059</v>
      </c>
      <c r="CL29" s="20">
        <f t="shared" si="76"/>
        <v>210.10681279913084</v>
      </c>
      <c r="CM29" s="20">
        <f t="shared" si="76"/>
        <v>208.00574467113952</v>
      </c>
      <c r="CN29" s="20">
        <f t="shared" si="76"/>
        <v>205.92568722442812</v>
      </c>
      <c r="CO29" s="20">
        <f t="shared" si="76"/>
        <v>203.86643035218384</v>
      </c>
      <c r="CP29" s="20">
        <f t="shared" si="76"/>
        <v>201.827766048662</v>
      </c>
      <c r="CQ29" s="20">
        <f t="shared" si="76"/>
        <v>199.80948838817537</v>
      </c>
      <c r="CR29" s="20">
        <f t="shared" si="76"/>
        <v>197.81139350429362</v>
      </c>
      <c r="CS29" s="20">
        <f t="shared" si="76"/>
        <v>195.83327956925069</v>
      </c>
      <c r="CT29" s="20">
        <f t="shared" si="76"/>
        <v>193.87494677355818</v>
      </c>
      <c r="CU29" s="20">
        <f t="shared" si="76"/>
        <v>191.93619730582259</v>
      </c>
      <c r="CV29" s="20">
        <f t="shared" si="76"/>
        <v>190.01683533276437</v>
      </c>
      <c r="CW29" s="20">
        <f t="shared" si="76"/>
        <v>188.11666697943673</v>
      </c>
      <c r="CX29" s="20">
        <f t="shared" si="76"/>
        <v>186.23550030964236</v>
      </c>
      <c r="CY29" s="20">
        <f t="shared" ref="CY29:DM29" si="77">+CX29*(1+$AP$32)</f>
        <v>184.37314530654595</v>
      </c>
      <c r="CZ29" s="20">
        <f t="shared" si="77"/>
        <v>182.52941385348049</v>
      </c>
      <c r="DA29" s="20">
        <f t="shared" si="77"/>
        <v>180.70411971494568</v>
      </c>
      <c r="DB29" s="20">
        <f t="shared" si="77"/>
        <v>178.89707851779622</v>
      </c>
      <c r="DC29" s="20">
        <f t="shared" si="77"/>
        <v>177.10810773261827</v>
      </c>
      <c r="DD29" s="20">
        <f t="shared" si="77"/>
        <v>175.33702665529208</v>
      </c>
      <c r="DE29" s="20">
        <f t="shared" si="77"/>
        <v>173.58365638873914</v>
      </c>
      <c r="DF29" s="20">
        <f t="shared" si="77"/>
        <v>171.84781982485174</v>
      </c>
      <c r="DG29" s="20">
        <f t="shared" si="77"/>
        <v>170.12934162660324</v>
      </c>
      <c r="DH29" s="20">
        <f t="shared" si="77"/>
        <v>168.42804821033721</v>
      </c>
      <c r="DI29" s="20">
        <f t="shared" si="77"/>
        <v>166.74376772823385</v>
      </c>
      <c r="DJ29" s="20">
        <f t="shared" si="77"/>
        <v>165.0763300509515</v>
      </c>
      <c r="DK29" s="20">
        <f t="shared" si="77"/>
        <v>163.42556675044199</v>
      </c>
      <c r="DL29" s="20">
        <f t="shared" si="77"/>
        <v>161.79131108293757</v>
      </c>
      <c r="DM29" s="20">
        <f t="shared" si="77"/>
        <v>160.17339797210821</v>
      </c>
    </row>
    <row r="30" spans="1:117" s="29" customFormat="1">
      <c r="A30" s="6"/>
      <c r="B30" s="6" t="s">
        <v>43</v>
      </c>
      <c r="C30" s="29">
        <v>0.02</v>
      </c>
      <c r="D30" s="29">
        <v>-0.08</v>
      </c>
      <c r="E30" s="29">
        <v>-0.1</v>
      </c>
      <c r="F30" s="29">
        <v>-0.05</v>
      </c>
      <c r="G30" s="29">
        <v>-0.06</v>
      </c>
      <c r="H30" s="29">
        <v>0.01</v>
      </c>
      <c r="I30" s="29">
        <v>0.01</v>
      </c>
      <c r="J30" s="29">
        <v>0.03</v>
      </c>
      <c r="K30" s="29">
        <f>+K29/K31</f>
        <v>-3.5842293906810621E-3</v>
      </c>
      <c r="L30" s="29">
        <v>0.01</v>
      </c>
      <c r="M30" s="29">
        <v>7.0000000000000007E-2</v>
      </c>
      <c r="N30" s="29">
        <f>+N29/N31</f>
        <v>6.5835411471321575E-2</v>
      </c>
      <c r="O30" s="29">
        <f>+O29/O31</f>
        <v>-6.1141990904497283E-2</v>
      </c>
      <c r="Z30" s="29">
        <f>SUM(C30:F30)</f>
        <v>-0.21000000000000002</v>
      </c>
      <c r="AA30" s="29">
        <f>SUM(G30:J30)</f>
        <v>-9.999999999999995E-3</v>
      </c>
      <c r="AB30" s="20">
        <f t="shared" si="28"/>
        <v>0.14225118208064053</v>
      </c>
      <c r="AC30" s="29">
        <f>+AC29/AC31</f>
        <v>0.34526112951499643</v>
      </c>
      <c r="AD30" s="29">
        <f t="shared" ref="AD30:AK30" si="78">+AD29/AD31</f>
        <v>0.5097796768157794</v>
      </c>
      <c r="AE30" s="29">
        <f t="shared" si="78"/>
        <v>0.67038688982946615</v>
      </c>
      <c r="AF30" s="29">
        <f t="shared" si="78"/>
        <v>0.8284663841228852</v>
      </c>
      <c r="AG30" s="29">
        <f t="shared" si="78"/>
        <v>0.98528111289258091</v>
      </c>
      <c r="AH30" s="29">
        <f t="shared" si="78"/>
        <v>1.1419845288781165</v>
      </c>
      <c r="AI30" s="29">
        <f t="shared" si="78"/>
        <v>1.2996297237281247</v>
      </c>
      <c r="AJ30" s="29">
        <f t="shared" si="78"/>
        <v>1.4591766296925355</v>
      </c>
      <c r="AK30" s="29">
        <f t="shared" si="78"/>
        <v>1.6214973401298149</v>
      </c>
      <c r="AL30" s="29">
        <f t="shared" ref="AL30" si="79">+AL29/AL31</f>
        <v>1.7873795775144781</v>
      </c>
    </row>
    <row r="31" spans="1:117">
      <c r="B31" s="1" t="s">
        <v>42</v>
      </c>
      <c r="C31" s="20">
        <f t="shared" ref="C31:J31" si="80">+C29/C30</f>
        <v>169.9999999999977</v>
      </c>
      <c r="D31" s="20">
        <f t="shared" si="80"/>
        <v>174.99999999999972</v>
      </c>
      <c r="E31" s="20">
        <f t="shared" si="80"/>
        <v>186.00000000000023</v>
      </c>
      <c r="F31" s="20">
        <f t="shared" si="80"/>
        <v>203.99999999999594</v>
      </c>
      <c r="G31" s="20">
        <f t="shared" si="80"/>
        <v>183.33333333333294</v>
      </c>
      <c r="H31" s="20">
        <f t="shared" si="80"/>
        <v>140.00000000000793</v>
      </c>
      <c r="I31" s="20">
        <f t="shared" si="80"/>
        <v>199.99999999999315</v>
      </c>
      <c r="J31" s="20">
        <f t="shared" si="80"/>
        <v>209.99999999999923</v>
      </c>
      <c r="K31" s="20">
        <v>195.3</v>
      </c>
      <c r="L31" s="20">
        <f>+L29/L30</f>
        <v>189.99999999999551</v>
      </c>
      <c r="M31" s="20">
        <f>+M29/M30</f>
        <v>197.14285714285694</v>
      </c>
      <c r="N31" s="20">
        <v>200.5</v>
      </c>
      <c r="O31" s="20">
        <v>197.9</v>
      </c>
      <c r="Z31" s="20">
        <f>+Z29/Z30</f>
        <v>187.61904761904685</v>
      </c>
      <c r="AA31" s="20">
        <f>+AA29/AA30</f>
        <v>129.99999999999906</v>
      </c>
      <c r="AB31" s="20">
        <f>+AB29/AB30</f>
        <v>198.24088339746561</v>
      </c>
      <c r="AC31" s="20">
        <f>+AB31</f>
        <v>198.24088339746561</v>
      </c>
      <c r="AD31" s="20">
        <f t="shared" ref="AD31:AL31" si="81">+AC31</f>
        <v>198.24088339746561</v>
      </c>
      <c r="AE31" s="20">
        <f t="shared" si="81"/>
        <v>198.24088339746561</v>
      </c>
      <c r="AF31" s="20">
        <f t="shared" si="81"/>
        <v>198.24088339746561</v>
      </c>
      <c r="AG31" s="20">
        <f t="shared" si="81"/>
        <v>198.24088339746561</v>
      </c>
      <c r="AH31" s="20">
        <f t="shared" si="81"/>
        <v>198.24088339746561</v>
      </c>
      <c r="AI31" s="20">
        <f t="shared" si="81"/>
        <v>198.24088339746561</v>
      </c>
      <c r="AJ31" s="20">
        <f t="shared" si="81"/>
        <v>198.24088339746561</v>
      </c>
      <c r="AK31" s="20">
        <f t="shared" si="81"/>
        <v>198.24088339746561</v>
      </c>
      <c r="AL31" s="20">
        <f t="shared" si="81"/>
        <v>198.24088339746561</v>
      </c>
      <c r="AO31" s="37" t="s">
        <v>96</v>
      </c>
      <c r="AP31" s="38">
        <v>0.01</v>
      </c>
    </row>
    <row r="32" spans="1:117">
      <c r="AO32" s="39" t="s">
        <v>89</v>
      </c>
      <c r="AP32" s="40">
        <v>-0.01</v>
      </c>
    </row>
    <row r="33" spans="1:42" s="26" customFormat="1">
      <c r="A33" s="4"/>
      <c r="B33" s="4" t="s">
        <v>27</v>
      </c>
      <c r="G33" s="26">
        <f t="shared" ref="G33:O33" si="82">+G15/C15-1</f>
        <v>-0.15567805953693503</v>
      </c>
      <c r="H33" s="26">
        <f t="shared" si="82"/>
        <v>-0.11174016686531585</v>
      </c>
      <c r="I33" s="26">
        <f t="shared" si="82"/>
        <v>-0.38905472636815919</v>
      </c>
      <c r="J33" s="26">
        <f t="shared" si="82"/>
        <v>-0.24193240404811922</v>
      </c>
      <c r="K33" s="26">
        <f t="shared" si="82"/>
        <v>-0.39618699399320967</v>
      </c>
      <c r="L33" s="26">
        <f t="shared" si="82"/>
        <v>-0.1543106340154311</v>
      </c>
      <c r="M33" s="26">
        <f t="shared" si="82"/>
        <v>-0.12052117263843654</v>
      </c>
      <c r="N33" s="26">
        <f t="shared" si="82"/>
        <v>-0.17279596977329981</v>
      </c>
      <c r="O33" s="26">
        <f t="shared" si="82"/>
        <v>-0.15960207612456734</v>
      </c>
      <c r="AA33" s="26">
        <f>+AA15/Z15-1</f>
        <v>-0.23704070952459644</v>
      </c>
      <c r="AB33" s="26">
        <f>+AB15/AA15-1</f>
        <v>-0.21898916967509041</v>
      </c>
      <c r="AC33" s="26">
        <f t="shared" ref="AA33:AL40" si="83">+AC15/AB15-1</f>
        <v>-0.11999999999999988</v>
      </c>
      <c r="AD33" s="26">
        <f t="shared" si="83"/>
        <v>-0.12045454545454537</v>
      </c>
      <c r="AE33" s="26">
        <f t="shared" si="83"/>
        <v>-0.12093023255813939</v>
      </c>
      <c r="AF33" s="26">
        <f t="shared" si="83"/>
        <v>-0.12142857142857133</v>
      </c>
      <c r="AG33" s="26">
        <f t="shared" si="83"/>
        <v>-0.12195121951219501</v>
      </c>
      <c r="AH33" s="26">
        <f t="shared" si="83"/>
        <v>-0.12249999999999994</v>
      </c>
      <c r="AI33" s="26">
        <f t="shared" si="83"/>
        <v>-0.12307692307692308</v>
      </c>
      <c r="AJ33" s="26">
        <f t="shared" si="83"/>
        <v>-0.12368421052631562</v>
      </c>
      <c r="AK33" s="26">
        <f t="shared" si="83"/>
        <v>-0.12432432432432439</v>
      </c>
      <c r="AL33" s="26">
        <f t="shared" si="83"/>
        <v>-0.125</v>
      </c>
      <c r="AO33" s="41" t="s">
        <v>90</v>
      </c>
      <c r="AP33" s="40">
        <v>0.1</v>
      </c>
    </row>
    <row r="34" spans="1:42">
      <c r="B34" s="1" t="s">
        <v>28</v>
      </c>
      <c r="G34" s="26">
        <f t="shared" ref="G34:O40" si="84">+G16/C16-1</f>
        <v>0.96551724137931005</v>
      </c>
      <c r="H34" s="26">
        <f t="shared" si="84"/>
        <v>0.69160305343511452</v>
      </c>
      <c r="I34" s="26">
        <f t="shared" si="84"/>
        <v>0.49184149184149195</v>
      </c>
      <c r="J34" s="26">
        <f t="shared" si="84"/>
        <v>0.29876308277830654</v>
      </c>
      <c r="K34" s="26">
        <f t="shared" si="84"/>
        <v>0.22319688109161806</v>
      </c>
      <c r="L34" s="26">
        <f t="shared" si="84"/>
        <v>0.28429602888086647</v>
      </c>
      <c r="M34" s="26">
        <f t="shared" si="84"/>
        <v>0.22031249999999991</v>
      </c>
      <c r="N34" s="26">
        <f t="shared" si="84"/>
        <v>0.2761904761904761</v>
      </c>
      <c r="O34" s="26">
        <f t="shared" si="84"/>
        <v>0.27171314741035846</v>
      </c>
      <c r="AA34" s="26">
        <f t="shared" si="83"/>
        <v>0.5486066104990277</v>
      </c>
      <c r="AB34" s="26">
        <f t="shared" si="83"/>
        <v>0.25172630257376039</v>
      </c>
      <c r="AC34" s="26">
        <f t="shared" si="83"/>
        <v>8.1564245810056057E-2</v>
      </c>
      <c r="AD34" s="26">
        <f t="shared" si="83"/>
        <v>7.5000000000000178E-2</v>
      </c>
      <c r="AE34" s="26">
        <f t="shared" si="83"/>
        <v>7.4418604651163012E-2</v>
      </c>
      <c r="AF34" s="26">
        <f t="shared" si="83"/>
        <v>7.3809523809523991E-2</v>
      </c>
      <c r="AG34" s="26">
        <f t="shared" si="83"/>
        <v>7.3170731707317138E-2</v>
      </c>
      <c r="AH34" s="26">
        <f t="shared" si="83"/>
        <v>7.2500000000000231E-2</v>
      </c>
      <c r="AI34" s="26">
        <f t="shared" si="83"/>
        <v>7.1794871794871762E-2</v>
      </c>
      <c r="AJ34" s="26">
        <f t="shared" si="83"/>
        <v>7.1052631578947256E-2</v>
      </c>
      <c r="AK34" s="26">
        <f t="shared" si="83"/>
        <v>7.0270270270270441E-2</v>
      </c>
      <c r="AL34" s="26">
        <f t="shared" si="83"/>
        <v>6.9444444444444642E-2</v>
      </c>
      <c r="AO34" s="39" t="s">
        <v>91</v>
      </c>
      <c r="AP34" s="42">
        <f>NPV(AP33,AB29:DM29)+M46</f>
        <v>2520.6463346811884</v>
      </c>
    </row>
    <row r="35" spans="1:42">
      <c r="B35" s="2" t="s">
        <v>29</v>
      </c>
      <c r="G35" s="26">
        <f t="shared" ref="G35:O35" si="85">+G17/C17-1</f>
        <v>-3.9944631204271275E-2</v>
      </c>
      <c r="H35" s="26">
        <f t="shared" si="85"/>
        <v>1.944652206432318E-2</v>
      </c>
      <c r="I35" s="26">
        <f t="shared" si="85"/>
        <v>-0.26058133605303413</v>
      </c>
      <c r="J35" s="26">
        <f t="shared" si="85"/>
        <v>-0.15155852417302806</v>
      </c>
      <c r="K35" s="26">
        <f t="shared" si="85"/>
        <v>-0.26529351184346039</v>
      </c>
      <c r="L35" s="26">
        <f t="shared" si="85"/>
        <v>-3.5460992907801581E-2</v>
      </c>
      <c r="M35" s="26">
        <f t="shared" si="85"/>
        <v>-2.0229885057471253E-2</v>
      </c>
      <c r="N35" s="26">
        <f t="shared" si="85"/>
        <v>-5.7919400187441461E-2</v>
      </c>
      <c r="O35" s="26">
        <f t="shared" si="85"/>
        <v>-7.8497336697505027E-3</v>
      </c>
      <c r="AA35" s="26">
        <f t="shared" si="83"/>
        <v>-0.12288714157917036</v>
      </c>
      <c r="AB35" s="26">
        <f t="shared" si="83"/>
        <v>-9.823393633582056E-2</v>
      </c>
      <c r="AC35" s="26">
        <f t="shared" si="83"/>
        <v>-4.8224458691841332E-2</v>
      </c>
      <c r="AD35" s="26">
        <f t="shared" si="83"/>
        <v>-4.1363642233638753E-2</v>
      </c>
      <c r="AE35" s="26">
        <f t="shared" si="83"/>
        <v>-3.2286882876301659E-2</v>
      </c>
      <c r="AF35" s="26">
        <f t="shared" si="83"/>
        <v>-2.3066700098715254E-2</v>
      </c>
      <c r="AG35" s="26">
        <f t="shared" si="83"/>
        <v>-1.3899747177462451E-2</v>
      </c>
      <c r="AH35" s="26">
        <f t="shared" si="83"/>
        <v>-4.9813159237106497E-3</v>
      </c>
      <c r="AI35" s="26">
        <f t="shared" si="83"/>
        <v>3.5095671556475416E-3</v>
      </c>
      <c r="AJ35" s="26">
        <f t="shared" si="83"/>
        <v>1.1422417176525368E-2</v>
      </c>
      <c r="AK35" s="26">
        <f t="shared" si="83"/>
        <v>1.8643247375826455E-2</v>
      </c>
      <c r="AL35" s="26">
        <f t="shared" si="83"/>
        <v>2.5097569177748191E-2</v>
      </c>
      <c r="AO35" s="39" t="s">
        <v>92</v>
      </c>
      <c r="AP35" s="42">
        <f>+Main!I5</f>
        <v>197.19657999999998</v>
      </c>
    </row>
    <row r="36" spans="1:42">
      <c r="B36" s="1" t="s">
        <v>27</v>
      </c>
      <c r="G36" s="26">
        <f t="shared" si="84"/>
        <v>-7.4531095755182575E-2</v>
      </c>
      <c r="H36" s="26">
        <f t="shared" si="84"/>
        <v>-3.1291172595520389E-2</v>
      </c>
      <c r="I36" s="26">
        <f t="shared" si="84"/>
        <v>-0.35877542461732015</v>
      </c>
      <c r="J36" s="26">
        <f t="shared" si="84"/>
        <v>-0.23311928390737491</v>
      </c>
      <c r="K36" s="26">
        <f t="shared" si="84"/>
        <v>-0.38773333333333337</v>
      </c>
      <c r="L36" s="26">
        <f t="shared" si="84"/>
        <v>-0.1438286297177831</v>
      </c>
      <c r="M36" s="26">
        <f t="shared" si="84"/>
        <v>-0.10627861347285805</v>
      </c>
      <c r="N36" s="26">
        <f t="shared" si="84"/>
        <v>-0.14818573965998483</v>
      </c>
      <c r="O36" s="26">
        <f t="shared" si="84"/>
        <v>-0.1223867595818815</v>
      </c>
      <c r="AA36" s="26">
        <f t="shared" si="83"/>
        <v>-0.19451635678983281</v>
      </c>
      <c r="AB36" s="26">
        <f t="shared" si="83"/>
        <v>-0.20350620891161431</v>
      </c>
      <c r="AO36" s="39" t="s">
        <v>93</v>
      </c>
      <c r="AP36" s="43">
        <f>+AP34/AP35</f>
        <v>12.782403907213748</v>
      </c>
    </row>
    <row r="37" spans="1:42">
      <c r="B37" s="1" t="s">
        <v>28</v>
      </c>
      <c r="G37" s="26">
        <f t="shared" si="84"/>
        <v>1.7318840579710146</v>
      </c>
      <c r="H37" s="26">
        <f t="shared" si="84"/>
        <v>1.2722222222222221</v>
      </c>
      <c r="I37" s="26">
        <f t="shared" si="84"/>
        <v>0.72280701754385968</v>
      </c>
      <c r="J37" s="26">
        <f t="shared" si="84"/>
        <v>0.42063492063492092</v>
      </c>
      <c r="K37" s="26">
        <f t="shared" si="84"/>
        <v>0.37135278514588865</v>
      </c>
      <c r="L37" s="26">
        <f t="shared" si="84"/>
        <v>0.38141809290953543</v>
      </c>
      <c r="M37" s="26">
        <f t="shared" si="84"/>
        <v>0.14867617107942976</v>
      </c>
      <c r="N37" s="26">
        <f t="shared" si="84"/>
        <v>0.28119180633147112</v>
      </c>
      <c r="O37" s="26">
        <f t="shared" si="84"/>
        <v>0.37911025145067678</v>
      </c>
      <c r="AA37" s="26">
        <f t="shared" si="83"/>
        <v>0.84913353720693152</v>
      </c>
      <c r="AB37" s="26">
        <f t="shared" si="83"/>
        <v>0.28665931642778397</v>
      </c>
      <c r="AO37" s="39" t="s">
        <v>94</v>
      </c>
      <c r="AP37" s="43">
        <f>+Main!I4</f>
        <v>10.58</v>
      </c>
    </row>
    <row r="38" spans="1:42">
      <c r="B38" s="3" t="s">
        <v>31</v>
      </c>
      <c r="G38" s="26">
        <f t="shared" si="84"/>
        <v>7.4010327022375089E-2</v>
      </c>
      <c r="H38" s="26">
        <f t="shared" si="84"/>
        <v>-0.28551136363636376</v>
      </c>
      <c r="I38" s="26">
        <f t="shared" si="84"/>
        <v>-0.31414267834793497</v>
      </c>
      <c r="J38" s="26">
        <f t="shared" si="84"/>
        <v>-0.31531531531531531</v>
      </c>
      <c r="K38" s="26">
        <f t="shared" si="84"/>
        <v>-6.7307692307692291E-2</v>
      </c>
      <c r="L38" s="26">
        <f t="shared" si="84"/>
        <v>0.16500994035785288</v>
      </c>
      <c r="M38" s="26">
        <f t="shared" si="84"/>
        <v>0.16058394160583944</v>
      </c>
      <c r="N38" s="26">
        <f t="shared" si="84"/>
        <v>0.28571428571428581</v>
      </c>
      <c r="O38" s="26">
        <f t="shared" si="84"/>
        <v>0.30756013745704447</v>
      </c>
      <c r="AA38" s="26">
        <f t="shared" si="83"/>
        <v>-0.22859140160782954</v>
      </c>
      <c r="AB38" s="26">
        <f t="shared" si="83"/>
        <v>0.12732215677390135</v>
      </c>
      <c r="AO38" s="44" t="s">
        <v>100</v>
      </c>
      <c r="AP38" s="45">
        <f>+AP36/AP37-1</f>
        <v>0.20816672090867194</v>
      </c>
    </row>
    <row r="39" spans="1:42">
      <c r="B39" s="3" t="s">
        <v>32</v>
      </c>
      <c r="G39" s="26">
        <f t="shared" si="84"/>
        <v>2.0227272727272725</v>
      </c>
      <c r="H39" s="26">
        <f t="shared" si="84"/>
        <v>-8.0000000000000071E-2</v>
      </c>
      <c r="I39" s="26">
        <f t="shared" si="84"/>
        <v>8.6419753086419915E-2</v>
      </c>
      <c r="J39" s="26">
        <f t="shared" si="84"/>
        <v>-5.7692307692307709E-2</v>
      </c>
      <c r="K39" s="26">
        <f t="shared" si="84"/>
        <v>-0.4285714285714286</v>
      </c>
      <c r="L39" s="26">
        <f t="shared" si="84"/>
        <v>8.6956521739130599E-2</v>
      </c>
      <c r="M39" s="26">
        <f t="shared" si="84"/>
        <v>4.5454545454545192E-2</v>
      </c>
      <c r="N39" s="26">
        <f t="shared" si="84"/>
        <v>1.0204081632652962E-2</v>
      </c>
      <c r="O39" s="26">
        <f t="shared" si="84"/>
        <v>0.11842105263157898</v>
      </c>
      <c r="AA39" s="26">
        <f t="shared" si="83"/>
        <v>0.24924012158054731</v>
      </c>
      <c r="AB39" s="26">
        <f t="shared" si="83"/>
        <v>-0.10705596107055959</v>
      </c>
    </row>
    <row r="40" spans="1:42">
      <c r="B40" s="3" t="s">
        <v>33</v>
      </c>
      <c r="G40" s="26">
        <f t="shared" si="84"/>
        <v>-6.1224489795918546E-2</v>
      </c>
      <c r="H40" s="26">
        <f t="shared" si="84"/>
        <v>0.28767123287671237</v>
      </c>
      <c r="I40" s="26">
        <f t="shared" si="84"/>
        <v>0.22727272727272729</v>
      </c>
      <c r="J40" s="26">
        <f t="shared" si="84"/>
        <v>0.37349397590361444</v>
      </c>
      <c r="K40" s="26">
        <f t="shared" si="84"/>
        <v>0.29347826086956541</v>
      </c>
      <c r="L40" s="26">
        <f t="shared" si="84"/>
        <v>6.3829787234042534E-2</v>
      </c>
      <c r="M40" s="26">
        <f t="shared" si="84"/>
        <v>-9.259259259259256E-2</v>
      </c>
      <c r="N40" s="26">
        <f t="shared" si="84"/>
        <v>-0.15789473684210531</v>
      </c>
      <c r="O40" s="26">
        <f t="shared" si="84"/>
        <v>0.26890756302521002</v>
      </c>
      <c r="AA40" s="26">
        <f t="shared" si="83"/>
        <v>0.19298245614035081</v>
      </c>
      <c r="AB40" s="26">
        <f t="shared" si="83"/>
        <v>1.2254901960784048E-2</v>
      </c>
    </row>
    <row r="42" spans="1:42">
      <c r="B42" s="2" t="s">
        <v>44</v>
      </c>
    </row>
    <row r="43" spans="1:42" s="26" customFormat="1">
      <c r="A43" s="4"/>
      <c r="B43" s="4" t="s">
        <v>27</v>
      </c>
      <c r="G43" s="26">
        <f t="shared" ref="G43" si="86">(G15-G18)/G15</f>
        <v>2.0632018803865181E-2</v>
      </c>
      <c r="H43" s="26">
        <f t="shared" ref="H43:I43" si="87">(H15-H18)/H15</f>
        <v>1.3418316001341831E-2</v>
      </c>
      <c r="I43" s="26">
        <f t="shared" si="87"/>
        <v>3.9087947882735785E-3</v>
      </c>
      <c r="J43" s="26">
        <f t="shared" ref="J43:L43" si="88">(J15-J18)/J15</f>
        <v>7.3047858942064921E-3</v>
      </c>
      <c r="K43" s="26">
        <f t="shared" si="88"/>
        <v>6.9204152249134707E-3</v>
      </c>
      <c r="L43" s="26">
        <f t="shared" si="88"/>
        <v>1.1900039666798213E-3</v>
      </c>
      <c r="M43" s="26">
        <f>(M15-M18)/M15</f>
        <v>-1.2222222222222264E-2</v>
      </c>
      <c r="N43" s="26">
        <f>(N15-N18)/N15</f>
        <v>-2.2228989037758867E-2</v>
      </c>
      <c r="O43" s="26">
        <f>(O15-O18)/O15</f>
        <v>-3.7056098816263448E-2</v>
      </c>
      <c r="Z43" s="26">
        <f t="shared" ref="Z43:AK43" si="89">(Z15-Z18)/Z15</f>
        <v>6.373602159422688E-2</v>
      </c>
      <c r="AA43" s="26">
        <f t="shared" si="89"/>
        <v>1.1552346570397111E-2</v>
      </c>
      <c r="AB43" s="26">
        <f t="shared" si="89"/>
        <v>-8.0428954423595028E-3</v>
      </c>
      <c r="AC43" s="26">
        <f t="shared" si="89"/>
        <v>-8.0428954423594351E-3</v>
      </c>
      <c r="AD43" s="26">
        <f t="shared" si="89"/>
        <v>-8.0428954423594889E-3</v>
      </c>
      <c r="AE43" s="26">
        <f t="shared" si="89"/>
        <v>-8.0428954423594316E-3</v>
      </c>
      <c r="AF43" s="26">
        <f t="shared" si="89"/>
        <v>-8.0428954423594524E-3</v>
      </c>
      <c r="AG43" s="26">
        <f t="shared" si="89"/>
        <v>-8.042895442359475E-3</v>
      </c>
      <c r="AH43" s="26">
        <f t="shared" si="89"/>
        <v>-8.0428954423594906E-3</v>
      </c>
      <c r="AI43" s="26">
        <f t="shared" si="89"/>
        <v>-8.0428954423595374E-3</v>
      </c>
      <c r="AJ43" s="26">
        <f t="shared" si="89"/>
        <v>-8.0428954423594299E-3</v>
      </c>
      <c r="AK43" s="26">
        <f t="shared" si="89"/>
        <v>-8.0428954423593987E-3</v>
      </c>
      <c r="AL43" s="26">
        <f t="shared" ref="AL43" si="90">(AL15-AL18)/AL15</f>
        <v>-8.0428954423595687E-3</v>
      </c>
    </row>
    <row r="44" spans="1:42">
      <c r="B44" s="1" t="s">
        <v>30</v>
      </c>
      <c r="G44" s="26">
        <f t="shared" ref="G44" si="91">(G16-G19)/G16</f>
        <v>0.63255360623781676</v>
      </c>
      <c r="H44" s="26">
        <f t="shared" ref="H44:I44" si="92">(H16-H19)/H16</f>
        <v>0.63086642599277987</v>
      </c>
      <c r="I44" s="26">
        <f t="shared" si="92"/>
        <v>0.61640625000000004</v>
      </c>
      <c r="J44" s="26">
        <f t="shared" ref="J44:L44" si="93">(J16-J19)/J16</f>
        <v>0.60659340659340655</v>
      </c>
      <c r="K44" s="26">
        <f t="shared" si="93"/>
        <v>0.58804780876494023</v>
      </c>
      <c r="L44" s="26">
        <f t="shared" si="93"/>
        <v>0.60295151089248067</v>
      </c>
      <c r="M44" s="26">
        <f>(M16-M19)/M16</f>
        <v>0.63892445582586421</v>
      </c>
      <c r="N44" s="26">
        <f>(N16-N19)/N16</f>
        <v>0.6050516647531573</v>
      </c>
      <c r="O44" s="26">
        <f>(O16-O19)/O16</f>
        <v>0.55325814536340856</v>
      </c>
      <c r="Z44" s="26">
        <f t="shared" ref="Z44:AK44" si="94">(Z16-Z19)/Z16</f>
        <v>0.68211276733635784</v>
      </c>
      <c r="AA44" s="26">
        <f t="shared" si="94"/>
        <v>0.62042268256957522</v>
      </c>
      <c r="AB44" s="26">
        <f t="shared" si="94"/>
        <v>0.60982948846539631</v>
      </c>
      <c r="AC44" s="26">
        <f t="shared" si="94"/>
        <v>0.6098294884653962</v>
      </c>
      <c r="AD44" s="26">
        <f t="shared" si="94"/>
        <v>0.60982948846539631</v>
      </c>
      <c r="AE44" s="26">
        <f t="shared" si="94"/>
        <v>0.6098294884653962</v>
      </c>
      <c r="AF44" s="26">
        <f t="shared" si="94"/>
        <v>0.6098294884653962</v>
      </c>
      <c r="AG44" s="26">
        <f t="shared" si="94"/>
        <v>0.6098294884653962</v>
      </c>
      <c r="AH44" s="26">
        <f t="shared" si="94"/>
        <v>0.60982948846539631</v>
      </c>
      <c r="AI44" s="26">
        <f t="shared" si="94"/>
        <v>0.6098294884653962</v>
      </c>
      <c r="AJ44" s="26">
        <f t="shared" si="94"/>
        <v>0.60982948846539631</v>
      </c>
      <c r="AK44" s="26">
        <f t="shared" si="94"/>
        <v>0.60982948846539631</v>
      </c>
      <c r="AL44" s="26">
        <f t="shared" ref="AL44" si="95">(AL16-AL19)/AL16</f>
        <v>0.6098294884653962</v>
      </c>
    </row>
    <row r="45" spans="1:42">
      <c r="N45" s="26"/>
    </row>
    <row r="46" spans="1:42">
      <c r="B46" s="2" t="s">
        <v>95</v>
      </c>
      <c r="G46" s="32">
        <f>+SUM(G47:G48)</f>
        <v>309.7</v>
      </c>
      <c r="H46" s="32">
        <f t="shared" ref="H46:M46" si="96">+SUM(H47:H48)</f>
        <v>335.8</v>
      </c>
      <c r="I46" s="32">
        <f t="shared" si="96"/>
        <v>325</v>
      </c>
      <c r="J46" s="32">
        <f t="shared" si="96"/>
        <v>347.59999999999997</v>
      </c>
      <c r="K46" s="32">
        <f t="shared" si="96"/>
        <v>328.9</v>
      </c>
      <c r="L46" s="32">
        <f t="shared" si="96"/>
        <v>321.39999999999998</v>
      </c>
      <c r="M46" s="32">
        <f t="shared" si="96"/>
        <v>334.9</v>
      </c>
      <c r="N46" s="32">
        <f t="shared" ref="N46:O46" si="97">+SUM(N47:N48)</f>
        <v>351.5</v>
      </c>
      <c r="O46" s="32">
        <f t="shared" si="97"/>
        <v>333.9</v>
      </c>
      <c r="AB46" s="20">
        <f>+N46</f>
        <v>351.5</v>
      </c>
      <c r="AC46" s="20">
        <f t="shared" ref="AC46:AL46" si="98">+AB46+AC29</f>
        <v>419.94487131785968</v>
      </c>
      <c r="AD46" s="20">
        <f t="shared" si="98"/>
        <v>521.00404478789437</v>
      </c>
      <c r="AE46" s="20">
        <f t="shared" si="98"/>
        <v>653.90213404576718</v>
      </c>
      <c r="AF46" s="20">
        <f t="shared" si="98"/>
        <v>818.13804189939196</v>
      </c>
      <c r="AG46" s="20">
        <f t="shared" si="98"/>
        <v>1013.4610401140552</v>
      </c>
      <c r="AH46" s="20">
        <f t="shared" si="98"/>
        <v>1239.8490619450915</v>
      </c>
      <c r="AI46" s="20">
        <f t="shared" si="98"/>
        <v>1497.4888064665593</v>
      </c>
      <c r="AJ46" s="20">
        <f t="shared" si="98"/>
        <v>1786.7572705697439</v>
      </c>
      <c r="AK46" s="20">
        <f t="shared" si="98"/>
        <v>2108.2043357037192</v>
      </c>
      <c r="AL46" s="20">
        <f t="shared" si="98"/>
        <v>2462.5360421167779</v>
      </c>
    </row>
    <row r="47" spans="1:42">
      <c r="B47" s="1" t="s">
        <v>22</v>
      </c>
      <c r="G47" s="20">
        <v>309.7</v>
      </c>
      <c r="H47" s="20">
        <v>335.8</v>
      </c>
      <c r="I47" s="20">
        <v>265.89999999999998</v>
      </c>
      <c r="J47" s="20">
        <v>288.7</v>
      </c>
      <c r="K47" s="20">
        <v>210.2</v>
      </c>
      <c r="L47" s="20">
        <v>192.6</v>
      </c>
      <c r="M47" s="20">
        <v>215.5</v>
      </c>
      <c r="N47" s="20">
        <v>221.6</v>
      </c>
      <c r="O47" s="20">
        <v>202.8</v>
      </c>
    </row>
    <row r="48" spans="1:42">
      <c r="B48" s="1" t="s">
        <v>23</v>
      </c>
      <c r="G48" s="20">
        <v>0</v>
      </c>
      <c r="H48" s="20">
        <v>0</v>
      </c>
      <c r="I48" s="20">
        <v>59.1</v>
      </c>
      <c r="J48" s="20">
        <v>58.9</v>
      </c>
      <c r="K48" s="20">
        <v>118.7</v>
      </c>
      <c r="L48" s="20">
        <v>128.80000000000001</v>
      </c>
      <c r="M48" s="20">
        <v>119.4</v>
      </c>
      <c r="N48" s="20">
        <v>129.9</v>
      </c>
      <c r="O48" s="20">
        <v>131.1</v>
      </c>
    </row>
    <row r="49" spans="2:15">
      <c r="B49" s="1" t="s">
        <v>24</v>
      </c>
      <c r="G49" s="20">
        <v>321</v>
      </c>
      <c r="H49" s="20">
        <v>253.8</v>
      </c>
      <c r="I49" s="20">
        <v>339.6</v>
      </c>
      <c r="J49" s="20">
        <v>357.9</v>
      </c>
      <c r="K49" s="20">
        <v>297.7</v>
      </c>
      <c r="L49" s="20">
        <v>306.39999999999998</v>
      </c>
      <c r="M49" s="20">
        <v>345.6</v>
      </c>
      <c r="N49" s="20">
        <v>381.2</v>
      </c>
      <c r="O49" s="20">
        <v>267.89999999999998</v>
      </c>
    </row>
    <row r="50" spans="2:15">
      <c r="B50" s="1" t="s">
        <v>45</v>
      </c>
      <c r="G50" s="20">
        <v>2.1</v>
      </c>
      <c r="H50" s="20">
        <v>1.3</v>
      </c>
      <c r="I50" s="20">
        <v>0.8</v>
      </c>
      <c r="J50" s="20">
        <v>2.2000000000000002</v>
      </c>
      <c r="K50" s="20">
        <v>0.2</v>
      </c>
      <c r="L50" s="20">
        <v>0</v>
      </c>
      <c r="M50" s="20">
        <v>0</v>
      </c>
      <c r="N50" s="20">
        <v>0</v>
      </c>
      <c r="O50" s="20">
        <v>0</v>
      </c>
    </row>
    <row r="51" spans="2:15">
      <c r="B51" s="1" t="s">
        <v>25</v>
      </c>
      <c r="G51" s="20">
        <v>12.2</v>
      </c>
      <c r="H51" s="20">
        <v>31</v>
      </c>
      <c r="I51" s="20">
        <v>34.1</v>
      </c>
      <c r="J51" s="20">
        <v>15.5</v>
      </c>
      <c r="K51" s="20">
        <v>13.8</v>
      </c>
      <c r="L51" s="20">
        <v>7.6</v>
      </c>
      <c r="M51" s="20">
        <v>17.600000000000001</v>
      </c>
      <c r="N51" s="20">
        <v>6.8</v>
      </c>
      <c r="O51" s="20">
        <v>25.6</v>
      </c>
    </row>
    <row r="52" spans="2:15">
      <c r="B52" s="1" t="s">
        <v>61</v>
      </c>
      <c r="G52" s="20">
        <v>29.2</v>
      </c>
      <c r="H52" s="20">
        <v>29.9</v>
      </c>
      <c r="I52" s="20">
        <v>29.1</v>
      </c>
      <c r="J52" s="20">
        <v>1.7</v>
      </c>
      <c r="K52" s="20">
        <v>2.2999999999999998</v>
      </c>
      <c r="L52" s="20">
        <v>0</v>
      </c>
      <c r="M52" s="20">
        <v>0</v>
      </c>
      <c r="N52" s="20">
        <v>9</v>
      </c>
      <c r="O52" s="20">
        <v>11.9</v>
      </c>
    </row>
    <row r="53" spans="2:15">
      <c r="B53" s="1" t="s">
        <v>26</v>
      </c>
      <c r="G53" s="20">
        <v>84.6</v>
      </c>
      <c r="H53" s="20">
        <v>91.4</v>
      </c>
      <c r="I53" s="20">
        <v>55.6</v>
      </c>
      <c r="J53" s="20">
        <v>53.5</v>
      </c>
      <c r="K53" s="20">
        <v>55</v>
      </c>
      <c r="L53" s="20">
        <v>56.6</v>
      </c>
      <c r="M53" s="20">
        <v>54.4</v>
      </c>
      <c r="N53" s="20">
        <v>45.9</v>
      </c>
      <c r="O53" s="20">
        <v>56.9</v>
      </c>
    </row>
    <row r="54" spans="2:15">
      <c r="B54" s="1" t="s">
        <v>51</v>
      </c>
      <c r="G54" s="20">
        <v>13.6</v>
      </c>
      <c r="H54" s="20">
        <v>18.7</v>
      </c>
      <c r="I54" s="20">
        <v>19.5</v>
      </c>
      <c r="J54" s="20">
        <v>19.899999999999999</v>
      </c>
      <c r="K54" s="20">
        <v>21.9</v>
      </c>
      <c r="L54" s="20">
        <v>21.2</v>
      </c>
      <c r="M54" s="20">
        <v>19.899999999999999</v>
      </c>
      <c r="N54" s="20">
        <v>19.7</v>
      </c>
      <c r="O54" s="20">
        <v>19.100000000000001</v>
      </c>
    </row>
    <row r="55" spans="2:15">
      <c r="B55" s="1" t="s">
        <v>52</v>
      </c>
      <c r="G55" s="20">
        <v>44.8</v>
      </c>
      <c r="H55" s="20">
        <v>44.8</v>
      </c>
      <c r="I55" s="20">
        <v>44.8</v>
      </c>
      <c r="J55" s="20">
        <v>44.8</v>
      </c>
      <c r="K55" s="20">
        <v>44.8</v>
      </c>
      <c r="L55" s="20">
        <v>44.8</v>
      </c>
      <c r="M55" s="20">
        <v>44.8</v>
      </c>
      <c r="N55" s="20">
        <v>44.8</v>
      </c>
      <c r="O55" s="20">
        <v>44.8</v>
      </c>
    </row>
    <row r="56" spans="2:15">
      <c r="B56" s="1" t="s">
        <v>53</v>
      </c>
      <c r="G56" s="20">
        <v>30.4</v>
      </c>
      <c r="H56" s="20">
        <v>30.4</v>
      </c>
      <c r="I56" s="20">
        <v>30.5</v>
      </c>
      <c r="J56" s="20">
        <v>51.2</v>
      </c>
      <c r="K56" s="20">
        <v>51.2</v>
      </c>
      <c r="L56" s="20">
        <v>51.2</v>
      </c>
      <c r="M56" s="20">
        <v>51.2</v>
      </c>
      <c r="N56" s="20">
        <v>49.6</v>
      </c>
      <c r="O56" s="20">
        <v>49.6</v>
      </c>
    </row>
    <row r="57" spans="2:15">
      <c r="B57" s="1" t="s">
        <v>54</v>
      </c>
      <c r="G57" s="20">
        <v>19.2</v>
      </c>
      <c r="H57" s="20">
        <v>21.2</v>
      </c>
      <c r="I57" s="20">
        <v>21.1</v>
      </c>
      <c r="J57" s="20">
        <v>21.4</v>
      </c>
      <c r="K57" s="20">
        <v>25.9</v>
      </c>
      <c r="L57" s="20">
        <v>28.9</v>
      </c>
      <c r="M57" s="20">
        <v>38.4</v>
      </c>
      <c r="N57" s="20">
        <v>52.2</v>
      </c>
      <c r="O57" s="20">
        <v>51.7</v>
      </c>
    </row>
    <row r="58" spans="2:15">
      <c r="B58" s="1" t="s">
        <v>55</v>
      </c>
      <c r="G58" s="20">
        <f t="shared" ref="G58:O58" si="99">+SUM(G47:G57)</f>
        <v>866.80000000000018</v>
      </c>
      <c r="H58" s="20">
        <f t="shared" si="99"/>
        <v>858.3</v>
      </c>
      <c r="I58" s="20">
        <f t="shared" si="99"/>
        <v>900.1</v>
      </c>
      <c r="J58" s="20">
        <f t="shared" si="99"/>
        <v>915.7</v>
      </c>
      <c r="K58" s="20">
        <f t="shared" si="99"/>
        <v>841.69999999999982</v>
      </c>
      <c r="L58" s="20">
        <f t="shared" si="99"/>
        <v>838.1</v>
      </c>
      <c r="M58" s="20">
        <f t="shared" si="99"/>
        <v>906.8</v>
      </c>
      <c r="N58" s="20">
        <f t="shared" si="99"/>
        <v>960.7</v>
      </c>
      <c r="O58" s="20">
        <f t="shared" si="99"/>
        <v>861.4</v>
      </c>
    </row>
    <row r="60" spans="2:15">
      <c r="B60" s="1" t="s">
        <v>60</v>
      </c>
      <c r="G60" s="20">
        <v>153.80000000000001</v>
      </c>
      <c r="H60" s="20">
        <v>147.69999999999999</v>
      </c>
      <c r="I60" s="20">
        <v>166.3</v>
      </c>
      <c r="J60" s="20">
        <v>148.19999999999999</v>
      </c>
      <c r="K60" s="20">
        <v>104.3</v>
      </c>
      <c r="L60" s="20">
        <v>88.8</v>
      </c>
      <c r="M60" s="20">
        <v>104.5</v>
      </c>
      <c r="N60" s="20">
        <v>109.1</v>
      </c>
      <c r="O60" s="20">
        <v>75.8</v>
      </c>
    </row>
    <row r="61" spans="2:15">
      <c r="B61" s="1" t="s">
        <v>46</v>
      </c>
      <c r="G61" s="20">
        <v>144.9</v>
      </c>
      <c r="H61" s="20">
        <v>114.8</v>
      </c>
      <c r="I61" s="20">
        <v>115.4</v>
      </c>
      <c r="J61" s="20">
        <v>117.2</v>
      </c>
      <c r="K61" s="20">
        <v>97.6</v>
      </c>
      <c r="L61" s="20">
        <v>123.7</v>
      </c>
      <c r="M61" s="20">
        <v>137.30000000000001</v>
      </c>
      <c r="N61" s="20">
        <v>157.80000000000001</v>
      </c>
      <c r="O61" s="20">
        <v>123.4</v>
      </c>
    </row>
    <row r="62" spans="2:15">
      <c r="B62" s="1" t="s">
        <v>47</v>
      </c>
      <c r="G62" s="20">
        <v>169.7</v>
      </c>
      <c r="H62" s="20">
        <v>187.8</v>
      </c>
      <c r="I62" s="20">
        <v>192.6</v>
      </c>
      <c r="J62" s="20">
        <v>204.9</v>
      </c>
      <c r="K62" s="20">
        <v>188.2</v>
      </c>
      <c r="L62" s="20">
        <v>159.69999999999999</v>
      </c>
      <c r="M62" s="20">
        <v>175.8</v>
      </c>
      <c r="N62" s="20">
        <v>178.6</v>
      </c>
      <c r="O62" s="20">
        <v>144.80000000000001</v>
      </c>
    </row>
    <row r="63" spans="2:15">
      <c r="B63" s="1" t="s">
        <v>59</v>
      </c>
      <c r="G63" s="20">
        <v>47.2</v>
      </c>
      <c r="H63" s="20">
        <v>42.4</v>
      </c>
      <c r="I63" s="20">
        <v>43.7</v>
      </c>
      <c r="J63" s="20">
        <v>47.4</v>
      </c>
      <c r="K63" s="20">
        <v>45.8</v>
      </c>
      <c r="L63" s="20">
        <v>47.3</v>
      </c>
      <c r="M63" s="20">
        <v>40.799999999999997</v>
      </c>
      <c r="N63" s="20">
        <v>40.700000000000003</v>
      </c>
      <c r="O63" s="20">
        <v>40.1</v>
      </c>
    </row>
    <row r="64" spans="2:15">
      <c r="B64" s="1" t="s">
        <v>58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1.9</v>
      </c>
      <c r="M64" s="20">
        <v>1</v>
      </c>
      <c r="N64" s="20">
        <v>0</v>
      </c>
      <c r="O64" s="20">
        <v>7.9</v>
      </c>
    </row>
    <row r="65" spans="2:15">
      <c r="B65" s="1" t="s">
        <v>48</v>
      </c>
      <c r="G65" s="20">
        <v>5.4</v>
      </c>
      <c r="H65" s="20">
        <v>4.9000000000000004</v>
      </c>
      <c r="I65" s="20">
        <v>5.2</v>
      </c>
      <c r="J65" s="20">
        <v>5.5</v>
      </c>
      <c r="K65" s="20">
        <v>5.3</v>
      </c>
      <c r="L65" s="20">
        <v>5.2</v>
      </c>
      <c r="M65" s="20">
        <v>6.7</v>
      </c>
      <c r="N65" s="20">
        <v>5.8</v>
      </c>
    </row>
    <row r="66" spans="2:15">
      <c r="B66" s="1" t="s">
        <v>49</v>
      </c>
      <c r="G66" s="20">
        <v>16.399999999999999</v>
      </c>
      <c r="H66" s="20">
        <v>19.3</v>
      </c>
      <c r="I66" s="20">
        <v>20.399999999999999</v>
      </c>
      <c r="J66" s="20">
        <v>18.8</v>
      </c>
      <c r="K66" s="20">
        <v>17.7</v>
      </c>
      <c r="L66" s="20">
        <v>16.100000000000001</v>
      </c>
      <c r="M66" s="20">
        <v>19.2</v>
      </c>
      <c r="N66" s="20">
        <v>19.399999999999999</v>
      </c>
      <c r="O66" s="20">
        <v>18.7</v>
      </c>
    </row>
    <row r="67" spans="2:15">
      <c r="B67" s="1" t="s">
        <v>50</v>
      </c>
      <c r="G67" s="20">
        <f t="shared" ref="G67:O67" si="100">+SUM(G60:G66)</f>
        <v>537.4</v>
      </c>
      <c r="H67" s="20">
        <f t="shared" si="100"/>
        <v>516.9</v>
      </c>
      <c r="I67" s="20">
        <f t="shared" si="100"/>
        <v>543.60000000000014</v>
      </c>
      <c r="J67" s="20">
        <f t="shared" si="100"/>
        <v>541.99999999999989</v>
      </c>
      <c r="K67" s="20">
        <f t="shared" si="100"/>
        <v>458.9</v>
      </c>
      <c r="L67" s="20">
        <f t="shared" si="100"/>
        <v>442.7</v>
      </c>
      <c r="M67" s="20">
        <f t="shared" si="100"/>
        <v>485.3</v>
      </c>
      <c r="N67" s="20">
        <f t="shared" si="100"/>
        <v>511.4</v>
      </c>
      <c r="O67" s="20">
        <f t="shared" si="100"/>
        <v>410.7</v>
      </c>
    </row>
    <row r="68" spans="2:15">
      <c r="B68" s="1" t="s">
        <v>57</v>
      </c>
      <c r="G68" s="20">
        <v>329.4</v>
      </c>
      <c r="H68" s="20">
        <v>341.4</v>
      </c>
      <c r="I68" s="20">
        <v>356.5</v>
      </c>
      <c r="J68" s="20">
        <v>373.7</v>
      </c>
      <c r="K68" s="20">
        <v>382.8</v>
      </c>
      <c r="L68" s="20">
        <v>395.4</v>
      </c>
      <c r="M68" s="20">
        <v>421.5</v>
      </c>
      <c r="N68" s="20">
        <v>449.3</v>
      </c>
      <c r="O68" s="20">
        <v>450.7</v>
      </c>
    </row>
    <row r="69" spans="2:15">
      <c r="B69" s="1" t="s">
        <v>56</v>
      </c>
      <c r="C69" s="20">
        <f t="shared" ref="C69:F69" si="101">+SUM(C67:C68)</f>
        <v>0</v>
      </c>
      <c r="D69" s="20">
        <f t="shared" si="101"/>
        <v>0</v>
      </c>
      <c r="E69" s="20">
        <f t="shared" si="101"/>
        <v>0</v>
      </c>
      <c r="F69" s="20">
        <f t="shared" si="101"/>
        <v>0</v>
      </c>
      <c r="G69" s="20">
        <f t="shared" ref="G69:O69" si="102">+SUM(G67:G68)</f>
        <v>866.8</v>
      </c>
      <c r="H69" s="20">
        <f t="shared" si="102"/>
        <v>858.3</v>
      </c>
      <c r="I69" s="20">
        <f t="shared" si="102"/>
        <v>900.10000000000014</v>
      </c>
      <c r="J69" s="20">
        <f t="shared" si="102"/>
        <v>915.69999999999982</v>
      </c>
      <c r="K69" s="20">
        <f t="shared" si="102"/>
        <v>841.7</v>
      </c>
      <c r="L69" s="20">
        <f t="shared" si="102"/>
        <v>838.09999999999991</v>
      </c>
      <c r="M69" s="20">
        <f t="shared" si="102"/>
        <v>906.8</v>
      </c>
      <c r="N69" s="20">
        <f t="shared" si="102"/>
        <v>960.7</v>
      </c>
      <c r="O69" s="20">
        <f t="shared" si="102"/>
        <v>861.4</v>
      </c>
    </row>
    <row r="70" spans="2:15" outlineLevel="1">
      <c r="B70" s="1" t="s">
        <v>62</v>
      </c>
      <c r="D70" s="20" t="str">
        <f t="shared" ref="D70:L70" si="103">IF(D69=D58,"","N")</f>
        <v/>
      </c>
      <c r="E70" s="20" t="str">
        <f t="shared" si="103"/>
        <v/>
      </c>
      <c r="F70" s="20" t="str">
        <f t="shared" si="103"/>
        <v/>
      </c>
      <c r="G70" s="20" t="str">
        <f t="shared" si="103"/>
        <v/>
      </c>
      <c r="H70" s="20" t="str">
        <f t="shared" si="103"/>
        <v/>
      </c>
      <c r="I70" s="20" t="str">
        <f t="shared" si="103"/>
        <v/>
      </c>
      <c r="J70" s="20" t="str">
        <f t="shared" si="103"/>
        <v/>
      </c>
      <c r="K70" s="20" t="str">
        <f t="shared" si="103"/>
        <v/>
      </c>
      <c r="L70" s="20" t="str">
        <f t="shared" si="103"/>
        <v/>
      </c>
      <c r="M70" s="20" t="str">
        <f>IF(M69=M58,"","N")</f>
        <v/>
      </c>
      <c r="N70" s="20" t="str">
        <f>IF(N69=N58,"","N")</f>
        <v/>
      </c>
    </row>
    <row r="73" spans="2:15">
      <c r="B73" s="1" t="s">
        <v>63</v>
      </c>
    </row>
    <row r="74" spans="2:15">
      <c r="B74" s="1" t="s">
        <v>64</v>
      </c>
    </row>
    <row r="75" spans="2:15">
      <c r="B75" s="1" t="s">
        <v>65</v>
      </c>
    </row>
  </sheetData>
  <pageMargins left="0.7" right="0.7" top="0.75" bottom="0.75" header="0.3" footer="0.3"/>
  <ignoredErrors>
    <ignoredError sqref="AA15:AA30 Z15:Z31 G46:M46 AB15:AB32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2024-02-10T05:13:19Z</dcterms:created>
  <dcterms:modified xsi:type="dcterms:W3CDTF">2024-05-18T12:41:02Z</dcterms:modified>
</cp:coreProperties>
</file>