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DFA1F5D3-81F3-5A4B-A278-E05AEE94C0F3}" xr6:coauthVersionLast="47" xr6:coauthVersionMax="47" xr10:uidLastSave="{00000000-0000-0000-0000-000000000000}"/>
  <bookViews>
    <workbookView xWindow="1060" yWindow="500" windowWidth="43740" windowHeight="24700" activeTab="1" xr2:uid="{00000000-000D-0000-FFFF-FFFF00000000}"/>
  </bookViews>
  <sheets>
    <sheet name="Main" sheetId="1" r:id="rId1"/>
    <sheet name="Model" sheetId="2" r:id="rId2"/>
  </sheets>
  <definedNames>
    <definedName name="_xlchart.v1.0" hidden="1">Model!$F$82:$M$82</definedName>
    <definedName name="_xlchart.v2.1" hidden="1">Model!$F$82:$M$82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R12" i="1"/>
  <c r="R11" i="1"/>
  <c r="R10" i="1"/>
  <c r="R9" i="1"/>
  <c r="R7" i="1"/>
  <c r="S8" i="1"/>
  <c r="P8" i="1"/>
  <c r="P9" i="1"/>
  <c r="P12" i="1" s="1"/>
  <c r="G57" i="2"/>
  <c r="K57" i="2"/>
  <c r="L57" i="2"/>
  <c r="H57" i="2"/>
  <c r="I57" i="2"/>
  <c r="M57" i="2"/>
  <c r="K122" i="2"/>
  <c r="J122" i="2"/>
  <c r="I122" i="2"/>
  <c r="H122" i="2"/>
  <c r="G122" i="2"/>
  <c r="K121" i="2"/>
  <c r="J121" i="2"/>
  <c r="I121" i="2"/>
  <c r="H121" i="2"/>
  <c r="G121" i="2"/>
  <c r="K119" i="2"/>
  <c r="J119" i="2"/>
  <c r="I119" i="2"/>
  <c r="H119" i="2"/>
  <c r="G119" i="2"/>
  <c r="K118" i="2"/>
  <c r="J118" i="2"/>
  <c r="I118" i="2"/>
  <c r="H118" i="2"/>
  <c r="G118" i="2"/>
  <c r="L122" i="2"/>
  <c r="L121" i="2"/>
  <c r="L119" i="2"/>
  <c r="L118" i="2"/>
  <c r="M114" i="2"/>
  <c r="L114" i="2"/>
  <c r="K114" i="2"/>
  <c r="J114" i="2"/>
  <c r="I114" i="2"/>
  <c r="H114" i="2"/>
  <c r="G114" i="2"/>
  <c r="F114" i="2"/>
  <c r="M163" i="2"/>
  <c r="L163" i="2"/>
  <c r="K163" i="2"/>
  <c r="J163" i="2"/>
  <c r="I163" i="2"/>
  <c r="H163" i="2"/>
  <c r="G163" i="2"/>
  <c r="F163" i="2"/>
  <c r="E163" i="2"/>
  <c r="D163" i="2"/>
  <c r="C163" i="2"/>
  <c r="G24" i="2"/>
  <c r="C155" i="2"/>
  <c r="C146" i="2"/>
  <c r="C139" i="2"/>
  <c r="D155" i="2"/>
  <c r="D146" i="2"/>
  <c r="D139" i="2"/>
  <c r="E44" i="2"/>
  <c r="E39" i="2"/>
  <c r="E32" i="2"/>
  <c r="E155" i="2"/>
  <c r="E146" i="2"/>
  <c r="E139" i="2"/>
  <c r="F44" i="2"/>
  <c r="F39" i="2"/>
  <c r="F32" i="2"/>
  <c r="F155" i="2"/>
  <c r="F146" i="2"/>
  <c r="F139" i="2"/>
  <c r="F160" i="2" s="1"/>
  <c r="J155" i="2"/>
  <c r="J146" i="2"/>
  <c r="J139" i="2"/>
  <c r="J160" i="2" s="1"/>
  <c r="G155" i="2"/>
  <c r="G146" i="2"/>
  <c r="G139" i="2"/>
  <c r="G160" i="2" s="1"/>
  <c r="K155" i="2"/>
  <c r="K146" i="2"/>
  <c r="K139" i="2"/>
  <c r="K160" i="2" s="1"/>
  <c r="L14" i="2"/>
  <c r="L20" i="2" s="1"/>
  <c r="K14" i="2"/>
  <c r="K20" i="2" s="1"/>
  <c r="I14" i="2"/>
  <c r="I20" i="2" s="1"/>
  <c r="H14" i="2"/>
  <c r="H20" i="2" s="1"/>
  <c r="G14" i="2"/>
  <c r="G20" i="2" s="1"/>
  <c r="E14" i="2"/>
  <c r="E20" i="2" s="1"/>
  <c r="D14" i="2"/>
  <c r="D20" i="2" s="1"/>
  <c r="C14" i="2"/>
  <c r="C20" i="2" s="1"/>
  <c r="L13" i="2"/>
  <c r="L19" i="2" s="1"/>
  <c r="K13" i="2"/>
  <c r="K19" i="2" s="1"/>
  <c r="I13" i="2"/>
  <c r="I19" i="2" s="1"/>
  <c r="H13" i="2"/>
  <c r="H19" i="2" s="1"/>
  <c r="G13" i="2"/>
  <c r="G19" i="2" s="1"/>
  <c r="F13" i="2"/>
  <c r="E13" i="2"/>
  <c r="D13" i="2"/>
  <c r="D19" i="2" s="1"/>
  <c r="C13" i="2"/>
  <c r="C19" i="2" s="1"/>
  <c r="L12" i="2"/>
  <c r="K12" i="2"/>
  <c r="K18" i="2" s="1"/>
  <c r="I12" i="2"/>
  <c r="H12" i="2"/>
  <c r="H18" i="2" s="1"/>
  <c r="G12" i="2"/>
  <c r="E12" i="2"/>
  <c r="E18" i="2" s="1"/>
  <c r="D12" i="2"/>
  <c r="C12" i="2"/>
  <c r="M135" i="2"/>
  <c r="M132" i="2"/>
  <c r="I155" i="2"/>
  <c r="I146" i="2"/>
  <c r="I139" i="2"/>
  <c r="I160" i="2" s="1"/>
  <c r="M155" i="2"/>
  <c r="M146" i="2"/>
  <c r="L10" i="2"/>
  <c r="K10" i="2"/>
  <c r="J10" i="2"/>
  <c r="I10" i="2"/>
  <c r="H10" i="2"/>
  <c r="G10" i="2"/>
  <c r="F10" i="2"/>
  <c r="E10" i="2"/>
  <c r="D10" i="2"/>
  <c r="C10" i="2"/>
  <c r="M14" i="2"/>
  <c r="M20" i="2" s="1"/>
  <c r="M13" i="2"/>
  <c r="M19" i="2" s="1"/>
  <c r="M12" i="2"/>
  <c r="M18" i="2" s="1"/>
  <c r="M10" i="2"/>
  <c r="AR68" i="2"/>
  <c r="AS68" i="2" s="1"/>
  <c r="AT68" i="2" s="1"/>
  <c r="AU68" i="2" s="1"/>
  <c r="AV68" i="2" s="1"/>
  <c r="AW68" i="2" s="1"/>
  <c r="AX68" i="2" s="1"/>
  <c r="AY68" i="2" s="1"/>
  <c r="AG76" i="2"/>
  <c r="AH76" i="2" s="1"/>
  <c r="AI76" i="2" s="1"/>
  <c r="AJ76" i="2" s="1"/>
  <c r="AK76" i="2" s="1"/>
  <c r="AL76" i="2" s="1"/>
  <c r="AM76" i="2" s="1"/>
  <c r="AN76" i="2" s="1"/>
  <c r="AG75" i="2"/>
  <c r="AH75" i="2" s="1"/>
  <c r="AI75" i="2" s="1"/>
  <c r="AJ75" i="2" s="1"/>
  <c r="AK75" i="2" s="1"/>
  <c r="AL75" i="2" s="1"/>
  <c r="AM75" i="2" s="1"/>
  <c r="AN75" i="2" s="1"/>
  <c r="AG73" i="2"/>
  <c r="AH73" i="2" s="1"/>
  <c r="AI73" i="2" s="1"/>
  <c r="AJ73" i="2" s="1"/>
  <c r="AK73" i="2" s="1"/>
  <c r="AL73" i="2" s="1"/>
  <c r="AM73" i="2" s="1"/>
  <c r="AN73" i="2" s="1"/>
  <c r="AA32" i="2"/>
  <c r="Z32" i="2"/>
  <c r="Y32" i="2"/>
  <c r="X32" i="2"/>
  <c r="W32" i="2"/>
  <c r="V32" i="2"/>
  <c r="AE47" i="2"/>
  <c r="AF47" i="2" s="1"/>
  <c r="AG47" i="2" s="1"/>
  <c r="AH47" i="2" s="1"/>
  <c r="AI47" i="2" s="1"/>
  <c r="AJ47" i="2" s="1"/>
  <c r="AK47" i="2" s="1"/>
  <c r="AL47" i="2" s="1"/>
  <c r="AM47" i="2" s="1"/>
  <c r="AN47" i="2" s="1"/>
  <c r="L26" i="2"/>
  <c r="K26" i="2"/>
  <c r="I26" i="2"/>
  <c r="H26" i="2"/>
  <c r="G26" i="2"/>
  <c r="L25" i="2"/>
  <c r="K25" i="2"/>
  <c r="I25" i="2"/>
  <c r="H25" i="2"/>
  <c r="G25" i="2"/>
  <c r="L24" i="2"/>
  <c r="K24" i="2"/>
  <c r="I24" i="2"/>
  <c r="H24" i="2"/>
  <c r="M26" i="2"/>
  <c r="M25" i="2"/>
  <c r="M24" i="2"/>
  <c r="F14" i="2"/>
  <c r="F3" i="2"/>
  <c r="F12" i="2" s="1"/>
  <c r="J5" i="2"/>
  <c r="N5" i="2" s="1"/>
  <c r="J4" i="2"/>
  <c r="N4" i="2" s="1"/>
  <c r="J3" i="2"/>
  <c r="N3" i="2" s="1"/>
  <c r="AC20" i="2"/>
  <c r="AB20" i="2"/>
  <c r="AA20" i="2"/>
  <c r="AC19" i="2"/>
  <c r="AB19" i="2"/>
  <c r="AA19" i="2"/>
  <c r="AC18" i="2"/>
  <c r="AB18" i="2"/>
  <c r="AA18" i="2"/>
  <c r="AD20" i="2"/>
  <c r="AD19" i="2"/>
  <c r="AD18" i="2"/>
  <c r="AB15" i="2"/>
  <c r="AA15" i="2"/>
  <c r="AD15" i="2"/>
  <c r="AC6" i="2"/>
  <c r="AC21" i="2" s="1"/>
  <c r="AB6" i="2"/>
  <c r="AA6" i="2"/>
  <c r="AN6" i="2"/>
  <c r="AM6" i="2"/>
  <c r="AL6" i="2"/>
  <c r="AK6" i="2"/>
  <c r="AJ6" i="2"/>
  <c r="AI6" i="2"/>
  <c r="AH6" i="2"/>
  <c r="AG6" i="2"/>
  <c r="AF6" i="2"/>
  <c r="AE6" i="2"/>
  <c r="AD6" i="2"/>
  <c r="L105" i="2"/>
  <c r="I6" i="2"/>
  <c r="K6" i="2"/>
  <c r="H6" i="2"/>
  <c r="G6" i="2"/>
  <c r="E6" i="2"/>
  <c r="D6" i="2"/>
  <c r="C6" i="2"/>
  <c r="M6" i="2"/>
  <c r="M113" i="2"/>
  <c r="M105" i="2"/>
  <c r="M94" i="2"/>
  <c r="M98" i="2" s="1"/>
  <c r="M84" i="2"/>
  <c r="M89" i="2" s="1"/>
  <c r="M79" i="2"/>
  <c r="AD79" i="2" s="1"/>
  <c r="AE41" i="2" s="1"/>
  <c r="M67" i="2"/>
  <c r="M66" i="2"/>
  <c r="M44" i="2"/>
  <c r="M39" i="2"/>
  <c r="M32" i="2"/>
  <c r="M72" i="2" s="1"/>
  <c r="I44" i="2"/>
  <c r="AQ70" i="2"/>
  <c r="AR70" i="2" s="1"/>
  <c r="AS70" i="2" s="1"/>
  <c r="AT70" i="2" s="1"/>
  <c r="AU70" i="2" s="1"/>
  <c r="AV70" i="2" s="1"/>
  <c r="AW70" i="2" s="1"/>
  <c r="AX70" i="2" s="1"/>
  <c r="AY70" i="2" s="1"/>
  <c r="L6" i="2"/>
  <c r="H155" i="2"/>
  <c r="H146" i="2"/>
  <c r="L155" i="2"/>
  <c r="L146" i="2"/>
  <c r="K113" i="2"/>
  <c r="J113" i="2"/>
  <c r="I113" i="2"/>
  <c r="H113" i="2"/>
  <c r="G113" i="2"/>
  <c r="L113" i="2"/>
  <c r="G105" i="2"/>
  <c r="G94" i="2"/>
  <c r="G98" i="2" s="1"/>
  <c r="G84" i="2"/>
  <c r="G89" i="2" s="1"/>
  <c r="G79" i="2"/>
  <c r="H105" i="2"/>
  <c r="H94" i="2"/>
  <c r="H98" i="2" s="1"/>
  <c r="H84" i="2"/>
  <c r="H89" i="2" s="1"/>
  <c r="H79" i="2"/>
  <c r="F105" i="2"/>
  <c r="F94" i="2"/>
  <c r="F98" i="2" s="1"/>
  <c r="F84" i="2"/>
  <c r="F89" i="2" s="1"/>
  <c r="F79" i="2"/>
  <c r="I105" i="2"/>
  <c r="I94" i="2"/>
  <c r="I98" i="2" s="1"/>
  <c r="I84" i="2"/>
  <c r="I89" i="2" s="1"/>
  <c r="I79" i="2"/>
  <c r="L94" i="2"/>
  <c r="L98" i="2" s="1"/>
  <c r="L84" i="2"/>
  <c r="L89" i="2" s="1"/>
  <c r="L79" i="2"/>
  <c r="J79" i="2"/>
  <c r="K79" i="2"/>
  <c r="K105" i="2"/>
  <c r="K94" i="2"/>
  <c r="K98" i="2" s="1"/>
  <c r="K84" i="2"/>
  <c r="K89" i="2" s="1"/>
  <c r="J105" i="2"/>
  <c r="J94" i="2"/>
  <c r="J98" i="2" s="1"/>
  <c r="J84" i="2"/>
  <c r="J89" i="2" s="1"/>
  <c r="G66" i="2"/>
  <c r="H66" i="2"/>
  <c r="G67" i="2"/>
  <c r="H67" i="2"/>
  <c r="C44" i="2"/>
  <c r="C39" i="2"/>
  <c r="C32" i="2"/>
  <c r="C72" i="2" s="1"/>
  <c r="J30" i="2"/>
  <c r="D44" i="2"/>
  <c r="D39" i="2"/>
  <c r="D32" i="2"/>
  <c r="D72" i="2" s="1"/>
  <c r="AQ74" i="2"/>
  <c r="AR74" i="2" s="1"/>
  <c r="AS74" i="2" s="1"/>
  <c r="AT74" i="2" s="1"/>
  <c r="AU74" i="2" s="1"/>
  <c r="AV74" i="2" s="1"/>
  <c r="AW74" i="2" s="1"/>
  <c r="AX74" i="2" s="1"/>
  <c r="AY74" i="2" s="1"/>
  <c r="J31" i="2"/>
  <c r="J33" i="2"/>
  <c r="J34" i="2"/>
  <c r="J35" i="2"/>
  <c r="J36" i="2"/>
  <c r="J37" i="2"/>
  <c r="J38" i="2"/>
  <c r="J41" i="2"/>
  <c r="J42" i="2"/>
  <c r="J43" i="2"/>
  <c r="J46" i="2"/>
  <c r="J47" i="2"/>
  <c r="J49" i="2"/>
  <c r="I67" i="2"/>
  <c r="I66" i="2"/>
  <c r="I39" i="2"/>
  <c r="I32" i="2"/>
  <c r="I70" i="2" s="1"/>
  <c r="AC67" i="2"/>
  <c r="AC66" i="2"/>
  <c r="AD67" i="2"/>
  <c r="AD66" i="2"/>
  <c r="AB44" i="2"/>
  <c r="AB39" i="2"/>
  <c r="AB32" i="2"/>
  <c r="AB76" i="2" s="1"/>
  <c r="AC44" i="2"/>
  <c r="AC39" i="2"/>
  <c r="AC32" i="2"/>
  <c r="AC74" i="2" s="1"/>
  <c r="K67" i="2"/>
  <c r="K66" i="2"/>
  <c r="L67" i="2"/>
  <c r="L66" i="2"/>
  <c r="AD44" i="2"/>
  <c r="AD39" i="2"/>
  <c r="AD32" i="2"/>
  <c r="AD70" i="2" s="1"/>
  <c r="AB2" i="2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K44" i="2"/>
  <c r="K39" i="2"/>
  <c r="K32" i="2"/>
  <c r="K72" i="2" s="1"/>
  <c r="G44" i="2"/>
  <c r="G39" i="2"/>
  <c r="G32" i="2"/>
  <c r="G70" i="2" s="1"/>
  <c r="L44" i="2"/>
  <c r="L39" i="2"/>
  <c r="L32" i="2"/>
  <c r="L72" i="2" s="1"/>
  <c r="H39" i="2"/>
  <c r="H44" i="2"/>
  <c r="H32" i="2"/>
  <c r="H70" i="2" s="1"/>
  <c r="N10" i="1"/>
  <c r="N11" i="1" s="1"/>
  <c r="M9" i="1"/>
  <c r="F110" i="2" l="1"/>
  <c r="G110" i="2"/>
  <c r="H110" i="2"/>
  <c r="I110" i="2"/>
  <c r="J110" i="2"/>
  <c r="K110" i="2"/>
  <c r="L110" i="2"/>
  <c r="M110" i="2"/>
  <c r="M12" i="1"/>
  <c r="L115" i="2"/>
  <c r="I124" i="2"/>
  <c r="H124" i="2"/>
  <c r="G115" i="2"/>
  <c r="L124" i="2"/>
  <c r="G124" i="2"/>
  <c r="M115" i="2"/>
  <c r="H115" i="2"/>
  <c r="K124" i="2"/>
  <c r="J124" i="2"/>
  <c r="K115" i="2"/>
  <c r="I115" i="2"/>
  <c r="J115" i="2"/>
  <c r="M164" i="2"/>
  <c r="E157" i="2"/>
  <c r="E158" i="2" s="1"/>
  <c r="I15" i="2"/>
  <c r="I21" i="2" s="1"/>
  <c r="J157" i="2"/>
  <c r="J158" i="2" s="1"/>
  <c r="M139" i="2"/>
  <c r="M160" i="2" s="1"/>
  <c r="F40" i="2"/>
  <c r="K157" i="2"/>
  <c r="K158" i="2" s="1"/>
  <c r="G157" i="2"/>
  <c r="G158" i="2" s="1"/>
  <c r="C157" i="2"/>
  <c r="C158" i="2" s="1"/>
  <c r="C160" i="2"/>
  <c r="D157" i="2"/>
  <c r="D158" i="2" s="1"/>
  <c r="D160" i="2"/>
  <c r="E40" i="2"/>
  <c r="E72" i="2"/>
  <c r="E160" i="2"/>
  <c r="F157" i="2"/>
  <c r="F158" i="2" s="1"/>
  <c r="G15" i="2"/>
  <c r="G21" i="2" s="1"/>
  <c r="G18" i="2"/>
  <c r="I18" i="2"/>
  <c r="J13" i="2"/>
  <c r="J19" i="2" s="1"/>
  <c r="J14" i="2"/>
  <c r="J20" i="2" s="1"/>
  <c r="E15" i="2"/>
  <c r="E21" i="2" s="1"/>
  <c r="F15" i="2"/>
  <c r="I157" i="2"/>
  <c r="I158" i="2" s="1"/>
  <c r="E19" i="2"/>
  <c r="D15" i="2"/>
  <c r="L15" i="2"/>
  <c r="J12" i="2"/>
  <c r="M15" i="2"/>
  <c r="C15" i="2"/>
  <c r="K15" i="2"/>
  <c r="L18" i="2"/>
  <c r="H15" i="2"/>
  <c r="C18" i="2"/>
  <c r="D18" i="2"/>
  <c r="X68" i="2"/>
  <c r="Z68" i="2"/>
  <c r="Y68" i="2"/>
  <c r="AA68" i="2"/>
  <c r="AB68" i="2"/>
  <c r="W68" i="2"/>
  <c r="AB70" i="2"/>
  <c r="AD74" i="2"/>
  <c r="AB72" i="2"/>
  <c r="AC72" i="2"/>
  <c r="AB73" i="2"/>
  <c r="AD72" i="2"/>
  <c r="AC75" i="2"/>
  <c r="AB74" i="2"/>
  <c r="AD75" i="2"/>
  <c r="AB75" i="2"/>
  <c r="AC73" i="2"/>
  <c r="AD73" i="2"/>
  <c r="AC76" i="2"/>
  <c r="AC70" i="2"/>
  <c r="AD76" i="2"/>
  <c r="D74" i="2"/>
  <c r="L74" i="2"/>
  <c r="C76" i="2"/>
  <c r="K75" i="2"/>
  <c r="I76" i="2"/>
  <c r="G73" i="2"/>
  <c r="E74" i="2"/>
  <c r="M74" i="2"/>
  <c r="D75" i="2"/>
  <c r="L75" i="2"/>
  <c r="H73" i="2"/>
  <c r="E75" i="2"/>
  <c r="M75" i="2"/>
  <c r="K76" i="2"/>
  <c r="I73" i="2"/>
  <c r="G74" i="2"/>
  <c r="D76" i="2"/>
  <c r="L76" i="2"/>
  <c r="C73" i="2"/>
  <c r="H74" i="2"/>
  <c r="G75" i="2"/>
  <c r="E76" i="2"/>
  <c r="M76" i="2"/>
  <c r="C74" i="2"/>
  <c r="K73" i="2"/>
  <c r="I74" i="2"/>
  <c r="H75" i="2"/>
  <c r="D73" i="2"/>
  <c r="L73" i="2"/>
  <c r="I75" i="2"/>
  <c r="G76" i="2"/>
  <c r="E73" i="2"/>
  <c r="M73" i="2"/>
  <c r="K74" i="2"/>
  <c r="C75" i="2"/>
  <c r="H76" i="2"/>
  <c r="H27" i="2"/>
  <c r="K70" i="2"/>
  <c r="G72" i="2"/>
  <c r="H72" i="2"/>
  <c r="C70" i="2"/>
  <c r="D70" i="2"/>
  <c r="L70" i="2"/>
  <c r="I72" i="2"/>
  <c r="N6" i="2"/>
  <c r="N32" i="2" s="1"/>
  <c r="AE32" i="2" s="1"/>
  <c r="E70" i="2"/>
  <c r="M70" i="2"/>
  <c r="I27" i="2"/>
  <c r="K27" i="2"/>
  <c r="M27" i="2"/>
  <c r="J25" i="2"/>
  <c r="J26" i="2"/>
  <c r="L27" i="2"/>
  <c r="G27" i="2"/>
  <c r="J24" i="2"/>
  <c r="M106" i="2"/>
  <c r="M107" i="2" s="1"/>
  <c r="AA21" i="2"/>
  <c r="M68" i="2"/>
  <c r="AB21" i="2"/>
  <c r="AD21" i="2"/>
  <c r="F19" i="2"/>
  <c r="J6" i="2"/>
  <c r="F6" i="2"/>
  <c r="F20" i="2"/>
  <c r="F18" i="2"/>
  <c r="M40" i="2"/>
  <c r="G68" i="2"/>
  <c r="J39" i="2"/>
  <c r="AC68" i="2"/>
  <c r="K68" i="2"/>
  <c r="J67" i="2"/>
  <c r="H40" i="2"/>
  <c r="D40" i="2"/>
  <c r="J66" i="2"/>
  <c r="J32" i="2"/>
  <c r="J70" i="2" s="1"/>
  <c r="L68" i="2"/>
  <c r="J106" i="2"/>
  <c r="J107" i="2" s="1"/>
  <c r="G106" i="2"/>
  <c r="G107" i="2" s="1"/>
  <c r="H106" i="2"/>
  <c r="H107" i="2" s="1"/>
  <c r="F106" i="2"/>
  <c r="F107" i="2" s="1"/>
  <c r="I106" i="2"/>
  <c r="I107" i="2" s="1"/>
  <c r="L106" i="2"/>
  <c r="L107" i="2" s="1"/>
  <c r="K106" i="2"/>
  <c r="K107" i="2" s="1"/>
  <c r="AD68" i="2"/>
  <c r="F70" i="2"/>
  <c r="H68" i="2"/>
  <c r="C40" i="2"/>
  <c r="I68" i="2"/>
  <c r="I40" i="2"/>
  <c r="AB40" i="2"/>
  <c r="AB45" i="2" s="1"/>
  <c r="AB48" i="2" s="1"/>
  <c r="AB50" i="2" s="1"/>
  <c r="AC40" i="2"/>
  <c r="AD40" i="2"/>
  <c r="K40" i="2"/>
  <c r="K71" i="2" s="1"/>
  <c r="G40" i="2"/>
  <c r="L40" i="2"/>
  <c r="L45" i="2" l="1"/>
  <c r="L71" i="2"/>
  <c r="C45" i="2"/>
  <c r="C64" i="2" s="1"/>
  <c r="C71" i="2"/>
  <c r="G45" i="2"/>
  <c r="G64" i="2" s="1"/>
  <c r="G71" i="2"/>
  <c r="F45" i="2"/>
  <c r="F48" i="2" s="1"/>
  <c r="F71" i="2"/>
  <c r="E45" i="2"/>
  <c r="E48" i="2" s="1"/>
  <c r="E71" i="2"/>
  <c r="M45" i="2"/>
  <c r="M64" i="2" s="1"/>
  <c r="M71" i="2"/>
  <c r="D45" i="2"/>
  <c r="D48" i="2" s="1"/>
  <c r="D71" i="2"/>
  <c r="I16" i="2"/>
  <c r="I71" i="2"/>
  <c r="H45" i="2"/>
  <c r="H71" i="2"/>
  <c r="M157" i="2"/>
  <c r="M158" i="2" s="1"/>
  <c r="M165" i="2" s="1"/>
  <c r="F16" i="2"/>
  <c r="C16" i="2"/>
  <c r="L16" i="2"/>
  <c r="E161" i="2"/>
  <c r="E16" i="2"/>
  <c r="M21" i="2"/>
  <c r="M16" i="2"/>
  <c r="G16" i="2"/>
  <c r="C21" i="2"/>
  <c r="D21" i="2"/>
  <c r="D16" i="2"/>
  <c r="K21" i="2"/>
  <c r="K16" i="2"/>
  <c r="H21" i="2"/>
  <c r="H16" i="2"/>
  <c r="L21" i="2"/>
  <c r="J15" i="2"/>
  <c r="J18" i="2"/>
  <c r="F74" i="2"/>
  <c r="AF32" i="2"/>
  <c r="AE68" i="2"/>
  <c r="F73" i="2"/>
  <c r="K45" i="2"/>
  <c r="H48" i="2"/>
  <c r="H64" i="2"/>
  <c r="N31" i="2"/>
  <c r="N30" i="2"/>
  <c r="L48" i="2"/>
  <c r="L64" i="2"/>
  <c r="E64" i="2"/>
  <c r="F76" i="2"/>
  <c r="J76" i="2"/>
  <c r="N76" i="2" s="1"/>
  <c r="J73" i="2"/>
  <c r="N73" i="2" s="1"/>
  <c r="N34" i="2" s="1"/>
  <c r="AE34" i="2" s="1"/>
  <c r="N38" i="2"/>
  <c r="AE38" i="2" s="1"/>
  <c r="N37" i="2"/>
  <c r="AE37" i="2" s="1"/>
  <c r="AE76" i="2" s="1"/>
  <c r="F75" i="2"/>
  <c r="J74" i="2"/>
  <c r="N74" i="2" s="1"/>
  <c r="N35" i="2" s="1"/>
  <c r="AE35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J75" i="2"/>
  <c r="N75" i="2" s="1"/>
  <c r="N36" i="2" s="1"/>
  <c r="AE36" i="2" s="1"/>
  <c r="AE75" i="2" s="1"/>
  <c r="N68" i="2"/>
  <c r="F72" i="2"/>
  <c r="J72" i="2"/>
  <c r="N72" i="2" s="1"/>
  <c r="N33" i="2" s="1"/>
  <c r="AE33" i="2" s="1"/>
  <c r="AE72" i="2" s="1"/>
  <c r="F21" i="2"/>
  <c r="J27" i="2"/>
  <c r="J68" i="2"/>
  <c r="AD45" i="2"/>
  <c r="J40" i="2"/>
  <c r="J71" i="2" s="1"/>
  <c r="AC45" i="2"/>
  <c r="E50" i="2" l="1"/>
  <c r="M48" i="2"/>
  <c r="M50" i="2" s="1"/>
  <c r="N50" i="2" s="1"/>
  <c r="C48" i="2"/>
  <c r="F109" i="2" s="1"/>
  <c r="D64" i="2"/>
  <c r="G48" i="2"/>
  <c r="G109" i="2" s="1"/>
  <c r="F64" i="2"/>
  <c r="F161" i="2"/>
  <c r="F50" i="2"/>
  <c r="D50" i="2"/>
  <c r="D161" i="2"/>
  <c r="C161" i="2"/>
  <c r="J16" i="2"/>
  <c r="J21" i="2"/>
  <c r="L128" i="2"/>
  <c r="L139" i="2" s="1"/>
  <c r="L160" i="2" s="1"/>
  <c r="L161" i="2"/>
  <c r="H50" i="2"/>
  <c r="H161" i="2"/>
  <c r="AF37" i="2"/>
  <c r="AF36" i="2"/>
  <c r="AF35" i="2"/>
  <c r="AF34" i="2"/>
  <c r="AF33" i="2"/>
  <c r="AE73" i="2"/>
  <c r="AF31" i="2"/>
  <c r="AF38" i="2"/>
  <c r="H128" i="2"/>
  <c r="H139" i="2" s="1"/>
  <c r="H160" i="2" s="1"/>
  <c r="L50" i="2"/>
  <c r="K48" i="2"/>
  <c r="K161" i="2" s="1"/>
  <c r="K64" i="2"/>
  <c r="N66" i="2"/>
  <c r="AE30" i="2"/>
  <c r="N67" i="2"/>
  <c r="AE31" i="2"/>
  <c r="AE70" i="2"/>
  <c r="AG32" i="2"/>
  <c r="AC48" i="2"/>
  <c r="AD48" i="2"/>
  <c r="H109" i="2" l="1"/>
  <c r="M161" i="2"/>
  <c r="C50" i="2"/>
  <c r="G161" i="2"/>
  <c r="G50" i="2"/>
  <c r="L157" i="2"/>
  <c r="L158" i="2" s="1"/>
  <c r="H157" i="2"/>
  <c r="H158" i="2" s="1"/>
  <c r="AG36" i="2"/>
  <c r="AG37" i="2"/>
  <c r="AG34" i="2"/>
  <c r="AG33" i="2"/>
  <c r="AG35" i="2"/>
  <c r="AG38" i="2"/>
  <c r="AH32" i="2"/>
  <c r="K50" i="2"/>
  <c r="AD50" i="2"/>
  <c r="AC50" i="2"/>
  <c r="AH37" i="2" l="1"/>
  <c r="AH36" i="2"/>
  <c r="AH35" i="2"/>
  <c r="AH34" i="2"/>
  <c r="AH33" i="2"/>
  <c r="AI32" i="2"/>
  <c r="AH38" i="2"/>
  <c r="AI37" i="2" l="1"/>
  <c r="AI36" i="2"/>
  <c r="AI35" i="2"/>
  <c r="AI34" i="2"/>
  <c r="AI33" i="2"/>
  <c r="AI38" i="2"/>
  <c r="AJ32" i="2"/>
  <c r="AJ37" i="2" l="1"/>
  <c r="AJ34" i="2"/>
  <c r="AJ36" i="2"/>
  <c r="AJ35" i="2"/>
  <c r="AJ33" i="2"/>
  <c r="AK32" i="2"/>
  <c r="AJ38" i="2"/>
  <c r="AK37" i="2" l="1"/>
  <c r="AK36" i="2"/>
  <c r="AK35" i="2"/>
  <c r="AK34" i="2"/>
  <c r="AK33" i="2"/>
  <c r="AK38" i="2"/>
  <c r="AL32" i="2"/>
  <c r="AL38" i="2" l="1"/>
  <c r="AL37" i="2"/>
  <c r="AL36" i="2"/>
  <c r="AL35" i="2"/>
  <c r="AL34" i="2"/>
  <c r="AL33" i="2"/>
  <c r="AM32" i="2"/>
  <c r="AM37" i="2" l="1"/>
  <c r="AM36" i="2"/>
  <c r="AM35" i="2"/>
  <c r="AM34" i="2"/>
  <c r="AM33" i="2"/>
  <c r="AN32" i="2"/>
  <c r="AM38" i="2"/>
  <c r="AN37" i="2" l="1"/>
  <c r="AN36" i="2"/>
  <c r="AN35" i="2"/>
  <c r="AN34" i="2"/>
  <c r="AN33" i="2"/>
  <c r="AN38" i="2"/>
  <c r="I45" i="2" l="1"/>
  <c r="J44" i="2"/>
  <c r="I48" i="2" l="1"/>
  <c r="J48" i="2" s="1"/>
  <c r="M109" i="2" s="1"/>
  <c r="I64" i="2"/>
  <c r="J45" i="2"/>
  <c r="J64" i="2" s="1"/>
  <c r="N39" i="2"/>
  <c r="I161" i="2" l="1"/>
  <c r="L109" i="2"/>
  <c r="K109" i="2"/>
  <c r="I109" i="2"/>
  <c r="J109" i="2"/>
  <c r="I50" i="2"/>
  <c r="J50" i="2"/>
  <c r="J161" i="2"/>
  <c r="N40" i="2"/>
  <c r="N71" i="2" s="1"/>
  <c r="AE39" i="2"/>
  <c r="N70" i="2"/>
  <c r="N41" i="2" l="1"/>
  <c r="AE40" i="2"/>
  <c r="N42" i="2" l="1"/>
  <c r="N43" i="2" l="1"/>
  <c r="AE43" i="2" s="1"/>
  <c r="AE42" i="2"/>
  <c r="N44" i="2" l="1"/>
  <c r="N45" i="2" s="1"/>
  <c r="AF43" i="2"/>
  <c r="AE44" i="2" l="1"/>
  <c r="N46" i="2"/>
  <c r="N48" i="2" s="1"/>
  <c r="AE45" i="2"/>
  <c r="AG43" i="2"/>
  <c r="N49" i="2" l="1"/>
  <c r="AE48" i="2"/>
  <c r="AH43" i="2"/>
  <c r="N64" i="2"/>
  <c r="AE46" i="2"/>
  <c r="AE79" i="2" l="1"/>
  <c r="AI43" i="2"/>
  <c r="AF41" i="2" l="1"/>
  <c r="AJ43" i="2"/>
  <c r="AK43" i="2" l="1"/>
  <c r="AL43" i="2" s="1"/>
  <c r="AM43" i="2" s="1"/>
  <c r="AN43" i="2" s="1"/>
  <c r="AF39" i="2"/>
  <c r="AF40" i="2" s="1"/>
  <c r="AF42" i="2" s="1"/>
  <c r="AF44" i="2" s="1"/>
  <c r="AF45" i="2" s="1"/>
  <c r="AF50" i="2"/>
  <c r="AF70" i="2"/>
  <c r="AF46" i="2" l="1"/>
  <c r="AF48" i="2" s="1"/>
  <c r="AF79" i="2" l="1"/>
  <c r="AG41" i="2" l="1"/>
  <c r="AN70" i="2"/>
  <c r="AL39" i="2"/>
  <c r="AL40" i="2" s="1"/>
  <c r="AL70" i="2"/>
  <c r="AK70" i="2"/>
  <c r="AJ39" i="2"/>
  <c r="AJ40" i="2" s="1"/>
  <c r="AI70" i="2"/>
  <c r="AH70" i="2"/>
  <c r="AG70" i="2"/>
  <c r="AH39" i="2"/>
  <c r="AH40" i="2" s="1"/>
  <c r="AN39" i="2" l="1"/>
  <c r="AN40" i="2" s="1"/>
  <c r="AG39" i="2"/>
  <c r="AG40" i="2" s="1"/>
  <c r="AG42" i="2" s="1"/>
  <c r="AM39" i="2"/>
  <c r="AM40" i="2" s="1"/>
  <c r="AI39" i="2"/>
  <c r="AI40" i="2" s="1"/>
  <c r="AJ70" i="2"/>
  <c r="AK39" i="2"/>
  <c r="AK40" i="2" s="1"/>
  <c r="AM70" i="2"/>
  <c r="AG44" i="2" l="1"/>
  <c r="AG45" i="2" s="1"/>
  <c r="AG46" i="2" s="1"/>
  <c r="AG48" i="2" s="1"/>
  <c r="AH42" i="2"/>
  <c r="AI42" i="2" s="1"/>
  <c r="AJ42" i="2" s="1"/>
  <c r="AK42" i="2" s="1"/>
  <c r="AL42" i="2" s="1"/>
  <c r="AM42" i="2" s="1"/>
  <c r="AN42" i="2" s="1"/>
  <c r="AG79" i="2" l="1"/>
  <c r="AH41" i="2" l="1"/>
  <c r="AH44" i="2" s="1"/>
  <c r="AH45" i="2" s="1"/>
  <c r="AH46" i="2" l="1"/>
  <c r="AH48" i="2" s="1"/>
  <c r="AH79" i="2" l="1"/>
  <c r="AI41" i="2" l="1"/>
  <c r="AI44" i="2" s="1"/>
  <c r="AI45" i="2" s="1"/>
  <c r="AI46" i="2" l="1"/>
  <c r="AI48" i="2" s="1"/>
  <c r="AI79" i="2" l="1"/>
  <c r="AJ41" i="2" l="1"/>
  <c r="AJ44" i="2" s="1"/>
  <c r="AJ45" i="2" s="1"/>
  <c r="AJ46" i="2" l="1"/>
  <c r="AJ48" i="2" s="1"/>
  <c r="AJ79" i="2" l="1"/>
  <c r="AK41" i="2" l="1"/>
  <c r="AK44" i="2" s="1"/>
  <c r="AK45" i="2" s="1"/>
  <c r="AK46" i="2" l="1"/>
  <c r="AK48" i="2" s="1"/>
  <c r="AK79" i="2" l="1"/>
  <c r="AL41" i="2" l="1"/>
  <c r="AL44" i="2" s="1"/>
  <c r="AL45" i="2" s="1"/>
  <c r="AL46" i="2" l="1"/>
  <c r="AL48" i="2" s="1"/>
  <c r="AL79" i="2" s="1"/>
  <c r="AM41" i="2" l="1"/>
  <c r="AM44" i="2" s="1"/>
  <c r="AM45" i="2" s="1"/>
  <c r="AM46" i="2" l="1"/>
  <c r="AM48" i="2" s="1"/>
  <c r="AM79" i="2" s="1"/>
  <c r="AN41" i="2" l="1"/>
  <c r="AN44" i="2" s="1"/>
  <c r="AN45" i="2" s="1"/>
  <c r="AN46" i="2" l="1"/>
  <c r="AN48" i="2" s="1"/>
  <c r="AO48" i="2" l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CO48" i="2" s="1"/>
  <c r="CP48" i="2" s="1"/>
  <c r="CQ48" i="2" s="1"/>
  <c r="CR48" i="2" s="1"/>
  <c r="CS48" i="2" s="1"/>
  <c r="CT48" i="2" s="1"/>
  <c r="CU48" i="2" s="1"/>
  <c r="CV48" i="2" s="1"/>
  <c r="CW48" i="2" s="1"/>
  <c r="CX48" i="2" s="1"/>
  <c r="CY48" i="2" s="1"/>
  <c r="CZ48" i="2" s="1"/>
  <c r="DA48" i="2" s="1"/>
  <c r="DB48" i="2" s="1"/>
  <c r="DC48" i="2" s="1"/>
  <c r="DD48" i="2" s="1"/>
  <c r="DE48" i="2" s="1"/>
  <c r="DF48" i="2" s="1"/>
  <c r="DG48" i="2" s="1"/>
  <c r="DH48" i="2" s="1"/>
  <c r="DI48" i="2" s="1"/>
  <c r="DJ48" i="2" s="1"/>
  <c r="DK48" i="2" s="1"/>
  <c r="DL48" i="2" s="1"/>
  <c r="DM48" i="2" s="1"/>
  <c r="DN48" i="2" s="1"/>
  <c r="DO48" i="2" s="1"/>
  <c r="DP48" i="2" s="1"/>
  <c r="DQ48" i="2" s="1"/>
  <c r="DR48" i="2" s="1"/>
  <c r="DS48" i="2" s="1"/>
  <c r="DT48" i="2" s="1"/>
  <c r="DU48" i="2" s="1"/>
  <c r="DV48" i="2" s="1"/>
  <c r="DW48" i="2" s="1"/>
  <c r="DX48" i="2" s="1"/>
  <c r="DY48" i="2" s="1"/>
  <c r="DZ48" i="2" s="1"/>
  <c r="EA48" i="2" s="1"/>
  <c r="EB48" i="2" s="1"/>
  <c r="EC48" i="2" s="1"/>
  <c r="ED48" i="2" s="1"/>
  <c r="EE48" i="2" s="1"/>
  <c r="EF48" i="2" s="1"/>
  <c r="EG48" i="2" s="1"/>
  <c r="EH48" i="2" s="1"/>
  <c r="EI48" i="2" s="1"/>
  <c r="EJ48" i="2" s="1"/>
  <c r="EK48" i="2" s="1"/>
  <c r="EL48" i="2" s="1"/>
  <c r="EM48" i="2" s="1"/>
  <c r="EN48" i="2" s="1"/>
  <c r="EO48" i="2" s="1"/>
  <c r="EP48" i="2" s="1"/>
  <c r="EQ48" i="2" s="1"/>
  <c r="ER48" i="2" s="1"/>
  <c r="ES48" i="2" s="1"/>
  <c r="ET48" i="2" s="1"/>
  <c r="EU48" i="2" s="1"/>
  <c r="EV48" i="2" s="1"/>
  <c r="EW48" i="2" s="1"/>
  <c r="EX48" i="2" s="1"/>
  <c r="EY48" i="2" s="1"/>
  <c r="EZ48" i="2" s="1"/>
  <c r="FA48" i="2" s="1"/>
  <c r="FB48" i="2" s="1"/>
  <c r="FC48" i="2" s="1"/>
  <c r="FD48" i="2" s="1"/>
  <c r="FE48" i="2" s="1"/>
  <c r="FF48" i="2" s="1"/>
  <c r="FG48" i="2" s="1"/>
  <c r="FH48" i="2" s="1"/>
  <c r="FI48" i="2" s="1"/>
  <c r="FJ48" i="2" s="1"/>
  <c r="FK48" i="2" s="1"/>
  <c r="FL48" i="2" s="1"/>
  <c r="FM48" i="2" s="1"/>
  <c r="FN48" i="2" s="1"/>
  <c r="FO48" i="2" s="1"/>
  <c r="FP48" i="2" s="1"/>
  <c r="FQ48" i="2" s="1"/>
  <c r="FR48" i="2" s="1"/>
  <c r="FS48" i="2" s="1"/>
  <c r="FT48" i="2" s="1"/>
  <c r="FU48" i="2" s="1"/>
  <c r="FV48" i="2" s="1"/>
  <c r="FW48" i="2" s="1"/>
  <c r="FX48" i="2" s="1"/>
  <c r="FY48" i="2" s="1"/>
  <c r="FZ48" i="2" s="1"/>
  <c r="GA48" i="2" s="1"/>
  <c r="GB48" i="2" s="1"/>
  <c r="GC48" i="2" s="1"/>
  <c r="GD48" i="2" s="1"/>
  <c r="GE48" i="2" s="1"/>
  <c r="GF48" i="2" s="1"/>
  <c r="GG48" i="2" s="1"/>
  <c r="GH48" i="2" s="1"/>
  <c r="GI48" i="2" s="1"/>
  <c r="GJ48" i="2" s="1"/>
  <c r="GK48" i="2" s="1"/>
  <c r="GL48" i="2" s="1"/>
  <c r="GM48" i="2" s="1"/>
  <c r="GN48" i="2" s="1"/>
  <c r="GO48" i="2" s="1"/>
  <c r="GP48" i="2" s="1"/>
  <c r="GQ48" i="2" s="1"/>
  <c r="GR48" i="2" s="1"/>
  <c r="GS48" i="2" s="1"/>
  <c r="GT48" i="2" s="1"/>
  <c r="GU48" i="2" s="1"/>
  <c r="GV48" i="2" s="1"/>
  <c r="GW48" i="2" s="1"/>
  <c r="GX48" i="2" s="1"/>
  <c r="GY48" i="2" s="1"/>
  <c r="GZ48" i="2" s="1"/>
  <c r="HA48" i="2" s="1"/>
  <c r="HB48" i="2" s="1"/>
  <c r="HC48" i="2" s="1"/>
  <c r="HD48" i="2" s="1"/>
  <c r="HE48" i="2" s="1"/>
  <c r="HF48" i="2" s="1"/>
  <c r="HG48" i="2" s="1"/>
  <c r="HH48" i="2" s="1"/>
  <c r="HI48" i="2" s="1"/>
  <c r="HJ48" i="2" s="1"/>
  <c r="HK48" i="2" s="1"/>
  <c r="HL48" i="2" s="1"/>
  <c r="HM48" i="2" s="1"/>
  <c r="HN48" i="2" s="1"/>
  <c r="HO48" i="2" s="1"/>
  <c r="HP48" i="2" s="1"/>
  <c r="HQ48" i="2" s="1"/>
  <c r="HR48" i="2" s="1"/>
  <c r="HS48" i="2" s="1"/>
  <c r="HT48" i="2" s="1"/>
  <c r="HU48" i="2" s="1"/>
  <c r="HV48" i="2" s="1"/>
  <c r="HW48" i="2" s="1"/>
  <c r="HX48" i="2" s="1"/>
  <c r="HY48" i="2" s="1"/>
  <c r="HZ48" i="2" s="1"/>
  <c r="IA48" i="2" s="1"/>
  <c r="IB48" i="2" s="1"/>
  <c r="AN79" i="2"/>
  <c r="AT69" i="2" l="1"/>
  <c r="AT72" i="2" s="1"/>
  <c r="AT73" i="2" s="1"/>
  <c r="AT75" i="2" s="1"/>
  <c r="AU69" i="2"/>
  <c r="AU72" i="2" s="1"/>
  <c r="AU73" i="2" s="1"/>
  <c r="AU75" i="2" s="1"/>
  <c r="AS69" i="2"/>
  <c r="AS72" i="2" s="1"/>
  <c r="AS73" i="2" s="1"/>
  <c r="AS75" i="2" s="1"/>
  <c r="AX69" i="2"/>
  <c r="AX72" i="2" s="1"/>
  <c r="AX73" i="2" s="1"/>
  <c r="AX75" i="2" s="1"/>
  <c r="AY69" i="2"/>
  <c r="AY72" i="2" s="1"/>
  <c r="AY73" i="2" s="1"/>
  <c r="AY75" i="2" s="1"/>
  <c r="AV69" i="2"/>
  <c r="AV72" i="2" s="1"/>
  <c r="AV73" i="2" s="1"/>
  <c r="AV75" i="2" s="1"/>
  <c r="AQ64" i="2"/>
  <c r="AQ69" i="2"/>
  <c r="AQ72" i="2" s="1"/>
  <c r="AQ73" i="2" s="1"/>
  <c r="AR69" i="2"/>
  <c r="AR72" i="2" s="1"/>
  <c r="AR73" i="2" s="1"/>
  <c r="AR75" i="2" s="1"/>
  <c r="AW69" i="2"/>
  <c r="AW72" i="2" s="1"/>
  <c r="AW73" i="2" s="1"/>
  <c r="AW75" i="2" s="1"/>
  <c r="AQ78" i="2" l="1"/>
  <c r="AQ79" i="2" s="1"/>
  <c r="AQ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D3" authorId="0" shapeId="0" xr:uid="{3FC36FE0-49D3-8746-A9BD-35DCED7583E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AWS simple software to use
</t>
        </r>
        <r>
          <rPr>
            <sz val="10"/>
            <color rgb="FF000000"/>
            <rFont val="Tahoma"/>
            <family val="2"/>
          </rPr>
          <t xml:space="preserve">-- Payment Model is flexible for customers 
</t>
        </r>
        <r>
          <rPr>
            <sz val="10"/>
            <color rgb="FF000000"/>
            <rFont val="Tahoma"/>
            <family val="2"/>
          </rPr>
          <t>-- Is overall demand for AWS correlated w/ general economic sentiment???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N6" authorId="0" shapeId="0" xr:uid="{632A0ED9-5909-E443-890F-8EFF0E0BC5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Guide between: </t>
        </r>
        <r>
          <rPr>
            <sz val="10"/>
            <color rgb="FF000000"/>
            <rFont val="Calibri"/>
            <family val="2"/>
            <scheme val="minor"/>
          </rPr>
          <t>$140.0 billion and $148.0 billion</t>
        </r>
      </text>
    </comment>
    <comment ref="M19" authorId="0" shapeId="0" xr:uid="{2B009173-00E8-AB49-AE7C-882305337D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Additional op costs in Europe (higher fuel costs moreso in U.S&gt; and primne day often has less profitability due to more discounts</t>
        </r>
      </text>
    </comment>
    <comment ref="M20" authorId="0" shapeId="0" xr:uid="{ECFDF212-992E-014A-B36A-60DB6B344E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Margins lower due to SBC, energy costs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"they will fluctuate everytime we balance investments and negotiate prices w/ cust"</t>
        </r>
      </text>
    </comment>
    <comment ref="M43" authorId="0" shapeId="0" xr:uid="{C85E9FED-09C1-1346-B042-30C362865B9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is: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Security gain os $1.1B</t>
        </r>
      </text>
    </comment>
    <comment ref="AF68" authorId="0" shapeId="0" xr:uid="{06680340-297F-644E-B756-DAF9390D48F2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Recessionary behavior continues</t>
        </r>
      </text>
    </comment>
    <comment ref="AP82" authorId="0" shapeId="0" xr:uid="{9E2F566A-BA35-2D4D-9E46-85025F300BD1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Current valuation assumes next 10 years wil grow ~800 basis points less than the prior 10 years.  Implicit ass: is that AWS will be primary growth driver for many years to come.  Investment in Rivian won't pay off for a while with the company suffering from losses awaiting higher adoption to EV's.  Short term "other" income losses may suffer more if economy goes inot a downtown many won't be purchasing EV's as disposable income may dry?</t>
        </r>
      </text>
    </comment>
  </commentList>
</comments>
</file>

<file path=xl/sharedStrings.xml><?xml version="1.0" encoding="utf-8"?>
<sst xmlns="http://schemas.openxmlformats.org/spreadsheetml/2006/main" count="193" uniqueCount="176">
  <si>
    <t>AMZN</t>
  </si>
  <si>
    <t>Price</t>
  </si>
  <si>
    <t>Shares</t>
  </si>
  <si>
    <t>MC</t>
  </si>
  <si>
    <t>Cash</t>
  </si>
  <si>
    <t>Debt</t>
  </si>
  <si>
    <t>EV</t>
  </si>
  <si>
    <t>Q222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</si>
  <si>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</si>
  <si>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</si>
  <si>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</si>
  <si>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</si>
  <si>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</si>
  <si>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</si>
  <si>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</si>
  <si>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</si>
  <si>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</si>
  <si>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</si>
  <si>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</si>
  <si>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Net Sales</t>
  </si>
  <si>
    <t>Product</t>
  </si>
  <si>
    <t>Service</t>
  </si>
  <si>
    <t>Costs</t>
  </si>
  <si>
    <t>Tech &amp; Content</t>
  </si>
  <si>
    <t>S&amp;M</t>
  </si>
  <si>
    <t>G&amp;A</t>
  </si>
  <si>
    <t>Other op</t>
  </si>
  <si>
    <t>Total Op E</t>
  </si>
  <si>
    <t>Op Income</t>
  </si>
  <si>
    <t>Interest income</t>
  </si>
  <si>
    <t>Interest expense</t>
  </si>
  <si>
    <t>Other income</t>
  </si>
  <si>
    <t>Total non-op income</t>
  </si>
  <si>
    <t>Income Before Taxes</t>
  </si>
  <si>
    <t>Taxes</t>
  </si>
  <si>
    <t xml:space="preserve">Net Income </t>
  </si>
  <si>
    <t>Equity Method</t>
  </si>
  <si>
    <t>Diluted</t>
  </si>
  <si>
    <t>Eps</t>
  </si>
  <si>
    <t>Fullfilment</t>
  </si>
  <si>
    <t>Revenue y/y</t>
  </si>
  <si>
    <t>Service y/y</t>
  </si>
  <si>
    <t>Product y/y</t>
  </si>
  <si>
    <t>Discount</t>
  </si>
  <si>
    <t>Terminal</t>
  </si>
  <si>
    <t>NPV</t>
  </si>
  <si>
    <t>Estimate</t>
  </si>
  <si>
    <t>Current</t>
  </si>
  <si>
    <t>TL</t>
  </si>
  <si>
    <t>TL + E</t>
  </si>
  <si>
    <t>Equity</t>
  </si>
  <si>
    <t>Securities</t>
  </si>
  <si>
    <t>Inventories</t>
  </si>
  <si>
    <t>A/R</t>
  </si>
  <si>
    <t xml:space="preserve">Current Assets </t>
  </si>
  <si>
    <t>PPE</t>
  </si>
  <si>
    <t>Op lease</t>
  </si>
  <si>
    <t>Goodwill</t>
  </si>
  <si>
    <t>OA</t>
  </si>
  <si>
    <t>TA</t>
  </si>
  <si>
    <t>A/P</t>
  </si>
  <si>
    <t>Accrued expenses</t>
  </si>
  <si>
    <t>Unearned revnue</t>
  </si>
  <si>
    <t>Current Liabilities</t>
  </si>
  <si>
    <t>LT Lease</t>
  </si>
  <si>
    <t>LTD</t>
  </si>
  <si>
    <t>Other LT</t>
  </si>
  <si>
    <t>Preferred stock</t>
  </si>
  <si>
    <t>Common</t>
  </si>
  <si>
    <t>Treasury</t>
  </si>
  <si>
    <t xml:space="preserve">Additional </t>
  </si>
  <si>
    <t>Accumalated Other</t>
  </si>
  <si>
    <t>Retained</t>
  </si>
  <si>
    <t xml:space="preserve">Net Cash </t>
  </si>
  <si>
    <t>Cash Burn q/q</t>
  </si>
  <si>
    <t>Cash + Restricted</t>
  </si>
  <si>
    <t>Net Income</t>
  </si>
  <si>
    <t>D&amp;A</t>
  </si>
  <si>
    <t>SBC</t>
  </si>
  <si>
    <t>Othe rop expense</t>
  </si>
  <si>
    <t>Other expense</t>
  </si>
  <si>
    <t>Deferred income tax</t>
  </si>
  <si>
    <t>Unearned revenue</t>
  </si>
  <si>
    <t>CFFO</t>
  </si>
  <si>
    <t>PPE Sales</t>
  </si>
  <si>
    <t>Acquisitions</t>
  </si>
  <si>
    <t>Purchases of securities</t>
  </si>
  <si>
    <t>CFFI</t>
  </si>
  <si>
    <t>Buybacks</t>
  </si>
  <si>
    <t>Proceeds from STD</t>
  </si>
  <si>
    <t>Repayments of STD</t>
  </si>
  <si>
    <t>Proceeds from LTD</t>
  </si>
  <si>
    <t>Repayments of LTD</t>
  </si>
  <si>
    <t>Principal Payments FL</t>
  </si>
  <si>
    <t>Principal Payments FO</t>
  </si>
  <si>
    <t>CFFF</t>
  </si>
  <si>
    <t>FX</t>
  </si>
  <si>
    <t>Net Cash Increase</t>
  </si>
  <si>
    <t>Cash Increase</t>
  </si>
  <si>
    <t>FCF</t>
  </si>
  <si>
    <t>NA</t>
  </si>
  <si>
    <t xml:space="preserve">International </t>
  </si>
  <si>
    <t>AWS</t>
  </si>
  <si>
    <t xml:space="preserve">Revenue </t>
  </si>
  <si>
    <t>NA OM%</t>
  </si>
  <si>
    <t>AWS OM %</t>
  </si>
  <si>
    <t>International OM %</t>
  </si>
  <si>
    <t>Consolidated OM%</t>
  </si>
  <si>
    <t>PR</t>
  </si>
  <si>
    <t xml:space="preserve">RIVIAN </t>
  </si>
  <si>
    <t>Consolidated OP I</t>
  </si>
  <si>
    <t>NA y/y</t>
  </si>
  <si>
    <t>Int'l y/y</t>
  </si>
  <si>
    <t>AWS y/y</t>
  </si>
  <si>
    <t>TR y/y</t>
  </si>
  <si>
    <t>GM</t>
  </si>
  <si>
    <t>Costs %</t>
  </si>
  <si>
    <t>Fullfilment  %</t>
  </si>
  <si>
    <t>T&amp;C %</t>
  </si>
  <si>
    <t>S&amp;M %</t>
  </si>
  <si>
    <t>G&amp;A %</t>
  </si>
  <si>
    <t xml:space="preserve">Tax Rate </t>
  </si>
  <si>
    <t>Delta</t>
  </si>
  <si>
    <t>Q123</t>
  </si>
  <si>
    <t>Q223</t>
  </si>
  <si>
    <t>Q323</t>
  </si>
  <si>
    <t>Q423</t>
  </si>
  <si>
    <t>NC</t>
  </si>
  <si>
    <t>Total V</t>
  </si>
  <si>
    <t>ROIC</t>
  </si>
  <si>
    <t>Mean P</t>
  </si>
  <si>
    <t>OpEx</t>
  </si>
  <si>
    <t>NA OpEx</t>
  </si>
  <si>
    <t>Int'l OpEx</t>
  </si>
  <si>
    <t>AWS OpEx</t>
  </si>
  <si>
    <t>NI</t>
  </si>
  <si>
    <t>Capex</t>
  </si>
  <si>
    <t>Sale of securities</t>
  </si>
  <si>
    <t xml:space="preserve">Mean </t>
  </si>
  <si>
    <t>11Y Cash CAGR</t>
  </si>
  <si>
    <t>OM</t>
  </si>
  <si>
    <t>LTD Debt Change q/q</t>
  </si>
  <si>
    <t>STD Change q/q</t>
  </si>
  <si>
    <t>LTD Debt Increase</t>
  </si>
  <si>
    <t>STD Debt Increase</t>
  </si>
  <si>
    <t>LTD Debt Decrease</t>
  </si>
  <si>
    <t>STD Debt Decrease</t>
  </si>
  <si>
    <t>Organic Debt Change</t>
  </si>
  <si>
    <t>ROE</t>
  </si>
  <si>
    <t>NWC</t>
  </si>
  <si>
    <t>Q3'22</t>
  </si>
  <si>
    <t>Q2'22</t>
  </si>
  <si>
    <t>Q1'22</t>
  </si>
  <si>
    <t>Q4'21</t>
  </si>
  <si>
    <t>Q3'21</t>
  </si>
  <si>
    <t>ER</t>
  </si>
  <si>
    <t>Video</t>
  </si>
  <si>
    <t>Benefits</t>
  </si>
  <si>
    <t>Exercise</t>
  </si>
  <si>
    <t xml:space="preserve">Comp: Azure, Google, IBM, Oracle, VMWare, Dell, Alibaba, Tencent, vCloud,Lumen, Blue Prism, </t>
  </si>
  <si>
    <t>Contains</t>
  </si>
  <si>
    <t>Crystal Dynamics deal to develop Tomb Raider</t>
  </si>
  <si>
    <t>AWS/AFI innovation</t>
  </si>
  <si>
    <t>Slalom collab</t>
  </si>
  <si>
    <t xml:space="preserve">$700M Equity Investment in Rivian </t>
  </si>
  <si>
    <t>Equity warrants</t>
  </si>
  <si>
    <t>Equity Invest. Revisions</t>
  </si>
  <si>
    <t>Fx</t>
  </si>
  <si>
    <t>Other, net</t>
  </si>
  <si>
    <t>Rivian Revenues</t>
  </si>
  <si>
    <t>Gp</t>
  </si>
  <si>
    <t>Rivian Ownership</t>
  </si>
  <si>
    <t>158M shares</t>
  </si>
  <si>
    <t>RIVN</t>
  </si>
  <si>
    <t>Note</t>
  </si>
  <si>
    <t>AMZN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</si>
</sst>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b/>
      <sz val="11"/>
      <color rgb="FF000000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432FF"/>
      <name val="Intel Clear"/>
      <family val="2"/>
    </font>
    <font>
      <u/>
      <sz val="11"/>
      <color theme="1"/>
      <name val="Intel Clear"/>
      <family val="2"/>
    </font>
    <font>
      <b/>
      <sz val="11"/>
      <color rgb="FF0432FF"/>
      <name val="Intel Clear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1" fontId="2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9" fillId="0" borderId="0" xfId="0" applyNumberFormat="1" applyFont="1"/>
    <xf numFmtId="1" fontId="2" fillId="0" borderId="0" xfId="0" applyNumberFormat="1" applyFont="1"/>
    <xf numFmtId="10" fontId="2" fillId="0" borderId="0" xfId="0" applyNumberFormat="1" applyFont="1"/>
    <xf numFmtId="3" fontId="2" fillId="2" borderId="1" xfId="0" applyNumberFormat="1" applyFont="1" applyFill="1" applyBorder="1"/>
    <xf numFmtId="164" fontId="2" fillId="2" borderId="2" xfId="0" applyNumberFormat="1" applyFont="1" applyFill="1" applyBorder="1"/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3" fontId="1" fillId="2" borderId="4" xfId="0" applyNumberFormat="1" applyFont="1" applyFill="1" applyBorder="1"/>
    <xf numFmtId="3" fontId="2" fillId="2" borderId="0" xfId="0" applyNumberFormat="1" applyFont="1" applyFill="1"/>
    <xf numFmtId="3" fontId="2" fillId="2" borderId="5" xfId="0" applyNumberFormat="1" applyFont="1" applyFill="1" applyBorder="1"/>
    <xf numFmtId="164" fontId="2" fillId="2" borderId="0" xfId="0" applyNumberFormat="1" applyFont="1" applyFill="1"/>
    <xf numFmtId="164" fontId="2" fillId="2" borderId="5" xfId="0" applyNumberFormat="1" applyFont="1" applyFill="1" applyBorder="1"/>
    <xf numFmtId="3" fontId="2" fillId="2" borderId="4" xfId="0" applyNumberFormat="1" applyFont="1" applyFill="1" applyBorder="1"/>
    <xf numFmtId="9" fontId="2" fillId="2" borderId="4" xfId="0" applyNumberFormat="1" applyFont="1" applyFill="1" applyBorder="1"/>
    <xf numFmtId="9" fontId="1" fillId="2" borderId="4" xfId="0" applyNumberFormat="1" applyFont="1" applyFill="1" applyBorder="1"/>
    <xf numFmtId="1" fontId="2" fillId="2" borderId="0" xfId="0" applyNumberFormat="1" applyFont="1" applyFill="1"/>
    <xf numFmtId="3" fontId="2" fillId="2" borderId="6" xfId="0" applyNumberFormat="1" applyFont="1" applyFill="1" applyBorder="1"/>
    <xf numFmtId="9" fontId="2" fillId="2" borderId="7" xfId="0" applyNumberFormat="1" applyFont="1" applyFill="1" applyBorder="1"/>
    <xf numFmtId="9" fontId="2" fillId="2" borderId="0" xfId="0" applyNumberFormat="1" applyFont="1" applyFill="1"/>
    <xf numFmtId="1" fontId="2" fillId="2" borderId="5" xfId="0" applyNumberFormat="1" applyFont="1" applyFill="1" applyBorder="1"/>
    <xf numFmtId="9" fontId="2" fillId="2" borderId="8" xfId="0" applyNumberFormat="1" applyFont="1" applyFill="1" applyBorder="1"/>
    <xf numFmtId="164" fontId="10" fillId="3" borderId="0" xfId="0" applyNumberFormat="1" applyFont="1" applyFill="1"/>
    <xf numFmtId="3" fontId="10" fillId="3" borderId="0" xfId="0" applyNumberFormat="1" applyFont="1" applyFill="1"/>
    <xf numFmtId="1" fontId="10" fillId="3" borderId="0" xfId="0" applyNumberFormat="1" applyFont="1" applyFill="1"/>
    <xf numFmtId="9" fontId="10" fillId="3" borderId="7" xfId="0" applyNumberFormat="1" applyFont="1" applyFill="1" applyBorder="1"/>
    <xf numFmtId="3" fontId="1" fillId="2" borderId="1" xfId="0" applyNumberFormat="1" applyFont="1" applyFill="1" applyBorder="1"/>
    <xf numFmtId="3" fontId="1" fillId="2" borderId="3" xfId="0" applyNumberFormat="1" applyFont="1" applyFill="1" applyBorder="1" applyAlignment="1">
      <alignment horizontal="center"/>
    </xf>
    <xf numFmtId="3" fontId="1" fillId="2" borderId="6" xfId="0" applyNumberFormat="1" applyFont="1" applyFill="1" applyBorder="1"/>
    <xf numFmtId="9" fontId="1" fillId="4" borderId="8" xfId="0" applyNumberFormat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0" borderId="0" xfId="0" applyFont="1"/>
    <xf numFmtId="0" fontId="11" fillId="0" borderId="0" xfId="1"/>
    <xf numFmtId="14" fontId="2" fillId="0" borderId="0" xfId="0" applyNumberFormat="1" applyFont="1"/>
    <xf numFmtId="14" fontId="11" fillId="0" borderId="0" xfId="1" applyNumberFormat="1"/>
    <xf numFmtId="3" fontId="2" fillId="0" borderId="1" xfId="0" applyNumberFormat="1" applyFont="1" applyBorder="1" applyAlignment="1">
      <alignment horizontal="left"/>
    </xf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 applyAlignment="1">
      <alignment horizontal="left"/>
    </xf>
    <xf numFmtId="3" fontId="2" fillId="0" borderId="0" xfId="0" applyNumberFormat="1" applyFont="1" applyBorder="1"/>
    <xf numFmtId="3" fontId="2" fillId="0" borderId="5" xfId="0" applyNumberFormat="1" applyFont="1" applyBorder="1"/>
    <xf numFmtId="3" fontId="1" fillId="0" borderId="4" xfId="0" applyNumberFormat="1" applyFont="1" applyBorder="1" applyAlignment="1">
      <alignment horizontal="left"/>
    </xf>
    <xf numFmtId="3" fontId="1" fillId="0" borderId="0" xfId="0" applyNumberFormat="1" applyFont="1" applyBorder="1"/>
    <xf numFmtId="3" fontId="1" fillId="0" borderId="5" xfId="0" applyNumberFormat="1" applyFont="1" applyBorder="1"/>
    <xf numFmtId="3" fontId="2" fillId="0" borderId="6" xfId="0" applyNumberFormat="1" applyFont="1" applyBorder="1" applyAlignment="1">
      <alignment horizontal="left"/>
    </xf>
    <xf numFmtId="3" fontId="2" fillId="0" borderId="7" xfId="0" applyNumberFormat="1" applyFont="1" applyBorder="1"/>
    <xf numFmtId="3" fontId="2" fillId="0" borderId="8" xfId="0" applyNumberFormat="1" applyFont="1" applyBorder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12095</xdr:colOff>
      <xdr:row>0</xdr:row>
      <xdr:rowOff>35278</xdr:rowOff>
    </xdr:from>
    <xdr:to>
      <xdr:col>13</xdr:col>
      <xdr:colOff>21166</xdr:colOff>
      <xdr:row>156</xdr:row>
      <xdr:rowOff>96762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277579-C167-5839-E10F-966E564910AB}"/>
            </a:ext>
          </a:extLst>
        </xdr:cNvPr>
        <xdr:cNvCxnSpPr/>
      </xdr:nvCxnSpPr>
      <xdr:spPr>
        <a:xfrm flipH="1">
          <a:off x="9470571" y="35278"/>
          <a:ext cx="9071" cy="2526796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21166</xdr:colOff>
      <xdr:row>0</xdr:row>
      <xdr:rowOff>28222</xdr:rowOff>
    </xdr:from>
    <xdr:to>
      <xdr:col>30</xdr:col>
      <xdr:colOff>28222</xdr:colOff>
      <xdr:row>95</xdr:row>
      <xdr:rowOff>63500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74DBFD1-01D4-A14F-7106-7912F7823456}"/>
            </a:ext>
          </a:extLst>
        </xdr:cNvPr>
        <xdr:cNvCxnSpPr/>
      </xdr:nvCxnSpPr>
      <xdr:spPr>
        <a:xfrm>
          <a:off x="14252222" y="28222"/>
          <a:ext cx="7056" cy="14513278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ss.aboutamazon.com/2022/11/aws-and-slalom-expand-next-generation-strategic-collaboration" TargetMode="External"/><Relationship Id="rId3" Type="http://schemas.openxmlformats.org/officeDocument/2006/relationships/hyperlink" Target="https://www.google.com/url?sa=t&amp;rct=j&amp;q=&amp;esrc=s&amp;source=web&amp;cd=&amp;cad=rja&amp;uact=8&amp;ved=2ahUKEwjcu7Suo6n8AhV2MEQIHU4LDlUQtwJ6BAgqEAI&amp;url=https%3A%2F%2Fwww.youtube.com%2Fwatch%3Fv%3Da9__D53WsUs&amp;usg=AOvVaw2i0PdHNdTgUAIlIL6Odxx_" TargetMode="External"/><Relationship Id="rId7" Type="http://schemas.openxmlformats.org/officeDocument/2006/relationships/hyperlink" Target="https://press.aboutamazon.com/2022/12/american-family-insurance-and-aws-team-up-to-drive-innovation-in-the-insurance-industry" TargetMode="External"/><Relationship Id="rId2" Type="http://schemas.openxmlformats.org/officeDocument/2006/relationships/hyperlink" Target="https://en.wikipedia.org/wiki/Amazon_Web_Services" TargetMode="External"/><Relationship Id="rId1" Type="http://schemas.openxmlformats.org/officeDocument/2006/relationships/hyperlink" Target="https://s2.q4cdn.com/299287126/files/doc_financials/2022/q3/Q3-2022-Amazon-Earnings-Release.pdf" TargetMode="External"/><Relationship Id="rId6" Type="http://schemas.openxmlformats.org/officeDocument/2006/relationships/hyperlink" Target="https://press.aboutamazon.com/2022/12/amazon-games-and-crystal-dynamics-strike-deal-to-develop-and-publish-next-major-entry-in-iconic-tomb-raider-series" TargetMode="External"/><Relationship Id="rId5" Type="http://schemas.openxmlformats.org/officeDocument/2006/relationships/hyperlink" Target="https://aws.amazon.com/getting-started/hands-on/build-web-app-s3-lambda-api-gateway-dynamodb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aws.amazon.com/application-hosting/benefits/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16"/>
  <sheetViews>
    <sheetView zoomScale="180" zoomScaleNormal="180" workbookViewId="0">
      <selection activeCell="R22" sqref="R22"/>
    </sheetView>
  </sheetViews>
  <sheetFormatPr baseColWidth="10" defaultColWidth="8.83203125" defaultRowHeight="15" x14ac:dyDescent="0.2"/>
  <cols>
    <col min="1" max="2" width="8.83203125" style="1"/>
    <col min="3" max="3" width="9.5" style="1" bestFit="1" customWidth="1"/>
    <col min="4" max="11" width="8.83203125" style="1"/>
    <col min="12" max="12" width="6.83203125" style="1" bestFit="1" customWidth="1"/>
    <col min="13" max="13" width="10" style="1" bestFit="1" customWidth="1"/>
    <col min="14" max="14" width="6" style="1" bestFit="1" customWidth="1"/>
    <col min="15" max="15" width="8.83203125" style="1"/>
    <col min="16" max="16" width="15.5" style="1" bestFit="1" customWidth="1"/>
    <col min="17" max="17" width="8.83203125" style="1"/>
    <col min="18" max="18" width="15" style="1" bestFit="1" customWidth="1"/>
    <col min="19" max="16384" width="8.83203125" style="1"/>
  </cols>
  <sheetData>
    <row r="3" spans="2:23" x14ac:dyDescent="0.2">
      <c r="D3" s="60" t="s">
        <v>102</v>
      </c>
      <c r="E3" s="60" t="s">
        <v>156</v>
      </c>
      <c r="F3" s="60" t="s">
        <v>158</v>
      </c>
      <c r="G3" s="60" t="s">
        <v>157</v>
      </c>
      <c r="H3" s="1" t="s">
        <v>159</v>
      </c>
    </row>
    <row r="6" spans="2:23" x14ac:dyDescent="0.2">
      <c r="L6" s="10" t="s">
        <v>0</v>
      </c>
      <c r="P6" s="59" t="s">
        <v>173</v>
      </c>
      <c r="R6" s="1" t="s">
        <v>175</v>
      </c>
    </row>
    <row r="7" spans="2:23" x14ac:dyDescent="0.2">
      <c r="B7" s="1" t="s">
        <v>109</v>
      </c>
      <c r="L7" s="1" t="s">
        <v>1</v>
      </c>
      <c r="M7" s="2">
        <v>84</v>
      </c>
      <c r="P7" s="2">
        <v>18.43</v>
      </c>
      <c r="R7" s="2">
        <f>+P7</f>
        <v>18.43</v>
      </c>
    </row>
    <row r="8" spans="2:23" x14ac:dyDescent="0.2">
      <c r="B8" s="59" t="s">
        <v>155</v>
      </c>
      <c r="C8" s="1" t="s">
        <v>108</v>
      </c>
      <c r="D8" s="1" t="s">
        <v>160</v>
      </c>
      <c r="L8" s="1" t="s">
        <v>2</v>
      </c>
      <c r="M8" s="2">
        <v>10201.654176</v>
      </c>
      <c r="N8" s="1" t="s">
        <v>17</v>
      </c>
      <c r="P8" s="2">
        <f>913130805+7825</f>
        <v>913138630</v>
      </c>
      <c r="R8" s="2">
        <v>150000000</v>
      </c>
      <c r="S8" s="9">
        <f>+R8/P8</f>
        <v>0.16426859522962028</v>
      </c>
      <c r="T8" s="2"/>
      <c r="U8" s="2"/>
      <c r="V8" s="2"/>
      <c r="W8" s="2"/>
    </row>
    <row r="9" spans="2:23" x14ac:dyDescent="0.2">
      <c r="B9" s="60" t="s">
        <v>150</v>
      </c>
      <c r="C9" s="62">
        <v>44910</v>
      </c>
      <c r="D9" s="1" t="s">
        <v>161</v>
      </c>
      <c r="L9" s="1" t="s">
        <v>3</v>
      </c>
      <c r="M9" s="5">
        <f>+M7*M8</f>
        <v>856938.95078399999</v>
      </c>
      <c r="P9" s="5">
        <f>+P7*P8</f>
        <v>16829144950.9</v>
      </c>
      <c r="R9" s="2">
        <f>+R7*R8</f>
        <v>2764500000</v>
      </c>
      <c r="S9" s="2"/>
      <c r="T9" s="2"/>
      <c r="U9" s="2"/>
      <c r="V9" s="2"/>
      <c r="W9" s="2"/>
    </row>
    <row r="10" spans="2:23" x14ac:dyDescent="0.2">
      <c r="B10" s="1" t="s">
        <v>151</v>
      </c>
      <c r="C10" s="62">
        <v>44896</v>
      </c>
      <c r="D10" s="1" t="s">
        <v>162</v>
      </c>
      <c r="L10" s="1" t="s">
        <v>4</v>
      </c>
      <c r="M10" s="2">
        <f>36220+59829+(P10*S8)</f>
        <v>99027.682437298703</v>
      </c>
      <c r="N10" s="1" t="str">
        <f>+N8</f>
        <v>Q322</v>
      </c>
      <c r="P10" s="2">
        <v>18133</v>
      </c>
      <c r="R10" s="2">
        <f>+P10</f>
        <v>18133</v>
      </c>
      <c r="S10" s="2"/>
      <c r="T10" s="2"/>
      <c r="U10" s="2"/>
      <c r="V10" s="2"/>
      <c r="W10" s="2"/>
    </row>
    <row r="11" spans="2:23" x14ac:dyDescent="0.2">
      <c r="B11" s="1" t="s">
        <v>152</v>
      </c>
      <c r="C11" s="62">
        <v>44925</v>
      </c>
      <c r="D11" s="1" t="s">
        <v>163</v>
      </c>
      <c r="L11" s="1" t="s">
        <v>5</v>
      </c>
      <c r="M11" s="2">
        <f>48744+(P11*S8)</f>
        <v>48945.393297751514</v>
      </c>
      <c r="N11" s="1" t="str">
        <f>+N10</f>
        <v>Q322</v>
      </c>
      <c r="P11" s="2">
        <v>1226</v>
      </c>
      <c r="R11" s="2">
        <f>+P11</f>
        <v>1226</v>
      </c>
      <c r="S11" s="2"/>
      <c r="T11" s="2"/>
      <c r="U11" s="2"/>
      <c r="V11" s="2"/>
      <c r="W11" s="2"/>
    </row>
    <row r="12" spans="2:23" x14ac:dyDescent="0.2">
      <c r="B12" s="1" t="s">
        <v>153</v>
      </c>
      <c r="L12" s="1" t="s">
        <v>6</v>
      </c>
      <c r="M12" s="2">
        <f>+M9-M10+M11</f>
        <v>806856.66164445283</v>
      </c>
      <c r="P12" s="2">
        <f>+P9-P10+P11</f>
        <v>16829128043.9</v>
      </c>
      <c r="R12" s="2">
        <f>+P12</f>
        <v>16829128043.9</v>
      </c>
      <c r="S12" s="2"/>
      <c r="T12" s="2"/>
      <c r="U12" s="2"/>
      <c r="V12" s="2"/>
      <c r="W12" s="2"/>
    </row>
    <row r="13" spans="2:23" x14ac:dyDescent="0.2">
      <c r="B13" s="1" t="s">
        <v>154</v>
      </c>
    </row>
    <row r="15" spans="2:23" x14ac:dyDescent="0.2">
      <c r="B15" s="59" t="s">
        <v>6</v>
      </c>
    </row>
    <row r="16" spans="2:23" x14ac:dyDescent="0.2">
      <c r="B16" s="61">
        <v>43511</v>
      </c>
      <c r="C16" s="1" t="s">
        <v>164</v>
      </c>
    </row>
  </sheetData>
  <hyperlinks>
    <hyperlink ref="B9" r:id="rId1" xr:uid="{2BA6B349-CF74-974B-B19D-8284DE0E40EC}"/>
    <hyperlink ref="D3" r:id="rId2" xr:uid="{B59F0072-3643-CF4A-B19D-28BEF3472CF7}"/>
    <hyperlink ref="E3" r:id="rId3" xr:uid="{815ADE35-4B92-794D-B9AC-B5D311F8A1CE}"/>
    <hyperlink ref="G3" r:id="rId4" xr:uid="{BF73B40D-EE3D-7249-B265-3A63EECB9942}"/>
    <hyperlink ref="F3" r:id="rId5" xr:uid="{F9642775-6194-CC42-8874-42EF7EC611EB}"/>
    <hyperlink ref="C9" r:id="rId6" display="https://press.aboutamazon.com/2022/12/amazon-games-and-crystal-dynamics-strike-deal-to-develop-and-publish-next-major-entry-in-iconic-tomb-raider-series" xr:uid="{634BF3A5-3CFF-9344-89D8-C7017096E12A}"/>
    <hyperlink ref="C10" r:id="rId7" display="https://press.aboutamazon.com/2022/12/american-family-insurance-and-aws-team-up-to-drive-innovation-in-the-insurance-industry" xr:uid="{3E58AD50-75F4-5F4E-B9B0-113D90EF26CC}"/>
    <hyperlink ref="C11" r:id="rId8" display="https://press.aboutamazon.com/2022/11/aws-and-slalom-expand-next-generation-strategic-collaboration" xr:uid="{3EA9DC51-688B-BF4C-A34A-4B224A1ABBDC}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1B74-384C-A044-8517-616352A76775}">
  <dimension ref="A1:IB165"/>
  <sheetViews>
    <sheetView tabSelected="1" zoomScale="110" zoomScaleNormal="110" workbookViewId="0">
      <pane xSplit="2" ySplit="2" topLeftCell="C5" activePane="bottomRight" state="frozen"/>
      <selection pane="topRight" activeCell="C1" sqref="C1"/>
      <selection pane="bottomLeft" activeCell="A3" sqref="A3"/>
      <selection pane="bottomRight" activeCell="T177" sqref="T177"/>
    </sheetView>
  </sheetViews>
  <sheetFormatPr baseColWidth="10" defaultRowHeight="15" x14ac:dyDescent="0.2"/>
  <cols>
    <col min="1" max="1" width="10.83203125" style="2"/>
    <col min="2" max="2" width="20.6640625" style="11" bestFit="1" customWidth="1"/>
    <col min="3" max="4" width="8" style="2" bestFit="1" customWidth="1"/>
    <col min="5" max="8" width="8.6640625" style="2" bestFit="1" customWidth="1"/>
    <col min="9" max="9" width="8.5" style="2" bestFit="1" customWidth="1"/>
    <col min="10" max="11" width="8.6640625" style="2" bestFit="1" customWidth="1"/>
    <col min="12" max="12" width="11" style="2" bestFit="1" customWidth="1"/>
    <col min="13" max="13" width="12" style="2" bestFit="1" customWidth="1"/>
    <col min="14" max="14" width="8.6640625" style="2" bestFit="1" customWidth="1"/>
    <col min="15" max="21" width="8.6640625" style="2" customWidth="1"/>
    <col min="22" max="26" width="10.83203125" style="2"/>
    <col min="27" max="30" width="8.6640625" style="2" bestFit="1" customWidth="1"/>
    <col min="31" max="42" width="10.83203125" style="2"/>
    <col min="43" max="43" width="13.5" style="2" bestFit="1" customWidth="1"/>
    <col min="44" max="44" width="13.6640625" style="2" bestFit="1" customWidth="1"/>
    <col min="45" max="16384" width="10.83203125" style="2"/>
  </cols>
  <sheetData>
    <row r="1" spans="1:46" s="3" customFormat="1" x14ac:dyDescent="0.2">
      <c r="A1" s="2"/>
      <c r="B1" s="19"/>
    </row>
    <row r="2" spans="1:46" s="4" customFormat="1" x14ac:dyDescent="0.2">
      <c r="B2" s="11"/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7</v>
      </c>
      <c r="M2" s="4" t="s">
        <v>17</v>
      </c>
      <c r="N2" s="4" t="s">
        <v>18</v>
      </c>
      <c r="O2" s="4" t="s">
        <v>123</v>
      </c>
      <c r="P2" s="4" t="s">
        <v>124</v>
      </c>
      <c r="Q2" s="4" t="s">
        <v>125</v>
      </c>
      <c r="R2" s="4" t="s">
        <v>126</v>
      </c>
      <c r="V2" s="4">
        <v>2013</v>
      </c>
      <c r="W2" s="4">
        <v>2014</v>
      </c>
      <c r="X2" s="4">
        <v>2015</v>
      </c>
      <c r="Y2" s="4">
        <v>2016</v>
      </c>
      <c r="Z2" s="4">
        <v>2017</v>
      </c>
      <c r="AA2" s="8">
        <v>2018</v>
      </c>
      <c r="AB2" s="8">
        <f>+AA2+1</f>
        <v>2019</v>
      </c>
      <c r="AC2" s="8">
        <f t="shared" ref="AC2:AN2" si="0">+AB2+1</f>
        <v>2020</v>
      </c>
      <c r="AD2" s="8">
        <f t="shared" si="0"/>
        <v>2021</v>
      </c>
      <c r="AE2" s="8">
        <f t="shared" si="0"/>
        <v>2022</v>
      </c>
      <c r="AF2" s="8">
        <f t="shared" si="0"/>
        <v>2023</v>
      </c>
      <c r="AG2" s="8">
        <f t="shared" si="0"/>
        <v>2024</v>
      </c>
      <c r="AH2" s="8">
        <f t="shared" si="0"/>
        <v>2025</v>
      </c>
      <c r="AI2" s="8">
        <f t="shared" si="0"/>
        <v>2026</v>
      </c>
      <c r="AJ2" s="8">
        <f t="shared" si="0"/>
        <v>2027</v>
      </c>
      <c r="AK2" s="8">
        <f t="shared" si="0"/>
        <v>2028</v>
      </c>
      <c r="AL2" s="8">
        <f t="shared" si="0"/>
        <v>2029</v>
      </c>
      <c r="AM2" s="8">
        <f t="shared" si="0"/>
        <v>2030</v>
      </c>
      <c r="AN2" s="8">
        <f t="shared" si="0"/>
        <v>2031</v>
      </c>
      <c r="AO2" s="8"/>
      <c r="AP2" s="8"/>
      <c r="AQ2" s="8"/>
      <c r="AR2" s="8"/>
      <c r="AS2" s="8"/>
      <c r="AT2" s="8"/>
    </row>
    <row r="3" spans="1:46" s="4" customFormat="1" x14ac:dyDescent="0.2">
      <c r="B3" s="11" t="s">
        <v>100</v>
      </c>
      <c r="C3" s="4">
        <v>46127</v>
      </c>
      <c r="D3" s="4">
        <v>55436</v>
      </c>
      <c r="E3" s="4">
        <v>59373</v>
      </c>
      <c r="F3" s="4">
        <f>+AC3-SUM(C3:E3)</f>
        <v>75346</v>
      </c>
      <c r="G3" s="4">
        <v>64366</v>
      </c>
      <c r="H3" s="4">
        <v>67550</v>
      </c>
      <c r="I3" s="4">
        <v>65557</v>
      </c>
      <c r="J3" s="4">
        <f>+AD3-SUM(G3:I3)</f>
        <v>82360</v>
      </c>
      <c r="K3" s="4">
        <v>69244</v>
      </c>
      <c r="L3" s="4">
        <v>74430</v>
      </c>
      <c r="M3" s="4">
        <v>78843</v>
      </c>
      <c r="N3" s="4">
        <f>+J3*(1+N24)</f>
        <v>90596.000000000015</v>
      </c>
      <c r="AC3" s="4">
        <v>236282</v>
      </c>
      <c r="AD3" s="4">
        <v>279833</v>
      </c>
    </row>
    <row r="4" spans="1:46" s="4" customFormat="1" x14ac:dyDescent="0.2">
      <c r="B4" s="11" t="s">
        <v>101</v>
      </c>
      <c r="C4" s="4">
        <v>19106</v>
      </c>
      <c r="D4" s="4">
        <v>22668</v>
      </c>
      <c r="E4" s="4">
        <v>25171</v>
      </c>
      <c r="F4" s="4">
        <v>37467</v>
      </c>
      <c r="G4" s="4">
        <v>30649</v>
      </c>
      <c r="H4" s="4">
        <v>30721</v>
      </c>
      <c r="I4" s="4">
        <v>29145</v>
      </c>
      <c r="J4" s="4">
        <f>+AD4-SUM(G4:I4)</f>
        <v>37272</v>
      </c>
      <c r="K4" s="4">
        <v>28759</v>
      </c>
      <c r="L4" s="4">
        <v>27065</v>
      </c>
      <c r="M4" s="4">
        <v>27720</v>
      </c>
      <c r="N4" s="4">
        <f>+J4*(1+N25)</f>
        <v>35408.400000000001</v>
      </c>
      <c r="AC4" s="4">
        <v>104412</v>
      </c>
      <c r="AD4" s="4">
        <v>127787</v>
      </c>
    </row>
    <row r="5" spans="1:46" s="4" customFormat="1" x14ac:dyDescent="0.2">
      <c r="B5" s="11" t="s">
        <v>102</v>
      </c>
      <c r="C5" s="4">
        <v>10219</v>
      </c>
      <c r="D5" s="4">
        <v>10808</v>
      </c>
      <c r="E5" s="4">
        <v>11601</v>
      </c>
      <c r="F5" s="4">
        <v>12742</v>
      </c>
      <c r="G5" s="4">
        <v>13503</v>
      </c>
      <c r="H5" s="4">
        <v>14809</v>
      </c>
      <c r="I5" s="4">
        <v>16110</v>
      </c>
      <c r="J5" s="4">
        <f>+AD5-SUM(G5:I5)</f>
        <v>17780</v>
      </c>
      <c r="K5" s="4">
        <v>18441</v>
      </c>
      <c r="L5" s="4">
        <v>19739</v>
      </c>
      <c r="M5" s="4">
        <v>20538</v>
      </c>
      <c r="N5" s="4">
        <f>+J5*(1+N26)</f>
        <v>19558</v>
      </c>
      <c r="AC5" s="4">
        <v>45370</v>
      </c>
      <c r="AD5" s="4">
        <v>62202</v>
      </c>
    </row>
    <row r="6" spans="1:46" s="12" customFormat="1" x14ac:dyDescent="0.2">
      <c r="B6" s="14" t="s">
        <v>103</v>
      </c>
      <c r="C6" s="12">
        <f t="shared" ref="C6:K6" si="1">+SUM(C3:C5)</f>
        <v>75452</v>
      </c>
      <c r="D6" s="12">
        <f t="shared" si="1"/>
        <v>88912</v>
      </c>
      <c r="E6" s="12">
        <f t="shared" si="1"/>
        <v>96145</v>
      </c>
      <c r="F6" s="12">
        <f t="shared" si="1"/>
        <v>125555</v>
      </c>
      <c r="G6" s="12">
        <f t="shared" si="1"/>
        <v>108518</v>
      </c>
      <c r="H6" s="12">
        <f t="shared" si="1"/>
        <v>113080</v>
      </c>
      <c r="I6" s="12">
        <f>+SUM(I3:I5)</f>
        <v>110812</v>
      </c>
      <c r="J6" s="12">
        <f t="shared" si="1"/>
        <v>137412</v>
      </c>
      <c r="K6" s="12">
        <f t="shared" si="1"/>
        <v>116444</v>
      </c>
      <c r="L6" s="12">
        <f>+SUM(L3:L5)</f>
        <v>121234</v>
      </c>
      <c r="M6" s="12">
        <f>+SUM(M3:M5)</f>
        <v>127101</v>
      </c>
      <c r="N6" s="12">
        <f>+SUM(N3:N5)</f>
        <v>145562.40000000002</v>
      </c>
      <c r="AA6" s="12">
        <f t="shared" ref="AA6:AC6" si="2">+SUM(AA3:AA5)</f>
        <v>0</v>
      </c>
      <c r="AB6" s="12">
        <f t="shared" si="2"/>
        <v>0</v>
      </c>
      <c r="AC6" s="12">
        <f t="shared" si="2"/>
        <v>386064</v>
      </c>
      <c r="AD6" s="12">
        <f>+SUM(AD3:AD5)</f>
        <v>469822</v>
      </c>
      <c r="AE6" s="12">
        <f t="shared" ref="AE6:AN6" si="3">+SUM(AE3:AE5)</f>
        <v>0</v>
      </c>
      <c r="AF6" s="12">
        <f t="shared" si="3"/>
        <v>0</v>
      </c>
      <c r="AG6" s="12">
        <f t="shared" si="3"/>
        <v>0</v>
      </c>
      <c r="AH6" s="12">
        <f t="shared" si="3"/>
        <v>0</v>
      </c>
      <c r="AI6" s="12">
        <f t="shared" si="3"/>
        <v>0</v>
      </c>
      <c r="AJ6" s="12">
        <f t="shared" si="3"/>
        <v>0</v>
      </c>
      <c r="AK6" s="12">
        <f t="shared" si="3"/>
        <v>0</v>
      </c>
      <c r="AL6" s="12">
        <f t="shared" si="3"/>
        <v>0</v>
      </c>
      <c r="AM6" s="12">
        <f t="shared" si="3"/>
        <v>0</v>
      </c>
      <c r="AN6" s="12">
        <f t="shared" si="3"/>
        <v>0</v>
      </c>
    </row>
    <row r="7" spans="1:46" s="4" customFormat="1" x14ac:dyDescent="0.2">
      <c r="B7" s="11" t="s">
        <v>132</v>
      </c>
      <c r="C7" s="4">
        <v>44815</v>
      </c>
      <c r="D7" s="4">
        <v>53295</v>
      </c>
      <c r="E7" s="4">
        <v>57121</v>
      </c>
      <c r="F7" s="4">
        <v>72400</v>
      </c>
      <c r="G7" s="4">
        <v>60916</v>
      </c>
      <c r="H7" s="4">
        <v>64403</v>
      </c>
      <c r="I7" s="4">
        <v>64677</v>
      </c>
      <c r="J7" s="4">
        <v>82566</v>
      </c>
      <c r="K7" s="4">
        <v>70812</v>
      </c>
      <c r="L7" s="4">
        <v>75057</v>
      </c>
      <c r="M7" s="4">
        <v>79255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</row>
    <row r="8" spans="1:46" s="4" customFormat="1" x14ac:dyDescent="0.2">
      <c r="B8" s="11" t="s">
        <v>133</v>
      </c>
      <c r="C8" s="4">
        <v>19504</v>
      </c>
      <c r="D8" s="4">
        <v>22323</v>
      </c>
      <c r="E8" s="4">
        <v>24764</v>
      </c>
      <c r="F8" s="4">
        <v>37104</v>
      </c>
      <c r="G8" s="4">
        <v>29397</v>
      </c>
      <c r="H8" s="4">
        <v>30359</v>
      </c>
      <c r="I8" s="4">
        <v>30056</v>
      </c>
      <c r="J8" s="4">
        <v>38899</v>
      </c>
      <c r="K8" s="4">
        <v>30040</v>
      </c>
      <c r="L8" s="4">
        <v>28836</v>
      </c>
      <c r="M8" s="4">
        <v>30186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</row>
    <row r="9" spans="1:46" s="4" customFormat="1" x14ac:dyDescent="0.2">
      <c r="B9" s="11" t="s">
        <v>134</v>
      </c>
      <c r="C9" s="4">
        <v>7144</v>
      </c>
      <c r="D9" s="4">
        <v>7451</v>
      </c>
      <c r="E9" s="4">
        <v>8066</v>
      </c>
      <c r="F9" s="4">
        <v>9178</v>
      </c>
      <c r="G9" s="4">
        <v>9340</v>
      </c>
      <c r="H9" s="4">
        <v>10616</v>
      </c>
      <c r="I9" s="4">
        <v>11227</v>
      </c>
      <c r="J9" s="4">
        <v>12487</v>
      </c>
      <c r="K9" s="4">
        <v>11923</v>
      </c>
      <c r="L9" s="4">
        <v>14024</v>
      </c>
      <c r="M9" s="4">
        <v>15135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</row>
    <row r="10" spans="1:46" s="12" customFormat="1" x14ac:dyDescent="0.2">
      <c r="B10" s="14" t="s">
        <v>131</v>
      </c>
      <c r="C10" s="12">
        <f t="shared" ref="C10:L10" si="4">SUM(C7:C9)</f>
        <v>71463</v>
      </c>
      <c r="D10" s="12">
        <f t="shared" si="4"/>
        <v>83069</v>
      </c>
      <c r="E10" s="12">
        <f t="shared" si="4"/>
        <v>89951</v>
      </c>
      <c r="F10" s="12">
        <f t="shared" si="4"/>
        <v>118682</v>
      </c>
      <c r="G10" s="12">
        <f t="shared" si="4"/>
        <v>99653</v>
      </c>
      <c r="H10" s="12">
        <f t="shared" si="4"/>
        <v>105378</v>
      </c>
      <c r="I10" s="12">
        <f t="shared" si="4"/>
        <v>105960</v>
      </c>
      <c r="J10" s="12">
        <f t="shared" si="4"/>
        <v>133952</v>
      </c>
      <c r="K10" s="12">
        <f t="shared" si="4"/>
        <v>112775</v>
      </c>
      <c r="L10" s="12">
        <f t="shared" si="4"/>
        <v>117917</v>
      </c>
      <c r="M10" s="12">
        <f>SUM(M7:M9)</f>
        <v>124576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s="12" customFormat="1" x14ac:dyDescent="0.2">
      <c r="B11" s="11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s="4" customFormat="1" x14ac:dyDescent="0.2">
      <c r="B12" s="11" t="s">
        <v>100</v>
      </c>
      <c r="C12" s="4">
        <f t="shared" ref="C12:L14" si="5">+C3-C7</f>
        <v>1312</v>
      </c>
      <c r="D12" s="4">
        <f t="shared" si="5"/>
        <v>2141</v>
      </c>
      <c r="E12" s="4">
        <f t="shared" si="5"/>
        <v>2252</v>
      </c>
      <c r="F12" s="4">
        <f t="shared" si="5"/>
        <v>2946</v>
      </c>
      <c r="G12" s="4">
        <f t="shared" si="5"/>
        <v>3450</v>
      </c>
      <c r="H12" s="4">
        <f t="shared" si="5"/>
        <v>3147</v>
      </c>
      <c r="I12" s="4">
        <f t="shared" si="5"/>
        <v>880</v>
      </c>
      <c r="J12" s="4">
        <f t="shared" si="5"/>
        <v>-206</v>
      </c>
      <c r="K12" s="4">
        <f t="shared" si="5"/>
        <v>-1568</v>
      </c>
      <c r="L12" s="4">
        <f t="shared" si="5"/>
        <v>-627</v>
      </c>
      <c r="M12" s="4">
        <f>+M3-M7</f>
        <v>-412</v>
      </c>
      <c r="AA12" s="8"/>
      <c r="AB12" s="8"/>
      <c r="AC12" s="8">
        <v>8651</v>
      </c>
      <c r="AD12" s="8">
        <v>7271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</row>
    <row r="13" spans="1:46" s="4" customFormat="1" x14ac:dyDescent="0.2">
      <c r="B13" s="11" t="s">
        <v>101</v>
      </c>
      <c r="C13" s="4">
        <f t="shared" si="5"/>
        <v>-398</v>
      </c>
      <c r="D13" s="4">
        <f t="shared" si="5"/>
        <v>345</v>
      </c>
      <c r="E13" s="4">
        <f t="shared" si="5"/>
        <v>407</v>
      </c>
      <c r="F13" s="4">
        <f t="shared" si="5"/>
        <v>363</v>
      </c>
      <c r="G13" s="4">
        <f t="shared" si="5"/>
        <v>1252</v>
      </c>
      <c r="H13" s="4">
        <f t="shared" si="5"/>
        <v>362</v>
      </c>
      <c r="I13" s="4">
        <f t="shared" si="5"/>
        <v>-911</v>
      </c>
      <c r="J13" s="4">
        <f t="shared" si="5"/>
        <v>-1627</v>
      </c>
      <c r="K13" s="4">
        <f t="shared" si="5"/>
        <v>-1281</v>
      </c>
      <c r="L13" s="4">
        <f t="shared" si="5"/>
        <v>-1771</v>
      </c>
      <c r="M13" s="4">
        <f t="shared" ref="M13:M14" si="6">+M4-M8</f>
        <v>-2466</v>
      </c>
      <c r="AA13" s="8"/>
      <c r="AB13" s="8"/>
      <c r="AC13" s="8">
        <v>717</v>
      </c>
      <c r="AD13" s="8">
        <v>924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</row>
    <row r="14" spans="1:46" s="4" customFormat="1" x14ac:dyDescent="0.2">
      <c r="B14" s="11" t="s">
        <v>102</v>
      </c>
      <c r="C14" s="4">
        <f t="shared" si="5"/>
        <v>3075</v>
      </c>
      <c r="D14" s="4">
        <f t="shared" si="5"/>
        <v>3357</v>
      </c>
      <c r="E14" s="4">
        <f t="shared" si="5"/>
        <v>3535</v>
      </c>
      <c r="F14" s="4">
        <f t="shared" si="5"/>
        <v>3564</v>
      </c>
      <c r="G14" s="4">
        <f t="shared" si="5"/>
        <v>4163</v>
      </c>
      <c r="H14" s="4">
        <f t="shared" si="5"/>
        <v>4193</v>
      </c>
      <c r="I14" s="4">
        <f t="shared" si="5"/>
        <v>4883</v>
      </c>
      <c r="J14" s="4">
        <f t="shared" si="5"/>
        <v>5293</v>
      </c>
      <c r="K14" s="4">
        <f t="shared" si="5"/>
        <v>6518</v>
      </c>
      <c r="L14" s="4">
        <f t="shared" si="5"/>
        <v>5715</v>
      </c>
      <c r="M14" s="4">
        <f t="shared" si="6"/>
        <v>5403</v>
      </c>
      <c r="AA14" s="8"/>
      <c r="AB14" s="8"/>
      <c r="AC14" s="8">
        <v>13531</v>
      </c>
      <c r="AD14" s="8">
        <v>18532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</row>
    <row r="15" spans="1:46" s="12" customFormat="1" x14ac:dyDescent="0.2">
      <c r="B15" s="14" t="s">
        <v>110</v>
      </c>
      <c r="C15" s="12">
        <f t="shared" ref="C15:L15" si="7">+SUM(C12:C14)</f>
        <v>3989</v>
      </c>
      <c r="D15" s="12">
        <f t="shared" si="7"/>
        <v>5843</v>
      </c>
      <c r="E15" s="12">
        <f t="shared" si="7"/>
        <v>6194</v>
      </c>
      <c r="F15" s="12">
        <f t="shared" si="7"/>
        <v>6873</v>
      </c>
      <c r="G15" s="12">
        <f t="shared" si="7"/>
        <v>8865</v>
      </c>
      <c r="H15" s="12">
        <f t="shared" si="7"/>
        <v>7702</v>
      </c>
      <c r="I15" s="12">
        <f t="shared" si="7"/>
        <v>4852</v>
      </c>
      <c r="J15" s="12">
        <f t="shared" si="7"/>
        <v>3460</v>
      </c>
      <c r="K15" s="12">
        <f t="shared" si="7"/>
        <v>3669</v>
      </c>
      <c r="L15" s="12">
        <f t="shared" si="7"/>
        <v>3317</v>
      </c>
      <c r="M15" s="12">
        <f>+SUM(M12:M14)</f>
        <v>2525</v>
      </c>
      <c r="AA15" s="12">
        <f t="shared" ref="AA15:AB15" si="8">+SUM(AA12:AA14)</f>
        <v>0</v>
      </c>
      <c r="AB15" s="12">
        <f t="shared" si="8"/>
        <v>0</v>
      </c>
      <c r="AC15" s="13">
        <v>13531</v>
      </c>
      <c r="AD15" s="12">
        <f>+SUM(AD12:AD14)</f>
        <v>26727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s="12" customFormat="1" x14ac:dyDescent="0.2">
      <c r="B16" s="14"/>
      <c r="C16" s="22" t="str">
        <f>IF(C15=C40,"m","n")</f>
        <v>m</v>
      </c>
      <c r="D16" s="22" t="str">
        <f>IF(D15=D40,"m","n")</f>
        <v>m</v>
      </c>
      <c r="E16" s="22" t="str">
        <f>IF(E15=E40,"m","n")</f>
        <v>m</v>
      </c>
      <c r="F16" s="22" t="str">
        <f>IF(F15=F40,"m","n")</f>
        <v>m</v>
      </c>
      <c r="G16" s="22" t="str">
        <f>IF(G15=G40,"m","n")</f>
        <v>m</v>
      </c>
      <c r="H16" s="22" t="str">
        <f>IF(H15=H40,"m","n")</f>
        <v>m</v>
      </c>
      <c r="I16" s="22" t="str">
        <f>IF(I15=I40,"m","n")</f>
        <v>m</v>
      </c>
      <c r="J16" s="22" t="str">
        <f>IF(J15=J40,"m","n")</f>
        <v>m</v>
      </c>
      <c r="K16" s="22" t="str">
        <f>IF(K15=K40,"m","n")</f>
        <v>m</v>
      </c>
      <c r="L16" s="22" t="str">
        <f>IF(L15=L40,"m","n")</f>
        <v>m</v>
      </c>
      <c r="M16" s="22" t="str">
        <f>IF(M15=M40,"m","n")</f>
        <v>m</v>
      </c>
      <c r="AC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2:46" s="12" customFormat="1" x14ac:dyDescent="0.2">
      <c r="B17" s="14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AC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2:46" s="4" customFormat="1" x14ac:dyDescent="0.2">
      <c r="B18" s="11" t="s">
        <v>104</v>
      </c>
      <c r="C18" s="18">
        <f>+C12/C3</f>
        <v>2.8443211134476554E-2</v>
      </c>
      <c r="D18" s="18">
        <f>+D12/D3</f>
        <v>3.8621112634389207E-2</v>
      </c>
      <c r="E18" s="18">
        <f>+E12/E3</f>
        <v>3.7929698684587274E-2</v>
      </c>
      <c r="F18" s="18">
        <f>+F12/F3</f>
        <v>3.9099620417805854E-2</v>
      </c>
      <c r="G18" s="18">
        <f>+G12/G3</f>
        <v>5.3599726563713763E-2</v>
      </c>
      <c r="H18" s="18">
        <f>+H12/H3</f>
        <v>4.6587712805329383E-2</v>
      </c>
      <c r="I18" s="18">
        <f>+I12/I3</f>
        <v>1.3423433043000747E-2</v>
      </c>
      <c r="J18" s="18">
        <f>+J12/J3</f>
        <v>-2.5012141816415736E-3</v>
      </c>
      <c r="K18" s="18">
        <f>+K12/K3</f>
        <v>-2.2644561261625555E-2</v>
      </c>
      <c r="L18" s="18">
        <f>+L12/L3</f>
        <v>-8.4240225715437322E-3</v>
      </c>
      <c r="M18" s="18">
        <f>+M12/M3</f>
        <v>-5.2255748766536023E-3</v>
      </c>
      <c r="Z18" s="12"/>
      <c r="AA18" s="18" t="e">
        <f>+AA12/AA3</f>
        <v>#DIV/0!</v>
      </c>
      <c r="AB18" s="18" t="e">
        <f>+AB12/AB3</f>
        <v>#DIV/0!</v>
      </c>
      <c r="AC18" s="18">
        <f>+AC12/AC3</f>
        <v>3.6613030192735797E-2</v>
      </c>
      <c r="AD18" s="18">
        <f>+AD12/AD3</f>
        <v>2.5983354357777676E-2</v>
      </c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8"/>
      <c r="AP18" s="8"/>
      <c r="AQ18" s="8"/>
      <c r="AR18" s="8"/>
      <c r="AS18" s="8"/>
      <c r="AT18" s="8"/>
    </row>
    <row r="19" spans="2:46" s="4" customFormat="1" x14ac:dyDescent="0.2">
      <c r="B19" s="11" t="s">
        <v>106</v>
      </c>
      <c r="C19" s="18">
        <f>+C13/C4</f>
        <v>-2.0831152517533758E-2</v>
      </c>
      <c r="D19" s="18">
        <f>+D13/D4</f>
        <v>1.5219692959237693E-2</v>
      </c>
      <c r="E19" s="18">
        <f>+E13/E4</f>
        <v>1.6169401295141234E-2</v>
      </c>
      <c r="F19" s="18">
        <f>+F13/F4</f>
        <v>9.6885259027944589E-3</v>
      </c>
      <c r="G19" s="18">
        <f>+G13/G4</f>
        <v>4.084961988971908E-2</v>
      </c>
      <c r="H19" s="18">
        <f>+H13/H4</f>
        <v>1.178347059015006E-2</v>
      </c>
      <c r="I19" s="18">
        <f>+I13/I4</f>
        <v>-3.1257505575570423E-2</v>
      </c>
      <c r="J19" s="18">
        <f>+J13/J4</f>
        <v>-4.3652071259927025E-2</v>
      </c>
      <c r="K19" s="18">
        <f>+K13/K4</f>
        <v>-4.4542577975590247E-2</v>
      </c>
      <c r="L19" s="18">
        <f>+L13/L4</f>
        <v>-6.5435063735451687E-2</v>
      </c>
      <c r="M19" s="18">
        <f>+M13/M4</f>
        <v>-8.8961038961038963E-2</v>
      </c>
      <c r="AA19" s="18" t="e">
        <f>+AA13/AA4</f>
        <v>#DIV/0!</v>
      </c>
      <c r="AB19" s="18" t="e">
        <f>+AB13/AB4</f>
        <v>#DIV/0!</v>
      </c>
      <c r="AC19" s="18">
        <f>+AC13/AC4</f>
        <v>6.8670267785312031E-3</v>
      </c>
      <c r="AD19" s="18">
        <f>+AD13/AD4</f>
        <v>7.2307824739605746E-3</v>
      </c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8"/>
      <c r="AP19" s="8"/>
      <c r="AQ19" s="8"/>
      <c r="AR19" s="8"/>
      <c r="AS19" s="8"/>
      <c r="AT19" s="8"/>
    </row>
    <row r="20" spans="2:46" s="16" customFormat="1" x14ac:dyDescent="0.2">
      <c r="B20" s="15" t="s">
        <v>105</v>
      </c>
      <c r="C20" s="24">
        <f>+C14/C5</f>
        <v>0.30091006947842253</v>
      </c>
      <c r="D20" s="24">
        <f>+D14/D5</f>
        <v>0.31060325684678014</v>
      </c>
      <c r="E20" s="24">
        <f>+E14/E5</f>
        <v>0.30471511076631325</v>
      </c>
      <c r="F20" s="24">
        <f>+F14/F5</f>
        <v>0.27970491288651705</v>
      </c>
      <c r="G20" s="24">
        <f>+G14/G5</f>
        <v>0.30830185884618233</v>
      </c>
      <c r="H20" s="24">
        <f>+H14/H5</f>
        <v>0.28313863191302585</v>
      </c>
      <c r="I20" s="24">
        <f>+I14/I5</f>
        <v>0.3031036623215394</v>
      </c>
      <c r="J20" s="24">
        <f>+J14/J5</f>
        <v>0.29769403824521934</v>
      </c>
      <c r="K20" s="24">
        <f>+K14/K5</f>
        <v>0.35345154818068436</v>
      </c>
      <c r="L20" s="24">
        <f>+L14/L5</f>
        <v>0.28952834490095747</v>
      </c>
      <c r="M20" s="24">
        <f>+M14/M5</f>
        <v>0.26307332749050538</v>
      </c>
      <c r="AA20" s="18" t="e">
        <f>+AA14/AA5</f>
        <v>#DIV/0!</v>
      </c>
      <c r="AB20" s="18" t="e">
        <f>+AB14/AB5</f>
        <v>#DIV/0!</v>
      </c>
      <c r="AC20" s="18">
        <f>+AC14/AC5</f>
        <v>0.29823672029975756</v>
      </c>
      <c r="AD20" s="18">
        <f>+AD14/AD5</f>
        <v>0.29793254236198191</v>
      </c>
      <c r="AE20" s="18"/>
      <c r="AF20" s="18"/>
      <c r="AG20" s="18"/>
      <c r="AH20" s="18"/>
      <c r="AI20" s="18"/>
      <c r="AJ20" s="18"/>
      <c r="AK20" s="18"/>
      <c r="AL20" s="18"/>
      <c r="AM20" s="18"/>
      <c r="AN20" s="18"/>
    </row>
    <row r="21" spans="2:46" s="4" customFormat="1" x14ac:dyDescent="0.2">
      <c r="B21" s="11" t="s">
        <v>107</v>
      </c>
      <c r="C21" s="18">
        <f>+C15/C6</f>
        <v>5.2868048560674334E-2</v>
      </c>
      <c r="D21" s="18">
        <f>+D15/D6</f>
        <v>6.5716663667446468E-2</v>
      </c>
      <c r="E21" s="18">
        <f>+E15/E6</f>
        <v>6.4423526964480726E-2</v>
      </c>
      <c r="F21" s="18">
        <f>+F15/F6</f>
        <v>5.4740950181195493E-2</v>
      </c>
      <c r="G21" s="18">
        <f>+G15/G6</f>
        <v>8.1691516614755155E-2</v>
      </c>
      <c r="H21" s="18">
        <f>+H15/H6</f>
        <v>6.8111071807569867E-2</v>
      </c>
      <c r="I21" s="18">
        <f>+I15/I6</f>
        <v>4.3785871566256365E-2</v>
      </c>
      <c r="J21" s="18">
        <f>+J15/J6</f>
        <v>2.5179751404535267E-2</v>
      </c>
      <c r="K21" s="18">
        <f>+K15/K6</f>
        <v>3.1508708048504003E-2</v>
      </c>
      <c r="L21" s="18">
        <f>+L15/L6</f>
        <v>2.7360311463780786E-2</v>
      </c>
      <c r="M21" s="18">
        <f>+M15/M6</f>
        <v>1.986609074672898E-2</v>
      </c>
      <c r="AA21" s="18" t="e">
        <f>+AA15/AA6</f>
        <v>#DIV/0!</v>
      </c>
      <c r="AB21" s="18" t="e">
        <f>+AB15/AB6</f>
        <v>#DIV/0!</v>
      </c>
      <c r="AC21" s="18">
        <f>+AC15/AC6</f>
        <v>3.5048592979402382E-2</v>
      </c>
      <c r="AD21" s="18">
        <f>+AD15/AD6</f>
        <v>5.6887502075254032E-2</v>
      </c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8"/>
      <c r="AP21" s="8"/>
      <c r="AQ21" s="8"/>
      <c r="AR21" s="8"/>
      <c r="AS21" s="8"/>
      <c r="AT21" s="8"/>
    </row>
    <row r="22" spans="2:46" s="12" customFormat="1" x14ac:dyDescent="0.2">
      <c r="B22" s="14"/>
      <c r="AC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2:46" s="12" customFormat="1" x14ac:dyDescent="0.2">
      <c r="B23" s="11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2:46" s="23" customFormat="1" x14ac:dyDescent="0.2">
      <c r="B24" s="15" t="s">
        <v>111</v>
      </c>
      <c r="G24" s="23">
        <f>IFERROR((G3/C3)-1,0)</f>
        <v>0.39540832917813851</v>
      </c>
      <c r="H24" s="23">
        <f>IFERROR((H3/D3)-1,0)</f>
        <v>0.21852225990331187</v>
      </c>
      <c r="I24" s="23">
        <f>IFERROR((I3/E3)-1,0)</f>
        <v>0.10415508732925738</v>
      </c>
      <c r="J24" s="23">
        <f>IFERROR((J3/F3)-1,0)</f>
        <v>9.3090542298197576E-2</v>
      </c>
      <c r="K24" s="23">
        <f>IFERROR((K3/G3)-1,0)</f>
        <v>7.5785352515303162E-2</v>
      </c>
      <c r="L24" s="23">
        <f>IFERROR((L3/H3)-1,0)</f>
        <v>0.10185048112509243</v>
      </c>
      <c r="M24" s="23">
        <f>IFERROR((M3/I3)-1,0)</f>
        <v>0.20266333114694079</v>
      </c>
      <c r="N24" s="27">
        <v>0.1</v>
      </c>
      <c r="O24" s="27"/>
      <c r="P24" s="27"/>
      <c r="Q24" s="27"/>
      <c r="R24" s="27"/>
      <c r="S24" s="27"/>
      <c r="T24" s="27"/>
      <c r="U24" s="27"/>
    </row>
    <row r="25" spans="2:46" s="12" customFormat="1" x14ac:dyDescent="0.2">
      <c r="B25" s="11" t="s">
        <v>112</v>
      </c>
      <c r="G25" s="16">
        <f>IFERROR((G4/C4)-1,0)</f>
        <v>0.60415576258766879</v>
      </c>
      <c r="H25" s="16">
        <f>IFERROR((H4/D4)-1,0)</f>
        <v>0.35525851420504684</v>
      </c>
      <c r="I25" s="16">
        <f>IFERROR((I4/E4)-1,0)</f>
        <v>0.15788010011521192</v>
      </c>
      <c r="J25" s="16">
        <f>IFERROR((J4/F4)-1,0)</f>
        <v>-5.2045800304267864E-3</v>
      </c>
      <c r="K25" s="16">
        <f>IFERROR((K4/G4)-1,0)</f>
        <v>-6.1665959737674969E-2</v>
      </c>
      <c r="L25" s="16">
        <f>IFERROR((L4/H4)-1,0)</f>
        <v>-0.11900654275576972</v>
      </c>
      <c r="M25" s="16">
        <f>IFERROR((M4/I4)-1,0)</f>
        <v>-4.8893463715903196E-2</v>
      </c>
      <c r="N25" s="27">
        <v>-0.05</v>
      </c>
      <c r="O25" s="27"/>
      <c r="P25" s="27"/>
      <c r="Q25" s="27"/>
      <c r="R25" s="27"/>
      <c r="S25" s="27"/>
      <c r="T25" s="27"/>
      <c r="U25" s="27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2:46" s="12" customFormat="1" x14ac:dyDescent="0.2">
      <c r="B26" s="14" t="s">
        <v>113</v>
      </c>
      <c r="G26" s="23">
        <f>IFERROR((G5/C5)-1,0)</f>
        <v>0.32136216850963883</v>
      </c>
      <c r="H26" s="23">
        <f>IFERROR((H5/D5)-1,0)</f>
        <v>0.37018874907475952</v>
      </c>
      <c r="I26" s="23">
        <f>IFERROR((I5/E5)-1,0)</f>
        <v>0.3886733902249806</v>
      </c>
      <c r="J26" s="23">
        <f>IFERROR((J5/F5)-1,0)</f>
        <v>0.39538533982106427</v>
      </c>
      <c r="K26" s="23">
        <f>IFERROR((K5/G5)-1,0)</f>
        <v>0.36569651188624741</v>
      </c>
      <c r="L26" s="23">
        <f>IFERROR((L5/H5)-1,0)</f>
        <v>0.33290566547369838</v>
      </c>
      <c r="M26" s="23">
        <f>IFERROR((M5/I5)-1,0)</f>
        <v>0.27486033519553077</v>
      </c>
      <c r="N26" s="27">
        <v>0.1</v>
      </c>
      <c r="O26" s="27"/>
      <c r="P26" s="27"/>
      <c r="Q26" s="27"/>
      <c r="R26" s="27"/>
      <c r="S26" s="27"/>
      <c r="T26" s="27"/>
      <c r="U26" s="27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2:46" s="12" customFormat="1" x14ac:dyDescent="0.2">
      <c r="B27" s="11" t="s">
        <v>114</v>
      </c>
      <c r="G27" s="16">
        <f>IFERROR((G6/C6)-1,0)</f>
        <v>0.43823888034777081</v>
      </c>
      <c r="H27" s="16">
        <f>IFERROR((H6/D6)-1,0)</f>
        <v>0.27181932697498645</v>
      </c>
      <c r="I27" s="16">
        <f>IFERROR((I6/E6)-1,0)</f>
        <v>0.15255083467679031</v>
      </c>
      <c r="J27" s="16">
        <f>IFERROR((J6/F6)-1,0)</f>
        <v>9.4436701047349692E-2</v>
      </c>
      <c r="K27" s="16">
        <f>IFERROR((K6/G6)-1,0)</f>
        <v>7.3038574245747334E-2</v>
      </c>
      <c r="L27" s="16">
        <f>IFERROR((L6/H6)-1,0)</f>
        <v>7.2108241952600016E-2</v>
      </c>
      <c r="M27" s="16">
        <f>IFERROR((M6/I6)-1,0)</f>
        <v>0.14699671515720314</v>
      </c>
      <c r="N27" s="27">
        <v>0.15</v>
      </c>
      <c r="O27" s="27"/>
      <c r="P27" s="27"/>
      <c r="Q27" s="27"/>
      <c r="R27" s="27"/>
      <c r="S27" s="27"/>
      <c r="T27" s="27"/>
      <c r="U27" s="27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2:46" s="12" customFormat="1" x14ac:dyDescent="0.2">
      <c r="B28" s="11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2:46" s="4" customFormat="1" x14ac:dyDescent="0.2">
      <c r="B29" s="11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</row>
    <row r="30" spans="2:46" x14ac:dyDescent="0.2">
      <c r="B30" s="11" t="s">
        <v>20</v>
      </c>
      <c r="C30" s="2">
        <v>41841</v>
      </c>
      <c r="D30" s="2">
        <v>50244</v>
      </c>
      <c r="E30" s="2">
        <v>52774</v>
      </c>
      <c r="F30" s="2">
        <v>71056</v>
      </c>
      <c r="G30" s="2">
        <v>57491</v>
      </c>
      <c r="H30" s="2">
        <v>58004</v>
      </c>
      <c r="I30" s="2">
        <v>54876</v>
      </c>
      <c r="J30" s="2">
        <f t="shared" ref="J30:J49" si="9">+AD30-SUM(G30:I30)</f>
        <v>71416</v>
      </c>
      <c r="K30" s="2">
        <v>56455</v>
      </c>
      <c r="L30" s="2">
        <v>56575</v>
      </c>
      <c r="M30" s="2">
        <v>59340</v>
      </c>
      <c r="N30" s="2">
        <f>+$N$32*(J30/$J$32)</f>
        <v>75651.93984804822</v>
      </c>
      <c r="V30" s="2">
        <v>60903</v>
      </c>
      <c r="W30" s="2">
        <v>70080</v>
      </c>
      <c r="X30" s="2">
        <v>79268</v>
      </c>
      <c r="Y30" s="2">
        <v>94665</v>
      </c>
      <c r="Z30" s="2">
        <v>118573</v>
      </c>
      <c r="AA30" s="2">
        <v>141915</v>
      </c>
      <c r="AB30" s="2">
        <v>160408</v>
      </c>
      <c r="AC30" s="2">
        <v>215915</v>
      </c>
      <c r="AD30" s="2">
        <v>241787</v>
      </c>
      <c r="AE30" s="2">
        <f t="shared" ref="AE30:AE40" si="10">SUM(K30:N30)</f>
        <v>248021.93984804821</v>
      </c>
    </row>
    <row r="31" spans="2:46" x14ac:dyDescent="0.2">
      <c r="B31" s="11" t="s">
        <v>21</v>
      </c>
      <c r="C31" s="2">
        <v>33611</v>
      </c>
      <c r="D31" s="2">
        <v>38668</v>
      </c>
      <c r="E31" s="2">
        <v>43371</v>
      </c>
      <c r="F31" s="2">
        <v>54499</v>
      </c>
      <c r="G31" s="2">
        <v>51027</v>
      </c>
      <c r="H31" s="2">
        <v>55076</v>
      </c>
      <c r="I31" s="2">
        <v>55936</v>
      </c>
      <c r="J31" s="2">
        <f t="shared" si="9"/>
        <v>65996</v>
      </c>
      <c r="K31" s="2">
        <v>59989</v>
      </c>
      <c r="L31" s="2">
        <v>64659</v>
      </c>
      <c r="M31" s="2">
        <v>67761</v>
      </c>
      <c r="N31" s="2">
        <f>+$N$32*(J31/$J$32)</f>
        <v>69910.460151951804</v>
      </c>
      <c r="V31" s="2">
        <v>13549</v>
      </c>
      <c r="W31" s="2">
        <v>18908</v>
      </c>
      <c r="X31" s="2">
        <v>27738</v>
      </c>
      <c r="Y31" s="2">
        <v>41322</v>
      </c>
      <c r="Z31" s="2">
        <v>59293</v>
      </c>
      <c r="AA31" s="2">
        <v>90972</v>
      </c>
      <c r="AB31" s="2">
        <v>120114</v>
      </c>
      <c r="AC31" s="2">
        <v>170149</v>
      </c>
      <c r="AD31" s="2">
        <v>228035</v>
      </c>
      <c r="AE31" s="2">
        <f t="shared" si="10"/>
        <v>262319.46015195182</v>
      </c>
      <c r="AF31" s="31">
        <f>+AE34/AE32</f>
        <v>0.16650088291120602</v>
      </c>
    </row>
    <row r="32" spans="2:46" s="5" customFormat="1" x14ac:dyDescent="0.2">
      <c r="B32" s="14" t="s">
        <v>19</v>
      </c>
      <c r="C32" s="5">
        <f>+SUM(C30:C31)</f>
        <v>75452</v>
      </c>
      <c r="D32" s="5">
        <f>+SUM(D30:D31)</f>
        <v>88912</v>
      </c>
      <c r="E32" s="5">
        <f>+SUM(E30:E31)</f>
        <v>96145</v>
      </c>
      <c r="F32" s="5">
        <f>+SUM(F30:F31)</f>
        <v>125555</v>
      </c>
      <c r="G32" s="5">
        <f>+SUM(G30:G31)</f>
        <v>108518</v>
      </c>
      <c r="H32" s="5">
        <f>+SUM(H30:H31)</f>
        <v>113080</v>
      </c>
      <c r="I32" s="5">
        <f>+SUM(I30:I31)</f>
        <v>110812</v>
      </c>
      <c r="J32" s="5">
        <f t="shared" si="9"/>
        <v>137412</v>
      </c>
      <c r="K32" s="5">
        <f>+SUM(K30:K31)</f>
        <v>116444</v>
      </c>
      <c r="L32" s="5">
        <f>+SUM(L30:L31)</f>
        <v>121234</v>
      </c>
      <c r="M32" s="5">
        <f>+SUM(M30:M31)</f>
        <v>127101</v>
      </c>
      <c r="N32" s="5">
        <f>+N6</f>
        <v>145562.40000000002</v>
      </c>
      <c r="V32" s="5">
        <f t="shared" ref="V32:AA32" si="11">+SUM(V30:V31)</f>
        <v>74452</v>
      </c>
      <c r="W32" s="5">
        <f t="shared" si="11"/>
        <v>88988</v>
      </c>
      <c r="X32" s="5">
        <f t="shared" si="11"/>
        <v>107006</v>
      </c>
      <c r="Y32" s="5">
        <f t="shared" si="11"/>
        <v>135987</v>
      </c>
      <c r="Z32" s="5">
        <f t="shared" si="11"/>
        <v>177866</v>
      </c>
      <c r="AA32" s="5">
        <f t="shared" si="11"/>
        <v>232887</v>
      </c>
      <c r="AB32" s="5">
        <f>+SUM(AB30:AB31)</f>
        <v>280522</v>
      </c>
      <c r="AC32" s="5">
        <f>+SUM(AC30:AC31)</f>
        <v>386064</v>
      </c>
      <c r="AD32" s="5">
        <f>+SUM(AD30:AD31)</f>
        <v>469822</v>
      </c>
      <c r="AE32" s="5">
        <f t="shared" si="10"/>
        <v>510341.4</v>
      </c>
      <c r="AF32" s="5">
        <f>+AE32*(1+AF68)</f>
        <v>525651.64199999999</v>
      </c>
      <c r="AG32" s="5">
        <f>+AF32*(1+AG68)</f>
        <v>630781.97039999999</v>
      </c>
      <c r="AH32" s="5">
        <f>+AG32*(1+AH68)</f>
        <v>756938.36447999999</v>
      </c>
      <c r="AI32" s="5">
        <f>+AH32*(1+AI68)</f>
        <v>908326.03737599996</v>
      </c>
      <c r="AJ32" s="5">
        <f>+AI32*(1+AJ68)</f>
        <v>1089991.2448511999</v>
      </c>
      <c r="AK32" s="5">
        <f>+AJ32*(1+AK68)</f>
        <v>1307989.4938214398</v>
      </c>
      <c r="AL32" s="5">
        <f>+AK32*(1+AL68)</f>
        <v>1569587.3925857276</v>
      </c>
      <c r="AM32" s="5">
        <f>+AL32*(1+AM68)</f>
        <v>1883504.871102873</v>
      </c>
      <c r="AN32" s="5">
        <f>+AM32*(1+AN68)</f>
        <v>2260205.8453234476</v>
      </c>
    </row>
    <row r="33" spans="2:236" x14ac:dyDescent="0.2">
      <c r="B33" s="11" t="s">
        <v>22</v>
      </c>
      <c r="C33" s="2">
        <v>44257</v>
      </c>
      <c r="D33" s="2">
        <v>52660</v>
      </c>
      <c r="E33" s="2">
        <v>57106</v>
      </c>
      <c r="F33" s="2">
        <v>79284</v>
      </c>
      <c r="G33" s="2">
        <v>62403</v>
      </c>
      <c r="H33" s="2">
        <v>64176</v>
      </c>
      <c r="I33" s="2">
        <v>62930</v>
      </c>
      <c r="J33" s="2">
        <f t="shared" si="9"/>
        <v>82835</v>
      </c>
      <c r="K33" s="2">
        <v>66499</v>
      </c>
      <c r="L33" s="2">
        <v>66424</v>
      </c>
      <c r="M33" s="2">
        <v>70268</v>
      </c>
      <c r="N33" s="2">
        <f>+$N$32*N72</f>
        <v>87748.241812942113</v>
      </c>
      <c r="AB33" s="2">
        <v>165536</v>
      </c>
      <c r="AC33" s="2">
        <v>233307</v>
      </c>
      <c r="AD33" s="2">
        <v>272344</v>
      </c>
      <c r="AE33" s="2">
        <f t="shared" si="10"/>
        <v>290939.24181294208</v>
      </c>
      <c r="AF33" s="2">
        <f>+AF$32*AF72</f>
        <v>299667.41906733031</v>
      </c>
      <c r="AG33" s="2">
        <f>+AG$32*AG72</f>
        <v>359600.90288079635</v>
      </c>
      <c r="AH33" s="2">
        <f>+AH$32*AH72</f>
        <v>431521.08345695562</v>
      </c>
      <c r="AI33" s="2">
        <f>+AI$32*AI72</f>
        <v>517825.30014834675</v>
      </c>
      <c r="AJ33" s="2">
        <f>+AJ$32*AJ72</f>
        <v>621390.36017801613</v>
      </c>
      <c r="AK33" s="2">
        <f>+AK$32*AK72</f>
        <v>745668.43221361923</v>
      </c>
      <c r="AL33" s="2">
        <f>+AL$32*AL72</f>
        <v>894802.11865634297</v>
      </c>
      <c r="AM33" s="2">
        <f>+AM$32*AM72</f>
        <v>1073762.5423876115</v>
      </c>
      <c r="AN33" s="2">
        <f>+AN$32*AN72</f>
        <v>1288515.0508651338</v>
      </c>
    </row>
    <row r="34" spans="2:236" x14ac:dyDescent="0.2">
      <c r="B34" s="11" t="s">
        <v>39</v>
      </c>
      <c r="C34" s="2">
        <v>11531</v>
      </c>
      <c r="D34" s="2">
        <v>13806</v>
      </c>
      <c r="E34" s="2">
        <v>14705</v>
      </c>
      <c r="F34" s="2">
        <v>18474</v>
      </c>
      <c r="G34" s="2">
        <v>16530</v>
      </c>
      <c r="H34" s="2">
        <v>17638</v>
      </c>
      <c r="I34" s="2">
        <v>18498</v>
      </c>
      <c r="J34" s="2">
        <f t="shared" si="9"/>
        <v>22445</v>
      </c>
      <c r="K34" s="2">
        <v>20271</v>
      </c>
      <c r="L34" s="2">
        <v>20342</v>
      </c>
      <c r="M34" s="2">
        <v>20583</v>
      </c>
      <c r="N34" s="2">
        <f>+$N$32*N73</f>
        <v>23776.293686140951</v>
      </c>
      <c r="AB34" s="2">
        <v>40232</v>
      </c>
      <c r="AC34" s="2">
        <v>58517</v>
      </c>
      <c r="AD34" s="2">
        <v>75111</v>
      </c>
      <c r="AE34" s="2">
        <f t="shared" si="10"/>
        <v>84972.293686140954</v>
      </c>
      <c r="AF34" s="2">
        <f>+AF$32*AF73</f>
        <v>84104.262719999999</v>
      </c>
      <c r="AG34" s="2">
        <f>+AG$32*AG73</f>
        <v>100294.33329359999</v>
      </c>
      <c r="AH34" s="2">
        <f>+AH$32*AH73</f>
        <v>119596.26158784</v>
      </c>
      <c r="AI34" s="2">
        <f>+AI$32*AI73</f>
        <v>142607.18786803199</v>
      </c>
      <c r="AJ34" s="2">
        <f>+AJ$32*AJ73</f>
        <v>170038.6341967872</v>
      </c>
      <c r="AK34" s="2">
        <f>+AK$32*AK73</f>
        <v>202738.37154232318</v>
      </c>
      <c r="AL34" s="2">
        <f>+AL$32*AL73</f>
        <v>241716.45845820205</v>
      </c>
      <c r="AM34" s="2">
        <f>+AM$32*AM73</f>
        <v>288176.24527873955</v>
      </c>
      <c r="AN34" s="2">
        <f>+AN$32*AN73</f>
        <v>343551.28848916403</v>
      </c>
    </row>
    <row r="35" spans="2:236" x14ac:dyDescent="0.2">
      <c r="B35" s="11" t="s">
        <v>23</v>
      </c>
      <c r="C35" s="2">
        <v>9325</v>
      </c>
      <c r="D35" s="2">
        <v>10388</v>
      </c>
      <c r="E35" s="2">
        <v>10976</v>
      </c>
      <c r="F35" s="2">
        <v>12049</v>
      </c>
      <c r="G35" s="2">
        <v>12488</v>
      </c>
      <c r="H35" s="2">
        <v>13871</v>
      </c>
      <c r="I35" s="2">
        <v>14380</v>
      </c>
      <c r="J35" s="2">
        <f t="shared" si="9"/>
        <v>15313</v>
      </c>
      <c r="K35" s="2">
        <v>14842</v>
      </c>
      <c r="L35" s="2">
        <v>18072</v>
      </c>
      <c r="M35" s="2">
        <v>19485</v>
      </c>
      <c r="N35" s="2">
        <f>+$N$32*N74</f>
        <v>16221.269111867961</v>
      </c>
      <c r="AB35" s="2">
        <v>35931</v>
      </c>
      <c r="AC35" s="2">
        <v>42740</v>
      </c>
      <c r="AD35" s="2">
        <v>56052</v>
      </c>
      <c r="AE35" s="2">
        <f t="shared" si="10"/>
        <v>68620.269111867965</v>
      </c>
      <c r="AF35" s="2">
        <f>+AF$32*AF74</f>
        <v>70153.225543223991</v>
      </c>
      <c r="AG35" s="2">
        <f>+AG$32*AG74</f>
        <v>83553.088681468798</v>
      </c>
      <c r="AH35" s="2">
        <f>+AH$32*AH74</f>
        <v>99506.768053282562</v>
      </c>
      <c r="AI35" s="2">
        <f>+AI$32*AI74</f>
        <v>118499.79562656306</v>
      </c>
      <c r="AJ35" s="2">
        <f>+AJ$32*AJ74</f>
        <v>141109.76350702447</v>
      </c>
      <c r="AK35" s="2">
        <f>+AK$32*AK74</f>
        <v>168023.72671460791</v>
      </c>
      <c r="AL35" s="2">
        <f>+AL$32*AL74</f>
        <v>200058.88466494373</v>
      </c>
      <c r="AM35" s="2">
        <f>+AM$32*AM74</f>
        <v>238187.15672682959</v>
      </c>
      <c r="AN35" s="2">
        <f>+AN$32*AN74</f>
        <v>283564.38222687208</v>
      </c>
    </row>
    <row r="36" spans="2:236" x14ac:dyDescent="0.2">
      <c r="B36" s="11" t="s">
        <v>24</v>
      </c>
      <c r="C36" s="2">
        <v>4828</v>
      </c>
      <c r="D36" s="2">
        <v>4345</v>
      </c>
      <c r="E36" s="2">
        <v>5434</v>
      </c>
      <c r="F36" s="2">
        <v>7403</v>
      </c>
      <c r="G36" s="2">
        <v>6207</v>
      </c>
      <c r="H36" s="2">
        <v>7524</v>
      </c>
      <c r="I36" s="2">
        <v>8010</v>
      </c>
      <c r="J36" s="2">
        <f t="shared" si="9"/>
        <v>10810</v>
      </c>
      <c r="K36" s="2">
        <v>8320</v>
      </c>
      <c r="L36" s="2">
        <v>10086</v>
      </c>
      <c r="M36" s="2">
        <v>11014</v>
      </c>
      <c r="N36" s="2">
        <f>+N32*N75</f>
        <v>11451.17998428085</v>
      </c>
      <c r="AB36" s="2">
        <v>18878</v>
      </c>
      <c r="AC36" s="2">
        <v>22008</v>
      </c>
      <c r="AD36" s="2">
        <v>32551</v>
      </c>
      <c r="AE36" s="2">
        <f t="shared" si="10"/>
        <v>40871.179984280854</v>
      </c>
      <c r="AF36" s="2">
        <f>+AF$32*AF75</f>
        <v>36795.614939999999</v>
      </c>
      <c r="AG36" s="2">
        <f>+AG$32*AG75</f>
        <v>43523.955957600003</v>
      </c>
      <c r="AH36" s="2">
        <f>+AH$32*AH75</f>
        <v>51471.808784640001</v>
      </c>
      <c r="AI36" s="2">
        <f>+AI$32*AI75</f>
        <v>60857.844504191999</v>
      </c>
      <c r="AJ36" s="2">
        <f>+AJ$32*AJ75</f>
        <v>71939.422160179194</v>
      </c>
      <c r="AK36" s="2">
        <f>+AK$32*AK75</f>
        <v>85019.317098393585</v>
      </c>
      <c r="AL36" s="2">
        <f>+AL$32*AL75</f>
        <v>100453.59312548657</v>
      </c>
      <c r="AM36" s="2">
        <f>+AM$32*AM75</f>
        <v>118660.806879481</v>
      </c>
      <c r="AN36" s="2">
        <f>+AN$32*AN75</f>
        <v>140132.76241005375</v>
      </c>
    </row>
    <row r="37" spans="2:236" x14ac:dyDescent="0.2">
      <c r="B37" s="11" t="s">
        <v>25</v>
      </c>
      <c r="C37" s="2">
        <v>1452</v>
      </c>
      <c r="D37" s="2">
        <v>1580</v>
      </c>
      <c r="E37" s="2">
        <v>1668</v>
      </c>
      <c r="F37" s="2">
        <v>1968</v>
      </c>
      <c r="G37" s="2">
        <v>1987</v>
      </c>
      <c r="H37" s="2">
        <v>2158</v>
      </c>
      <c r="I37" s="2">
        <v>2153</v>
      </c>
      <c r="J37" s="2">
        <f t="shared" si="9"/>
        <v>2525</v>
      </c>
      <c r="K37" s="2">
        <v>2594</v>
      </c>
      <c r="L37" s="2">
        <v>2903</v>
      </c>
      <c r="M37" s="2">
        <v>3061</v>
      </c>
      <c r="N37" s="2">
        <f t="shared" ref="N37:N38" si="12">+$N$32*(J37/$J$32)</f>
        <v>2674.7668325910404</v>
      </c>
      <c r="AB37" s="2">
        <v>5203</v>
      </c>
      <c r="AC37" s="2">
        <v>6668</v>
      </c>
      <c r="AD37" s="2">
        <v>8823</v>
      </c>
      <c r="AE37" s="2">
        <f t="shared" si="10"/>
        <v>11232.76683259104</v>
      </c>
      <c r="AF37" s="2">
        <f>+AF$32*AF76</f>
        <v>11569.74983756877</v>
      </c>
      <c r="AG37" s="2">
        <f>+AG$32*AG76</f>
        <v>12622.135864282523</v>
      </c>
      <c r="AH37" s="2">
        <f>+AH$32*AH76</f>
        <v>13632.686308179027</v>
      </c>
      <c r="AI37" s="2">
        <f>+AI$32*AI76</f>
        <v>16359.223569814832</v>
      </c>
      <c r="AJ37" s="2">
        <f>+AJ$32*AJ76</f>
        <v>19631.068283777797</v>
      </c>
      <c r="AK37" s="2">
        <f>+AK$32*AK76</f>
        <v>23557.281940533354</v>
      </c>
      <c r="AL37" s="2">
        <f>+AL$32*AL76</f>
        <v>28268.738328640025</v>
      </c>
      <c r="AM37" s="2">
        <f>+AM$32*AM76</f>
        <v>33922.485994368028</v>
      </c>
      <c r="AN37" s="2">
        <f>+AN$32*AN76</f>
        <v>40706.983193241635</v>
      </c>
    </row>
    <row r="38" spans="2:236" x14ac:dyDescent="0.2">
      <c r="B38" s="11" t="s">
        <v>26</v>
      </c>
      <c r="C38" s="2">
        <v>70</v>
      </c>
      <c r="D38" s="2">
        <v>290</v>
      </c>
      <c r="E38" s="2">
        <v>62</v>
      </c>
      <c r="F38" s="2">
        <v>-496</v>
      </c>
      <c r="G38" s="2">
        <v>38</v>
      </c>
      <c r="H38" s="2">
        <v>11</v>
      </c>
      <c r="I38" s="2">
        <v>-11</v>
      </c>
      <c r="J38" s="2">
        <f t="shared" si="9"/>
        <v>24</v>
      </c>
      <c r="K38" s="2">
        <v>249</v>
      </c>
      <c r="L38" s="2">
        <v>90</v>
      </c>
      <c r="M38" s="2">
        <v>165</v>
      </c>
      <c r="N38" s="2">
        <f t="shared" si="12"/>
        <v>25.423526329578205</v>
      </c>
      <c r="AB38" s="2">
        <v>201</v>
      </c>
      <c r="AC38" s="2">
        <v>-75</v>
      </c>
      <c r="AD38" s="2">
        <v>62</v>
      </c>
      <c r="AE38" s="2">
        <f t="shared" si="10"/>
        <v>529.42352632957818</v>
      </c>
      <c r="AF38" s="2">
        <f t="shared" ref="AF38:AN38" si="13">+AF$32*(AE38/AE$32)</f>
        <v>545.30623211946545</v>
      </c>
      <c r="AG38" s="2">
        <f t="shared" si="13"/>
        <v>654.36747854335852</v>
      </c>
      <c r="AH38" s="2">
        <f t="shared" si="13"/>
        <v>785.24097425203024</v>
      </c>
      <c r="AI38" s="2">
        <f t="shared" si="13"/>
        <v>942.28916910243629</v>
      </c>
      <c r="AJ38" s="2">
        <f t="shared" si="13"/>
        <v>1130.7470029229235</v>
      </c>
      <c r="AK38" s="2">
        <f t="shared" si="13"/>
        <v>1356.896403507508</v>
      </c>
      <c r="AL38" s="2">
        <f t="shared" si="13"/>
        <v>1628.2756842090096</v>
      </c>
      <c r="AM38" s="2">
        <f t="shared" si="13"/>
        <v>1953.9308210508113</v>
      </c>
      <c r="AN38" s="2">
        <f t="shared" si="13"/>
        <v>2344.7169852609736</v>
      </c>
    </row>
    <row r="39" spans="2:236" x14ac:dyDescent="0.2">
      <c r="B39" s="11" t="s">
        <v>27</v>
      </c>
      <c r="C39" s="2">
        <f>+SUM(C33:C38)</f>
        <v>71463</v>
      </c>
      <c r="D39" s="2">
        <f>+SUM(D33:D38)</f>
        <v>83069</v>
      </c>
      <c r="E39" s="2">
        <f>+SUM(E33:E38)</f>
        <v>89951</v>
      </c>
      <c r="F39" s="2">
        <f>+SUM(F33:F38)</f>
        <v>118682</v>
      </c>
      <c r="G39" s="2">
        <f>+SUM(G33:G38)</f>
        <v>99653</v>
      </c>
      <c r="H39" s="2">
        <f>+SUM(H33:H38)</f>
        <v>105378</v>
      </c>
      <c r="I39" s="2">
        <f>+SUM(I33:I38)</f>
        <v>105960</v>
      </c>
      <c r="J39" s="2">
        <f t="shared" si="9"/>
        <v>133952</v>
      </c>
      <c r="K39" s="2">
        <f>+SUM(K33:K38)</f>
        <v>112775</v>
      </c>
      <c r="L39" s="2">
        <f>+SUM(L33:L38)</f>
        <v>117917</v>
      </c>
      <c r="M39" s="2">
        <f>+SUM(M33:M38)</f>
        <v>124576</v>
      </c>
      <c r="N39" s="2">
        <f>+SUM(N33:N38)</f>
        <v>141897.17495415249</v>
      </c>
      <c r="AB39" s="2">
        <f>+SUM(AB33:AB38)</f>
        <v>265981</v>
      </c>
      <c r="AC39" s="2">
        <f>+SUM(AC33:AC38)</f>
        <v>363165</v>
      </c>
      <c r="AD39" s="2">
        <f>+SUM(AD33:AD38)</f>
        <v>444943</v>
      </c>
      <c r="AE39" s="2">
        <f t="shared" si="10"/>
        <v>497165.17495415249</v>
      </c>
      <c r="AF39" s="2">
        <f>+SUM(AF33:AF38)</f>
        <v>502835.57834024256</v>
      </c>
      <c r="AG39" s="2">
        <f>+SUM(AG33:AG38)</f>
        <v>600248.78415629105</v>
      </c>
      <c r="AH39" s="2">
        <f>+SUM(AH33:AH38)</f>
        <v>716513.84916514927</v>
      </c>
      <c r="AI39" s="2">
        <f>+SUM(AI33:AI38)</f>
        <v>857091.640886051</v>
      </c>
      <c r="AJ39" s="2">
        <f>+SUM(AJ33:AJ38)</f>
        <v>1025239.9953287077</v>
      </c>
      <c r="AK39" s="2">
        <f t="shared" ref="AK39:AN39" si="14">+SUM(AK33:AK38)</f>
        <v>1226364.0259129847</v>
      </c>
      <c r="AL39" s="2">
        <f t="shared" si="14"/>
        <v>1466928.0689178244</v>
      </c>
      <c r="AM39" s="2">
        <f t="shared" si="14"/>
        <v>1754663.1680880808</v>
      </c>
      <c r="AN39" s="2">
        <f t="shared" si="14"/>
        <v>2098815.184169726</v>
      </c>
    </row>
    <row r="40" spans="2:236" s="5" customFormat="1" x14ac:dyDescent="0.2">
      <c r="B40" s="14" t="s">
        <v>28</v>
      </c>
      <c r="C40" s="5">
        <f>+C32-C39</f>
        <v>3989</v>
      </c>
      <c r="D40" s="5">
        <f>+D32-D39</f>
        <v>5843</v>
      </c>
      <c r="E40" s="5">
        <f>+E32-E39</f>
        <v>6194</v>
      </c>
      <c r="F40" s="5">
        <f>+F32-F39</f>
        <v>6873</v>
      </c>
      <c r="G40" s="5">
        <f>+G32-G39</f>
        <v>8865</v>
      </c>
      <c r="H40" s="5">
        <f>+H32-H39</f>
        <v>7702</v>
      </c>
      <c r="I40" s="5">
        <f>+I32-I39</f>
        <v>4852</v>
      </c>
      <c r="J40" s="5">
        <f t="shared" si="9"/>
        <v>3460</v>
      </c>
      <c r="K40" s="5">
        <f>+K32-K39</f>
        <v>3669</v>
      </c>
      <c r="L40" s="5">
        <f>+L32-L39</f>
        <v>3317</v>
      </c>
      <c r="M40" s="5">
        <f>+M32-M39</f>
        <v>2525</v>
      </c>
      <c r="N40" s="5">
        <f>+N32-N39</f>
        <v>3665.2250458475319</v>
      </c>
      <c r="AB40" s="5">
        <f>+AB32-AB39</f>
        <v>14541</v>
      </c>
      <c r="AC40" s="5">
        <f>+AC32-AC39</f>
        <v>22899</v>
      </c>
      <c r="AD40" s="5">
        <f>+AD32-AD39</f>
        <v>24879</v>
      </c>
      <c r="AE40" s="2">
        <f t="shared" si="10"/>
        <v>13176.225045847532</v>
      </c>
      <c r="AF40" s="5">
        <f>+AF32-AF39</f>
        <v>22816.063659757434</v>
      </c>
      <c r="AG40" s="5">
        <f>+AG32-AG39</f>
        <v>30533.186243708944</v>
      </c>
      <c r="AH40" s="5">
        <f>+AH32-AH39</f>
        <v>40424.515314850723</v>
      </c>
      <c r="AI40" s="5">
        <f>+AI32-AI39</f>
        <v>51234.396489948966</v>
      </c>
      <c r="AJ40" s="5">
        <f t="shared" ref="AJ40:AN40" si="15">+AJ32-AJ39</f>
        <v>64751.249522492173</v>
      </c>
      <c r="AK40" s="5">
        <f t="shared" si="15"/>
        <v>81625.467908455059</v>
      </c>
      <c r="AL40" s="5">
        <f t="shared" si="15"/>
        <v>102659.3236679032</v>
      </c>
      <c r="AM40" s="5">
        <f t="shared" si="15"/>
        <v>128841.70301479218</v>
      </c>
      <c r="AN40" s="5">
        <f t="shared" si="15"/>
        <v>161390.66115372162</v>
      </c>
    </row>
    <row r="41" spans="2:236" x14ac:dyDescent="0.2">
      <c r="B41" s="11" t="s">
        <v>29</v>
      </c>
      <c r="C41" s="2">
        <v>202</v>
      </c>
      <c r="D41" s="2">
        <v>135</v>
      </c>
      <c r="E41" s="2">
        <v>118</v>
      </c>
      <c r="F41" s="2">
        <v>100</v>
      </c>
      <c r="G41" s="2">
        <v>105</v>
      </c>
      <c r="H41" s="2">
        <v>106</v>
      </c>
      <c r="I41" s="2">
        <v>119</v>
      </c>
      <c r="J41" s="2">
        <f t="shared" si="9"/>
        <v>118</v>
      </c>
      <c r="K41" s="2">
        <v>108</v>
      </c>
      <c r="L41" s="2">
        <v>159</v>
      </c>
      <c r="M41" s="2">
        <v>277</v>
      </c>
      <c r="N41" s="2">
        <f>+N40*(M41/M40)</f>
        <v>402.08607433654112</v>
      </c>
      <c r="AB41" s="2">
        <v>832</v>
      </c>
      <c r="AC41" s="2">
        <v>555</v>
      </c>
      <c r="AD41" s="2">
        <v>448</v>
      </c>
      <c r="AE41" s="29">
        <f t="shared" ref="AE41:AN41" si="16">+AD79*$AQ$66</f>
        <v>709.57499999999993</v>
      </c>
      <c r="AF41" s="29">
        <f t="shared" si="16"/>
        <v>715.1702008077051</v>
      </c>
      <c r="AG41" s="29">
        <f t="shared" si="16"/>
        <v>955.69584656754387</v>
      </c>
      <c r="AH41" s="29">
        <f t="shared" si="16"/>
        <v>1275.7591756259392</v>
      </c>
      <c r="AI41" s="29">
        <f t="shared" si="16"/>
        <v>1691.3884455250209</v>
      </c>
      <c r="AJ41" s="29">
        <f t="shared" si="16"/>
        <v>2175.5055302363771</v>
      </c>
      <c r="AK41" s="29">
        <f t="shared" si="16"/>
        <v>2824.5091002112995</v>
      </c>
      <c r="AL41" s="29">
        <f t="shared" si="16"/>
        <v>3639.9607000566753</v>
      </c>
      <c r="AM41" s="29">
        <f t="shared" si="16"/>
        <v>4662.1933230593486</v>
      </c>
      <c r="AN41" s="29">
        <f t="shared" si="16"/>
        <v>5942.5353018501937</v>
      </c>
    </row>
    <row r="42" spans="2:236" x14ac:dyDescent="0.2">
      <c r="B42" s="11" t="s">
        <v>30</v>
      </c>
      <c r="C42" s="2">
        <v>-402</v>
      </c>
      <c r="D42" s="2">
        <v>-403</v>
      </c>
      <c r="E42" s="2">
        <v>-428</v>
      </c>
      <c r="F42" s="2">
        <v>-414</v>
      </c>
      <c r="G42" s="2">
        <v>-399</v>
      </c>
      <c r="H42" s="2">
        <v>-435</v>
      </c>
      <c r="I42" s="2">
        <v>-493</v>
      </c>
      <c r="J42" s="2">
        <f t="shared" si="9"/>
        <v>-482</v>
      </c>
      <c r="K42" s="2">
        <v>-472</v>
      </c>
      <c r="L42" s="2">
        <v>-584</v>
      </c>
      <c r="M42" s="2">
        <v>-617</v>
      </c>
      <c r="N42" s="2">
        <f t="shared" ref="N42:N43" si="17">+N41*(M42/M41)</f>
        <v>-895.62132803482268</v>
      </c>
      <c r="AB42" s="2">
        <v>-1600</v>
      </c>
      <c r="AC42" s="2">
        <v>-1647</v>
      </c>
      <c r="AD42" s="2">
        <v>-1809</v>
      </c>
      <c r="AE42" s="2">
        <f t="shared" ref="AE42:AE48" si="18">SUM(K42:N42)</f>
        <v>-2568.6213280348229</v>
      </c>
      <c r="AF42" s="2">
        <f t="shared" ref="AF42:AN42" si="19">+AF$40*(AE42/AE$40)</f>
        <v>-4447.8465975141144</v>
      </c>
      <c r="AG42" s="2">
        <f t="shared" si="19"/>
        <v>-5952.2505972351155</v>
      </c>
      <c r="AH42" s="2">
        <f t="shared" si="19"/>
        <v>-7880.5023329439446</v>
      </c>
      <c r="AI42" s="2">
        <f t="shared" si="19"/>
        <v>-9987.8199632412543</v>
      </c>
      <c r="AJ42" s="2">
        <f t="shared" si="19"/>
        <v>-12622.844552339671</v>
      </c>
      <c r="AK42" s="2">
        <f t="shared" si="19"/>
        <v>-15912.366178547874</v>
      </c>
      <c r="AL42" s="2">
        <f t="shared" si="19"/>
        <v>-20012.782673145728</v>
      </c>
      <c r="AM42" s="2">
        <f t="shared" si="19"/>
        <v>-25116.871118440766</v>
      </c>
      <c r="AN42" s="2">
        <f t="shared" si="19"/>
        <v>-31462.083634928189</v>
      </c>
    </row>
    <row r="43" spans="2:236" x14ac:dyDescent="0.2">
      <c r="B43" s="11" t="s">
        <v>31</v>
      </c>
      <c r="C43" s="2">
        <v>-406</v>
      </c>
      <c r="D43" s="2">
        <v>646</v>
      </c>
      <c r="E43" s="2">
        <v>925</v>
      </c>
      <c r="F43" s="2">
        <v>1206</v>
      </c>
      <c r="G43" s="2">
        <v>1697</v>
      </c>
      <c r="H43" s="2">
        <v>1261</v>
      </c>
      <c r="I43" s="2">
        <v>-163</v>
      </c>
      <c r="J43" s="2">
        <f t="shared" si="9"/>
        <v>11838</v>
      </c>
      <c r="K43" s="2">
        <v>-8570</v>
      </c>
      <c r="L43" s="2">
        <v>-5545</v>
      </c>
      <c r="M43" s="2">
        <v>759</v>
      </c>
      <c r="N43" s="2">
        <f t="shared" si="17"/>
        <v>1101.7448751676343</v>
      </c>
      <c r="AB43" s="2">
        <v>203</v>
      </c>
      <c r="AC43" s="2">
        <v>2371</v>
      </c>
      <c r="AD43" s="2">
        <v>14633</v>
      </c>
      <c r="AE43" s="2">
        <f t="shared" si="18"/>
        <v>-12254.255124832365</v>
      </c>
      <c r="AF43" s="2">
        <f t="shared" ref="AF43:AK43" si="20">AVERAGE(AB43:AE43)</f>
        <v>1238.1862187919087</v>
      </c>
      <c r="AG43" s="2">
        <f t="shared" si="20"/>
        <v>1496.9827734898859</v>
      </c>
      <c r="AH43" s="2">
        <f t="shared" si="20"/>
        <v>1278.4784668623574</v>
      </c>
      <c r="AI43" s="2">
        <f t="shared" si="20"/>
        <v>-2060.1519164220531</v>
      </c>
      <c r="AJ43" s="2">
        <f t="shared" si="20"/>
        <v>488.37388568052472</v>
      </c>
      <c r="AK43" s="2">
        <f t="shared" si="20"/>
        <v>300.92080240267876</v>
      </c>
      <c r="AL43" s="2">
        <f t="shared" ref="AL43:AN43" si="21">AVERAGE(AH43:AK43)</f>
        <v>1.9053096308769568</v>
      </c>
      <c r="AM43" s="2">
        <f t="shared" si="21"/>
        <v>-317.23797967699312</v>
      </c>
      <c r="AN43" s="2">
        <f t="shared" si="21"/>
        <v>118.49050450927182</v>
      </c>
    </row>
    <row r="44" spans="2:236" x14ac:dyDescent="0.2">
      <c r="B44" s="11" t="s">
        <v>32</v>
      </c>
      <c r="C44" s="2">
        <f>+SUM(C41:C43)</f>
        <v>-606</v>
      </c>
      <c r="D44" s="2">
        <f>+SUM(D41:D43)</f>
        <v>378</v>
      </c>
      <c r="E44" s="2">
        <f>+SUM(E41:E43)</f>
        <v>615</v>
      </c>
      <c r="F44" s="2">
        <f>+SUM(F41:F43)</f>
        <v>892</v>
      </c>
      <c r="G44" s="2">
        <f>+SUM(G41:G43)</f>
        <v>1403</v>
      </c>
      <c r="H44" s="2">
        <f>+SUM(H41:H43)</f>
        <v>932</v>
      </c>
      <c r="I44" s="2">
        <f>+SUM(I41:I43)</f>
        <v>-537</v>
      </c>
      <c r="J44" s="2">
        <f t="shared" si="9"/>
        <v>11474</v>
      </c>
      <c r="K44" s="2">
        <f>+SUM(K41:K43)</f>
        <v>-8934</v>
      </c>
      <c r="L44" s="2">
        <f>+SUM(L41:L43)</f>
        <v>-5970</v>
      </c>
      <c r="M44" s="2">
        <f>+SUM(M41:M43)</f>
        <v>419</v>
      </c>
      <c r="N44" s="2">
        <f>+SUM(N41:N43)</f>
        <v>608.20962146935267</v>
      </c>
      <c r="AB44" s="2">
        <f>+SUM(AB41:AB43)</f>
        <v>-565</v>
      </c>
      <c r="AC44" s="2">
        <f>+SUM(AC41:AC43)</f>
        <v>1279</v>
      </c>
      <c r="AD44" s="2">
        <f>+SUM(AD41:AD43)</f>
        <v>13272</v>
      </c>
      <c r="AE44" s="2">
        <f t="shared" si="18"/>
        <v>-13876.790378530648</v>
      </c>
      <c r="AF44" s="2">
        <f>+SUM(AF41:AF43)</f>
        <v>-2494.4901779145007</v>
      </c>
      <c r="AG44" s="2">
        <f t="shared" ref="AG44:AN44" si="22">+SUM(AG41:AG43)</f>
        <v>-3499.5719771776862</v>
      </c>
      <c r="AH44" s="2">
        <f t="shared" si="22"/>
        <v>-5326.2646904556477</v>
      </c>
      <c r="AI44" s="2">
        <f t="shared" si="22"/>
        <v>-10356.583434138287</v>
      </c>
      <c r="AJ44" s="2">
        <f t="shared" si="22"/>
        <v>-9958.9651364227684</v>
      </c>
      <c r="AK44" s="2">
        <f t="shared" si="22"/>
        <v>-12786.936275933896</v>
      </c>
      <c r="AL44" s="2">
        <f t="shared" si="22"/>
        <v>-16370.916663458176</v>
      </c>
      <c r="AM44" s="2">
        <f t="shared" si="22"/>
        <v>-20771.915775058409</v>
      </c>
      <c r="AN44" s="2">
        <f t="shared" si="22"/>
        <v>-25401.057828568726</v>
      </c>
    </row>
    <row r="45" spans="2:236" s="5" customFormat="1" x14ac:dyDescent="0.2">
      <c r="B45" s="14" t="s">
        <v>33</v>
      </c>
      <c r="C45" s="5">
        <f>+C40+C44</f>
        <v>3383</v>
      </c>
      <c r="D45" s="5">
        <f>+D40+D44</f>
        <v>6221</v>
      </c>
      <c r="E45" s="5">
        <f>+E40+E44</f>
        <v>6809</v>
      </c>
      <c r="F45" s="5">
        <f>+F40+F44</f>
        <v>7765</v>
      </c>
      <c r="G45" s="5">
        <f>+G40+G44</f>
        <v>10268</v>
      </c>
      <c r="H45" s="5">
        <f>+H40+H44</f>
        <v>8634</v>
      </c>
      <c r="I45" s="5">
        <f>+I40+I44</f>
        <v>4315</v>
      </c>
      <c r="J45" s="5">
        <f t="shared" si="9"/>
        <v>14934</v>
      </c>
      <c r="K45" s="5">
        <f>+K40+K44</f>
        <v>-5265</v>
      </c>
      <c r="L45" s="5">
        <f>+L40+L44</f>
        <v>-2653</v>
      </c>
      <c r="M45" s="5">
        <f>+M40+M44</f>
        <v>2944</v>
      </c>
      <c r="N45" s="5">
        <f>+N40+N44</f>
        <v>4273.4346673168848</v>
      </c>
      <c r="AB45" s="5">
        <f>+AB40+AB44</f>
        <v>13976</v>
      </c>
      <c r="AC45" s="5">
        <f>+AC40+AC44</f>
        <v>24178</v>
      </c>
      <c r="AD45" s="5">
        <f>+AD40+AD44</f>
        <v>38151</v>
      </c>
      <c r="AE45" s="2">
        <f t="shared" si="18"/>
        <v>-700.56533268311523</v>
      </c>
      <c r="AF45" s="5">
        <f t="shared" ref="AF45:AN45" si="23">+AF40+AF44</f>
        <v>20321.573481842934</v>
      </c>
      <c r="AG45" s="5">
        <f t="shared" si="23"/>
        <v>27033.614266531258</v>
      </c>
      <c r="AH45" s="5">
        <f t="shared" si="23"/>
        <v>35098.250624395077</v>
      </c>
      <c r="AI45" s="5">
        <f t="shared" si="23"/>
        <v>40877.813055810679</v>
      </c>
      <c r="AJ45" s="5">
        <f t="shared" si="23"/>
        <v>54792.284386069405</v>
      </c>
      <c r="AK45" s="5">
        <f t="shared" si="23"/>
        <v>68838.531632521161</v>
      </c>
      <c r="AL45" s="5">
        <f t="shared" si="23"/>
        <v>86288.40700444502</v>
      </c>
      <c r="AM45" s="5">
        <f t="shared" si="23"/>
        <v>108069.78723973376</v>
      </c>
      <c r="AN45" s="5">
        <f t="shared" si="23"/>
        <v>135989.60332515289</v>
      </c>
    </row>
    <row r="46" spans="2:236" x14ac:dyDescent="0.2">
      <c r="B46" s="11" t="s">
        <v>34</v>
      </c>
      <c r="C46" s="2">
        <v>-744</v>
      </c>
      <c r="D46" s="2">
        <v>-984</v>
      </c>
      <c r="E46" s="2">
        <v>-569</v>
      </c>
      <c r="F46" s="2">
        <v>-566</v>
      </c>
      <c r="G46" s="2">
        <v>-2156</v>
      </c>
      <c r="H46" s="2">
        <v>-868</v>
      </c>
      <c r="I46" s="2">
        <v>-1155</v>
      </c>
      <c r="J46" s="2">
        <f t="shared" si="9"/>
        <v>-612</v>
      </c>
      <c r="K46" s="2">
        <v>1422</v>
      </c>
      <c r="L46" s="2">
        <v>637</v>
      </c>
      <c r="M46" s="2">
        <v>-69</v>
      </c>
      <c r="N46" s="2">
        <f>+N45*-0.21</f>
        <v>-897.42128013654576</v>
      </c>
      <c r="AB46" s="2">
        <v>-2374</v>
      </c>
      <c r="AC46" s="2">
        <v>-2863</v>
      </c>
      <c r="AD46" s="2">
        <v>-4791</v>
      </c>
      <c r="AE46" s="2">
        <f t="shared" si="18"/>
        <v>1092.5787198634544</v>
      </c>
      <c r="AF46" s="2">
        <f>+AF45*-0.21</f>
        <v>-4267.5304311870159</v>
      </c>
      <c r="AG46" s="2">
        <f t="shared" ref="AG46:AN46" si="24">+AG45*-0.21</f>
        <v>-5677.0589959715644</v>
      </c>
      <c r="AH46" s="2">
        <f t="shared" si="24"/>
        <v>-7370.6326311229659</v>
      </c>
      <c r="AI46" s="2">
        <f t="shared" si="24"/>
        <v>-8584.3407417202416</v>
      </c>
      <c r="AJ46" s="2">
        <f t="shared" si="24"/>
        <v>-11506.379721074574</v>
      </c>
      <c r="AK46" s="2">
        <f t="shared" si="24"/>
        <v>-14456.091642829444</v>
      </c>
      <c r="AL46" s="2">
        <f t="shared" si="24"/>
        <v>-18120.565470933452</v>
      </c>
      <c r="AM46" s="2">
        <f t="shared" si="24"/>
        <v>-22694.655320344089</v>
      </c>
      <c r="AN46" s="2">
        <f t="shared" si="24"/>
        <v>-28557.816698282106</v>
      </c>
    </row>
    <row r="47" spans="2:236" x14ac:dyDescent="0.2">
      <c r="B47" s="11" t="s">
        <v>36</v>
      </c>
      <c r="C47" s="2">
        <v>-104</v>
      </c>
      <c r="D47" s="2">
        <v>6</v>
      </c>
      <c r="E47" s="2">
        <v>91</v>
      </c>
      <c r="F47" s="2">
        <v>23</v>
      </c>
      <c r="G47" s="2">
        <v>-5</v>
      </c>
      <c r="H47" s="2">
        <v>12</v>
      </c>
      <c r="I47" s="2">
        <v>-4</v>
      </c>
      <c r="J47" s="2">
        <f t="shared" si="9"/>
        <v>1</v>
      </c>
      <c r="K47" s="2">
        <v>-1</v>
      </c>
      <c r="L47" s="2">
        <v>-12</v>
      </c>
      <c r="M47" s="2">
        <v>-3</v>
      </c>
      <c r="N47" s="2">
        <v>-3</v>
      </c>
      <c r="AB47" s="2">
        <v>-14</v>
      </c>
      <c r="AC47" s="2">
        <v>16</v>
      </c>
      <c r="AD47" s="2">
        <v>4</v>
      </c>
      <c r="AE47" s="2">
        <f t="shared" si="18"/>
        <v>-19</v>
      </c>
      <c r="AF47" s="2">
        <f>+AE47</f>
        <v>-19</v>
      </c>
      <c r="AG47" s="2">
        <f t="shared" ref="AG47:AN47" si="25">+AF47</f>
        <v>-19</v>
      </c>
      <c r="AH47" s="2">
        <f t="shared" si="25"/>
        <v>-19</v>
      </c>
      <c r="AI47" s="2">
        <f t="shared" si="25"/>
        <v>-19</v>
      </c>
      <c r="AJ47" s="2">
        <f t="shared" si="25"/>
        <v>-19</v>
      </c>
      <c r="AK47" s="2">
        <f t="shared" si="25"/>
        <v>-19</v>
      </c>
      <c r="AL47" s="2">
        <f t="shared" si="25"/>
        <v>-19</v>
      </c>
      <c r="AM47" s="2">
        <f t="shared" si="25"/>
        <v>-19</v>
      </c>
      <c r="AN47" s="2">
        <f t="shared" si="25"/>
        <v>-19</v>
      </c>
    </row>
    <row r="48" spans="2:236" s="5" customFormat="1" x14ac:dyDescent="0.2">
      <c r="B48" s="14" t="s">
        <v>35</v>
      </c>
      <c r="C48" s="5">
        <f>+SUM(C45:C47)</f>
        <v>2535</v>
      </c>
      <c r="D48" s="5">
        <f>+SUM(D45:D47)</f>
        <v>5243</v>
      </c>
      <c r="E48" s="5">
        <f>+SUM(E45:E47)</f>
        <v>6331</v>
      </c>
      <c r="F48" s="5">
        <f>+SUM(F45:F47)</f>
        <v>7222</v>
      </c>
      <c r="G48" s="5">
        <f>+SUM(G45:G47)</f>
        <v>8107</v>
      </c>
      <c r="H48" s="5">
        <f>+SUM(H45:H47)</f>
        <v>7778</v>
      </c>
      <c r="I48" s="5">
        <f>+SUM(I45:I47)</f>
        <v>3156</v>
      </c>
      <c r="J48" s="5">
        <f t="shared" si="9"/>
        <v>14323</v>
      </c>
      <c r="K48" s="5">
        <f>+SUM(K45:K47)</f>
        <v>-3844</v>
      </c>
      <c r="L48" s="5">
        <f>+SUM(L45:L47)</f>
        <v>-2028</v>
      </c>
      <c r="M48" s="5">
        <f>+SUM(M45:M47)</f>
        <v>2872</v>
      </c>
      <c r="N48" s="5">
        <f>+SUM(N45:N47)</f>
        <v>3373.0133871803391</v>
      </c>
      <c r="AB48" s="5">
        <f>+SUM(AB45:AB47)</f>
        <v>11588</v>
      </c>
      <c r="AC48" s="5">
        <f>+SUM(AC45:AC47)</f>
        <v>21331</v>
      </c>
      <c r="AD48" s="5">
        <f>+SUM(AD45:AD47)</f>
        <v>33364</v>
      </c>
      <c r="AE48" s="5">
        <f t="shared" si="18"/>
        <v>373.01338718033912</v>
      </c>
      <c r="AF48" s="5">
        <f t="shared" ref="AF48:AN48" si="26">+SUM(AF45:AF47)</f>
        <v>16035.043050655917</v>
      </c>
      <c r="AG48" s="5">
        <f t="shared" si="26"/>
        <v>21337.555270559693</v>
      </c>
      <c r="AH48" s="5">
        <f t="shared" si="26"/>
        <v>27708.617993272113</v>
      </c>
      <c r="AI48" s="5">
        <f t="shared" si="26"/>
        <v>32274.472314090439</v>
      </c>
      <c r="AJ48" s="5">
        <f t="shared" si="26"/>
        <v>43266.904664994829</v>
      </c>
      <c r="AK48" s="5">
        <f t="shared" si="26"/>
        <v>54363.439989691717</v>
      </c>
      <c r="AL48" s="5">
        <f t="shared" si="26"/>
        <v>68148.841533511571</v>
      </c>
      <c r="AM48" s="5">
        <f t="shared" si="26"/>
        <v>85356.131919389678</v>
      </c>
      <c r="AN48" s="5">
        <f t="shared" si="26"/>
        <v>107412.78662687077</v>
      </c>
      <c r="AO48" s="5">
        <f>+AN48*(1+$AQ$67)</f>
        <v>108486.91449313948</v>
      </c>
      <c r="AP48" s="5">
        <f>+AO48*(1+$AQ$67)</f>
        <v>109571.78363807088</v>
      </c>
      <c r="AQ48" s="5">
        <f>+AP48*(1+$AQ$67)</f>
        <v>110667.50147445158</v>
      </c>
      <c r="AR48" s="5">
        <f>+AQ48*(1+$AQ$67)</f>
        <v>111774.17648919609</v>
      </c>
      <c r="AS48" s="5">
        <f>+AR48*(1+$AQ$67)</f>
        <v>112891.91825408806</v>
      </c>
      <c r="AT48" s="5">
        <f>+AS48*(1+$AQ$67)</f>
        <v>114020.83743662894</v>
      </c>
      <c r="AU48" s="5">
        <f>+AT48*(1+$AQ$67)</f>
        <v>115161.04581099523</v>
      </c>
      <c r="AV48" s="5">
        <f>+AU48*(1+$AQ$67)</f>
        <v>116312.65626910518</v>
      </c>
      <c r="AW48" s="5">
        <f>+AV48*(1+$AQ$67)</f>
        <v>117475.78283179623</v>
      </c>
      <c r="AX48" s="5">
        <f>+AW48*(1+$AQ$67)</f>
        <v>118650.54066011419</v>
      </c>
      <c r="AY48" s="5">
        <f>+AX48*(1+$AQ$67)</f>
        <v>119837.04606671532</v>
      </c>
      <c r="AZ48" s="5">
        <f>+AY48*(1+$AQ$67)</f>
        <v>121035.41652738248</v>
      </c>
      <c r="BA48" s="5">
        <f>+AZ48*(1+$AQ$67)</f>
        <v>122245.7706926563</v>
      </c>
      <c r="BB48" s="5">
        <f>+BA48*(1+$AQ$67)</f>
        <v>123468.22839958286</v>
      </c>
      <c r="BC48" s="5">
        <f>+BB48*(1+$AQ$67)</f>
        <v>124702.9106835787</v>
      </c>
      <c r="BD48" s="5">
        <f>+BC48*(1+$AQ$67)</f>
        <v>125949.93979041449</v>
      </c>
      <c r="BE48" s="5">
        <f>+BD48*(1+$AQ$67)</f>
        <v>127209.43918831863</v>
      </c>
      <c r="BF48" s="5">
        <f>+BE48*(1+$AQ$67)</f>
        <v>128481.53358020182</v>
      </c>
      <c r="BG48" s="5">
        <f>+BF48*(1+$AQ$67)</f>
        <v>129766.34891600384</v>
      </c>
      <c r="BH48" s="5">
        <f>+BG48*(1+$AQ$67)</f>
        <v>131064.01240516388</v>
      </c>
      <c r="BI48" s="5">
        <f>+BH48*(1+$AQ$67)</f>
        <v>132374.65252921553</v>
      </c>
      <c r="BJ48" s="5">
        <f>+BI48*(1+$AQ$67)</f>
        <v>133698.3990545077</v>
      </c>
      <c r="BK48" s="5">
        <f>+BJ48*(1+$AQ$67)</f>
        <v>135035.38304505276</v>
      </c>
      <c r="BL48" s="5">
        <f>+BK48*(1+$AQ$67)</f>
        <v>136385.73687550329</v>
      </c>
      <c r="BM48" s="5">
        <f>+BL48*(1+$AQ$67)</f>
        <v>137749.59424425833</v>
      </c>
      <c r="BN48" s="5">
        <f>+BM48*(1+$AQ$67)</f>
        <v>139127.09018670092</v>
      </c>
      <c r="BO48" s="5">
        <f>+BN48*(1+$AQ$67)</f>
        <v>140518.36108856794</v>
      </c>
      <c r="BP48" s="5">
        <f>+BO48*(1+$AQ$67)</f>
        <v>141923.54469945363</v>
      </c>
      <c r="BQ48" s="5">
        <f>+BP48*(1+$AQ$67)</f>
        <v>143342.78014644817</v>
      </c>
      <c r="BR48" s="5">
        <f>+BQ48*(1+$AQ$67)</f>
        <v>144776.20794791266</v>
      </c>
      <c r="BS48" s="5">
        <f>+BR48*(1+$AQ$67)</f>
        <v>146223.97002739177</v>
      </c>
      <c r="BT48" s="5">
        <f>+BS48*(1+$AQ$67)</f>
        <v>147686.2097276657</v>
      </c>
      <c r="BU48" s="5">
        <f>+BT48*(1+$AQ$67)</f>
        <v>149163.07182494237</v>
      </c>
      <c r="BV48" s="5">
        <f>+BU48*(1+$AQ$67)</f>
        <v>150654.70254319179</v>
      </c>
      <c r="BW48" s="5">
        <f>+BV48*(1+$AQ$67)</f>
        <v>152161.24956862369</v>
      </c>
      <c r="BX48" s="5">
        <f>+BW48*(1+$AQ$67)</f>
        <v>153682.86206430994</v>
      </c>
      <c r="BY48" s="5">
        <f>+BX48*(1+$AQ$67)</f>
        <v>155219.69068495304</v>
      </c>
      <c r="BZ48" s="5">
        <f>+BY48*(1+$AQ$67)</f>
        <v>156771.88759180257</v>
      </c>
      <c r="CA48" s="5">
        <f>+BZ48*(1+$AQ$67)</f>
        <v>158339.60646772059</v>
      </c>
      <c r="CB48" s="5">
        <f>+CA48*(1+$AQ$67)</f>
        <v>159923.0025323978</v>
      </c>
      <c r="CC48" s="5">
        <f>+CB48*(1+$AQ$67)</f>
        <v>161522.23255772179</v>
      </c>
      <c r="CD48" s="5">
        <f>+CC48*(1+$AQ$67)</f>
        <v>163137.45488329901</v>
      </c>
      <c r="CE48" s="5">
        <f>+CD48*(1+$AQ$67)</f>
        <v>164768.82943213201</v>
      </c>
      <c r="CF48" s="5">
        <f>+CE48*(1+$AQ$67)</f>
        <v>166416.51772645334</v>
      </c>
      <c r="CG48" s="5">
        <f>+CF48*(1+$AQ$67)</f>
        <v>168080.68290371788</v>
      </c>
      <c r="CH48" s="5">
        <f>+CG48*(1+$AQ$67)</f>
        <v>169761.48973275506</v>
      </c>
      <c r="CI48" s="5">
        <f>+CH48*(1+$AQ$67)</f>
        <v>171459.10463008261</v>
      </c>
      <c r="CJ48" s="5">
        <f>+CI48*(1+$AQ$67)</f>
        <v>173173.69567638345</v>
      </c>
      <c r="CK48" s="5">
        <f>+CJ48*(1+$AQ$67)</f>
        <v>174905.43263314728</v>
      </c>
      <c r="CL48" s="5">
        <f>+CK48*(1+$AQ$67)</f>
        <v>176654.48695947876</v>
      </c>
      <c r="CM48" s="5">
        <f>+CL48*(1+$AQ$67)</f>
        <v>178421.03182907356</v>
      </c>
      <c r="CN48" s="5">
        <f>+CM48*(1+$AQ$67)</f>
        <v>180205.2421473643</v>
      </c>
      <c r="CO48" s="5">
        <f>+CN48*(1+$AQ$67)</f>
        <v>182007.29456883794</v>
      </c>
      <c r="CP48" s="5">
        <f>+CO48*(1+$AQ$67)</f>
        <v>183827.36751452633</v>
      </c>
      <c r="CQ48" s="5">
        <f>+CP48*(1+$AQ$67)</f>
        <v>185665.64118967159</v>
      </c>
      <c r="CR48" s="5">
        <f>+CQ48*(1+$AQ$67)</f>
        <v>187522.29760156831</v>
      </c>
      <c r="CS48" s="5">
        <f>+CR48*(1+$AQ$67)</f>
        <v>189397.52057758399</v>
      </c>
      <c r="CT48" s="5">
        <f>+CS48*(1+$AQ$67)</f>
        <v>191291.49578335983</v>
      </c>
      <c r="CU48" s="5">
        <f>+CT48*(1+$AQ$67)</f>
        <v>193204.41074119342</v>
      </c>
      <c r="CV48" s="5">
        <f>+CU48*(1+$AQ$67)</f>
        <v>195136.45484860535</v>
      </c>
      <c r="CW48" s="5">
        <f>+CV48*(1+$AQ$67)</f>
        <v>197087.8193970914</v>
      </c>
      <c r="CX48" s="5">
        <f>+CW48*(1+$AQ$67)</f>
        <v>199058.69759106232</v>
      </c>
      <c r="CY48" s="5">
        <f>+CX48*(1+$AQ$67)</f>
        <v>201049.28456697293</v>
      </c>
      <c r="CZ48" s="5">
        <f>+CY48*(1+$AQ$67)</f>
        <v>203059.77741264267</v>
      </c>
      <c r="DA48" s="5">
        <f>+CZ48*(1+$AQ$67)</f>
        <v>205090.37518676909</v>
      </c>
      <c r="DB48" s="5">
        <f>+DA48*(1+$AQ$67)</f>
        <v>207141.27893863679</v>
      </c>
      <c r="DC48" s="5">
        <f>+DB48*(1+$AQ$67)</f>
        <v>209212.69172802317</v>
      </c>
      <c r="DD48" s="5">
        <f>+DC48*(1+$AQ$67)</f>
        <v>211304.8186453034</v>
      </c>
      <c r="DE48" s="5">
        <f>+DD48*(1+$AQ$67)</f>
        <v>213417.86683175643</v>
      </c>
      <c r="DF48" s="5">
        <f>+DE48*(1+$AQ$67)</f>
        <v>215552.04550007399</v>
      </c>
      <c r="DG48" s="5">
        <f>+DF48*(1+$AQ$67)</f>
        <v>217707.56595507474</v>
      </c>
      <c r="DH48" s="5">
        <f>+DG48*(1+$AQ$67)</f>
        <v>219884.64161462549</v>
      </c>
      <c r="DI48" s="5">
        <f>+DH48*(1+$AQ$67)</f>
        <v>222083.48803077175</v>
      </c>
      <c r="DJ48" s="5">
        <f>+DI48*(1+$AQ$67)</f>
        <v>224304.32291107948</v>
      </c>
      <c r="DK48" s="5">
        <f>+DJ48*(1+$AQ$67)</f>
        <v>226547.36614019028</v>
      </c>
      <c r="DL48" s="5">
        <f>+DK48*(1+$AQ$67)</f>
        <v>228812.83980159217</v>
      </c>
      <c r="DM48" s="5">
        <f>+DL48*(1+$AQ$67)</f>
        <v>231100.96819960809</v>
      </c>
      <c r="DN48" s="5">
        <f>+DM48*(1+$AQ$67)</f>
        <v>233411.97788160417</v>
      </c>
      <c r="DO48" s="5">
        <f>+DN48*(1+$AQ$67)</f>
        <v>235746.0976604202</v>
      </c>
      <c r="DP48" s="5">
        <f>+DO48*(1+$AQ$67)</f>
        <v>238103.5586370244</v>
      </c>
      <c r="DQ48" s="5">
        <f>+DP48*(1+$AQ$67)</f>
        <v>240484.59422339464</v>
      </c>
      <c r="DR48" s="5">
        <f>+DQ48*(1+$AQ$67)</f>
        <v>242889.44016562859</v>
      </c>
      <c r="DS48" s="5">
        <f>+DR48*(1+$AQ$67)</f>
        <v>245318.33456728488</v>
      </c>
      <c r="DT48" s="5">
        <f>+DS48*(1+$AQ$67)</f>
        <v>247771.51791295773</v>
      </c>
      <c r="DU48" s="5">
        <f>+DT48*(1+$AQ$67)</f>
        <v>250249.23309208732</v>
      </c>
      <c r="DV48" s="5">
        <f>+DU48*(1+$AQ$67)</f>
        <v>252751.7254230082</v>
      </c>
      <c r="DW48" s="5">
        <f>+DV48*(1+$AQ$67)</f>
        <v>255279.24267723828</v>
      </c>
      <c r="DX48" s="5">
        <f>+DW48*(1+$AQ$67)</f>
        <v>257832.03510401066</v>
      </c>
      <c r="DY48" s="5">
        <f>+DX48*(1+$AQ$67)</f>
        <v>260410.35545505077</v>
      </c>
      <c r="DZ48" s="5">
        <f>+DY48*(1+$AQ$67)</f>
        <v>263014.45900960127</v>
      </c>
      <c r="EA48" s="5">
        <f>+DZ48*(1+$AQ$67)</f>
        <v>265644.60359969729</v>
      </c>
      <c r="EB48" s="5">
        <f>+EA48*(1+$AQ$67)</f>
        <v>268301.04963569425</v>
      </c>
      <c r="EC48" s="5">
        <f>+EB48*(1+$AQ$67)</f>
        <v>270984.06013205118</v>
      </c>
      <c r="ED48" s="5">
        <f>+EC48*(1+$AQ$67)</f>
        <v>273693.90073337167</v>
      </c>
      <c r="EE48" s="5">
        <f>+ED48*(1+$AQ$67)</f>
        <v>276430.83974070539</v>
      </c>
      <c r="EF48" s="5">
        <f>+EE48*(1+$AQ$67)</f>
        <v>279195.14813811245</v>
      </c>
      <c r="EG48" s="5">
        <f>+EF48*(1+$AQ$67)</f>
        <v>281987.09961949359</v>
      </c>
      <c r="EH48" s="5">
        <f>+EG48*(1+$AQ$67)</f>
        <v>284806.97061568854</v>
      </c>
      <c r="EI48" s="5">
        <f>+EH48*(1+$AQ$67)</f>
        <v>287655.04032184544</v>
      </c>
      <c r="EJ48" s="5">
        <f>+EI48*(1+$AQ$67)</f>
        <v>290531.59072506393</v>
      </c>
      <c r="EK48" s="5">
        <f>+EJ48*(1+$AQ$67)</f>
        <v>293436.90663231455</v>
      </c>
      <c r="EL48" s="5">
        <f>+EK48*(1+$AQ$67)</f>
        <v>296371.27569863771</v>
      </c>
      <c r="EM48" s="5">
        <f>+EL48*(1+$AQ$67)</f>
        <v>299334.98845562409</v>
      </c>
      <c r="EN48" s="5">
        <f>+EM48*(1+$AQ$67)</f>
        <v>302328.33834018034</v>
      </c>
      <c r="EO48" s="5">
        <f>+EN48*(1+$AQ$67)</f>
        <v>305351.62172358215</v>
      </c>
      <c r="EP48" s="5">
        <f>+EO48*(1+$AQ$67)</f>
        <v>308405.13794081798</v>
      </c>
      <c r="EQ48" s="5">
        <f>+EP48*(1+$AQ$67)</f>
        <v>311489.18932022614</v>
      </c>
      <c r="ER48" s="5">
        <f>+EQ48*(1+$AQ$67)</f>
        <v>314604.08121342841</v>
      </c>
      <c r="ES48" s="5">
        <f>+ER48*(1+$AQ$67)</f>
        <v>317750.12202556268</v>
      </c>
      <c r="ET48" s="5">
        <f>+ES48*(1+$AQ$67)</f>
        <v>320927.62324581831</v>
      </c>
      <c r="EU48" s="5">
        <f>+ET48*(1+$AQ$67)</f>
        <v>324136.89947827649</v>
      </c>
      <c r="EV48" s="5">
        <f>+EU48*(1+$AQ$67)</f>
        <v>327378.26847305929</v>
      </c>
      <c r="EW48" s="5">
        <f>+EV48*(1+$AQ$67)</f>
        <v>330652.05115778989</v>
      </c>
      <c r="EX48" s="5">
        <f>+EW48*(1+$AQ$67)</f>
        <v>333958.57166936778</v>
      </c>
      <c r="EY48" s="5">
        <f>+EX48*(1+$AQ$67)</f>
        <v>337298.15738606144</v>
      </c>
      <c r="EZ48" s="5">
        <f>+EY48*(1+$AQ$67)</f>
        <v>340671.13895992207</v>
      </c>
      <c r="FA48" s="5">
        <f>+EZ48*(1+$AQ$67)</f>
        <v>344077.85034952132</v>
      </c>
      <c r="FB48" s="5">
        <f>+FA48*(1+$AQ$67)</f>
        <v>347518.62885301653</v>
      </c>
      <c r="FC48" s="5">
        <f>+FB48*(1+$AQ$67)</f>
        <v>350993.81514154671</v>
      </c>
      <c r="FD48" s="5">
        <f>+FC48*(1+$AQ$67)</f>
        <v>354503.75329296221</v>
      </c>
      <c r="FE48" s="5">
        <f>+FD48*(1+$AQ$67)</f>
        <v>358048.79082589183</v>
      </c>
      <c r="FF48" s="5">
        <f>+FE48*(1+$AQ$67)</f>
        <v>361629.27873415075</v>
      </c>
      <c r="FG48" s="5">
        <f>+FF48*(1+$AQ$67)</f>
        <v>365245.57152149227</v>
      </c>
      <c r="FH48" s="5">
        <f>+FG48*(1+$AQ$67)</f>
        <v>368898.02723670722</v>
      </c>
      <c r="FI48" s="5">
        <f>+FH48*(1+$AQ$67)</f>
        <v>372587.00750907429</v>
      </c>
      <c r="FJ48" s="5">
        <f>+FI48*(1+$AQ$67)</f>
        <v>376312.87758416502</v>
      </c>
      <c r="FK48" s="5">
        <f>+FJ48*(1+$AQ$67)</f>
        <v>380076.00636000669</v>
      </c>
      <c r="FL48" s="5">
        <f>+FK48*(1+$AQ$67)</f>
        <v>383876.76642360678</v>
      </c>
      <c r="FM48" s="5">
        <f>+FL48*(1+$AQ$67)</f>
        <v>387715.53408784285</v>
      </c>
      <c r="FN48" s="5">
        <f>+FM48*(1+$AQ$67)</f>
        <v>391592.68942872126</v>
      </c>
      <c r="FO48" s="5">
        <f>+FN48*(1+$AQ$67)</f>
        <v>395508.61632300849</v>
      </c>
      <c r="FP48" s="5">
        <f>+FO48*(1+$AQ$67)</f>
        <v>399463.70248623856</v>
      </c>
      <c r="FQ48" s="5">
        <f>+FP48*(1+$AQ$67)</f>
        <v>403458.33951110096</v>
      </c>
      <c r="FR48" s="5">
        <f>+FQ48*(1+$AQ$67)</f>
        <v>407492.92290621198</v>
      </c>
      <c r="FS48" s="5">
        <f>+FR48*(1+$AQ$67)</f>
        <v>411567.85213527409</v>
      </c>
      <c r="FT48" s="5">
        <f>+FS48*(1+$AQ$67)</f>
        <v>415683.53065662686</v>
      </c>
      <c r="FU48" s="5">
        <f>+FT48*(1+$AQ$67)</f>
        <v>419840.36596319312</v>
      </c>
      <c r="FV48" s="5">
        <f>+FU48*(1+$AQ$67)</f>
        <v>424038.76962282509</v>
      </c>
      <c r="FW48" s="5">
        <f>+FV48*(1+$AQ$67)</f>
        <v>428279.15731905337</v>
      </c>
      <c r="FX48" s="5">
        <f>+FW48*(1+$AQ$67)</f>
        <v>432561.9488922439</v>
      </c>
      <c r="FY48" s="5">
        <f>+FX48*(1+$AQ$67)</f>
        <v>436887.56838116638</v>
      </c>
      <c r="FZ48" s="5">
        <f>+FY48*(1+$AQ$67)</f>
        <v>441256.44406497804</v>
      </c>
      <c r="GA48" s="5">
        <f>+FZ48*(1+$AQ$67)</f>
        <v>445669.0085056278</v>
      </c>
      <c r="GB48" s="5">
        <f>+GA48*(1+$AQ$67)</f>
        <v>450125.6985906841</v>
      </c>
      <c r="GC48" s="5">
        <f>+GB48*(1+$AQ$67)</f>
        <v>454626.95557659096</v>
      </c>
      <c r="GD48" s="5">
        <f>+GC48*(1+$AQ$67)</f>
        <v>459173.22513235686</v>
      </c>
      <c r="GE48" s="5">
        <f>+GD48*(1+$AQ$67)</f>
        <v>463764.95738368045</v>
      </c>
      <c r="GF48" s="5">
        <f>+GE48*(1+$AQ$67)</f>
        <v>468402.60695751727</v>
      </c>
      <c r="GG48" s="5">
        <f>+GF48*(1+$AQ$67)</f>
        <v>473086.63302709244</v>
      </c>
      <c r="GH48" s="5">
        <f>+GG48*(1+$AQ$67)</f>
        <v>477817.49935736338</v>
      </c>
      <c r="GI48" s="5">
        <f>+GH48*(1+$AQ$67)</f>
        <v>482595.67435093701</v>
      </c>
      <c r="GJ48" s="5">
        <f>+GI48*(1+$AQ$67)</f>
        <v>487421.63109444641</v>
      </c>
      <c r="GK48" s="5">
        <f>+GJ48*(1+$AQ$67)</f>
        <v>492295.84740539087</v>
      </c>
      <c r="GL48" s="5">
        <f>+GK48*(1+$AQ$67)</f>
        <v>497218.80587944476</v>
      </c>
      <c r="GM48" s="5">
        <f>+GL48*(1+$AQ$67)</f>
        <v>502190.99393823923</v>
      </c>
      <c r="GN48" s="5">
        <f>+GM48*(1+$AQ$67)</f>
        <v>507212.90387762163</v>
      </c>
      <c r="GO48" s="5">
        <f>+GN48*(1+$AQ$67)</f>
        <v>512285.03291639785</v>
      </c>
      <c r="GP48" s="5">
        <f>+GO48*(1+$AQ$67)</f>
        <v>517407.88324556185</v>
      </c>
      <c r="GQ48" s="5">
        <f>+GP48*(1+$AQ$67)</f>
        <v>522581.96207801747</v>
      </c>
      <c r="GR48" s="5">
        <f>+GQ48*(1+$AQ$67)</f>
        <v>527807.7816987976</v>
      </c>
      <c r="GS48" s="5">
        <f>+GR48*(1+$AQ$67)</f>
        <v>533085.85951578559</v>
      </c>
      <c r="GT48" s="5">
        <f>+GS48*(1+$AQ$67)</f>
        <v>538416.71811094345</v>
      </c>
      <c r="GU48" s="5">
        <f>+GT48*(1+$AQ$67)</f>
        <v>543800.88529205287</v>
      </c>
      <c r="GV48" s="5">
        <f>+GU48*(1+$AQ$67)</f>
        <v>549238.89414497337</v>
      </c>
      <c r="GW48" s="5">
        <f>+GV48*(1+$AQ$67)</f>
        <v>554731.28308642306</v>
      </c>
      <c r="GX48" s="5">
        <f>+GW48*(1+$AQ$67)</f>
        <v>560278.59591728728</v>
      </c>
      <c r="GY48" s="5">
        <f>+GX48*(1+$AQ$67)</f>
        <v>565881.38187646016</v>
      </c>
      <c r="GZ48" s="5">
        <f>+GY48*(1+$AQ$67)</f>
        <v>571540.1956952248</v>
      </c>
      <c r="HA48" s="5">
        <f>+GZ48*(1+$AQ$67)</f>
        <v>577255.59765217709</v>
      </c>
      <c r="HB48" s="5">
        <f>+HA48*(1+$AQ$67)</f>
        <v>583028.1536286989</v>
      </c>
      <c r="HC48" s="5">
        <f>+HB48*(1+$AQ$67)</f>
        <v>588858.43516498595</v>
      </c>
      <c r="HD48" s="5">
        <f>+HC48*(1+$AQ$67)</f>
        <v>594747.0195166358</v>
      </c>
      <c r="HE48" s="5">
        <f>+HD48*(1+$AQ$67)</f>
        <v>600694.48971180222</v>
      </c>
      <c r="HF48" s="5">
        <f>+HE48*(1+$AQ$67)</f>
        <v>606701.43460892024</v>
      </c>
      <c r="HG48" s="5">
        <f>+HF48*(1+$AQ$67)</f>
        <v>612768.44895500946</v>
      </c>
      <c r="HH48" s="5">
        <f>+HG48*(1+$AQ$67)</f>
        <v>618896.13344455953</v>
      </c>
      <c r="HI48" s="5">
        <f>+HH48*(1+$AQ$67)</f>
        <v>625085.09477900516</v>
      </c>
      <c r="HJ48" s="5">
        <f>+HI48*(1+$AQ$67)</f>
        <v>631335.94572679524</v>
      </c>
      <c r="HK48" s="5">
        <f>+HJ48*(1+$AQ$67)</f>
        <v>637649.30518406315</v>
      </c>
      <c r="HL48" s="5">
        <f>+HK48*(1+$AQ$67)</f>
        <v>644025.79823590384</v>
      </c>
      <c r="HM48" s="5">
        <f>+HL48*(1+$AQ$67)</f>
        <v>650466.05621826288</v>
      </c>
      <c r="HN48" s="5">
        <f>+HM48*(1+$AQ$67)</f>
        <v>656970.71678044554</v>
      </c>
      <c r="HO48" s="5">
        <f>+HN48*(1+$AQ$67)</f>
        <v>663540.42394825001</v>
      </c>
      <c r="HP48" s="5">
        <f>+HO48*(1+$AQ$67)</f>
        <v>670175.82818773249</v>
      </c>
      <c r="HQ48" s="5">
        <f>+HP48*(1+$AQ$67)</f>
        <v>676877.58646960987</v>
      </c>
      <c r="HR48" s="5">
        <f>+HQ48*(1+$AQ$67)</f>
        <v>683646.362334306</v>
      </c>
      <c r="HS48" s="5">
        <f>+HR48*(1+$AQ$67)</f>
        <v>690482.82595764904</v>
      </c>
      <c r="HT48" s="5">
        <f>+HS48*(1+$AQ$67)</f>
        <v>697387.6542172255</v>
      </c>
      <c r="HU48" s="5">
        <f>+HT48*(1+$AQ$67)</f>
        <v>704361.53075939778</v>
      </c>
      <c r="HV48" s="5">
        <f>+HU48*(1+$AQ$67)</f>
        <v>711405.14606699173</v>
      </c>
      <c r="HW48" s="5">
        <f>+HV48*(1+$AQ$67)</f>
        <v>718519.19752766169</v>
      </c>
      <c r="HX48" s="5">
        <f>+HW48*(1+$AQ$67)</f>
        <v>725704.38950293825</v>
      </c>
      <c r="HY48" s="5">
        <f>+HX48*(1+$AQ$67)</f>
        <v>732961.4333979676</v>
      </c>
      <c r="HZ48" s="5">
        <f>+HY48*(1+$AQ$67)</f>
        <v>740291.04773194727</v>
      </c>
      <c r="IA48" s="5">
        <f>+HZ48*(1+$AQ$67)</f>
        <v>747693.95820926677</v>
      </c>
      <c r="IB48" s="5">
        <f>+IA48*(1+$AQ$67)</f>
        <v>755170.89779135946</v>
      </c>
    </row>
    <row r="49" spans="2:43" s="6" customFormat="1" x14ac:dyDescent="0.2">
      <c r="B49" s="20" t="s">
        <v>38</v>
      </c>
      <c r="C49" s="6">
        <v>5.01</v>
      </c>
      <c r="D49" s="6">
        <v>10.3</v>
      </c>
      <c r="E49" s="6">
        <v>12.37</v>
      </c>
      <c r="F49" s="6">
        <v>14.09</v>
      </c>
      <c r="G49" s="6">
        <v>15.79</v>
      </c>
      <c r="H49" s="6">
        <v>0.76</v>
      </c>
      <c r="I49" s="6">
        <v>0.31</v>
      </c>
      <c r="J49" s="2">
        <f t="shared" si="9"/>
        <v>47.95</v>
      </c>
      <c r="K49" s="6">
        <v>-7.56</v>
      </c>
      <c r="L49" s="6">
        <v>-0.2</v>
      </c>
      <c r="M49" s="6">
        <v>0.28000000000000003</v>
      </c>
      <c r="N49" s="6">
        <f>+N48/N50</f>
        <v>0.32884531629891889</v>
      </c>
      <c r="AB49" s="6">
        <v>23.01</v>
      </c>
      <c r="AC49" s="6">
        <v>41.83</v>
      </c>
      <c r="AD49" s="6">
        <v>64.81</v>
      </c>
      <c r="AE49" s="2"/>
    </row>
    <row r="50" spans="2:43" x14ac:dyDescent="0.2">
      <c r="B50" s="11" t="s">
        <v>37</v>
      </c>
      <c r="C50" s="2">
        <f t="shared" ref="C50" si="27">+C48/C49</f>
        <v>505.98802395209583</v>
      </c>
      <c r="D50" s="2">
        <f t="shared" ref="D50:E50" si="28">+D48/D49</f>
        <v>509.02912621359218</v>
      </c>
      <c r="E50" s="2">
        <f t="shared" si="28"/>
        <v>511.80274858528702</v>
      </c>
      <c r="F50" s="2">
        <f t="shared" ref="F50" si="29">+F48/F49</f>
        <v>512.56210078069557</v>
      </c>
      <c r="G50" s="2">
        <f t="shared" ref="G50:L50" si="30">+G48/G49</f>
        <v>513.4262191260292</v>
      </c>
      <c r="H50" s="2">
        <f t="shared" si="30"/>
        <v>10234.21052631579</v>
      </c>
      <c r="I50" s="2">
        <f t="shared" si="30"/>
        <v>10180.645161290322</v>
      </c>
      <c r="J50" s="2">
        <f t="shared" si="30"/>
        <v>298.7069864442127</v>
      </c>
      <c r="K50" s="2">
        <f t="shared" si="30"/>
        <v>508.46560846560851</v>
      </c>
      <c r="L50" s="2">
        <f t="shared" si="30"/>
        <v>10140</v>
      </c>
      <c r="M50" s="2">
        <f t="shared" ref="M50" si="31">+M48/M49</f>
        <v>10257.142857142857</v>
      </c>
      <c r="N50" s="2">
        <f>+M50</f>
        <v>10257.142857142857</v>
      </c>
      <c r="AB50" s="2">
        <f>+AB48/AB49</f>
        <v>503.60712733594085</v>
      </c>
      <c r="AC50" s="2">
        <f>+AC48/AC49</f>
        <v>509.9450155390868</v>
      </c>
      <c r="AD50" s="2">
        <f>+AD48/AD49</f>
        <v>514.79709921308438</v>
      </c>
      <c r="AF50" s="2">
        <f>+AF32*AF72</f>
        <v>299667.41906733031</v>
      </c>
    </row>
    <row r="51" spans="2:43" ht="16" thickBot="1" x14ac:dyDescent="0.25"/>
    <row r="52" spans="2:43" x14ac:dyDescent="0.2">
      <c r="B52" s="63" t="s">
        <v>51</v>
      </c>
      <c r="C52" s="64"/>
      <c r="D52" s="64"/>
      <c r="E52" s="64"/>
      <c r="F52" s="64"/>
      <c r="G52" s="64">
        <v>-76</v>
      </c>
      <c r="H52" s="64">
        <v>157</v>
      </c>
      <c r="I52" s="64">
        <v>-129</v>
      </c>
      <c r="J52" s="64"/>
      <c r="K52" s="64">
        <v>-8245</v>
      </c>
      <c r="L52" s="64">
        <v>-4322</v>
      </c>
      <c r="M52" s="65">
        <v>1039</v>
      </c>
    </row>
    <row r="53" spans="2:43" x14ac:dyDescent="0.2">
      <c r="B53" s="66" t="s">
        <v>165</v>
      </c>
      <c r="C53" s="67"/>
      <c r="D53" s="67"/>
      <c r="E53" s="67"/>
      <c r="F53" s="67"/>
      <c r="G53" s="67">
        <v>305</v>
      </c>
      <c r="H53" s="67">
        <v>939</v>
      </c>
      <c r="I53" s="67">
        <v>-50</v>
      </c>
      <c r="J53" s="67"/>
      <c r="K53" s="67">
        <v>-312</v>
      </c>
      <c r="L53" s="67">
        <v>-1124</v>
      </c>
      <c r="M53" s="68">
        <v>-170</v>
      </c>
    </row>
    <row r="54" spans="2:43" x14ac:dyDescent="0.2">
      <c r="B54" s="66" t="s">
        <v>166</v>
      </c>
      <c r="C54" s="67"/>
      <c r="D54" s="67"/>
      <c r="E54" s="67"/>
      <c r="F54" s="67"/>
      <c r="G54" s="67">
        <v>1475</v>
      </c>
      <c r="H54" s="67">
        <v>31</v>
      </c>
      <c r="I54" s="67">
        <v>155</v>
      </c>
      <c r="J54" s="67"/>
      <c r="K54" s="67">
        <v>7</v>
      </c>
      <c r="L54" s="67">
        <v>58</v>
      </c>
      <c r="M54" s="68">
        <v>11</v>
      </c>
    </row>
    <row r="55" spans="2:43" x14ac:dyDescent="0.2">
      <c r="B55" s="66" t="s">
        <v>167</v>
      </c>
      <c r="C55" s="67"/>
      <c r="D55" s="67"/>
      <c r="E55" s="67"/>
      <c r="F55" s="67"/>
      <c r="G55" s="67">
        <v>-31</v>
      </c>
      <c r="H55" s="67">
        <v>110</v>
      </c>
      <c r="I55" s="67">
        <v>-107</v>
      </c>
      <c r="J55" s="67"/>
      <c r="K55" s="67">
        <v>14</v>
      </c>
      <c r="L55" s="67">
        <v>-117</v>
      </c>
      <c r="M55" s="68">
        <v>-103</v>
      </c>
    </row>
    <row r="56" spans="2:43" x14ac:dyDescent="0.2">
      <c r="B56" s="66" t="s">
        <v>168</v>
      </c>
      <c r="C56" s="67"/>
      <c r="D56" s="67"/>
      <c r="E56" s="67"/>
      <c r="F56" s="67"/>
      <c r="G56" s="67">
        <v>24</v>
      </c>
      <c r="H56" s="67">
        <v>24</v>
      </c>
      <c r="I56" s="67">
        <v>-32</v>
      </c>
      <c r="J56" s="67"/>
      <c r="K56" s="67">
        <v>-34</v>
      </c>
      <c r="L56" s="67">
        <v>-40</v>
      </c>
      <c r="M56" s="68">
        <v>-18</v>
      </c>
    </row>
    <row r="57" spans="2:43" s="5" customFormat="1" x14ac:dyDescent="0.2">
      <c r="B57" s="69"/>
      <c r="C57" s="70"/>
      <c r="D57" s="70"/>
      <c r="E57" s="70"/>
      <c r="F57" s="70"/>
      <c r="G57" s="70">
        <f>+SUM(G52:G56)</f>
        <v>1697</v>
      </c>
      <c r="H57" s="70">
        <f>+SUM(H52:H56)</f>
        <v>1261</v>
      </c>
      <c r="I57" s="70">
        <f>+SUM(I52:I56)</f>
        <v>-163</v>
      </c>
      <c r="J57" s="70"/>
      <c r="K57" s="70">
        <f>+SUM(K52:K56)</f>
        <v>-8570</v>
      </c>
      <c r="L57" s="70">
        <f>+SUM(L52:L56)</f>
        <v>-5545</v>
      </c>
      <c r="M57" s="71">
        <f>+SUM(M52:M56)</f>
        <v>759</v>
      </c>
    </row>
    <row r="58" spans="2:43" x14ac:dyDescent="0.2">
      <c r="B58" s="66" t="s">
        <v>171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8" t="s">
        <v>172</v>
      </c>
    </row>
    <row r="59" spans="2:43" x14ac:dyDescent="0.2">
      <c r="B59" s="66" t="s">
        <v>169</v>
      </c>
      <c r="C59" s="67"/>
      <c r="D59" s="67"/>
      <c r="E59" s="67"/>
      <c r="F59" s="67"/>
      <c r="G59" s="67">
        <v>0</v>
      </c>
      <c r="H59" s="67">
        <v>0</v>
      </c>
      <c r="I59" s="67">
        <v>0</v>
      </c>
      <c r="J59" s="67"/>
      <c r="K59" s="67">
        <v>55</v>
      </c>
      <c r="L59" s="67">
        <v>95</v>
      </c>
      <c r="M59" s="68">
        <v>459</v>
      </c>
    </row>
    <row r="60" spans="2:43" x14ac:dyDescent="0.2">
      <c r="B60" s="66" t="s">
        <v>170</v>
      </c>
      <c r="C60" s="67"/>
      <c r="D60" s="67"/>
      <c r="E60" s="67"/>
      <c r="F60" s="67"/>
      <c r="G60" s="67">
        <v>0</v>
      </c>
      <c r="H60" s="67">
        <v>0</v>
      </c>
      <c r="I60" s="67">
        <v>0</v>
      </c>
      <c r="J60" s="67"/>
      <c r="K60" s="67">
        <v>-465</v>
      </c>
      <c r="L60" s="67">
        <v>-502</v>
      </c>
      <c r="M60" s="68">
        <v>-1206</v>
      </c>
    </row>
    <row r="61" spans="2:43" x14ac:dyDescent="0.2">
      <c r="B61" s="66" t="s">
        <v>28</v>
      </c>
      <c r="C61" s="67"/>
      <c r="D61" s="67"/>
      <c r="E61" s="67"/>
      <c r="F61" s="67"/>
      <c r="G61" s="67">
        <v>-1021</v>
      </c>
      <c r="H61" s="67"/>
      <c r="I61" s="67">
        <v>-990</v>
      </c>
      <c r="J61" s="67"/>
      <c r="K61" s="67">
        <v>-4220</v>
      </c>
      <c r="L61" s="67">
        <v>-1579</v>
      </c>
      <c r="M61" s="68">
        <v>-3287</v>
      </c>
    </row>
    <row r="62" spans="2:43" ht="16" thickBot="1" x14ac:dyDescent="0.25">
      <c r="B62" s="72" t="s">
        <v>76</v>
      </c>
      <c r="C62" s="73"/>
      <c r="D62" s="73"/>
      <c r="E62" s="73"/>
      <c r="F62" s="73"/>
      <c r="G62" s="73">
        <v>-1018</v>
      </c>
      <c r="H62" s="73"/>
      <c r="I62" s="73">
        <v>-994</v>
      </c>
      <c r="J62" s="73"/>
      <c r="K62" s="73">
        <v>-4688</v>
      </c>
      <c r="L62" s="73">
        <v>-1593</v>
      </c>
      <c r="M62" s="74">
        <v>-3305</v>
      </c>
    </row>
    <row r="64" spans="2:43" x14ac:dyDescent="0.2">
      <c r="B64" s="11" t="s">
        <v>121</v>
      </c>
      <c r="C64" s="7">
        <f>+ABS(C46/C45)</f>
        <v>0.21992314513745195</v>
      </c>
      <c r="D64" s="7">
        <f>+ABS(D46/D45)</f>
        <v>0.1581739270213792</v>
      </c>
      <c r="E64" s="7">
        <f>+ABS(E46/E45)</f>
        <v>8.3565868703186955E-2</v>
      </c>
      <c r="F64" s="7">
        <f>+ABS(F46/F45)</f>
        <v>7.2891178364455897E-2</v>
      </c>
      <c r="G64" s="7">
        <f>+ABS(G46/G45)</f>
        <v>0.20997273081417997</v>
      </c>
      <c r="H64" s="7">
        <f>+ABS(H46/H45)</f>
        <v>0.1005327773917072</v>
      </c>
      <c r="I64" s="7">
        <f>+ABS(I46/I45)</f>
        <v>0.26767091541135574</v>
      </c>
      <c r="J64" s="7">
        <f>+ABS(J46/J45)</f>
        <v>4.0980313378867012E-2</v>
      </c>
      <c r="K64" s="7">
        <f>+ABS(K46/K45)</f>
        <v>0.27008547008547007</v>
      </c>
      <c r="L64" s="7">
        <f>+ABS(L46/L45)</f>
        <v>0.24010554089709762</v>
      </c>
      <c r="M64" s="7">
        <f>+ABS(M46/M45)</f>
        <v>2.34375E-2</v>
      </c>
      <c r="N64" s="7">
        <f>+ABS(N46/N45)</f>
        <v>0.21</v>
      </c>
      <c r="O64" s="7"/>
      <c r="P64" s="7"/>
      <c r="Q64" s="7"/>
      <c r="R64" s="7"/>
      <c r="S64" s="7"/>
      <c r="T64" s="7"/>
      <c r="U64" s="7"/>
      <c r="W64" s="7"/>
      <c r="Y64" s="7"/>
      <c r="AQ64" s="2">
        <f>NPV(10%,$AE$48:$IB$48)</f>
        <v>695049.09539483639</v>
      </c>
    </row>
    <row r="65" spans="2:51" ht="16" thickBot="1" x14ac:dyDescent="0.25">
      <c r="Y65" s="7"/>
    </row>
    <row r="66" spans="2:51" s="7" customFormat="1" x14ac:dyDescent="0.2">
      <c r="B66" s="17" t="s">
        <v>41</v>
      </c>
      <c r="G66" s="7">
        <f>+G30/C30-1</f>
        <v>0.37403503740350375</v>
      </c>
      <c r="H66" s="7">
        <f>+H30/D30-1</f>
        <v>0.15444630204601539</v>
      </c>
      <c r="I66" s="7">
        <f>+I30/E30-1</f>
        <v>3.9830219426232549E-2</v>
      </c>
      <c r="J66" s="7">
        <f>+J30/F30-1</f>
        <v>5.0664264805224679E-3</v>
      </c>
      <c r="K66" s="7">
        <f>+K30/G30-1</f>
        <v>-1.8020211859247515E-2</v>
      </c>
      <c r="L66" s="7">
        <f>+L30/H30-1</f>
        <v>-2.4636231984001111E-2</v>
      </c>
      <c r="M66" s="7">
        <f>+M30/I30-1</f>
        <v>8.1347036956046281E-2</v>
      </c>
      <c r="N66" s="26">
        <f>+N30/J30-1</f>
        <v>5.9313597065758561E-2</v>
      </c>
      <c r="O66" s="26"/>
      <c r="P66" s="26"/>
      <c r="Q66" s="26"/>
      <c r="R66" s="26"/>
      <c r="S66" s="26"/>
      <c r="T66" s="26"/>
      <c r="U66" s="26"/>
      <c r="AC66" s="7">
        <f>+AC30/AB30-1</f>
        <v>0.34603635728891335</v>
      </c>
      <c r="AD66" s="7">
        <f>+AD30/AC30-1</f>
        <v>0.11982493110714865</v>
      </c>
      <c r="AP66" s="32" t="s">
        <v>129</v>
      </c>
      <c r="AQ66" s="33">
        <v>1.4999999999999999E-2</v>
      </c>
      <c r="AR66" s="34"/>
      <c r="AS66" s="34"/>
      <c r="AT66" s="34"/>
      <c r="AU66" s="34"/>
      <c r="AV66" s="34"/>
      <c r="AW66" s="34"/>
      <c r="AX66" s="34"/>
      <c r="AY66" s="35"/>
    </row>
    <row r="67" spans="2:51" s="7" customFormat="1" x14ac:dyDescent="0.2">
      <c r="B67" s="17" t="s">
        <v>42</v>
      </c>
      <c r="G67" s="7">
        <f>+G31/C31-1</f>
        <v>0.5181636964089138</v>
      </c>
      <c r="H67" s="7">
        <f>+H31/D31-1</f>
        <v>0.42433019551049966</v>
      </c>
      <c r="I67" s="7">
        <f>+I31/E31-1</f>
        <v>0.28970971386410271</v>
      </c>
      <c r="J67" s="7">
        <f>+J31/F31-1</f>
        <v>0.21095799922934355</v>
      </c>
      <c r="K67" s="7">
        <f>+K31/G31-1</f>
        <v>0.17563250827993016</v>
      </c>
      <c r="L67" s="7">
        <f>+L31/H31-1</f>
        <v>0.17399593289273008</v>
      </c>
      <c r="M67" s="7">
        <f>+M31/I31-1</f>
        <v>0.21140231693363853</v>
      </c>
      <c r="N67" s="26">
        <f>+N31/J31-1</f>
        <v>5.9313597065758561E-2</v>
      </c>
      <c r="O67" s="26"/>
      <c r="P67" s="26"/>
      <c r="Q67" s="26"/>
      <c r="R67" s="26"/>
      <c r="S67" s="26"/>
      <c r="T67" s="26"/>
      <c r="U67" s="26"/>
      <c r="AC67" s="7">
        <f>+AC31/AB31-1</f>
        <v>0.41656259886441216</v>
      </c>
      <c r="AD67" s="7">
        <f>+AD31/AC31-1</f>
        <v>0.34020770030972858</v>
      </c>
      <c r="AP67" s="36" t="s">
        <v>44</v>
      </c>
      <c r="AQ67" s="47">
        <v>0.01</v>
      </c>
      <c r="AR67" s="37"/>
      <c r="AS67" s="37"/>
      <c r="AT67" s="37"/>
      <c r="AU67" s="37"/>
      <c r="AV67" s="37"/>
      <c r="AW67" s="37"/>
      <c r="AX67" s="37"/>
      <c r="AY67" s="38"/>
    </row>
    <row r="68" spans="2:51" s="9" customFormat="1" x14ac:dyDescent="0.2">
      <c r="B68" s="15" t="s">
        <v>40</v>
      </c>
      <c r="G68" s="9">
        <f>+G32/C32-1</f>
        <v>0.43823888034777081</v>
      </c>
      <c r="H68" s="9">
        <f>+H32/D32-1</f>
        <v>0.27181932697498645</v>
      </c>
      <c r="I68" s="9">
        <f>+I32/E32-1</f>
        <v>0.15255083467679031</v>
      </c>
      <c r="J68" s="9">
        <f>+J32/F32-1</f>
        <v>9.4436701047349692E-2</v>
      </c>
      <c r="K68" s="9">
        <f>+K32/G32-1</f>
        <v>7.3038574245747334E-2</v>
      </c>
      <c r="L68" s="9">
        <f>+L32/H32-1</f>
        <v>7.2108241952600016E-2</v>
      </c>
      <c r="M68" s="9">
        <f>+M32/I32-1</f>
        <v>0.14699671515720314</v>
      </c>
      <c r="N68" s="25">
        <f>+N32/J32-1</f>
        <v>5.9313597065758561E-2</v>
      </c>
      <c r="O68" s="25"/>
      <c r="P68" s="25"/>
      <c r="Q68" s="25"/>
      <c r="R68" s="25"/>
      <c r="S68" s="25"/>
      <c r="T68" s="25"/>
      <c r="U68" s="25"/>
      <c r="W68" s="7">
        <f>+W32/V32-1</f>
        <v>0.1952398861011122</v>
      </c>
      <c r="X68" s="7">
        <f>+X32/W32-1</f>
        <v>0.20247673843664304</v>
      </c>
      <c r="Y68" s="7">
        <f>+Y32/X32-1</f>
        <v>0.27083528026465808</v>
      </c>
      <c r="Z68" s="7">
        <f>+Z32/Y32-1</f>
        <v>0.30796326119408479</v>
      </c>
      <c r="AA68" s="7">
        <f>+AA32/Z32-1</f>
        <v>0.3093396152159491</v>
      </c>
      <c r="AB68" s="7">
        <f>+AB32/AA32-1</f>
        <v>0.20454125820676983</v>
      </c>
      <c r="AC68" s="7">
        <f>+AC32/AB32-1</f>
        <v>0.37623430604373276</v>
      </c>
      <c r="AD68" s="7">
        <f>+AD32/AC32-1</f>
        <v>0.21695366571345676</v>
      </c>
      <c r="AE68" s="28">
        <f>+AE32/AD32-1</f>
        <v>8.6244152040560129E-2</v>
      </c>
      <c r="AF68" s="28">
        <v>0.03</v>
      </c>
      <c r="AG68" s="28">
        <v>0.2</v>
      </c>
      <c r="AH68" s="28">
        <v>0.2</v>
      </c>
      <c r="AI68" s="28">
        <v>0.2</v>
      </c>
      <c r="AJ68" s="28">
        <v>0.2</v>
      </c>
      <c r="AK68" s="28">
        <v>0.2</v>
      </c>
      <c r="AL68" s="28">
        <v>0.2</v>
      </c>
      <c r="AM68" s="28">
        <v>0.2</v>
      </c>
      <c r="AN68" s="28">
        <v>0.2</v>
      </c>
      <c r="AP68" s="36" t="s">
        <v>43</v>
      </c>
      <c r="AQ68" s="39">
        <v>0.08</v>
      </c>
      <c r="AR68" s="39">
        <f>+AQ68+0.003</f>
        <v>8.3000000000000004E-2</v>
      </c>
      <c r="AS68" s="39">
        <f t="shared" ref="AS68:AY68" si="32">+AR68+0.003</f>
        <v>8.6000000000000007E-2</v>
      </c>
      <c r="AT68" s="39">
        <f t="shared" si="32"/>
        <v>8.900000000000001E-2</v>
      </c>
      <c r="AU68" s="39">
        <f t="shared" si="32"/>
        <v>9.2000000000000012E-2</v>
      </c>
      <c r="AV68" s="39">
        <f t="shared" si="32"/>
        <v>9.5000000000000015E-2</v>
      </c>
      <c r="AW68" s="50">
        <f t="shared" si="32"/>
        <v>9.8000000000000018E-2</v>
      </c>
      <c r="AX68" s="39">
        <f t="shared" si="32"/>
        <v>0.10100000000000002</v>
      </c>
      <c r="AY68" s="40">
        <f t="shared" si="32"/>
        <v>0.10400000000000002</v>
      </c>
    </row>
    <row r="69" spans="2:51" s="9" customFormat="1" x14ac:dyDescent="0.2">
      <c r="B69" s="15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P69" s="41" t="s">
        <v>45</v>
      </c>
      <c r="AQ69" s="37">
        <f>NPV(AQ68,$AE$48:$IB$48)</f>
        <v>979482.26502184162</v>
      </c>
      <c r="AR69" s="37">
        <f>NPV(AR68,$AE$48:$IB$48)</f>
        <v>926122.71451118717</v>
      </c>
      <c r="AS69" s="37">
        <f t="shared" ref="AS69:AY69" si="33">NPV(AS68,$AE$48:$IB$48)</f>
        <v>877243.32413306693</v>
      </c>
      <c r="AT69" s="37">
        <f t="shared" si="33"/>
        <v>832327.19079003937</v>
      </c>
      <c r="AU69" s="37">
        <f t="shared" si="33"/>
        <v>790933.19744315837</v>
      </c>
      <c r="AV69" s="37">
        <f t="shared" si="33"/>
        <v>752682.65204374644</v>
      </c>
      <c r="AW69" s="51">
        <f t="shared" si="33"/>
        <v>717248.65162247175</v>
      </c>
      <c r="AX69" s="37">
        <f t="shared" si="33"/>
        <v>684347.54606110964</v>
      </c>
      <c r="AY69" s="38">
        <f t="shared" si="33"/>
        <v>653732.03430257412</v>
      </c>
    </row>
    <row r="70" spans="2:51" s="9" customFormat="1" x14ac:dyDescent="0.2">
      <c r="B70" s="17" t="s">
        <v>115</v>
      </c>
      <c r="C70" s="26">
        <f>(C32-C33)/C32</f>
        <v>0.41344165827280921</v>
      </c>
      <c r="D70" s="26">
        <f>(D32-D33)/D32</f>
        <v>0.40772899046247973</v>
      </c>
      <c r="E70" s="26">
        <f>(E32-E33)/E32</f>
        <v>0.40604295595194756</v>
      </c>
      <c r="F70" s="26">
        <f>(F32-F33)/F32</f>
        <v>0.36853171916689897</v>
      </c>
      <c r="G70" s="26">
        <f>(G32-G33)/G32</f>
        <v>0.42495254243535635</v>
      </c>
      <c r="H70" s="26">
        <f>(H32-H33)/H32</f>
        <v>0.43247258577997877</v>
      </c>
      <c r="I70" s="26">
        <f>(I32-I33)/I32</f>
        <v>0.43210121647475003</v>
      </c>
      <c r="J70" s="26">
        <f>(J32-J33)/J32</f>
        <v>0.39717783017494834</v>
      </c>
      <c r="K70" s="26">
        <f>(K32-K33)/K32</f>
        <v>0.42891862182680085</v>
      </c>
      <c r="L70" s="26">
        <f>(L32-L33)/L32</f>
        <v>0.4521008957883102</v>
      </c>
      <c r="M70" s="26">
        <f>(M32-M33)/M32</f>
        <v>0.44714833085498934</v>
      </c>
      <c r="N70" s="26">
        <f>(N32-N33)/N32</f>
        <v>0.39717783017494834</v>
      </c>
      <c r="O70" s="25"/>
      <c r="P70" s="25"/>
      <c r="Q70" s="25"/>
      <c r="R70" s="25"/>
      <c r="S70" s="25"/>
      <c r="T70" s="25"/>
      <c r="U70" s="25"/>
      <c r="AB70" s="25">
        <f>(AB32-AB33)/AB32</f>
        <v>0.40990011478600608</v>
      </c>
      <c r="AC70" s="25">
        <f>(AC32-AC33)/AC32</f>
        <v>0.3956779186870571</v>
      </c>
      <c r="AD70" s="25">
        <f>(AD32-AD33)/AD32</f>
        <v>0.42032514441639601</v>
      </c>
      <c r="AE70" s="25">
        <f>(AE32-AE33)/AE32</f>
        <v>0.42991252167090094</v>
      </c>
      <c r="AF70" s="25">
        <f>(AF32-AF33)/AF32</f>
        <v>0.42991252167090099</v>
      </c>
      <c r="AG70" s="25">
        <f>(AG32-AG33)/AG32</f>
        <v>0.42991252167090105</v>
      </c>
      <c r="AH70" s="25">
        <f>(AH32-AH33)/AH32</f>
        <v>0.42991252167090105</v>
      </c>
      <c r="AI70" s="25">
        <f>(AI32-AI33)/AI32</f>
        <v>0.42991252167090099</v>
      </c>
      <c r="AJ70" s="25">
        <f>(AJ32-AJ33)/AJ32</f>
        <v>0.42991252167090094</v>
      </c>
      <c r="AK70" s="25">
        <f>(AK32-AK33)/AK32</f>
        <v>0.42991252167090099</v>
      </c>
      <c r="AL70" s="25">
        <f>(AL32-AL33)/AL32</f>
        <v>0.42991252167090099</v>
      </c>
      <c r="AM70" s="25">
        <f>(AM32-AM33)/AM32</f>
        <v>0.42991252167090105</v>
      </c>
      <c r="AN70" s="25">
        <f>(AN32-AN33)/AN32</f>
        <v>0.42991252167090105</v>
      </c>
      <c r="AP70" s="42" t="s">
        <v>127</v>
      </c>
      <c r="AQ70" s="37">
        <f>Main!M10-Main!M11</f>
        <v>50082.289139547189</v>
      </c>
      <c r="AR70" s="37">
        <f>+AQ70</f>
        <v>50082.289139547189</v>
      </c>
      <c r="AS70" s="37">
        <f t="shared" ref="AS70:AY70" si="34">+AR70</f>
        <v>50082.289139547189</v>
      </c>
      <c r="AT70" s="37">
        <f t="shared" si="34"/>
        <v>50082.289139547189</v>
      </c>
      <c r="AU70" s="37">
        <f t="shared" si="34"/>
        <v>50082.289139547189</v>
      </c>
      <c r="AV70" s="37">
        <f t="shared" si="34"/>
        <v>50082.289139547189</v>
      </c>
      <c r="AW70" s="51">
        <f t="shared" si="34"/>
        <v>50082.289139547189</v>
      </c>
      <c r="AX70" s="37">
        <f t="shared" si="34"/>
        <v>50082.289139547189</v>
      </c>
      <c r="AY70" s="38">
        <f t="shared" si="34"/>
        <v>50082.289139547189</v>
      </c>
    </row>
    <row r="71" spans="2:51" s="9" customFormat="1" x14ac:dyDescent="0.2">
      <c r="B71" s="17" t="s">
        <v>140</v>
      </c>
      <c r="C71" s="26">
        <f>+C40/C32</f>
        <v>5.2868048560674334E-2</v>
      </c>
      <c r="D71" s="26">
        <f>+D40/D32</f>
        <v>6.5716663667446468E-2</v>
      </c>
      <c r="E71" s="26">
        <f>+E40/E32</f>
        <v>6.4423526964480726E-2</v>
      </c>
      <c r="F71" s="26">
        <f>+F40/F32</f>
        <v>5.4740950181195493E-2</v>
      </c>
      <c r="G71" s="26">
        <f>+G40/G32</f>
        <v>8.1691516614755155E-2</v>
      </c>
      <c r="H71" s="26">
        <f>+H40/H32</f>
        <v>6.8111071807569867E-2</v>
      </c>
      <c r="I71" s="26">
        <f>+I40/I32</f>
        <v>4.3785871566256365E-2</v>
      </c>
      <c r="J71" s="26">
        <f>+J40/J32</f>
        <v>2.5179751404535267E-2</v>
      </c>
      <c r="K71" s="26">
        <f>+K40/K32</f>
        <v>3.1508708048504003E-2</v>
      </c>
      <c r="L71" s="26">
        <f>+L40/L32</f>
        <v>2.7360311463780786E-2</v>
      </c>
      <c r="M71" s="26">
        <f>+M40/M32</f>
        <v>1.986609074672898E-2</v>
      </c>
      <c r="N71" s="26">
        <f>+N40/N32</f>
        <v>2.5179751404535315E-2</v>
      </c>
      <c r="O71" s="25"/>
      <c r="P71" s="25"/>
      <c r="Q71" s="25"/>
      <c r="R71" s="25"/>
      <c r="S71" s="25"/>
      <c r="T71" s="25"/>
      <c r="U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P71" s="42"/>
      <c r="AQ71" s="37"/>
      <c r="AR71" s="37"/>
      <c r="AS71" s="37"/>
      <c r="AT71" s="37"/>
      <c r="AU71" s="37"/>
      <c r="AV71" s="37"/>
      <c r="AW71" s="51"/>
      <c r="AX71" s="37"/>
      <c r="AY71" s="38"/>
    </row>
    <row r="72" spans="2:51" s="7" customFormat="1" x14ac:dyDescent="0.2">
      <c r="B72" s="17" t="s">
        <v>116</v>
      </c>
      <c r="C72" s="26">
        <f>+C33/C32</f>
        <v>0.58655834172719079</v>
      </c>
      <c r="D72" s="26">
        <f>+D33/D32</f>
        <v>0.59227100953752021</v>
      </c>
      <c r="E72" s="26">
        <f>+E33/E32</f>
        <v>0.59395704404805238</v>
      </c>
      <c r="F72" s="26">
        <f>+F33/F32</f>
        <v>0.63146828083310103</v>
      </c>
      <c r="G72" s="26">
        <f>+G33/G32</f>
        <v>0.5750474575646437</v>
      </c>
      <c r="H72" s="26">
        <f>+H33/H32</f>
        <v>0.56752741422002118</v>
      </c>
      <c r="I72" s="26">
        <f>+I33/I32</f>
        <v>0.56789878352525003</v>
      </c>
      <c r="J72" s="26">
        <f>+J33/J32</f>
        <v>0.60282216982505166</v>
      </c>
      <c r="K72" s="26">
        <f>+K33/K32</f>
        <v>0.57108137817319915</v>
      </c>
      <c r="L72" s="26">
        <f>+L33/L32</f>
        <v>0.54789910421168975</v>
      </c>
      <c r="M72" s="26">
        <f>+M33/M32</f>
        <v>0.55285166914501072</v>
      </c>
      <c r="N72" s="26">
        <f>+J72</f>
        <v>0.60282216982505166</v>
      </c>
      <c r="O72" s="26"/>
      <c r="P72" s="26"/>
      <c r="Q72" s="26"/>
      <c r="R72" s="26"/>
      <c r="S72" s="26"/>
      <c r="T72" s="26"/>
      <c r="U72" s="26"/>
      <c r="AB72" s="26">
        <f>+AB33/AB32</f>
        <v>0.59009988521399392</v>
      </c>
      <c r="AC72" s="26">
        <f>+AC33/AC32</f>
        <v>0.60432208131294296</v>
      </c>
      <c r="AD72" s="26">
        <f>+AD33/AD32</f>
        <v>0.57967485558360399</v>
      </c>
      <c r="AE72" s="31">
        <f>+AE33/AE32</f>
        <v>0.57008747832909901</v>
      </c>
      <c r="AF72" s="31">
        <v>0.57008747832909901</v>
      </c>
      <c r="AG72" s="31">
        <v>0.57008747832909901</v>
      </c>
      <c r="AH72" s="31">
        <v>0.57008747832909901</v>
      </c>
      <c r="AI72" s="31">
        <v>0.57008747832909901</v>
      </c>
      <c r="AJ72" s="31">
        <v>0.57008747832909901</v>
      </c>
      <c r="AK72" s="31">
        <v>0.57008747832909901</v>
      </c>
      <c r="AL72" s="31">
        <v>0.57008747832909901</v>
      </c>
      <c r="AM72" s="31">
        <v>0.57008747832909901</v>
      </c>
      <c r="AN72" s="31">
        <v>0.57008747832909901</v>
      </c>
      <c r="AP72" s="43" t="s">
        <v>128</v>
      </c>
      <c r="AQ72" s="37">
        <f>SUM(AQ69:AQ70)</f>
        <v>1029564.5541613888</v>
      </c>
      <c r="AR72" s="37">
        <f t="shared" ref="AR72:AY72" si="35">SUM(AR69:AR70)</f>
        <v>976205.00365073432</v>
      </c>
      <c r="AS72" s="37">
        <f t="shared" ref="AS72:AX72" si="36">SUM(AS69:AS70)</f>
        <v>927325.61327261408</v>
      </c>
      <c r="AT72" s="37">
        <f t="shared" si="36"/>
        <v>882409.47992958652</v>
      </c>
      <c r="AU72" s="37">
        <f t="shared" si="36"/>
        <v>841015.48658270552</v>
      </c>
      <c r="AV72" s="37">
        <f t="shared" si="36"/>
        <v>802764.94118329359</v>
      </c>
      <c r="AW72" s="51">
        <f t="shared" si="36"/>
        <v>767330.9407620189</v>
      </c>
      <c r="AX72" s="37">
        <f t="shared" si="36"/>
        <v>734429.83520065679</v>
      </c>
      <c r="AY72" s="38">
        <f t="shared" si="35"/>
        <v>703814.32344212127</v>
      </c>
    </row>
    <row r="73" spans="2:51" s="7" customFormat="1" x14ac:dyDescent="0.2">
      <c r="B73" s="17" t="s">
        <v>117</v>
      </c>
      <c r="C73" s="26">
        <f>+C34/C32</f>
        <v>0.15282563749138525</v>
      </c>
      <c r="D73" s="26">
        <f>+D34/D32</f>
        <v>0.15527712794673384</v>
      </c>
      <c r="E73" s="26">
        <f>+E34/E32</f>
        <v>0.15294607103853555</v>
      </c>
      <c r="F73" s="26">
        <f>+F34/F32</f>
        <v>0.1471387041535582</v>
      </c>
      <c r="G73" s="26">
        <f>+G34/G32</f>
        <v>0.15232495991448422</v>
      </c>
      <c r="H73" s="26">
        <f>+H34/H32</f>
        <v>0.15597806862398303</v>
      </c>
      <c r="I73" s="26">
        <f>+I34/I32</f>
        <v>0.16693137927300292</v>
      </c>
      <c r="J73" s="26">
        <f>+J34/J32</f>
        <v>0.16334090181352429</v>
      </c>
      <c r="K73" s="26">
        <f>+K34/K32</f>
        <v>0.17408367970870117</v>
      </c>
      <c r="L73" s="26">
        <f>+L34/L32</f>
        <v>0.1677912136859297</v>
      </c>
      <c r="M73" s="26">
        <f>+M34/M32</f>
        <v>0.16194207756036538</v>
      </c>
      <c r="N73" s="26">
        <f t="shared" ref="N73:N76" si="37">+J73</f>
        <v>0.16334090181352429</v>
      </c>
      <c r="O73" s="26"/>
      <c r="P73" s="26"/>
      <c r="Q73" s="26"/>
      <c r="R73" s="26"/>
      <c r="S73" s="26"/>
      <c r="T73" s="26"/>
      <c r="U73" s="26"/>
      <c r="AB73" s="26">
        <f>+AB34/AB32</f>
        <v>0.14341834152045116</v>
      </c>
      <c r="AC73" s="26">
        <f>+AC34/AC32</f>
        <v>0.15157331426913673</v>
      </c>
      <c r="AD73" s="26">
        <f>+AD34/AD32</f>
        <v>0.15987118525739535</v>
      </c>
      <c r="AE73" s="31">
        <f>+AE34/AE32</f>
        <v>0.16650088291120602</v>
      </c>
      <c r="AF73" s="31">
        <v>0.16</v>
      </c>
      <c r="AG73" s="31">
        <f>+AF73-0.001</f>
        <v>0.159</v>
      </c>
      <c r="AH73" s="31">
        <f t="shared" ref="AH73:AN73" si="38">+AG73-0.001</f>
        <v>0.158</v>
      </c>
      <c r="AI73" s="31">
        <f t="shared" si="38"/>
        <v>0.157</v>
      </c>
      <c r="AJ73" s="31">
        <f t="shared" si="38"/>
        <v>0.156</v>
      </c>
      <c r="AK73" s="31">
        <f t="shared" si="38"/>
        <v>0.155</v>
      </c>
      <c r="AL73" s="31">
        <f t="shared" si="38"/>
        <v>0.154</v>
      </c>
      <c r="AM73" s="31">
        <f t="shared" si="38"/>
        <v>0.153</v>
      </c>
      <c r="AN73" s="31">
        <f t="shared" si="38"/>
        <v>0.152</v>
      </c>
      <c r="AP73" s="41" t="s">
        <v>46</v>
      </c>
      <c r="AQ73" s="37">
        <f>+AQ72/Main!$M$8</f>
        <v>100.92133455998741</v>
      </c>
      <c r="AR73" s="37">
        <f>+AR72/Main!$M$8</f>
        <v>95.690854327067356</v>
      </c>
      <c r="AS73" s="37">
        <f>+AS72/Main!$M$8</f>
        <v>90.899534259277573</v>
      </c>
      <c r="AT73" s="37">
        <f>+AT72/Main!$M$8</f>
        <v>86.496705799487643</v>
      </c>
      <c r="AU73" s="37">
        <f>+AU72/Main!$M$8</f>
        <v>82.439129191542747</v>
      </c>
      <c r="AV73" s="37">
        <f>+AV72/Main!$M$8</f>
        <v>78.689683784012786</v>
      </c>
      <c r="AW73" s="51">
        <f>+AW72/Main!$M$8</f>
        <v>75.216325462904905</v>
      </c>
      <c r="AX73" s="37">
        <f>+AX72/Main!$M$8</f>
        <v>71.991249902241023</v>
      </c>
      <c r="AY73" s="38">
        <f>+AY72/Main!$M$8</f>
        <v>68.990215831652719</v>
      </c>
    </row>
    <row r="74" spans="2:51" s="7" customFormat="1" x14ac:dyDescent="0.2">
      <c r="B74" s="17" t="s">
        <v>118</v>
      </c>
      <c r="C74" s="26">
        <f>+C35/C32</f>
        <v>0.12358850660022266</v>
      </c>
      <c r="D74" s="26">
        <f>+D35/D32</f>
        <v>0.11683462299802051</v>
      </c>
      <c r="E74" s="26">
        <f>+E35/E32</f>
        <v>0.11416090280305788</v>
      </c>
      <c r="F74" s="26">
        <f>+F35/F32</f>
        <v>9.5965911353590061E-2</v>
      </c>
      <c r="G74" s="26">
        <f>+G35/G32</f>
        <v>0.11507768296503806</v>
      </c>
      <c r="H74" s="26">
        <f>+H35/H32</f>
        <v>0.12266536964980544</v>
      </c>
      <c r="I74" s="26">
        <f>+I35/I32</f>
        <v>0.12976933906075155</v>
      </c>
      <c r="J74" s="26">
        <f>+J35/J32</f>
        <v>0.11143859342706605</v>
      </c>
      <c r="K74" s="26">
        <f>+K35/K32</f>
        <v>0.12746041015423723</v>
      </c>
      <c r="L74" s="26">
        <f>+L35/L32</f>
        <v>0.14906709338964316</v>
      </c>
      <c r="M74" s="26">
        <f>+M35/M32</f>
        <v>0.15330327849505512</v>
      </c>
      <c r="N74" s="26">
        <f t="shared" si="37"/>
        <v>0.11143859342706605</v>
      </c>
      <c r="O74" s="26"/>
      <c r="P74" s="26"/>
      <c r="Q74" s="26"/>
      <c r="R74" s="26"/>
      <c r="S74" s="26"/>
      <c r="T74" s="26"/>
      <c r="U74" s="26"/>
      <c r="AB74" s="26">
        <f>+AB35/AB32</f>
        <v>0.12808621070718162</v>
      </c>
      <c r="AC74" s="26">
        <f>+AC35/AC32</f>
        <v>0.11070703303079282</v>
      </c>
      <c r="AD74" s="26">
        <f>+AD35/AD32</f>
        <v>0.11930475797216818</v>
      </c>
      <c r="AE74" s="31">
        <f>+AE35/AE32</f>
        <v>0.13445953848123621</v>
      </c>
      <c r="AF74" s="31">
        <f>+AE74-0.001</f>
        <v>0.13345953848123621</v>
      </c>
      <c r="AG74" s="31">
        <f>+AF74-0.001</f>
        <v>0.13245953848123621</v>
      </c>
      <c r="AH74" s="31">
        <f t="shared" ref="AH74:AN74" si="39">+AG74-0.001</f>
        <v>0.1314595384812362</v>
      </c>
      <c r="AI74" s="31">
        <f t="shared" si="39"/>
        <v>0.1304595384812362</v>
      </c>
      <c r="AJ74" s="31">
        <f t="shared" si="39"/>
        <v>0.1294595384812362</v>
      </c>
      <c r="AK74" s="31">
        <f t="shared" si="39"/>
        <v>0.1284595384812362</v>
      </c>
      <c r="AL74" s="31">
        <f t="shared" si="39"/>
        <v>0.1274595384812362</v>
      </c>
      <c r="AM74" s="31">
        <f t="shared" si="39"/>
        <v>0.1264595384812362</v>
      </c>
      <c r="AN74" s="31">
        <f t="shared" si="39"/>
        <v>0.1254595384812362</v>
      </c>
      <c r="AP74" s="41" t="s">
        <v>47</v>
      </c>
      <c r="AQ74" s="37">
        <f>+Main!M7</f>
        <v>84</v>
      </c>
      <c r="AR74" s="44">
        <f>+AQ74</f>
        <v>84</v>
      </c>
      <c r="AS74" s="44">
        <f t="shared" ref="AS74:AY74" si="40">+AR74</f>
        <v>84</v>
      </c>
      <c r="AT74" s="44">
        <f t="shared" si="40"/>
        <v>84</v>
      </c>
      <c r="AU74" s="44">
        <f t="shared" si="40"/>
        <v>84</v>
      </c>
      <c r="AV74" s="44">
        <f t="shared" si="40"/>
        <v>84</v>
      </c>
      <c r="AW74" s="52">
        <f t="shared" si="40"/>
        <v>84</v>
      </c>
      <c r="AX74" s="44">
        <f t="shared" si="40"/>
        <v>84</v>
      </c>
      <c r="AY74" s="48">
        <f t="shared" si="40"/>
        <v>84</v>
      </c>
    </row>
    <row r="75" spans="2:51" s="7" customFormat="1" ht="16" thickBot="1" x14ac:dyDescent="0.25">
      <c r="B75" s="17" t="s">
        <v>119</v>
      </c>
      <c r="C75" s="26">
        <f>+C36/C32</f>
        <v>6.3987700789906163E-2</v>
      </c>
      <c r="D75" s="26">
        <f>+D36/D32</f>
        <v>4.8868544178513586E-2</v>
      </c>
      <c r="E75" s="26">
        <f>+E36/E32</f>
        <v>5.6518799729575124E-2</v>
      </c>
      <c r="F75" s="26">
        <f>+F36/F32</f>
        <v>5.8962207797379637E-2</v>
      </c>
      <c r="G75" s="26">
        <f>+G36/G32</f>
        <v>5.7197884221972389E-2</v>
      </c>
      <c r="H75" s="26">
        <f>+H36/H32</f>
        <v>6.6536964980544747E-2</v>
      </c>
      <c r="I75" s="26">
        <f>+I36/I32</f>
        <v>7.2284590116593869E-2</v>
      </c>
      <c r="J75" s="26">
        <f>+J36/J32</f>
        <v>7.8668529677175206E-2</v>
      </c>
      <c r="K75" s="26">
        <f>+K36/K32</f>
        <v>7.1450654391810656E-2</v>
      </c>
      <c r="L75" s="26">
        <f>+L36/L32</f>
        <v>8.3194483395747074E-2</v>
      </c>
      <c r="M75" s="26">
        <f>+M36/M32</f>
        <v>8.6655494449296225E-2</v>
      </c>
      <c r="N75" s="26">
        <f t="shared" si="37"/>
        <v>7.8668529677175206E-2</v>
      </c>
      <c r="O75" s="26"/>
      <c r="P75" s="26"/>
      <c r="Q75" s="26"/>
      <c r="R75" s="26"/>
      <c r="S75" s="26"/>
      <c r="T75" s="26"/>
      <c r="U75" s="26"/>
      <c r="AB75" s="26">
        <f>+AB36/AB32</f>
        <v>6.7295969656568824E-2</v>
      </c>
      <c r="AC75" s="26">
        <f>+AC36/AC32</f>
        <v>5.7006092254134028E-2</v>
      </c>
      <c r="AD75" s="26">
        <f>+AD36/AD32</f>
        <v>6.9283686161993263E-2</v>
      </c>
      <c r="AE75" s="31">
        <f>+AE36/AE32</f>
        <v>8.0085958114079814E-2</v>
      </c>
      <c r="AF75" s="31">
        <v>7.0000000000000007E-2</v>
      </c>
      <c r="AG75" s="31">
        <f>+AF75-0.001</f>
        <v>6.9000000000000006E-2</v>
      </c>
      <c r="AH75" s="31">
        <f t="shared" ref="AH75:AN75" si="41">+AG75-0.001</f>
        <v>6.8000000000000005E-2</v>
      </c>
      <c r="AI75" s="31">
        <f t="shared" si="41"/>
        <v>6.7000000000000004E-2</v>
      </c>
      <c r="AJ75" s="31">
        <f t="shared" si="41"/>
        <v>6.6000000000000003E-2</v>
      </c>
      <c r="AK75" s="31">
        <f t="shared" si="41"/>
        <v>6.5000000000000002E-2</v>
      </c>
      <c r="AL75" s="31">
        <f t="shared" si="41"/>
        <v>6.4000000000000001E-2</v>
      </c>
      <c r="AM75" s="31">
        <f t="shared" si="41"/>
        <v>6.3E-2</v>
      </c>
      <c r="AN75" s="31">
        <f t="shared" si="41"/>
        <v>6.2E-2</v>
      </c>
      <c r="AP75" s="45" t="s">
        <v>122</v>
      </c>
      <c r="AQ75" s="46">
        <f>+AQ73/AQ74-1</f>
        <v>0.20144445904746933</v>
      </c>
      <c r="AR75" s="46">
        <f t="shared" ref="AR75:AY75" si="42">+AR73/AR74-1</f>
        <v>0.13917683722699237</v>
      </c>
      <c r="AS75" s="46">
        <f t="shared" si="42"/>
        <v>8.2137312610447211E-2</v>
      </c>
      <c r="AT75" s="46">
        <f t="shared" si="42"/>
        <v>2.9722688089138583E-2</v>
      </c>
      <c r="AU75" s="46">
        <f t="shared" si="42"/>
        <v>-1.8581795338776796E-2</v>
      </c>
      <c r="AV75" s="46">
        <f t="shared" si="42"/>
        <v>-6.3218050190324004E-2</v>
      </c>
      <c r="AW75" s="53">
        <f t="shared" si="42"/>
        <v>-0.10456755401303686</v>
      </c>
      <c r="AX75" s="46">
        <f t="shared" si="42"/>
        <v>-0.14296131068760687</v>
      </c>
      <c r="AY75" s="49">
        <f t="shared" si="42"/>
        <v>-0.17868790676603907</v>
      </c>
    </row>
    <row r="76" spans="2:51" s="7" customFormat="1" x14ac:dyDescent="0.2">
      <c r="B76" s="17" t="s">
        <v>120</v>
      </c>
      <c r="C76" s="26">
        <f>+C37/C32</f>
        <v>1.924402268992207E-2</v>
      </c>
      <c r="D76" s="26">
        <f>+D37/D32</f>
        <v>1.7770379701277667E-2</v>
      </c>
      <c r="E76" s="26">
        <f>+E37/E32</f>
        <v>1.7348796089240209E-2</v>
      </c>
      <c r="F76" s="26">
        <f>+F37/F32</f>
        <v>1.5674405638963003E-2</v>
      </c>
      <c r="G76" s="26">
        <f>+G37/G32</f>
        <v>1.8310326397464015E-2</v>
      </c>
      <c r="H76" s="26">
        <f>+H37/H32</f>
        <v>1.9083834453484258E-2</v>
      </c>
      <c r="I76" s="26">
        <f>+I37/I32</f>
        <v>1.9429303685521423E-2</v>
      </c>
      <c r="J76" s="26">
        <f>+J37/J32</f>
        <v>1.8375396617471545E-2</v>
      </c>
      <c r="K76" s="26">
        <f>+K37/K32</f>
        <v>2.2276802583215967E-2</v>
      </c>
      <c r="L76" s="26">
        <f>+L37/L32</f>
        <v>2.3945427850273027E-2</v>
      </c>
      <c r="M76" s="26">
        <f>+M37/M32</f>
        <v>2.4083209416133625E-2</v>
      </c>
      <c r="N76" s="26">
        <f t="shared" si="37"/>
        <v>1.8375396617471545E-2</v>
      </c>
      <c r="O76" s="26"/>
      <c r="P76" s="26"/>
      <c r="Q76" s="26"/>
      <c r="R76" s="26"/>
      <c r="S76" s="26"/>
      <c r="T76" s="26"/>
      <c r="U76" s="26"/>
      <c r="AB76" s="26">
        <f>+AB37/AB32</f>
        <v>1.8547564896870834E-2</v>
      </c>
      <c r="AC76" s="26">
        <f>+AC37/AC32</f>
        <v>1.7271747689502258E-2</v>
      </c>
      <c r="AD76" s="26">
        <f>+AD37/AD32</f>
        <v>1.8779452643767215E-2</v>
      </c>
      <c r="AE76" s="31">
        <f>+AE37/AE32</f>
        <v>2.2010299051950399E-2</v>
      </c>
      <c r="AF76" s="31">
        <v>2.2010299051950399E-2</v>
      </c>
      <c r="AG76" s="31">
        <f>+AF76-0.002</f>
        <v>2.0010299051950398E-2</v>
      </c>
      <c r="AH76" s="31">
        <f t="shared" ref="AH76" si="43">+AG76-0.002</f>
        <v>1.8010299051950396E-2</v>
      </c>
      <c r="AI76" s="31">
        <f>+AH76</f>
        <v>1.8010299051950396E-2</v>
      </c>
      <c r="AJ76" s="31">
        <f t="shared" ref="AJ76:AN76" si="44">+AI76</f>
        <v>1.8010299051950396E-2</v>
      </c>
      <c r="AK76" s="31">
        <f t="shared" si="44"/>
        <v>1.8010299051950396E-2</v>
      </c>
      <c r="AL76" s="31">
        <f t="shared" si="44"/>
        <v>1.8010299051950396E-2</v>
      </c>
      <c r="AM76" s="31">
        <f t="shared" si="44"/>
        <v>1.8010299051950396E-2</v>
      </c>
      <c r="AN76" s="31">
        <f t="shared" si="44"/>
        <v>1.8010299051950396E-2</v>
      </c>
    </row>
    <row r="77" spans="2:51" s="7" customFormat="1" ht="16" thickBot="1" x14ac:dyDescent="0.25">
      <c r="B77" s="17"/>
      <c r="AQ77" s="30"/>
    </row>
    <row r="78" spans="2:51" x14ac:dyDescent="0.2">
      <c r="AP78" s="54" t="s">
        <v>130</v>
      </c>
      <c r="AQ78" s="55">
        <f>AVERAGE(AQ73:AY73)</f>
        <v>83.481670346463787</v>
      </c>
    </row>
    <row r="79" spans="2:51" s="5" customFormat="1" ht="16" thickBot="1" x14ac:dyDescent="0.25">
      <c r="B79" s="14" t="s">
        <v>73</v>
      </c>
      <c r="F79" s="5">
        <f t="shared" ref="F79:M79" si="45">+SUM(F80:F81)-F96</f>
        <v>52580</v>
      </c>
      <c r="G79" s="5">
        <f t="shared" si="45"/>
        <v>41402</v>
      </c>
      <c r="H79" s="5">
        <f t="shared" si="45"/>
        <v>39615</v>
      </c>
      <c r="I79" s="5">
        <f t="shared" si="45"/>
        <v>28933</v>
      </c>
      <c r="J79" s="5">
        <f t="shared" si="45"/>
        <v>47305</v>
      </c>
      <c r="K79" s="5">
        <f t="shared" si="45"/>
        <v>18829</v>
      </c>
      <c r="L79" s="5">
        <f t="shared" si="45"/>
        <v>2657</v>
      </c>
      <c r="M79" s="5">
        <f t="shared" si="45"/>
        <v>47305</v>
      </c>
      <c r="AD79" s="5">
        <f>+M79</f>
        <v>47305</v>
      </c>
      <c r="AE79" s="5">
        <f>+AD79+AE48</f>
        <v>47678.013387180341</v>
      </c>
      <c r="AF79" s="5">
        <f>+AE79+AF48</f>
        <v>63713.056437836261</v>
      </c>
      <c r="AG79" s="5">
        <f>+AF79+AG48</f>
        <v>85050.611708395954</v>
      </c>
      <c r="AH79" s="5">
        <f>+AG79+AH48</f>
        <v>112759.22970166807</v>
      </c>
      <c r="AI79" s="5">
        <f>+AH79+AI48</f>
        <v>145033.70201575849</v>
      </c>
      <c r="AJ79" s="5">
        <f>+AI79+AJ48</f>
        <v>188300.60668075332</v>
      </c>
      <c r="AK79" s="5">
        <f>+AJ79+AK48</f>
        <v>242664.04667044504</v>
      </c>
      <c r="AL79" s="5">
        <f>+AK79+AL48</f>
        <v>310812.88820395659</v>
      </c>
      <c r="AM79" s="5">
        <f>+AL79+AM48</f>
        <v>396169.02012334624</v>
      </c>
      <c r="AN79" s="5">
        <f>+AM79+AN48</f>
        <v>503581.80675021699</v>
      </c>
      <c r="AP79" s="56" t="s">
        <v>122</v>
      </c>
      <c r="AQ79" s="57">
        <f>+AQ78/AQ74-1</f>
        <v>-6.170591113526358E-3</v>
      </c>
    </row>
    <row r="80" spans="2:51" x14ac:dyDescent="0.2">
      <c r="B80" s="11" t="s">
        <v>4</v>
      </c>
      <c r="F80" s="2">
        <v>42122</v>
      </c>
      <c r="G80" s="2">
        <v>33834</v>
      </c>
      <c r="H80" s="2">
        <v>40380</v>
      </c>
      <c r="I80" s="2">
        <v>29944</v>
      </c>
      <c r="J80" s="2">
        <v>36220</v>
      </c>
      <c r="K80" s="2">
        <v>36393</v>
      </c>
      <c r="L80" s="2">
        <v>37478</v>
      </c>
      <c r="M80" s="2">
        <v>36220</v>
      </c>
    </row>
    <row r="81" spans="2:42" x14ac:dyDescent="0.2">
      <c r="B81" s="11" t="s">
        <v>51</v>
      </c>
      <c r="F81" s="2">
        <v>42274</v>
      </c>
      <c r="G81" s="2">
        <v>39436</v>
      </c>
      <c r="H81" s="2">
        <v>49514</v>
      </c>
      <c r="I81" s="2">
        <v>49044</v>
      </c>
      <c r="J81" s="2">
        <v>59829</v>
      </c>
      <c r="K81" s="2">
        <v>29992</v>
      </c>
      <c r="L81" s="2">
        <v>23232</v>
      </c>
      <c r="M81" s="2">
        <v>59829</v>
      </c>
    </row>
    <row r="82" spans="2:42" x14ac:dyDescent="0.2">
      <c r="B82" s="11" t="s">
        <v>52</v>
      </c>
      <c r="F82" s="2">
        <v>23795</v>
      </c>
      <c r="G82" s="2">
        <v>23849</v>
      </c>
      <c r="H82" s="2">
        <v>24119</v>
      </c>
      <c r="I82" s="2">
        <v>30933</v>
      </c>
      <c r="J82" s="2">
        <v>32640</v>
      </c>
      <c r="K82" s="2">
        <v>34987</v>
      </c>
      <c r="L82" s="5">
        <v>38153</v>
      </c>
      <c r="M82" s="2">
        <v>32640</v>
      </c>
      <c r="AP82" s="5" t="s">
        <v>174</v>
      </c>
    </row>
    <row r="83" spans="2:42" x14ac:dyDescent="0.2">
      <c r="B83" s="11" t="s">
        <v>53</v>
      </c>
      <c r="F83" s="2">
        <v>24542</v>
      </c>
      <c r="G83" s="2">
        <v>24289</v>
      </c>
      <c r="H83" s="2">
        <v>26835</v>
      </c>
      <c r="I83" s="2">
        <v>28610</v>
      </c>
      <c r="J83" s="2">
        <v>32891</v>
      </c>
      <c r="K83" s="2">
        <v>32504</v>
      </c>
      <c r="L83" s="2">
        <v>34804</v>
      </c>
      <c r="M83" s="2">
        <v>32891</v>
      </c>
    </row>
    <row r="84" spans="2:42" s="5" customFormat="1" x14ac:dyDescent="0.2">
      <c r="B84" s="14" t="s">
        <v>54</v>
      </c>
      <c r="F84" s="5">
        <f t="shared" ref="F84:L84" si="46">+SUM(F80:F83)</f>
        <v>132733</v>
      </c>
      <c r="G84" s="5">
        <f t="shared" si="46"/>
        <v>121408</v>
      </c>
      <c r="H84" s="5">
        <f t="shared" si="46"/>
        <v>140848</v>
      </c>
      <c r="I84" s="5">
        <f t="shared" si="46"/>
        <v>138531</v>
      </c>
      <c r="J84" s="5">
        <f t="shared" si="46"/>
        <v>161580</v>
      </c>
      <c r="K84" s="5">
        <f t="shared" si="46"/>
        <v>133876</v>
      </c>
      <c r="L84" s="5">
        <f t="shared" si="46"/>
        <v>133667</v>
      </c>
      <c r="M84" s="5">
        <f t="shared" ref="M84" si="47">+SUM(M80:M83)</f>
        <v>161580</v>
      </c>
    </row>
    <row r="85" spans="2:42" x14ac:dyDescent="0.2">
      <c r="B85" s="11" t="s">
        <v>55</v>
      </c>
      <c r="F85" s="2">
        <v>113114</v>
      </c>
      <c r="G85" s="2">
        <v>121461</v>
      </c>
      <c r="H85" s="2">
        <v>133502</v>
      </c>
      <c r="I85" s="2">
        <v>147152</v>
      </c>
      <c r="J85" s="2">
        <v>160281</v>
      </c>
      <c r="K85" s="2">
        <v>168468</v>
      </c>
      <c r="L85" s="2">
        <v>173706</v>
      </c>
      <c r="M85" s="2">
        <v>160281</v>
      </c>
    </row>
    <row r="86" spans="2:42" x14ac:dyDescent="0.2">
      <c r="B86" s="11" t="s">
        <v>56</v>
      </c>
      <c r="F86" s="2">
        <v>37553</v>
      </c>
      <c r="G86" s="2">
        <v>39328</v>
      </c>
      <c r="H86" s="2">
        <v>43346</v>
      </c>
      <c r="I86" s="2">
        <v>52151</v>
      </c>
      <c r="J86" s="2">
        <v>56082</v>
      </c>
      <c r="K86" s="2">
        <v>56161</v>
      </c>
      <c r="L86" s="2">
        <v>58430</v>
      </c>
      <c r="M86" s="2">
        <v>56082</v>
      </c>
    </row>
    <row r="87" spans="2:42" x14ac:dyDescent="0.2">
      <c r="B87" s="11" t="s">
        <v>57</v>
      </c>
      <c r="F87" s="2">
        <v>15017</v>
      </c>
      <c r="G87" s="2">
        <v>15220</v>
      </c>
      <c r="H87" s="2">
        <v>15350</v>
      </c>
      <c r="I87" s="2">
        <v>15345</v>
      </c>
      <c r="J87" s="2">
        <v>15371</v>
      </c>
      <c r="K87" s="2">
        <v>20229</v>
      </c>
      <c r="L87" s="2">
        <v>20195</v>
      </c>
      <c r="M87" s="2">
        <v>15371</v>
      </c>
    </row>
    <row r="88" spans="2:42" x14ac:dyDescent="0.2">
      <c r="B88" s="11" t="s">
        <v>58</v>
      </c>
      <c r="F88" s="2">
        <v>22778</v>
      </c>
      <c r="G88" s="2">
        <v>25660</v>
      </c>
      <c r="H88" s="2">
        <v>27273</v>
      </c>
      <c r="I88" s="2">
        <v>29227</v>
      </c>
      <c r="J88" s="2">
        <v>27235</v>
      </c>
      <c r="K88" s="2">
        <v>32033</v>
      </c>
      <c r="L88" s="2">
        <v>33730</v>
      </c>
      <c r="M88" s="2">
        <v>27235</v>
      </c>
    </row>
    <row r="89" spans="2:42" s="5" customFormat="1" x14ac:dyDescent="0.2">
      <c r="B89" s="14" t="s">
        <v>59</v>
      </c>
      <c r="F89" s="5">
        <f t="shared" ref="F89:L89" si="48">+SUM(F84:F88)</f>
        <v>321195</v>
      </c>
      <c r="G89" s="5">
        <f t="shared" si="48"/>
        <v>323077</v>
      </c>
      <c r="H89" s="5">
        <f t="shared" si="48"/>
        <v>360319</v>
      </c>
      <c r="I89" s="5">
        <f t="shared" si="48"/>
        <v>382406</v>
      </c>
      <c r="J89" s="5">
        <f t="shared" si="48"/>
        <v>420549</v>
      </c>
      <c r="K89" s="5">
        <f t="shared" si="48"/>
        <v>410767</v>
      </c>
      <c r="L89" s="5">
        <f t="shared" si="48"/>
        <v>419728</v>
      </c>
      <c r="M89" s="5">
        <f t="shared" ref="M89" si="49">+SUM(M84:M88)</f>
        <v>420549</v>
      </c>
    </row>
    <row r="91" spans="2:42" x14ac:dyDescent="0.2">
      <c r="B91" s="11" t="s">
        <v>60</v>
      </c>
      <c r="F91" s="2">
        <v>72539</v>
      </c>
      <c r="G91" s="2">
        <v>63926</v>
      </c>
      <c r="H91" s="2">
        <v>66090</v>
      </c>
      <c r="I91" s="2">
        <v>71474</v>
      </c>
      <c r="J91" s="2">
        <v>78664</v>
      </c>
      <c r="K91" s="2">
        <v>68547</v>
      </c>
      <c r="L91" s="2">
        <v>71219</v>
      </c>
      <c r="M91" s="2">
        <v>78664</v>
      </c>
    </row>
    <row r="92" spans="2:42" x14ac:dyDescent="0.2">
      <c r="B92" s="11" t="s">
        <v>61</v>
      </c>
      <c r="F92" s="2">
        <v>44138</v>
      </c>
      <c r="G92" s="2">
        <v>40939</v>
      </c>
      <c r="H92" s="2">
        <v>41007</v>
      </c>
      <c r="I92" s="2">
        <v>41546</v>
      </c>
      <c r="J92" s="2">
        <v>51775</v>
      </c>
      <c r="K92" s="2">
        <v>58141</v>
      </c>
      <c r="L92" s="2">
        <v>56254</v>
      </c>
      <c r="M92" s="2">
        <v>51775</v>
      </c>
    </row>
    <row r="93" spans="2:42" x14ac:dyDescent="0.2">
      <c r="B93" s="11" t="s">
        <v>62</v>
      </c>
      <c r="F93" s="2">
        <v>9708</v>
      </c>
      <c r="G93" s="2">
        <v>10539</v>
      </c>
      <c r="H93" s="2">
        <v>10695</v>
      </c>
      <c r="I93" s="2">
        <v>10974</v>
      </c>
      <c r="J93" s="2">
        <v>11827</v>
      </c>
      <c r="K93" s="2">
        <v>12820</v>
      </c>
      <c r="L93" s="2">
        <v>12818</v>
      </c>
      <c r="M93" s="2">
        <v>11827</v>
      </c>
    </row>
    <row r="94" spans="2:42" s="5" customFormat="1" x14ac:dyDescent="0.2">
      <c r="B94" s="14" t="s">
        <v>63</v>
      </c>
      <c r="F94" s="5">
        <f t="shared" ref="F94:L94" si="50">+SUM(F91:F93)</f>
        <v>126385</v>
      </c>
      <c r="G94" s="5">
        <f t="shared" si="50"/>
        <v>115404</v>
      </c>
      <c r="H94" s="5">
        <f t="shared" si="50"/>
        <v>117792</v>
      </c>
      <c r="I94" s="5">
        <f t="shared" si="50"/>
        <v>123994</v>
      </c>
      <c r="J94" s="5">
        <f t="shared" si="50"/>
        <v>142266</v>
      </c>
      <c r="K94" s="5">
        <f t="shared" si="50"/>
        <v>139508</v>
      </c>
      <c r="L94" s="5">
        <f t="shared" si="50"/>
        <v>140291</v>
      </c>
      <c r="M94" s="5">
        <f t="shared" ref="M94" si="51">+SUM(M91:M93)</f>
        <v>142266</v>
      </c>
    </row>
    <row r="95" spans="2:42" x14ac:dyDescent="0.2">
      <c r="B95" s="11" t="s">
        <v>64</v>
      </c>
      <c r="F95" s="2">
        <v>52573</v>
      </c>
      <c r="G95" s="2">
        <v>53067</v>
      </c>
      <c r="H95" s="2">
        <v>56297</v>
      </c>
      <c r="I95" s="2">
        <v>63848</v>
      </c>
      <c r="J95" s="2">
        <v>67651</v>
      </c>
      <c r="K95" s="2">
        <v>65731</v>
      </c>
      <c r="L95" s="2">
        <v>66524</v>
      </c>
      <c r="M95" s="2">
        <v>67651</v>
      </c>
    </row>
    <row r="96" spans="2:42" x14ac:dyDescent="0.2">
      <c r="B96" s="11" t="s">
        <v>65</v>
      </c>
      <c r="F96" s="2">
        <v>31816</v>
      </c>
      <c r="G96" s="2">
        <v>31868</v>
      </c>
      <c r="H96" s="2">
        <v>50279</v>
      </c>
      <c r="I96" s="2">
        <v>50055</v>
      </c>
      <c r="J96" s="2">
        <v>48744</v>
      </c>
      <c r="K96" s="2">
        <v>47556</v>
      </c>
      <c r="L96" s="2">
        <v>58053</v>
      </c>
      <c r="M96" s="2">
        <v>48744</v>
      </c>
    </row>
    <row r="97" spans="2:13" x14ac:dyDescent="0.2">
      <c r="B97" s="11" t="s">
        <v>66</v>
      </c>
      <c r="F97" s="2">
        <v>17017</v>
      </c>
      <c r="G97" s="2">
        <v>19418</v>
      </c>
      <c r="H97" s="2">
        <v>21148</v>
      </c>
      <c r="I97" s="2">
        <v>23945</v>
      </c>
      <c r="J97" s="2">
        <v>23643</v>
      </c>
      <c r="K97" s="2">
        <v>23971</v>
      </c>
      <c r="L97" s="2">
        <v>23458</v>
      </c>
      <c r="M97" s="2">
        <v>23643</v>
      </c>
    </row>
    <row r="98" spans="2:13" s="5" customFormat="1" x14ac:dyDescent="0.2">
      <c r="B98" s="14" t="s">
        <v>48</v>
      </c>
      <c r="F98" s="5">
        <f t="shared" ref="F98:L98" si="52">+SUM(F94:F97)</f>
        <v>227791</v>
      </c>
      <c r="G98" s="5">
        <f t="shared" si="52"/>
        <v>219757</v>
      </c>
      <c r="H98" s="5">
        <f t="shared" si="52"/>
        <v>245516</v>
      </c>
      <c r="I98" s="5">
        <f t="shared" si="52"/>
        <v>261842</v>
      </c>
      <c r="J98" s="5">
        <f t="shared" si="52"/>
        <v>282304</v>
      </c>
      <c r="K98" s="5">
        <f t="shared" si="52"/>
        <v>276766</v>
      </c>
      <c r="L98" s="5">
        <f t="shared" si="52"/>
        <v>288326</v>
      </c>
      <c r="M98" s="5">
        <f t="shared" ref="M98" si="53">+SUM(M94:M97)</f>
        <v>282304</v>
      </c>
    </row>
    <row r="99" spans="2:13" x14ac:dyDescent="0.2">
      <c r="B99" s="11" t="s">
        <v>67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</row>
    <row r="100" spans="2:13" x14ac:dyDescent="0.2">
      <c r="B100" s="11" t="s">
        <v>68</v>
      </c>
      <c r="F100" s="2">
        <v>5</v>
      </c>
      <c r="G100" s="2">
        <v>5</v>
      </c>
      <c r="H100" s="2">
        <v>5</v>
      </c>
      <c r="I100" s="2">
        <v>5</v>
      </c>
      <c r="J100" s="2">
        <v>106</v>
      </c>
      <c r="K100" s="2">
        <v>5</v>
      </c>
      <c r="L100" s="2">
        <v>107</v>
      </c>
      <c r="M100" s="2">
        <v>106</v>
      </c>
    </row>
    <row r="101" spans="2:13" x14ac:dyDescent="0.2">
      <c r="B101" s="11" t="s">
        <v>69</v>
      </c>
      <c r="F101" s="2">
        <v>-1837</v>
      </c>
      <c r="G101" s="2">
        <v>-1837</v>
      </c>
      <c r="H101" s="2">
        <v>-1837</v>
      </c>
      <c r="I101" s="2">
        <v>-1837</v>
      </c>
      <c r="J101" s="2">
        <v>-1837</v>
      </c>
      <c r="K101" s="2">
        <v>-4503</v>
      </c>
      <c r="L101" s="2">
        <v>-7837</v>
      </c>
      <c r="M101" s="2">
        <v>-1837</v>
      </c>
    </row>
    <row r="102" spans="2:13" x14ac:dyDescent="0.2">
      <c r="B102" s="11" t="s">
        <v>70</v>
      </c>
      <c r="F102" s="2">
        <v>42865</v>
      </c>
      <c r="G102" s="2">
        <v>45160</v>
      </c>
      <c r="H102" s="2">
        <v>48724</v>
      </c>
      <c r="I102" s="2">
        <v>51879</v>
      </c>
      <c r="J102" s="2">
        <v>55437</v>
      </c>
      <c r="K102" s="2">
        <v>58793</v>
      </c>
      <c r="L102" s="2">
        <v>63871</v>
      </c>
      <c r="M102" s="2">
        <v>55437</v>
      </c>
    </row>
    <row r="103" spans="2:13" x14ac:dyDescent="0.2">
      <c r="B103" s="11" t="s">
        <v>71</v>
      </c>
      <c r="F103" s="2">
        <v>-180</v>
      </c>
      <c r="G103" s="2">
        <v>-666</v>
      </c>
      <c r="H103" s="2">
        <v>-525</v>
      </c>
      <c r="I103" s="2">
        <v>-1075</v>
      </c>
      <c r="J103" s="2">
        <v>-1376</v>
      </c>
      <c r="K103" s="2">
        <v>-2365</v>
      </c>
      <c r="L103" s="2">
        <v>-4782</v>
      </c>
      <c r="M103" s="2">
        <v>-1376</v>
      </c>
    </row>
    <row r="104" spans="2:13" x14ac:dyDescent="0.2">
      <c r="B104" s="11" t="s">
        <v>72</v>
      </c>
      <c r="F104" s="2">
        <v>52551</v>
      </c>
      <c r="G104" s="2">
        <v>60658</v>
      </c>
      <c r="H104" s="2">
        <v>68436</v>
      </c>
      <c r="I104" s="2">
        <v>71592</v>
      </c>
      <c r="J104" s="2">
        <v>85915</v>
      </c>
      <c r="K104" s="2">
        <v>82071</v>
      </c>
      <c r="L104" s="2">
        <v>80043</v>
      </c>
      <c r="M104" s="2">
        <v>85915</v>
      </c>
    </row>
    <row r="105" spans="2:13" x14ac:dyDescent="0.2">
      <c r="B105" s="11" t="s">
        <v>50</v>
      </c>
      <c r="F105" s="2">
        <f t="shared" ref="F105:M105" si="54">+SUM(F99:F104)</f>
        <v>93404</v>
      </c>
      <c r="G105" s="2">
        <f t="shared" si="54"/>
        <v>103320</v>
      </c>
      <c r="H105" s="2">
        <f t="shared" si="54"/>
        <v>114803</v>
      </c>
      <c r="I105" s="2">
        <f t="shared" si="54"/>
        <v>120564</v>
      </c>
      <c r="J105" s="2">
        <f t="shared" si="54"/>
        <v>138245</v>
      </c>
      <c r="K105" s="2">
        <f t="shared" si="54"/>
        <v>134001</v>
      </c>
      <c r="L105" s="2">
        <f t="shared" si="54"/>
        <v>131402</v>
      </c>
      <c r="M105" s="2">
        <f t="shared" si="54"/>
        <v>138245</v>
      </c>
    </row>
    <row r="106" spans="2:13" s="5" customFormat="1" x14ac:dyDescent="0.2">
      <c r="B106" s="14" t="s">
        <v>49</v>
      </c>
      <c r="F106" s="5">
        <f t="shared" ref="F106:L106" si="55">+F98+F105</f>
        <v>321195</v>
      </c>
      <c r="G106" s="5">
        <f t="shared" si="55"/>
        <v>323077</v>
      </c>
      <c r="H106" s="5">
        <f t="shared" si="55"/>
        <v>360319</v>
      </c>
      <c r="I106" s="5">
        <f t="shared" si="55"/>
        <v>382406</v>
      </c>
      <c r="J106" s="5">
        <f t="shared" si="55"/>
        <v>420549</v>
      </c>
      <c r="K106" s="5">
        <f t="shared" si="55"/>
        <v>410767</v>
      </c>
      <c r="L106" s="5">
        <f t="shared" si="55"/>
        <v>419728</v>
      </c>
      <c r="M106" s="5">
        <f t="shared" ref="M106" si="56">+M98+M105</f>
        <v>420549</v>
      </c>
    </row>
    <row r="107" spans="2:13" x14ac:dyDescent="0.2">
      <c r="F107" s="21" t="str">
        <f t="shared" ref="F107:L107" si="57">IF(F89=F106,"OK","N")</f>
        <v>OK</v>
      </c>
      <c r="G107" s="21" t="str">
        <f t="shared" si="57"/>
        <v>OK</v>
      </c>
      <c r="H107" s="21" t="str">
        <f t="shared" si="57"/>
        <v>OK</v>
      </c>
      <c r="I107" s="21" t="str">
        <f t="shared" si="57"/>
        <v>OK</v>
      </c>
      <c r="J107" s="21" t="str">
        <f t="shared" si="57"/>
        <v>OK</v>
      </c>
      <c r="K107" s="21" t="str">
        <f t="shared" si="57"/>
        <v>OK</v>
      </c>
      <c r="L107" s="21" t="str">
        <f t="shared" si="57"/>
        <v>OK</v>
      </c>
      <c r="M107" s="21" t="str">
        <f>IF(M89=M106,"OK","N")</f>
        <v>OK</v>
      </c>
    </row>
    <row r="108" spans="2:13" x14ac:dyDescent="0.2">
      <c r="F108" s="21"/>
      <c r="G108" s="21"/>
      <c r="H108" s="21"/>
      <c r="I108" s="21"/>
      <c r="J108" s="21"/>
      <c r="K108" s="21"/>
      <c r="L108" s="21"/>
      <c r="M108" s="21"/>
    </row>
    <row r="109" spans="2:13" s="7" customFormat="1" x14ac:dyDescent="0.2">
      <c r="B109" s="17" t="s">
        <v>148</v>
      </c>
      <c r="F109" s="58">
        <f>SUM(C48:F48)/F105</f>
        <v>0.22837351719412444</v>
      </c>
      <c r="G109" s="58">
        <f>SUM(D48:G48)/G105</f>
        <v>0.26038521099496709</v>
      </c>
      <c r="H109" s="58">
        <f>SUM(E48:H48)/H105</f>
        <v>0.25642187050861043</v>
      </c>
      <c r="I109" s="58">
        <f>SUM(F48:I48)/I105</f>
        <v>0.21783451113101754</v>
      </c>
      <c r="J109" s="58">
        <f>SUM(G48:J48)/J105</f>
        <v>0.2413396506202756</v>
      </c>
      <c r="K109" s="58">
        <f>SUM(H48:K48)/K105</f>
        <v>0.15979731494541086</v>
      </c>
      <c r="L109" s="58">
        <f>SUM(I48:L48)/L105</f>
        <v>8.8331988858617067E-2</v>
      </c>
      <c r="M109" s="58">
        <f>SUM(J48:M48)/M105</f>
        <v>8.1905313031212706E-2</v>
      </c>
    </row>
    <row r="110" spans="2:13" x14ac:dyDescent="0.2">
      <c r="B110" s="11" t="s">
        <v>149</v>
      </c>
      <c r="F110" s="21">
        <f>F84-F94</f>
        <v>6348</v>
      </c>
      <c r="G110" s="21">
        <f t="shared" ref="G110:M110" si="58">G84-G94</f>
        <v>6004</v>
      </c>
      <c r="H110" s="21">
        <f t="shared" si="58"/>
        <v>23056</v>
      </c>
      <c r="I110" s="21">
        <f t="shared" si="58"/>
        <v>14537</v>
      </c>
      <c r="J110" s="21">
        <f t="shared" si="58"/>
        <v>19314</v>
      </c>
      <c r="K110" s="21">
        <f t="shared" si="58"/>
        <v>-5632</v>
      </c>
      <c r="L110" s="21">
        <f t="shared" si="58"/>
        <v>-6624</v>
      </c>
      <c r="M110" s="21">
        <f t="shared" si="58"/>
        <v>19314</v>
      </c>
    </row>
    <row r="111" spans="2:13" x14ac:dyDescent="0.2">
      <c r="F111" s="21"/>
      <c r="G111" s="21"/>
      <c r="H111" s="21"/>
      <c r="I111" s="21"/>
      <c r="J111" s="21"/>
      <c r="K111" s="21"/>
      <c r="L111" s="21"/>
      <c r="M111" s="21"/>
    </row>
    <row r="113" spans="2:13" x14ac:dyDescent="0.2">
      <c r="B113" s="11" t="s">
        <v>74</v>
      </c>
      <c r="G113" s="7">
        <f t="shared" ref="G113:K113" si="59">+G80/F80-1</f>
        <v>-0.19676178718959214</v>
      </c>
      <c r="H113" s="7">
        <f t="shared" si="59"/>
        <v>0.19347402021635052</v>
      </c>
      <c r="I113" s="7">
        <f t="shared" si="59"/>
        <v>-0.25844477464091131</v>
      </c>
      <c r="J113" s="7">
        <f t="shared" si="59"/>
        <v>0.20959123697568804</v>
      </c>
      <c r="K113" s="7">
        <f t="shared" si="59"/>
        <v>4.7763666482605327E-3</v>
      </c>
      <c r="L113" s="7">
        <f>+L80/K80-1</f>
        <v>2.9813425658780535E-2</v>
      </c>
      <c r="M113" s="7">
        <f>+M80/L80-1</f>
        <v>-3.3566358930572582E-2</v>
      </c>
    </row>
    <row r="114" spans="2:13" x14ac:dyDescent="0.2">
      <c r="B114" s="11" t="s">
        <v>5</v>
      </c>
      <c r="F114" s="2">
        <f>+F96</f>
        <v>31816</v>
      </c>
      <c r="G114" s="2">
        <f t="shared" ref="G114:M114" si="60">+G96</f>
        <v>31868</v>
      </c>
      <c r="H114" s="2">
        <f t="shared" si="60"/>
        <v>50279</v>
      </c>
      <c r="I114" s="2">
        <f t="shared" si="60"/>
        <v>50055</v>
      </c>
      <c r="J114" s="2">
        <f t="shared" si="60"/>
        <v>48744</v>
      </c>
      <c r="K114" s="2">
        <f t="shared" si="60"/>
        <v>47556</v>
      </c>
      <c r="L114" s="2">
        <f t="shared" si="60"/>
        <v>58053</v>
      </c>
      <c r="M114" s="2">
        <f t="shared" si="60"/>
        <v>48744</v>
      </c>
    </row>
    <row r="115" spans="2:13" x14ac:dyDescent="0.2">
      <c r="B115" s="11" t="s">
        <v>141</v>
      </c>
      <c r="G115" s="2">
        <f t="shared" ref="G115:K115" si="61">+G114-F114</f>
        <v>52</v>
      </c>
      <c r="H115" s="2">
        <f t="shared" si="61"/>
        <v>18411</v>
      </c>
      <c r="I115" s="2">
        <f t="shared" si="61"/>
        <v>-224</v>
      </c>
      <c r="J115" s="2">
        <f t="shared" si="61"/>
        <v>-1311</v>
      </c>
      <c r="K115" s="2">
        <f t="shared" si="61"/>
        <v>-1188</v>
      </c>
      <c r="L115" s="5">
        <f>+L114-K114</f>
        <v>10497</v>
      </c>
      <c r="M115" s="2">
        <f>+M114-L114</f>
        <v>-9309</v>
      </c>
    </row>
    <row r="116" spans="2:13" x14ac:dyDescent="0.2">
      <c r="B116" s="11" t="s">
        <v>142</v>
      </c>
      <c r="G116" s="7"/>
      <c r="H116" s="7"/>
      <c r="I116" s="7"/>
      <c r="J116" s="7"/>
      <c r="K116" s="7"/>
      <c r="L116" s="7"/>
      <c r="M116" s="7"/>
    </row>
    <row r="117" spans="2:13" x14ac:dyDescent="0.2">
      <c r="G117" s="7"/>
      <c r="H117" s="7"/>
      <c r="I117" s="7"/>
      <c r="J117" s="7"/>
      <c r="K117" s="7"/>
      <c r="L117" s="7"/>
      <c r="M117" s="7"/>
    </row>
    <row r="118" spans="2:13" x14ac:dyDescent="0.2">
      <c r="B118" s="11" t="s">
        <v>143</v>
      </c>
      <c r="G118" s="2">
        <f t="shared" ref="G118:L118" si="62">SUM(G149)</f>
        <v>1926</v>
      </c>
      <c r="H118" s="2">
        <f t="shared" si="62"/>
        <v>1176</v>
      </c>
      <c r="I118" s="2">
        <f t="shared" si="62"/>
        <v>2187</v>
      </c>
      <c r="J118" s="2">
        <f t="shared" si="62"/>
        <v>2667</v>
      </c>
      <c r="K118" s="2">
        <f t="shared" si="62"/>
        <v>13743</v>
      </c>
      <c r="L118" s="2">
        <f>SUM(L149)</f>
        <v>4865</v>
      </c>
    </row>
    <row r="119" spans="2:13" x14ac:dyDescent="0.2">
      <c r="B119" s="11" t="s">
        <v>144</v>
      </c>
      <c r="G119" s="2">
        <f t="shared" ref="G119:L119" si="63">G151</f>
        <v>111</v>
      </c>
      <c r="H119" s="2">
        <f t="shared" si="63"/>
        <v>18516</v>
      </c>
      <c r="I119" s="2">
        <f t="shared" si="63"/>
        <v>176</v>
      </c>
      <c r="J119" s="2">
        <f t="shared" si="63"/>
        <v>200</v>
      </c>
      <c r="K119" s="2">
        <f t="shared" si="63"/>
        <v>0</v>
      </c>
      <c r="L119" s="2">
        <f>L151</f>
        <v>12824</v>
      </c>
    </row>
    <row r="120" spans="2:13" x14ac:dyDescent="0.2">
      <c r="G120" s="7"/>
      <c r="H120" s="7"/>
      <c r="I120" s="7"/>
      <c r="J120" s="7"/>
      <c r="K120" s="7"/>
      <c r="L120" s="7"/>
      <c r="M120" s="7"/>
    </row>
    <row r="121" spans="2:13" x14ac:dyDescent="0.2">
      <c r="B121" s="11" t="s">
        <v>145</v>
      </c>
      <c r="G121" s="2">
        <f t="shared" ref="G121:L121" si="64">+G150</f>
        <v>-2001</v>
      </c>
      <c r="H121" s="2">
        <f t="shared" si="64"/>
        <v>-1176</v>
      </c>
      <c r="I121" s="2">
        <f t="shared" si="64"/>
        <v>-1917</v>
      </c>
      <c r="J121" s="2">
        <f t="shared" si="64"/>
        <v>-2659</v>
      </c>
      <c r="K121" s="2">
        <f t="shared" si="64"/>
        <v>-6231</v>
      </c>
      <c r="L121" s="2">
        <f>+L150</f>
        <v>-7610</v>
      </c>
    </row>
    <row r="122" spans="2:13" x14ac:dyDescent="0.2">
      <c r="B122" s="11" t="s">
        <v>146</v>
      </c>
      <c r="G122" s="2">
        <f t="shared" ref="G122:L122" si="65">+G152</f>
        <v>-39</v>
      </c>
      <c r="H122" s="2">
        <f t="shared" si="65"/>
        <v>-41</v>
      </c>
      <c r="I122" s="2">
        <f t="shared" si="65"/>
        <v>-509</v>
      </c>
      <c r="J122" s="2">
        <f t="shared" si="65"/>
        <v>-1001</v>
      </c>
      <c r="K122" s="2">
        <f t="shared" si="65"/>
        <v>0</v>
      </c>
      <c r="L122" s="2">
        <f>+L152</f>
        <v>-1</v>
      </c>
    </row>
    <row r="124" spans="2:13" s="5" customFormat="1" x14ac:dyDescent="0.2">
      <c r="B124" s="14" t="s">
        <v>147</v>
      </c>
      <c r="G124" s="5">
        <f t="shared" ref="G124:K124" si="66">SUM(G118:G119,G121:G122)</f>
        <v>-3</v>
      </c>
      <c r="H124" s="5">
        <f t="shared" si="66"/>
        <v>18475</v>
      </c>
      <c r="I124" s="5">
        <f t="shared" si="66"/>
        <v>-63</v>
      </c>
      <c r="J124" s="5">
        <f t="shared" si="66"/>
        <v>-793</v>
      </c>
      <c r="K124" s="5">
        <f t="shared" si="66"/>
        <v>7512</v>
      </c>
      <c r="L124" s="5">
        <f>SUM(L118:L119,L121:L122)</f>
        <v>10078</v>
      </c>
    </row>
    <row r="125" spans="2:13" x14ac:dyDescent="0.2">
      <c r="G125" s="7"/>
      <c r="H125" s="7"/>
      <c r="I125" s="7"/>
      <c r="J125" s="7"/>
      <c r="K125" s="7"/>
      <c r="L125" s="58"/>
      <c r="M125" s="7"/>
    </row>
    <row r="127" spans="2:13" x14ac:dyDescent="0.2">
      <c r="B127" s="11" t="s">
        <v>75</v>
      </c>
      <c r="C127" s="2">
        <v>36410</v>
      </c>
      <c r="D127" s="2">
        <v>27505</v>
      </c>
      <c r="E127" s="2">
        <v>37842</v>
      </c>
      <c r="F127" s="2">
        <v>30202</v>
      </c>
      <c r="G127" s="2">
        <v>42377</v>
      </c>
      <c r="H127" s="2">
        <v>34155</v>
      </c>
      <c r="I127" s="2">
        <v>40667</v>
      </c>
      <c r="J127" s="2">
        <v>30177</v>
      </c>
      <c r="K127" s="2">
        <v>36477</v>
      </c>
      <c r="L127" s="2">
        <v>36599</v>
      </c>
      <c r="M127" s="2">
        <v>37700</v>
      </c>
    </row>
    <row r="128" spans="2:13" x14ac:dyDescent="0.2">
      <c r="B128" s="11" t="s">
        <v>76</v>
      </c>
      <c r="C128" s="2">
        <v>2535</v>
      </c>
      <c r="D128" s="2">
        <v>5243</v>
      </c>
      <c r="E128" s="2">
        <v>6331</v>
      </c>
      <c r="F128" s="2">
        <v>7222</v>
      </c>
      <c r="G128" s="2">
        <v>8107</v>
      </c>
      <c r="H128" s="2">
        <f>+H48</f>
        <v>7778</v>
      </c>
      <c r="I128" s="2">
        <v>3156</v>
      </c>
      <c r="J128" s="2">
        <v>14323</v>
      </c>
      <c r="K128" s="2">
        <v>-3844</v>
      </c>
      <c r="L128" s="2">
        <f>+L48</f>
        <v>-2028</v>
      </c>
      <c r="M128" s="2">
        <v>2872</v>
      </c>
    </row>
    <row r="129" spans="2:13" x14ac:dyDescent="0.2">
      <c r="B129" s="11" t="s">
        <v>77</v>
      </c>
      <c r="C129" s="2">
        <v>5362</v>
      </c>
      <c r="D129" s="2">
        <v>5748</v>
      </c>
      <c r="E129" s="2">
        <v>6523</v>
      </c>
      <c r="F129" s="2">
        <v>7618</v>
      </c>
      <c r="G129" s="2">
        <v>7508</v>
      </c>
      <c r="H129" s="2">
        <v>8038</v>
      </c>
      <c r="I129" s="2">
        <v>8948</v>
      </c>
      <c r="J129" s="2">
        <v>9802</v>
      </c>
      <c r="K129" s="2">
        <v>8978</v>
      </c>
      <c r="L129" s="2">
        <v>9594</v>
      </c>
      <c r="M129" s="2">
        <v>10204</v>
      </c>
    </row>
    <row r="130" spans="2:13" x14ac:dyDescent="0.2">
      <c r="B130" s="11" t="s">
        <v>78</v>
      </c>
      <c r="C130" s="2">
        <v>1757</v>
      </c>
      <c r="D130" s="2">
        <v>2601</v>
      </c>
      <c r="E130" s="2">
        <v>2288</v>
      </c>
      <c r="F130" s="2">
        <v>2562</v>
      </c>
      <c r="G130" s="2">
        <v>2306</v>
      </c>
      <c r="H130" s="2">
        <v>3591</v>
      </c>
      <c r="I130" s="2">
        <v>3180</v>
      </c>
      <c r="J130" s="2">
        <v>3680</v>
      </c>
      <c r="K130" s="2">
        <v>3250</v>
      </c>
      <c r="L130" s="2">
        <v>5209</v>
      </c>
      <c r="M130" s="2">
        <v>5556</v>
      </c>
    </row>
    <row r="131" spans="2:13" x14ac:dyDescent="0.2">
      <c r="B131" s="11" t="s">
        <v>79</v>
      </c>
      <c r="C131" s="2">
        <v>67</v>
      </c>
      <c r="D131" s="2">
        <v>282</v>
      </c>
      <c r="E131" s="2">
        <v>67</v>
      </c>
      <c r="F131" s="2">
        <v>-487</v>
      </c>
      <c r="G131" s="2">
        <v>30</v>
      </c>
      <c r="H131" s="2">
        <v>18</v>
      </c>
      <c r="I131" s="2">
        <v>24</v>
      </c>
      <c r="J131" s="2">
        <v>65</v>
      </c>
      <c r="K131" s="2">
        <v>215</v>
      </c>
      <c r="L131" s="2">
        <v>122</v>
      </c>
      <c r="M131" s="2">
        <v>123</v>
      </c>
    </row>
    <row r="132" spans="2:13" x14ac:dyDescent="0.2">
      <c r="B132" s="11" t="s">
        <v>80</v>
      </c>
      <c r="C132" s="2">
        <v>565</v>
      </c>
      <c r="D132" s="2">
        <v>-769</v>
      </c>
      <c r="E132" s="2">
        <v>-1051</v>
      </c>
      <c r="F132" s="2">
        <v>-1327</v>
      </c>
      <c r="G132" s="2">
        <v>-1456</v>
      </c>
      <c r="H132" s="2">
        <v>-1258</v>
      </c>
      <c r="I132" s="2">
        <v>340</v>
      </c>
      <c r="J132" s="2">
        <v>-11932</v>
      </c>
      <c r="K132" s="2">
        <v>8689</v>
      </c>
      <c r="L132" s="2">
        <v>6104</v>
      </c>
      <c r="M132" s="2">
        <f>+-1272</f>
        <v>-1272</v>
      </c>
    </row>
    <row r="133" spans="2:13" x14ac:dyDescent="0.2">
      <c r="B133" s="11" t="s">
        <v>81</v>
      </c>
      <c r="C133" s="2">
        <v>322</v>
      </c>
      <c r="D133" s="2">
        <v>465</v>
      </c>
      <c r="E133" s="2">
        <v>295</v>
      </c>
      <c r="F133" s="2">
        <v>-1636</v>
      </c>
      <c r="G133" s="2">
        <v>1703</v>
      </c>
      <c r="H133" s="2">
        <v>701</v>
      </c>
      <c r="I133" s="2">
        <v>909</v>
      </c>
      <c r="J133" s="2">
        <v>-3623</v>
      </c>
      <c r="K133" s="2">
        <v>-2001</v>
      </c>
      <c r="L133" s="2">
        <v>-1955</v>
      </c>
      <c r="M133" s="2">
        <v>-825</v>
      </c>
    </row>
    <row r="134" spans="2:13" x14ac:dyDescent="0.2">
      <c r="B134" s="11" t="s">
        <v>52</v>
      </c>
      <c r="C134" s="2">
        <v>1392</v>
      </c>
      <c r="D134" s="2">
        <v>-672</v>
      </c>
      <c r="E134" s="2">
        <v>-3899</v>
      </c>
      <c r="F134" s="2">
        <v>329</v>
      </c>
      <c r="G134" s="2">
        <v>-304</v>
      </c>
      <c r="H134" s="2">
        <v>-209</v>
      </c>
      <c r="I134" s="2">
        <v>-7059</v>
      </c>
      <c r="J134" s="2">
        <v>-1915</v>
      </c>
      <c r="K134" s="2">
        <v>-2614</v>
      </c>
      <c r="L134" s="2">
        <v>-3890</v>
      </c>
      <c r="M134" s="2">
        <v>732</v>
      </c>
    </row>
    <row r="135" spans="2:13" x14ac:dyDescent="0.2">
      <c r="B135" s="11" t="s">
        <v>53</v>
      </c>
      <c r="C135" s="2">
        <v>1262</v>
      </c>
      <c r="D135" s="2">
        <v>-2854</v>
      </c>
      <c r="E135" s="2">
        <v>-2016</v>
      </c>
      <c r="F135" s="2">
        <v>-4560</v>
      </c>
      <c r="G135" s="2">
        <v>-2255</v>
      </c>
      <c r="H135" s="2">
        <v>-4462</v>
      </c>
      <c r="I135" s="2">
        <v>-4890</v>
      </c>
      <c r="J135" s="2">
        <v>-6556</v>
      </c>
      <c r="K135" s="2">
        <v>-1516</v>
      </c>
      <c r="L135" s="2">
        <v>-6799</v>
      </c>
      <c r="M135" s="2">
        <f>+-4794</f>
        <v>-4794</v>
      </c>
    </row>
    <row r="136" spans="2:13" x14ac:dyDescent="0.2">
      <c r="B136" s="11" t="s">
        <v>60</v>
      </c>
      <c r="C136" s="2">
        <v>-8044</v>
      </c>
      <c r="D136" s="2">
        <v>8616</v>
      </c>
      <c r="E136" s="2">
        <v>3658</v>
      </c>
      <c r="F136" s="2">
        <v>13249</v>
      </c>
      <c r="G136" s="2">
        <v>-8266</v>
      </c>
      <c r="H136" s="2">
        <v>47</v>
      </c>
      <c r="I136" s="2">
        <v>3832</v>
      </c>
      <c r="J136" s="2">
        <v>7989</v>
      </c>
      <c r="K136" s="2">
        <v>-9380</v>
      </c>
      <c r="L136" s="2">
        <v>3699</v>
      </c>
      <c r="M136" s="2">
        <v>-1226</v>
      </c>
    </row>
    <row r="137" spans="2:13" x14ac:dyDescent="0.2">
      <c r="B137" s="11" t="s">
        <v>61</v>
      </c>
      <c r="C137" s="2">
        <v>-2761</v>
      </c>
      <c r="D137" s="2">
        <v>1699</v>
      </c>
      <c r="E137" s="2">
        <v>-310</v>
      </c>
      <c r="F137" s="2">
        <v>7127</v>
      </c>
      <c r="G137" s="2">
        <v>-4060</v>
      </c>
      <c r="H137" s="2">
        <v>-1685</v>
      </c>
      <c r="I137" s="2">
        <v>-1465</v>
      </c>
      <c r="J137" s="2">
        <v>9333</v>
      </c>
      <c r="K137" s="2">
        <v>-5903</v>
      </c>
      <c r="L137" s="2">
        <v>-1412</v>
      </c>
      <c r="M137" s="2">
        <v>-20</v>
      </c>
    </row>
    <row r="138" spans="2:13" x14ac:dyDescent="0.2">
      <c r="B138" s="11" t="s">
        <v>82</v>
      </c>
      <c r="C138" s="2">
        <v>607</v>
      </c>
      <c r="D138" s="2">
        <v>247</v>
      </c>
      <c r="E138" s="2">
        <v>78</v>
      </c>
      <c r="F138" s="2">
        <v>333</v>
      </c>
      <c r="G138" s="2">
        <v>900</v>
      </c>
      <c r="H138" s="2">
        <v>156</v>
      </c>
      <c r="I138" s="2">
        <v>338</v>
      </c>
      <c r="J138" s="2">
        <v>920</v>
      </c>
      <c r="K138" s="2">
        <v>1336</v>
      </c>
      <c r="L138" s="2">
        <v>321</v>
      </c>
      <c r="M138" s="2">
        <v>54</v>
      </c>
    </row>
    <row r="139" spans="2:13" s="5" customFormat="1" x14ac:dyDescent="0.2">
      <c r="B139" s="14" t="s">
        <v>83</v>
      </c>
      <c r="C139" s="5">
        <f>+SUM(C128:C138)</f>
        <v>3064</v>
      </c>
      <c r="D139" s="5">
        <f>+SUM(D128:D138)</f>
        <v>20606</v>
      </c>
      <c r="E139" s="5">
        <f>+SUM(E128:E138)</f>
        <v>11964</v>
      </c>
      <c r="F139" s="5">
        <f>+SUM(F128:F138)</f>
        <v>30430</v>
      </c>
      <c r="G139" s="5">
        <f>+SUM(G128:G138)</f>
        <v>4213</v>
      </c>
      <c r="H139" s="5">
        <f>+SUM(H128:H138)</f>
        <v>12715</v>
      </c>
      <c r="I139" s="5">
        <f>+SUM(I128:I138)</f>
        <v>7313</v>
      </c>
      <c r="J139" s="5">
        <f>+SUM(J128:J138)</f>
        <v>22086</v>
      </c>
      <c r="K139" s="5">
        <f>+SUM(K128:K138)</f>
        <v>-2790</v>
      </c>
      <c r="L139" s="5">
        <f>+SUM(L128:L138)</f>
        <v>8965</v>
      </c>
      <c r="M139" s="5">
        <f>+SUM(M128:M138)</f>
        <v>11404</v>
      </c>
    </row>
    <row r="141" spans="2:13" x14ac:dyDescent="0.2">
      <c r="B141" s="11" t="s">
        <v>55</v>
      </c>
      <c r="C141" s="2">
        <v>-6795</v>
      </c>
      <c r="D141" s="2">
        <v>-7459</v>
      </c>
      <c r="E141" s="2">
        <v>-11063</v>
      </c>
      <c r="F141" s="2">
        <v>-14824</v>
      </c>
      <c r="G141" s="2">
        <v>-12082</v>
      </c>
      <c r="H141" s="2">
        <v>-14288</v>
      </c>
      <c r="I141" s="2">
        <v>-15748</v>
      </c>
      <c r="J141" s="2">
        <v>-18935</v>
      </c>
      <c r="K141" s="2">
        <v>-14951</v>
      </c>
      <c r="L141" s="2">
        <v>-15724</v>
      </c>
      <c r="M141" s="2">
        <v>-16378</v>
      </c>
    </row>
    <row r="142" spans="2:13" x14ac:dyDescent="0.2">
      <c r="B142" s="11" t="s">
        <v>84</v>
      </c>
      <c r="C142" s="2">
        <v>1367</v>
      </c>
      <c r="D142" s="2">
        <v>844</v>
      </c>
      <c r="E142" s="2">
        <v>1255</v>
      </c>
      <c r="F142" s="2">
        <v>1629</v>
      </c>
      <c r="G142" s="2">
        <v>895</v>
      </c>
      <c r="H142" s="2">
        <v>1300</v>
      </c>
      <c r="I142" s="2">
        <v>997</v>
      </c>
      <c r="J142" s="2">
        <v>2465</v>
      </c>
      <c r="K142" s="2">
        <v>1209</v>
      </c>
      <c r="L142" s="2">
        <v>1626</v>
      </c>
      <c r="M142" s="2">
        <v>1337</v>
      </c>
    </row>
    <row r="143" spans="2:13" x14ac:dyDescent="0.2">
      <c r="B143" s="11" t="s">
        <v>85</v>
      </c>
      <c r="C143" s="2">
        <v>-91</v>
      </c>
      <c r="D143" s="2">
        <v>-118</v>
      </c>
      <c r="E143" s="2">
        <v>-1735</v>
      </c>
      <c r="F143" s="2">
        <v>-380</v>
      </c>
      <c r="G143" s="2">
        <v>-630</v>
      </c>
      <c r="H143" s="2">
        <v>-320</v>
      </c>
      <c r="I143" s="2">
        <v>-654</v>
      </c>
      <c r="J143" s="2">
        <v>-381</v>
      </c>
      <c r="K143" s="2">
        <v>-6341</v>
      </c>
      <c r="L143" s="2">
        <v>-259</v>
      </c>
      <c r="M143" s="2">
        <v>-885</v>
      </c>
    </row>
    <row r="144" spans="2:13" x14ac:dyDescent="0.2">
      <c r="B144" s="11" t="s">
        <v>137</v>
      </c>
      <c r="C144" s="2">
        <v>11626</v>
      </c>
      <c r="D144" s="2">
        <v>8138</v>
      </c>
      <c r="E144" s="2">
        <v>13135</v>
      </c>
      <c r="F144" s="2">
        <v>17338</v>
      </c>
      <c r="G144" s="2">
        <v>17826</v>
      </c>
      <c r="H144" s="2">
        <v>13213</v>
      </c>
      <c r="I144" s="2">
        <v>15808</v>
      </c>
      <c r="J144" s="2">
        <v>12537</v>
      </c>
      <c r="K144" s="2">
        <v>22753</v>
      </c>
      <c r="L144" s="2">
        <v>2608</v>
      </c>
      <c r="M144" s="2">
        <v>557</v>
      </c>
    </row>
    <row r="145" spans="2:13" x14ac:dyDescent="0.2">
      <c r="B145" s="11" t="s">
        <v>86</v>
      </c>
      <c r="C145" s="2">
        <v>-15001</v>
      </c>
      <c r="D145" s="2">
        <v>-19209</v>
      </c>
      <c r="E145" s="2">
        <v>-17468</v>
      </c>
      <c r="F145" s="2">
        <v>-20801</v>
      </c>
      <c r="G145" s="2">
        <v>-14675</v>
      </c>
      <c r="H145" s="2">
        <v>-21985</v>
      </c>
      <c r="I145" s="2">
        <v>-15231</v>
      </c>
      <c r="J145" s="2">
        <v>-8266</v>
      </c>
      <c r="K145" s="2">
        <v>-1764</v>
      </c>
      <c r="L145" s="2">
        <v>-329</v>
      </c>
      <c r="M145" s="2">
        <v>-239</v>
      </c>
    </row>
    <row r="146" spans="2:13" s="5" customFormat="1" x14ac:dyDescent="0.2">
      <c r="B146" s="14" t="s">
        <v>87</v>
      </c>
      <c r="C146" s="5">
        <f>+SUM(C141:C145)</f>
        <v>-8894</v>
      </c>
      <c r="D146" s="5">
        <f>+SUM(D141:D145)</f>
        <v>-17804</v>
      </c>
      <c r="E146" s="5">
        <f>+SUM(E141:E145)</f>
        <v>-15876</v>
      </c>
      <c r="F146" s="5">
        <f>+SUM(F141:F145)</f>
        <v>-17038</v>
      </c>
      <c r="G146" s="5">
        <f>+SUM(G141:G145)</f>
        <v>-8666</v>
      </c>
      <c r="H146" s="5">
        <f>+SUM(H141:H145)</f>
        <v>-22080</v>
      </c>
      <c r="I146" s="5">
        <f>+SUM(I141:I145)</f>
        <v>-14828</v>
      </c>
      <c r="J146" s="5">
        <f>+SUM(J141:J145)</f>
        <v>-12580</v>
      </c>
      <c r="K146" s="5">
        <f>+SUM(K141:K145)</f>
        <v>906</v>
      </c>
      <c r="L146" s="5">
        <f>+SUM(L141:L145)</f>
        <v>-12078</v>
      </c>
      <c r="M146" s="5">
        <f>+SUM(M141:M145)</f>
        <v>-15608</v>
      </c>
    </row>
    <row r="148" spans="2:13" x14ac:dyDescent="0.2">
      <c r="B148" s="11" t="s">
        <v>88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-2666</v>
      </c>
      <c r="L148" s="2">
        <v>-3334</v>
      </c>
      <c r="M148" s="2">
        <v>0</v>
      </c>
    </row>
    <row r="149" spans="2:13" x14ac:dyDescent="0.2">
      <c r="B149" s="11" t="s">
        <v>89</v>
      </c>
      <c r="C149" s="2">
        <v>617</v>
      </c>
      <c r="D149" s="2">
        <v>2433</v>
      </c>
      <c r="E149" s="2">
        <v>1311</v>
      </c>
      <c r="F149" s="2">
        <v>2434</v>
      </c>
      <c r="G149" s="2">
        <v>1926</v>
      </c>
      <c r="H149" s="2">
        <v>1176</v>
      </c>
      <c r="I149" s="2">
        <v>2187</v>
      </c>
      <c r="J149" s="2">
        <v>2667</v>
      </c>
      <c r="K149" s="2">
        <v>13743</v>
      </c>
      <c r="L149" s="2">
        <v>4865</v>
      </c>
      <c r="M149" s="2">
        <v>12338</v>
      </c>
    </row>
    <row r="150" spans="2:13" x14ac:dyDescent="0.2">
      <c r="B150" s="11" t="s">
        <v>90</v>
      </c>
      <c r="C150" s="2">
        <v>-631</v>
      </c>
      <c r="D150" s="2">
        <v>-1906</v>
      </c>
      <c r="E150" s="2">
        <v>-1349</v>
      </c>
      <c r="F150" s="2">
        <v>-2291</v>
      </c>
      <c r="G150" s="2">
        <v>-2001</v>
      </c>
      <c r="H150" s="2">
        <v>-1176</v>
      </c>
      <c r="I150" s="2">
        <v>-1917</v>
      </c>
      <c r="J150" s="2">
        <v>-2659</v>
      </c>
      <c r="K150" s="2">
        <v>-6231</v>
      </c>
      <c r="L150" s="2">
        <v>-7610</v>
      </c>
      <c r="M150" s="2">
        <v>-7916</v>
      </c>
    </row>
    <row r="151" spans="2:13" x14ac:dyDescent="0.2">
      <c r="B151" s="11" t="s">
        <v>91</v>
      </c>
      <c r="C151" s="2">
        <v>76</v>
      </c>
      <c r="D151" s="2">
        <v>9918</v>
      </c>
      <c r="E151" s="2">
        <v>0</v>
      </c>
      <c r="F151" s="2">
        <v>531</v>
      </c>
      <c r="G151" s="2">
        <v>111</v>
      </c>
      <c r="H151" s="2">
        <v>18516</v>
      </c>
      <c r="I151" s="2">
        <v>176</v>
      </c>
      <c r="J151" s="2">
        <v>200</v>
      </c>
      <c r="K151" s="2">
        <v>0</v>
      </c>
      <c r="L151" s="2">
        <v>12824</v>
      </c>
      <c r="M151" s="2">
        <v>107</v>
      </c>
    </row>
    <row r="152" spans="2:13" x14ac:dyDescent="0.2">
      <c r="B152" s="11" t="s">
        <v>92</v>
      </c>
      <c r="C152" s="2">
        <v>-36</v>
      </c>
      <c r="D152" s="2">
        <v>-205</v>
      </c>
      <c r="E152" s="2">
        <v>-1198</v>
      </c>
      <c r="F152" s="2">
        <v>-113</v>
      </c>
      <c r="G152" s="2">
        <v>-39</v>
      </c>
      <c r="H152" s="2">
        <v>-41</v>
      </c>
      <c r="I152" s="2">
        <v>-509</v>
      </c>
      <c r="J152" s="2">
        <v>-1001</v>
      </c>
      <c r="K152" s="2">
        <v>0</v>
      </c>
      <c r="L152" s="2">
        <v>-1</v>
      </c>
      <c r="M152" s="2">
        <v>0</v>
      </c>
    </row>
    <row r="153" spans="2:13" x14ac:dyDescent="0.2">
      <c r="B153" s="11" t="s">
        <v>93</v>
      </c>
      <c r="C153" s="2">
        <v>-2600</v>
      </c>
      <c r="D153" s="2">
        <v>-2817</v>
      </c>
      <c r="E153" s="2">
        <v>-2857</v>
      </c>
      <c r="F153" s="2">
        <v>-2368</v>
      </c>
      <c r="G153" s="2">
        <v>-3406</v>
      </c>
      <c r="H153" s="2">
        <v>-2804</v>
      </c>
      <c r="I153" s="2">
        <v>-2693</v>
      </c>
      <c r="J153" s="2">
        <v>-2260</v>
      </c>
      <c r="K153" s="2">
        <v>-2777</v>
      </c>
      <c r="L153" s="2">
        <v>-2059</v>
      </c>
      <c r="M153" s="2">
        <v>-1465</v>
      </c>
    </row>
    <row r="154" spans="2:13" x14ac:dyDescent="0.2">
      <c r="B154" s="11" t="s">
        <v>94</v>
      </c>
      <c r="C154" s="2">
        <v>-17</v>
      </c>
      <c r="D154" s="2">
        <v>-15</v>
      </c>
      <c r="E154" s="2">
        <v>-12</v>
      </c>
      <c r="F154" s="2">
        <v>-9</v>
      </c>
      <c r="G154" s="2">
        <v>-67</v>
      </c>
      <c r="H154" s="2">
        <v>-28</v>
      </c>
      <c r="I154" s="2">
        <v>-20</v>
      </c>
      <c r="J154" s="2">
        <v>-47</v>
      </c>
      <c r="K154" s="2">
        <v>-79</v>
      </c>
      <c r="L154" s="2">
        <v>-59</v>
      </c>
      <c r="M154" s="2">
        <v>-48</v>
      </c>
    </row>
    <row r="155" spans="2:13" s="5" customFormat="1" x14ac:dyDescent="0.2">
      <c r="B155" s="14" t="s">
        <v>95</v>
      </c>
      <c r="C155" s="5">
        <f>+SUM(C148:C154)</f>
        <v>-2591</v>
      </c>
      <c r="D155" s="5">
        <f>+SUM(D148:D154)</f>
        <v>7408</v>
      </c>
      <c r="E155" s="5">
        <f>+SUM(E148:E154)</f>
        <v>-4105</v>
      </c>
      <c r="F155" s="5">
        <f>+SUM(F148:F154)</f>
        <v>-1816</v>
      </c>
      <c r="G155" s="5">
        <f>+SUM(G148:G154)</f>
        <v>-3476</v>
      </c>
      <c r="H155" s="5">
        <f>+SUM(H148:H154)</f>
        <v>15643</v>
      </c>
      <c r="I155" s="5">
        <f>+SUM(I148:I154)</f>
        <v>-2776</v>
      </c>
      <c r="J155" s="5">
        <f>+SUM(J148:J154)</f>
        <v>-3100</v>
      </c>
      <c r="K155" s="5">
        <f>+SUM(K148:K154)</f>
        <v>1990</v>
      </c>
      <c r="L155" s="5">
        <f>+SUM(L148:L154)</f>
        <v>4626</v>
      </c>
      <c r="M155" s="5">
        <f>+SUM(M148:M154)</f>
        <v>3016</v>
      </c>
    </row>
    <row r="156" spans="2:13" x14ac:dyDescent="0.2">
      <c r="B156" s="11" t="s">
        <v>96</v>
      </c>
      <c r="C156" s="2">
        <v>-484</v>
      </c>
      <c r="D156" s="2">
        <v>127</v>
      </c>
      <c r="E156" s="2">
        <v>377</v>
      </c>
      <c r="F156" s="2">
        <v>599</v>
      </c>
      <c r="G156" s="2">
        <v>-293</v>
      </c>
      <c r="H156" s="2">
        <v>234</v>
      </c>
      <c r="I156" s="2">
        <v>-199</v>
      </c>
      <c r="J156" s="2">
        <v>-106</v>
      </c>
      <c r="K156" s="2">
        <v>16</v>
      </c>
      <c r="L156" s="2">
        <v>-412</v>
      </c>
      <c r="M156" s="2">
        <v>-1334</v>
      </c>
    </row>
    <row r="157" spans="2:13" x14ac:dyDescent="0.2">
      <c r="B157" s="11" t="s">
        <v>97</v>
      </c>
      <c r="C157" s="2">
        <f>+C139+C146+C155+C156</f>
        <v>-8905</v>
      </c>
      <c r="D157" s="2">
        <f>+D139+D146+D155+D156</f>
        <v>10337</v>
      </c>
      <c r="E157" s="2">
        <f>+E139+E146+E155+E156</f>
        <v>-7640</v>
      </c>
      <c r="F157" s="2">
        <f>+F139+F146+F155+F156</f>
        <v>12175</v>
      </c>
      <c r="G157" s="2">
        <f>+G139+G146+G155+G156</f>
        <v>-8222</v>
      </c>
      <c r="H157" s="2">
        <f>+H139+H146+H155+H156</f>
        <v>6512</v>
      </c>
      <c r="I157" s="2">
        <f>+I139+I146+I155+I156</f>
        <v>-10490</v>
      </c>
      <c r="J157" s="2">
        <f>+J139+J146+J155+J156</f>
        <v>6300</v>
      </c>
      <c r="K157" s="2">
        <f>+K139+K146+K155+K156</f>
        <v>122</v>
      </c>
      <c r="L157" s="2">
        <f>+L139+L146+L155+L156</f>
        <v>1101</v>
      </c>
      <c r="M157" s="2">
        <f>+M139+M146+M155+M156</f>
        <v>-2522</v>
      </c>
    </row>
    <row r="158" spans="2:13" s="5" customFormat="1" x14ac:dyDescent="0.2">
      <c r="B158" s="14" t="s">
        <v>98</v>
      </c>
      <c r="C158" s="5">
        <f>+C127+C157</f>
        <v>27505</v>
      </c>
      <c r="D158" s="5">
        <f>+D127+D157</f>
        <v>37842</v>
      </c>
      <c r="E158" s="5">
        <f>+E127+E157</f>
        <v>30202</v>
      </c>
      <c r="F158" s="5">
        <f>+F127+F157</f>
        <v>42377</v>
      </c>
      <c r="G158" s="5">
        <f>+G127+G157</f>
        <v>34155</v>
      </c>
      <c r="H158" s="5">
        <f>+H127+H157</f>
        <v>40667</v>
      </c>
      <c r="I158" s="5">
        <f>+I127+I157</f>
        <v>30177</v>
      </c>
      <c r="J158" s="5">
        <f>+J127+J157</f>
        <v>36477</v>
      </c>
      <c r="K158" s="5">
        <f>+K127+K157</f>
        <v>36599</v>
      </c>
      <c r="L158" s="5">
        <f>+L127+L157</f>
        <v>37700</v>
      </c>
      <c r="M158" s="5">
        <f>+M127+M157</f>
        <v>35178</v>
      </c>
    </row>
    <row r="160" spans="2:13" x14ac:dyDescent="0.2">
      <c r="B160" s="11" t="s">
        <v>99</v>
      </c>
      <c r="C160" s="2">
        <f t="shared" ref="C160:L160" si="67">+C139+C141</f>
        <v>-3731</v>
      </c>
      <c r="D160" s="2">
        <f t="shared" si="67"/>
        <v>13147</v>
      </c>
      <c r="E160" s="2">
        <f t="shared" si="67"/>
        <v>901</v>
      </c>
      <c r="F160" s="2">
        <f t="shared" si="67"/>
        <v>15606</v>
      </c>
      <c r="G160" s="2">
        <f t="shared" si="67"/>
        <v>-7869</v>
      </c>
      <c r="H160" s="2">
        <f t="shared" si="67"/>
        <v>-1573</v>
      </c>
      <c r="I160" s="2">
        <f t="shared" si="67"/>
        <v>-8435</v>
      </c>
      <c r="J160" s="2">
        <f t="shared" si="67"/>
        <v>3151</v>
      </c>
      <c r="K160" s="2">
        <f t="shared" si="67"/>
        <v>-17741</v>
      </c>
      <c r="L160" s="2">
        <f>+L139+L141</f>
        <v>-6759</v>
      </c>
      <c r="M160" s="2">
        <f>+M139+M141</f>
        <v>-4974</v>
      </c>
    </row>
    <row r="161" spans="2:13" x14ac:dyDescent="0.2">
      <c r="B161" s="11" t="s">
        <v>135</v>
      </c>
      <c r="C161" s="2">
        <f>+C48</f>
        <v>2535</v>
      </c>
      <c r="D161" s="2">
        <f>+D48</f>
        <v>5243</v>
      </c>
      <c r="E161" s="2">
        <f>+E48</f>
        <v>6331</v>
      </c>
      <c r="F161" s="2">
        <f>+F48</f>
        <v>7222</v>
      </c>
      <c r="G161" s="2">
        <f>+G48</f>
        <v>8107</v>
      </c>
      <c r="H161" s="2">
        <f>+H48</f>
        <v>7778</v>
      </c>
      <c r="I161" s="2">
        <f>+I48</f>
        <v>3156</v>
      </c>
      <c r="J161" s="2">
        <f>+J48</f>
        <v>14323</v>
      </c>
      <c r="K161" s="2">
        <f>+K48</f>
        <v>-3844</v>
      </c>
      <c r="L161" s="2">
        <f>+L48</f>
        <v>-2028</v>
      </c>
      <c r="M161" s="2">
        <f>+M48</f>
        <v>2872</v>
      </c>
    </row>
    <row r="163" spans="2:13" x14ac:dyDescent="0.2">
      <c r="B163" s="11" t="s">
        <v>136</v>
      </c>
      <c r="C163" s="2">
        <f>+C141</f>
        <v>-6795</v>
      </c>
      <c r="D163" s="2">
        <f t="shared" ref="D163:M163" si="68">+D141</f>
        <v>-7459</v>
      </c>
      <c r="E163" s="2">
        <f t="shared" si="68"/>
        <v>-11063</v>
      </c>
      <c r="F163" s="2">
        <f t="shared" si="68"/>
        <v>-14824</v>
      </c>
      <c r="G163" s="2">
        <f t="shared" si="68"/>
        <v>-12082</v>
      </c>
      <c r="H163" s="2">
        <f t="shared" si="68"/>
        <v>-14288</v>
      </c>
      <c r="I163" s="2">
        <f t="shared" si="68"/>
        <v>-15748</v>
      </c>
      <c r="J163" s="2">
        <f t="shared" si="68"/>
        <v>-18935</v>
      </c>
      <c r="K163" s="2">
        <f t="shared" si="68"/>
        <v>-14951</v>
      </c>
      <c r="L163" s="2">
        <f t="shared" si="68"/>
        <v>-15724</v>
      </c>
      <c r="M163" s="2">
        <f t="shared" si="68"/>
        <v>-16378</v>
      </c>
    </row>
    <row r="164" spans="2:13" x14ac:dyDescent="0.2">
      <c r="B164" s="11" t="s">
        <v>138</v>
      </c>
      <c r="M164" s="5">
        <f>AVERAGE(C163:M163)</f>
        <v>-13477</v>
      </c>
    </row>
    <row r="165" spans="2:13" x14ac:dyDescent="0.2">
      <c r="B165" s="11" t="s">
        <v>139</v>
      </c>
      <c r="M165" s="26">
        <f>_xlfn.RRI(11,C158,M158)</f>
        <v>2.2620511756484163E-2</v>
      </c>
    </row>
  </sheetData>
  <conditionalFormatting sqref="C16:M21">
    <cfRule type="cellIs" dxfId="1" priority="2" operator="equal">
      <formula>"n"</formula>
    </cfRule>
  </conditionalFormatting>
  <conditionalFormatting sqref="C160:M160">
    <cfRule type="cellIs" dxfId="0" priority="1" operator="greaterThan">
      <formula>0</formula>
    </cfRule>
  </conditionalFormatting>
  <pageMargins left="0.7" right="0.7" top="0.75" bottom="0.75" header="0.3" footer="0.3"/>
  <ignoredErrors>
    <ignoredError sqref="AE39:AE40 AE42:AE48" formula="1"/>
    <ignoredError sqref="F139:K139 J30:J50 F79:M79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jameelbrannon</cp:lastModifiedBy>
  <dcterms:created xsi:type="dcterms:W3CDTF">2022-08-07T02:51:15Z</dcterms:created>
  <dcterms:modified xsi:type="dcterms:W3CDTF">2023-01-02T16:53:36Z</dcterms:modified>
</cp:coreProperties>
</file>