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6C48C017-4C59-6F48-BAE7-0DED58D44F29}" xr6:coauthVersionLast="47" xr6:coauthVersionMax="47" xr10:uidLastSave="{00000000-0000-0000-0000-000000000000}"/>
  <bookViews>
    <workbookView xWindow="2100" yWindow="540" windowWidth="41840" windowHeight="24560" xr2:uid="{5D6604B8-F32C-954B-9FE0-F7FD50522906}"/>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9" i="1" l="1"/>
  <c r="AP9" i="1"/>
  <c r="AQ9" i="1"/>
  <c r="AR9" i="1"/>
  <c r="AS9" i="1"/>
  <c r="AT9" i="1"/>
  <c r="AU9" i="1"/>
  <c r="AV9" i="1"/>
  <c r="AW9" i="1"/>
  <c r="AX9" i="1"/>
  <c r="AP27" i="1"/>
  <c r="AQ27" i="1" s="1"/>
  <c r="AR27" i="1" s="1"/>
  <c r="AS27" i="1" s="1"/>
  <c r="AT27" i="1" s="1"/>
  <c r="AU27" i="1" s="1"/>
  <c r="AV27" i="1" s="1"/>
  <c r="AW27" i="1" s="1"/>
  <c r="AX27" i="1" s="1"/>
  <c r="AO27" i="1"/>
  <c r="AQ26" i="1"/>
  <c r="AR26" i="1" s="1"/>
  <c r="AS26" i="1" s="1"/>
  <c r="AT26" i="1" s="1"/>
  <c r="AU26" i="1" s="1"/>
  <c r="AV26" i="1" s="1"/>
  <c r="AW26" i="1" s="1"/>
  <c r="AX26" i="1" s="1"/>
  <c r="AP26" i="1"/>
  <c r="AO26" i="1"/>
  <c r="S30" i="1"/>
  <c r="AR8" i="1"/>
  <c r="AQ8" i="1"/>
  <c r="AP8" i="1"/>
  <c r="N53" i="1"/>
  <c r="N43" i="1"/>
  <c r="P53" i="1"/>
  <c r="P43" i="1"/>
  <c r="Q53" i="1"/>
  <c r="Q43" i="1"/>
  <c r="S53" i="1"/>
  <c r="S43" i="1"/>
  <c r="S34" i="1"/>
  <c r="R34" i="1"/>
  <c r="Q34" i="1"/>
  <c r="P34" i="1"/>
  <c r="O34" i="1"/>
  <c r="N34" i="1"/>
  <c r="M34" i="1"/>
  <c r="L34" i="1"/>
  <c r="K34" i="1"/>
  <c r="J34" i="1"/>
  <c r="I34" i="1"/>
  <c r="H34" i="1"/>
  <c r="G34" i="1"/>
  <c r="F34" i="1"/>
  <c r="E34" i="1"/>
  <c r="D34" i="1"/>
  <c r="O43" i="1"/>
  <c r="O53" i="1"/>
  <c r="R53" i="1"/>
  <c r="R43" i="1"/>
  <c r="S20" i="1"/>
  <c r="S18" i="1"/>
  <c r="S16" i="1"/>
  <c r="S15" i="1"/>
  <c r="S11" i="1"/>
  <c r="S9" i="1"/>
  <c r="S8" i="1"/>
  <c r="S25" i="1" s="1"/>
  <c r="P27" i="1"/>
  <c r="P26" i="1"/>
  <c r="P25" i="1"/>
  <c r="P10" i="1"/>
  <c r="P30" i="1" s="1"/>
  <c r="Q27" i="1"/>
  <c r="Q26" i="1"/>
  <c r="Q25" i="1"/>
  <c r="Q10" i="1"/>
  <c r="Q30" i="1" s="1"/>
  <c r="R27" i="1"/>
  <c r="R26" i="1"/>
  <c r="R25" i="1"/>
  <c r="R10" i="1"/>
  <c r="R30" i="1" s="1"/>
  <c r="O20" i="1"/>
  <c r="O18" i="1"/>
  <c r="O16" i="1"/>
  <c r="O15" i="1"/>
  <c r="O11" i="1"/>
  <c r="O9" i="1"/>
  <c r="O8" i="1"/>
  <c r="AN27" i="1"/>
  <c r="AN26" i="1"/>
  <c r="AN25" i="1"/>
  <c r="AN10" i="1"/>
  <c r="AN30" i="1" s="1"/>
  <c r="AM27" i="1"/>
  <c r="AM26" i="1"/>
  <c r="AM25" i="1"/>
  <c r="AM10" i="1"/>
  <c r="AM30" i="1" s="1"/>
  <c r="F8" i="2"/>
  <c r="F7" i="2"/>
  <c r="E8" i="2"/>
  <c r="E5" i="2"/>
  <c r="BB31" i="1" s="1"/>
  <c r="AF31" i="1"/>
  <c r="AE31" i="1"/>
  <c r="AD31" i="1"/>
  <c r="AC31" i="1"/>
  <c r="AG25" i="1"/>
  <c r="AF25" i="1"/>
  <c r="AE25" i="1"/>
  <c r="AD25" i="1"/>
  <c r="AF22" i="1"/>
  <c r="AE22" i="1"/>
  <c r="AD22" i="1"/>
  <c r="AC22" i="1"/>
  <c r="AA3" i="1"/>
  <c r="AB3" i="1" s="1"/>
  <c r="AC3" i="1" s="1"/>
  <c r="AD3" i="1" s="1"/>
  <c r="AE3" i="1" s="1"/>
  <c r="AJ25" i="1"/>
  <c r="AI25" i="1"/>
  <c r="AH25" i="1"/>
  <c r="AH22" i="1"/>
  <c r="AG22" i="1"/>
  <c r="AI22" i="1"/>
  <c r="AI31" i="1"/>
  <c r="AH31" i="1"/>
  <c r="AG31" i="1"/>
  <c r="BB33" i="1"/>
  <c r="BB29" i="1"/>
  <c r="O22" i="1"/>
  <c r="S27" i="1" l="1"/>
  <c r="S26" i="1"/>
  <c r="S10" i="1"/>
  <c r="S14" i="1"/>
  <c r="P14" i="1"/>
  <c r="Q14" i="1"/>
  <c r="R14" i="1"/>
  <c r="AN14" i="1"/>
  <c r="AM14" i="1"/>
  <c r="AM31" i="1" s="1"/>
  <c r="AL27" i="1"/>
  <c r="AK27" i="1"/>
  <c r="AL26" i="1"/>
  <c r="AK26" i="1"/>
  <c r="AJ27" i="1"/>
  <c r="AJ26" i="1"/>
  <c r="N27" i="1"/>
  <c r="M27" i="1"/>
  <c r="L27" i="1"/>
  <c r="J27" i="1"/>
  <c r="I27" i="1"/>
  <c r="H27" i="1"/>
  <c r="F27" i="1"/>
  <c r="E27" i="1"/>
  <c r="D27" i="1"/>
  <c r="N26" i="1"/>
  <c r="M26" i="1"/>
  <c r="L26" i="1"/>
  <c r="J26" i="1"/>
  <c r="I26" i="1"/>
  <c r="H26" i="1"/>
  <c r="F26" i="1"/>
  <c r="E26" i="1"/>
  <c r="D26" i="1"/>
  <c r="AO20" i="1"/>
  <c r="AP20" i="1" s="1"/>
  <c r="AQ20" i="1" s="1"/>
  <c r="AR20" i="1" s="1"/>
  <c r="AS20" i="1" s="1"/>
  <c r="AT20" i="1" s="1"/>
  <c r="AU20" i="1" s="1"/>
  <c r="AV20" i="1" s="1"/>
  <c r="AW20" i="1" s="1"/>
  <c r="AX20" i="1" s="1"/>
  <c r="I25" i="1"/>
  <c r="H25" i="1"/>
  <c r="D10" i="1"/>
  <c r="D14" i="1" s="1"/>
  <c r="D31" i="1" s="1"/>
  <c r="G8" i="1"/>
  <c r="G20" i="1"/>
  <c r="G18" i="1"/>
  <c r="G16" i="1"/>
  <c r="G15" i="1"/>
  <c r="G11" i="1"/>
  <c r="G9" i="1"/>
  <c r="E10" i="1"/>
  <c r="E14" i="1" s="1"/>
  <c r="M25" i="1"/>
  <c r="L25" i="1"/>
  <c r="J25" i="1"/>
  <c r="F10" i="1"/>
  <c r="F30" i="1" s="1"/>
  <c r="K20" i="1"/>
  <c r="K18" i="1"/>
  <c r="K16" i="1"/>
  <c r="K15" i="1"/>
  <c r="K11" i="1"/>
  <c r="K9" i="1"/>
  <c r="K8" i="1"/>
  <c r="AK25" i="1"/>
  <c r="AL25" i="1"/>
  <c r="AJ10" i="1"/>
  <c r="AJ14" i="1" s="1"/>
  <c r="AJ17" i="1" s="1"/>
  <c r="AJ19" i="1" s="1"/>
  <c r="AJ21" i="1" s="1"/>
  <c r="AJ22" i="1" s="1"/>
  <c r="AK10" i="1"/>
  <c r="AK14" i="1" s="1"/>
  <c r="AK17" i="1" s="1"/>
  <c r="AK19" i="1" s="1"/>
  <c r="AK21" i="1" s="1"/>
  <c r="AK22" i="1" s="1"/>
  <c r="G22" i="1" s="1"/>
  <c r="AL10" i="1"/>
  <c r="AL30" i="1" s="1"/>
  <c r="H10" i="1"/>
  <c r="H14" i="1" s="1"/>
  <c r="H17" i="1" s="1"/>
  <c r="I10" i="1"/>
  <c r="I14" i="1" s="1"/>
  <c r="I17" i="1" s="1"/>
  <c r="J10" i="1"/>
  <c r="J14" i="1" s="1"/>
  <c r="J17" i="1" s="1"/>
  <c r="L10" i="1"/>
  <c r="L14" i="1" s="1"/>
  <c r="E6" i="2"/>
  <c r="E9" i="2" s="1"/>
  <c r="M10" i="1"/>
  <c r="M14" i="1" s="1"/>
  <c r="M17" i="1" s="1"/>
  <c r="N25" i="1"/>
  <c r="N10" i="1"/>
  <c r="N14" i="1" s="1"/>
  <c r="N17" i="1" s="1"/>
  <c r="AG3" i="1"/>
  <c r="AH3" i="1" s="1"/>
  <c r="AI3" i="1" s="1"/>
  <c r="AJ3" i="1" s="1"/>
  <c r="AK3" i="1" s="1"/>
  <c r="AL3" i="1" s="1"/>
  <c r="AM3" i="1" s="1"/>
  <c r="AN3" i="1" s="1"/>
  <c r="AO3" i="1" s="1"/>
  <c r="AP3" i="1" s="1"/>
  <c r="AQ3" i="1" s="1"/>
  <c r="AR3" i="1" s="1"/>
  <c r="AS3" i="1" s="1"/>
  <c r="AT3" i="1" s="1"/>
  <c r="AU3" i="1" s="1"/>
  <c r="AV3" i="1" s="1"/>
  <c r="AW3" i="1" s="1"/>
  <c r="AX3" i="1" s="1"/>
  <c r="S17" i="1" l="1"/>
  <c r="S31" i="1"/>
  <c r="P31" i="1"/>
  <c r="P17" i="1"/>
  <c r="Q31" i="1"/>
  <c r="Q17" i="1"/>
  <c r="R31" i="1"/>
  <c r="R17" i="1"/>
  <c r="AN31" i="1"/>
  <c r="AN17" i="1"/>
  <c r="AN19" i="1" s="1"/>
  <c r="AN21" i="1" s="1"/>
  <c r="AN22" i="1" s="1"/>
  <c r="AM17" i="1"/>
  <c r="AM19" i="1" s="1"/>
  <c r="AM21" i="1" s="1"/>
  <c r="L17" i="1"/>
  <c r="L28" i="1" s="1"/>
  <c r="L31" i="1"/>
  <c r="J19" i="1"/>
  <c r="J21" i="1" s="1"/>
  <c r="J23" i="1" s="1"/>
  <c r="J28" i="1"/>
  <c r="N19" i="1"/>
  <c r="N21" i="1" s="1"/>
  <c r="N23" i="1" s="1"/>
  <c r="N28" i="1"/>
  <c r="I19" i="1"/>
  <c r="I21" i="1" s="1"/>
  <c r="I23" i="1" s="1"/>
  <c r="I28" i="1"/>
  <c r="H19" i="1"/>
  <c r="H21" i="1" s="1"/>
  <c r="H23" i="1" s="1"/>
  <c r="H28" i="1"/>
  <c r="K27" i="1"/>
  <c r="M19" i="1"/>
  <c r="M21" i="1" s="1"/>
  <c r="M23" i="1" s="1"/>
  <c r="M28" i="1"/>
  <c r="K26" i="1"/>
  <c r="G27" i="1"/>
  <c r="G26" i="1"/>
  <c r="AJ31" i="1"/>
  <c r="AJ30" i="1"/>
  <c r="O25" i="1"/>
  <c r="G10" i="1"/>
  <c r="G30" i="1" s="1"/>
  <c r="H31" i="1"/>
  <c r="K25" i="1"/>
  <c r="M30" i="1"/>
  <c r="L30" i="1"/>
  <c r="N31" i="1"/>
  <c r="AK31" i="1"/>
  <c r="I31" i="1"/>
  <c r="N30" i="1"/>
  <c r="H30" i="1"/>
  <c r="K10" i="1"/>
  <c r="K30" i="1" s="1"/>
  <c r="I30" i="1"/>
  <c r="J31" i="1"/>
  <c r="D30" i="1"/>
  <c r="J30" i="1"/>
  <c r="M31" i="1"/>
  <c r="AK30" i="1"/>
  <c r="D17" i="1"/>
  <c r="D28" i="1" s="1"/>
  <c r="E31" i="1"/>
  <c r="E17" i="1"/>
  <c r="E30" i="1"/>
  <c r="F14" i="1"/>
  <c r="G14" i="1" s="1"/>
  <c r="G31" i="1" s="1"/>
  <c r="AL14" i="1"/>
  <c r="K14" i="1" s="1"/>
  <c r="K31" i="1" s="1"/>
  <c r="S19" i="1" l="1"/>
  <c r="S21" i="1" s="1"/>
  <c r="S28" i="1"/>
  <c r="P28" i="1"/>
  <c r="P19" i="1"/>
  <c r="P21" i="1" s="1"/>
  <c r="P23" i="1" s="1"/>
  <c r="Q28" i="1"/>
  <c r="Q19" i="1"/>
  <c r="Q21" i="1" s="1"/>
  <c r="Q23" i="1" s="1"/>
  <c r="R28" i="1"/>
  <c r="R19" i="1"/>
  <c r="R21" i="1" s="1"/>
  <c r="R23" i="1" s="1"/>
  <c r="L19" i="1"/>
  <c r="L21" i="1" s="1"/>
  <c r="L23" i="1" s="1"/>
  <c r="O23" i="1" s="1"/>
  <c r="K23" i="1"/>
  <c r="AO8" i="1"/>
  <c r="E19" i="1"/>
  <c r="E21" i="1" s="1"/>
  <c r="E23" i="1" s="1"/>
  <c r="E28" i="1"/>
  <c r="O10" i="1"/>
  <c r="D19" i="1"/>
  <c r="F31" i="1"/>
  <c r="F17" i="1"/>
  <c r="AL31" i="1"/>
  <c r="AL17" i="1"/>
  <c r="S23" i="1" l="1"/>
  <c r="AO10" i="1"/>
  <c r="AO11" i="1"/>
  <c r="O30" i="1"/>
  <c r="O14" i="1"/>
  <c r="F19" i="1"/>
  <c r="F21" i="1" s="1"/>
  <c r="F23" i="1" s="1"/>
  <c r="F28" i="1"/>
  <c r="AL19" i="1"/>
  <c r="K17" i="1"/>
  <c r="K28" i="1" s="1"/>
  <c r="G17" i="1"/>
  <c r="G28" i="1" s="1"/>
  <c r="D21" i="1"/>
  <c r="G19" i="1" l="1"/>
  <c r="AO14" i="1"/>
  <c r="AO31" i="1" s="1"/>
  <c r="AO30" i="1"/>
  <c r="AP10" i="1"/>
  <c r="AP30" i="1" s="1"/>
  <c r="AP11" i="1"/>
  <c r="O31" i="1"/>
  <c r="AL21" i="1"/>
  <c r="K19" i="1"/>
  <c r="D23" i="1"/>
  <c r="G23" i="1" s="1"/>
  <c r="G21" i="1"/>
  <c r="AO16" i="1" l="1"/>
  <c r="AP14" i="1"/>
  <c r="AP31" i="1" s="1"/>
  <c r="AQ10" i="1"/>
  <c r="AQ11" i="1"/>
  <c r="O17" i="1"/>
  <c r="AO15" i="1"/>
  <c r="AL22" i="1"/>
  <c r="K21" i="1"/>
  <c r="K22" i="1" s="1"/>
  <c r="AO17" i="1" l="1"/>
  <c r="AP15" i="1"/>
  <c r="AQ14" i="1"/>
  <c r="AQ31" i="1" s="1"/>
  <c r="AQ30" i="1"/>
  <c r="AP16" i="1"/>
  <c r="AR10" i="1"/>
  <c r="AR30" i="1" s="1"/>
  <c r="AR11" i="1"/>
  <c r="AS8" i="1"/>
  <c r="AP17" i="1" l="1"/>
  <c r="AQ15" i="1"/>
  <c r="AQ16" i="1"/>
  <c r="AR14" i="1"/>
  <c r="AR31" i="1" s="1"/>
  <c r="AS11" i="1"/>
  <c r="AS10" i="1"/>
  <c r="AS30" i="1" s="1"/>
  <c r="AT8" i="1"/>
  <c r="AQ17" i="1" l="1"/>
  <c r="AR16" i="1"/>
  <c r="AR15" i="1"/>
  <c r="AS14" i="1"/>
  <c r="AS31" i="1" s="1"/>
  <c r="AR17" i="1"/>
  <c r="AT10" i="1"/>
  <c r="AT11" i="1"/>
  <c r="O19" i="1"/>
  <c r="O21" i="1" s="1"/>
  <c r="AU8" i="1"/>
  <c r="AS16" i="1" l="1"/>
  <c r="AS15" i="1"/>
  <c r="AO18" i="1"/>
  <c r="AT14" i="1"/>
  <c r="AT31" i="1" s="1"/>
  <c r="AT30" i="1"/>
  <c r="AS17" i="1"/>
  <c r="AU10" i="1"/>
  <c r="AU11" i="1"/>
  <c r="AV8" i="1"/>
  <c r="AW8" i="1" s="1"/>
  <c r="AW11" i="1" l="1"/>
  <c r="AX8" i="1"/>
  <c r="AW10" i="1"/>
  <c r="AT15" i="1"/>
  <c r="AO22" i="1"/>
  <c r="AP22" i="1" s="1"/>
  <c r="AQ22" i="1" s="1"/>
  <c r="AR22" i="1" s="1"/>
  <c r="AS22" i="1" s="1"/>
  <c r="AT22" i="1" s="1"/>
  <c r="AU22" i="1" s="1"/>
  <c r="AV22" i="1" s="1"/>
  <c r="AW22" i="1" s="1"/>
  <c r="AX22" i="1" s="1"/>
  <c r="AO19" i="1"/>
  <c r="AO21" i="1" s="1"/>
  <c r="AP18" i="1"/>
  <c r="AT16" i="1"/>
  <c r="AU14" i="1"/>
  <c r="AU31" i="1" s="1"/>
  <c r="AU30" i="1"/>
  <c r="AV10" i="1"/>
  <c r="AV30" i="1" s="1"/>
  <c r="AV11" i="1"/>
  <c r="AW30" i="1" l="1"/>
  <c r="AW14" i="1"/>
  <c r="AX11" i="1"/>
  <c r="AX10" i="1"/>
  <c r="AO23" i="1"/>
  <c r="AT17" i="1"/>
  <c r="AP19" i="1"/>
  <c r="AP21" i="1" s="1"/>
  <c r="AP23" i="1" s="1"/>
  <c r="AQ18" i="1"/>
  <c r="AU16" i="1"/>
  <c r="AU15" i="1"/>
  <c r="AV14" i="1"/>
  <c r="AX30" i="1" l="1"/>
  <c r="AX14" i="1"/>
  <c r="AW15" i="1"/>
  <c r="AW31" i="1"/>
  <c r="AV16" i="1"/>
  <c r="AW16" i="1" s="1"/>
  <c r="AU17" i="1"/>
  <c r="AQ19" i="1"/>
  <c r="AQ21" i="1" s="1"/>
  <c r="AR18" i="1"/>
  <c r="AV15" i="1"/>
  <c r="AV31" i="1"/>
  <c r="AW17" i="1" l="1"/>
  <c r="AV17" i="1"/>
  <c r="AX31" i="1"/>
  <c r="AX16" i="1"/>
  <c r="AX15" i="1"/>
  <c r="AQ23" i="1"/>
  <c r="AR19" i="1"/>
  <c r="AR21" i="1" s="1"/>
  <c r="AR23" i="1" s="1"/>
  <c r="AS18" i="1"/>
  <c r="AX17" i="1" l="1"/>
  <c r="AS19" i="1"/>
  <c r="AS21" i="1" s="1"/>
  <c r="AS23" i="1" s="1"/>
  <c r="AT18" i="1"/>
  <c r="AT19" i="1" l="1"/>
  <c r="AT21" i="1" s="1"/>
  <c r="AU18" i="1"/>
  <c r="AV18" i="1" l="1"/>
  <c r="AU19" i="1"/>
  <c r="AU21" i="1" s="1"/>
  <c r="AU23" i="1" s="1"/>
  <c r="AT23" i="1"/>
  <c r="AV19" i="1" l="1"/>
  <c r="AV21" i="1" s="1"/>
  <c r="AW18" i="1"/>
  <c r="AV23" i="1"/>
  <c r="AW19" i="1" l="1"/>
  <c r="AW21" i="1" s="1"/>
  <c r="AW23" i="1" s="1"/>
  <c r="AX18" i="1"/>
  <c r="AX19" i="1" s="1"/>
  <c r="AX21" i="1" s="1"/>
  <c r="AX23" i="1" s="1"/>
  <c r="AY21" i="1"/>
  <c r="AZ21" i="1" s="1"/>
  <c r="BA21" i="1" s="1"/>
  <c r="BB21" i="1" s="1"/>
  <c r="BC21" i="1" s="1"/>
  <c r="BD21" i="1" s="1"/>
  <c r="BE21" i="1" s="1"/>
  <c r="BF21" i="1" s="1"/>
  <c r="BG21" i="1" s="1"/>
  <c r="BH21" i="1" s="1"/>
  <c r="BI21" i="1" s="1"/>
  <c r="BJ21" i="1" s="1"/>
  <c r="BK21" i="1" s="1"/>
  <c r="BL21" i="1" s="1"/>
  <c r="BM21" i="1" s="1"/>
  <c r="BN21" i="1" s="1"/>
  <c r="BO21" i="1" s="1"/>
  <c r="BP21" i="1" s="1"/>
  <c r="BQ21" i="1" s="1"/>
  <c r="BR21" i="1" s="1"/>
  <c r="BS21" i="1" s="1"/>
  <c r="BT21" i="1" s="1"/>
  <c r="BU21" i="1" s="1"/>
  <c r="BV21" i="1" s="1"/>
  <c r="BW21" i="1" s="1"/>
  <c r="BX21" i="1" s="1"/>
  <c r="BY21" i="1" s="1"/>
  <c r="BZ21" i="1" s="1"/>
  <c r="CA21" i="1" s="1"/>
  <c r="CB21" i="1" s="1"/>
  <c r="CC21" i="1" s="1"/>
  <c r="CD21" i="1" s="1"/>
  <c r="CE21" i="1" s="1"/>
  <c r="CF21" i="1" s="1"/>
  <c r="CG21" i="1" s="1"/>
  <c r="CH21" i="1" s="1"/>
  <c r="CI21" i="1" s="1"/>
  <c r="CJ21" i="1" s="1"/>
  <c r="CK21" i="1" s="1"/>
  <c r="CL21" i="1" s="1"/>
  <c r="CM21" i="1" s="1"/>
  <c r="CN21" i="1" s="1"/>
  <c r="CO21" i="1" s="1"/>
  <c r="CP21" i="1" s="1"/>
  <c r="CQ21" i="1" s="1"/>
  <c r="CR21" i="1" s="1"/>
  <c r="CS21" i="1" s="1"/>
  <c r="CT21" i="1" s="1"/>
  <c r="CU21" i="1" s="1"/>
  <c r="CV21" i="1" s="1"/>
  <c r="CW21" i="1" s="1"/>
  <c r="CX21" i="1" s="1"/>
  <c r="CY21" i="1" s="1"/>
  <c r="CZ21" i="1" s="1"/>
  <c r="DA21" i="1" s="1"/>
  <c r="DB21" i="1" s="1"/>
  <c r="DC21" i="1" s="1"/>
  <c r="DD21" i="1" s="1"/>
  <c r="DE21" i="1" s="1"/>
  <c r="DF21" i="1" s="1"/>
  <c r="DG21" i="1" s="1"/>
  <c r="DH21" i="1" s="1"/>
  <c r="DI21" i="1" s="1"/>
  <c r="DJ21" i="1" s="1"/>
  <c r="DK21" i="1" s="1"/>
  <c r="DL21" i="1" s="1"/>
  <c r="DM21" i="1" s="1"/>
  <c r="DN21" i="1" s="1"/>
  <c r="DO21" i="1" l="1"/>
  <c r="DP21" i="1" s="1"/>
  <c r="DQ21" i="1" s="1"/>
  <c r="DR21" i="1" s="1"/>
  <c r="BB28" i="1"/>
  <c r="BB30" i="1" s="1"/>
  <c r="BB32" i="1" s="1"/>
  <c r="BB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Brannon, Jameel A.</author>
    <author>tc={EB66CE44-071C-1241-A891-360CED981FC3}</author>
  </authors>
  <commentList>
    <comment ref="C13" authorId="0" shapeId="0" xr:uid="{6B3375C6-04B0-8D40-AF74-5646E6EB0028}">
      <text>
        <r>
          <rPr>
            <b/>
            <sz val="10"/>
            <color rgb="FF000000"/>
            <rFont val="Tahoma"/>
            <family val="2"/>
          </rPr>
          <t>Brannon, Jameel A.:</t>
        </r>
        <r>
          <rPr>
            <sz val="10"/>
            <color rgb="FF000000"/>
            <rFont val="Tahoma"/>
            <family val="2"/>
          </rPr>
          <t xml:space="preserve">
</t>
        </r>
        <r>
          <rPr>
            <sz val="10"/>
            <color rgb="FF000000"/>
            <rFont val="Tahoma"/>
            <family val="2"/>
          </rPr>
          <t>Impairment charges</t>
        </r>
      </text>
    </comment>
    <comment ref="S30" authorId="1" shapeId="0" xr:uid="{EB66CE44-071C-1241-A891-360CED981FC3}">
      <text>
        <t>[Threaded comment]
Your version of Excel allows you to read this threaded comment; however, any edits to it will get removed if the file is opened in a newer version of Excel. Learn more: https://go.microsoft.com/fwlink/?linkid=870924
Comment:
    Pricing?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B12" authorId="0" shapeId="0" xr:uid="{48A70618-BF0A-F44E-907D-227112801E67}">
      <text>
        <r>
          <rPr>
            <b/>
            <sz val="10"/>
            <color rgb="FF000000"/>
            <rFont val="Tahoma"/>
            <family val="2"/>
          </rPr>
          <t>Brannon, Jameel A.:</t>
        </r>
        <r>
          <rPr>
            <sz val="10"/>
            <color rgb="FF000000"/>
            <rFont val="Tahoma"/>
            <family val="2"/>
          </rPr>
          <t xml:space="preserve">
</t>
        </r>
        <r>
          <rPr>
            <sz val="10"/>
            <color rgb="FF000000"/>
            <rFont val="Tahoma"/>
            <family val="2"/>
          </rPr>
          <t xml:space="preserve">Right now, company is having demand problems for its' products amongst broader Macro issues. Brand is somehwat questionable as margins have been eroding (could indicate inability to pass on costs?) .. not too sure, need to read more.
</t>
        </r>
        <r>
          <rPr>
            <sz val="10"/>
            <color rgb="FF000000"/>
            <rFont val="Tahoma"/>
            <family val="2"/>
          </rPr>
          <t xml:space="preserve">
</t>
        </r>
        <r>
          <rPr>
            <sz val="10"/>
            <color rgb="FF000000"/>
            <rFont val="Tahoma"/>
            <family val="2"/>
          </rPr>
          <t>As of now, I think MKC is fairly valued</t>
        </r>
      </text>
    </comment>
  </commentList>
</comments>
</file>

<file path=xl/sharedStrings.xml><?xml version="1.0" encoding="utf-8"?>
<sst xmlns="http://schemas.openxmlformats.org/spreadsheetml/2006/main" count="80" uniqueCount="79">
  <si>
    <t>Q121</t>
  </si>
  <si>
    <t>Q222</t>
  </si>
  <si>
    <t>Q221</t>
  </si>
  <si>
    <t>Q321</t>
  </si>
  <si>
    <t>Q421</t>
  </si>
  <si>
    <t>Q122</t>
  </si>
  <si>
    <t>Q322</t>
  </si>
  <si>
    <t>Q422</t>
  </si>
  <si>
    <t>Sales</t>
  </si>
  <si>
    <t>Costs</t>
  </si>
  <si>
    <t>GP</t>
  </si>
  <si>
    <t>SGA</t>
  </si>
  <si>
    <t>Transaction</t>
  </si>
  <si>
    <t>Special</t>
  </si>
  <si>
    <t>Op Income</t>
  </si>
  <si>
    <t>Interest E</t>
  </si>
  <si>
    <t>O I</t>
  </si>
  <si>
    <t>EBT</t>
  </si>
  <si>
    <t>T</t>
  </si>
  <si>
    <t>NI</t>
  </si>
  <si>
    <t>I from Uncon</t>
  </si>
  <si>
    <t xml:space="preserve">NI </t>
  </si>
  <si>
    <t>Shares</t>
  </si>
  <si>
    <t>EPS</t>
  </si>
  <si>
    <t>Sales y/y</t>
  </si>
  <si>
    <t>model</t>
  </si>
  <si>
    <t>P</t>
  </si>
  <si>
    <t>Sh</t>
  </si>
  <si>
    <t>MC</t>
  </si>
  <si>
    <t>Cash</t>
  </si>
  <si>
    <t>Debt</t>
  </si>
  <si>
    <t>EV</t>
  </si>
  <si>
    <t>Q120</t>
  </si>
  <si>
    <t>Q220</t>
  </si>
  <si>
    <t>Q320</t>
  </si>
  <si>
    <t>Q420</t>
  </si>
  <si>
    <t>GM%</t>
  </si>
  <si>
    <t>OM%</t>
  </si>
  <si>
    <t>PR</t>
  </si>
  <si>
    <t>Costs % Sales</t>
  </si>
  <si>
    <t>SGA % Sales</t>
  </si>
  <si>
    <t>q3'22</t>
  </si>
  <si>
    <t>Tax Rt</t>
  </si>
  <si>
    <t>Terminal</t>
  </si>
  <si>
    <t>Discount</t>
  </si>
  <si>
    <t>NPV</t>
  </si>
  <si>
    <t>Estimate</t>
  </si>
  <si>
    <t>NC</t>
  </si>
  <si>
    <t>T.NPV</t>
  </si>
  <si>
    <t>Current</t>
  </si>
  <si>
    <t>Delta</t>
  </si>
  <si>
    <t xml:space="preserve">Cash </t>
  </si>
  <si>
    <t>Note 11/14/22</t>
  </si>
  <si>
    <t>A/R</t>
  </si>
  <si>
    <t>Inv</t>
  </si>
  <si>
    <t>Prepaid E</t>
  </si>
  <si>
    <t>PPE</t>
  </si>
  <si>
    <t>Goodwill</t>
  </si>
  <si>
    <t>Intangible ass</t>
  </si>
  <si>
    <t>Other</t>
  </si>
  <si>
    <t>TA</t>
  </si>
  <si>
    <t>Q123</t>
  </si>
  <si>
    <t>Q223</t>
  </si>
  <si>
    <t>Q323</t>
  </si>
  <si>
    <t>Q423</t>
  </si>
  <si>
    <t>Q124</t>
  </si>
  <si>
    <t>Q224</t>
  </si>
  <si>
    <t>Q324</t>
  </si>
  <si>
    <t>Q424</t>
  </si>
  <si>
    <t>TL + E</t>
  </si>
  <si>
    <t>E</t>
  </si>
  <si>
    <t>Short term borrowings</t>
  </si>
  <si>
    <t>Current debt</t>
  </si>
  <si>
    <t>Trade A/P</t>
  </si>
  <si>
    <t>Other accrued</t>
  </si>
  <si>
    <t>LTD</t>
  </si>
  <si>
    <t>Deferred taxes</t>
  </si>
  <si>
    <t>OLTL</t>
  </si>
  <si>
    <t xml:space="preserve">Net Cash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</si>
</sst>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8">
    <font>
      <sz val="10"/>
      <color theme="1"/>
      <name val="IntelClear-Regular"/>
      <family val="2"/>
    </font>
    <font>
      <b/>
      <sz val="10"/>
      <color theme="1"/>
      <name val="IntelClear-Regular"/>
    </font>
    <font>
      <b/>
      <u/>
      <sz val="10"/>
      <color theme="1"/>
      <name val="IntelClear-Regular"/>
    </font>
    <font>
      <sz val="10"/>
      <color theme="1"/>
      <name val="IntelClear-Regular"/>
    </font>
    <font>
      <u/>
      <sz val="10"/>
      <color theme="10"/>
      <name val="IntelClear-Regular"/>
      <family val="2"/>
    </font>
    <font>
      <sz val="10"/>
      <color rgb="FF000000"/>
      <name val="Tahoma"/>
      <family val="2"/>
    </font>
    <font>
      <b/>
      <sz val="10"/>
      <color rgb="FF000000"/>
      <name val="Tahoma"/>
      <family val="2"/>
    </font>
    <font>
      <b/>
      <sz val="10"/>
      <color rgb="FF0432FF"/>
      <name val="IntelClear-Regula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indexed="64"/>
      </right>
      <top style="thin">
        <color theme="0"/>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3" fontId="0" fillId="0" borderId="0" xfId="0" applyNumberFormat="1"/>
    <xf numFmtId="4" fontId="0" fillId="0" borderId="0" xfId="0" applyNumberFormat="1"/>
    <xf numFmtId="3" fontId="0" fillId="0" borderId="0" xfId="0" applyNumberFormat="1" applyAlignment="1">
      <alignment horizontal="left"/>
    </xf>
    <xf numFmtId="1" fontId="0" fillId="0" borderId="0" xfId="0" applyNumberFormat="1" applyAlignment="1">
      <alignment horizontal="left"/>
    </xf>
    <xf numFmtId="3" fontId="1" fillId="0" borderId="0" xfId="0" applyNumberFormat="1" applyFont="1" applyAlignment="1">
      <alignment horizontal="left"/>
    </xf>
    <xf numFmtId="9" fontId="2" fillId="0" borderId="0" xfId="0" applyNumberFormat="1" applyFont="1" applyAlignment="1">
      <alignment horizontal="left"/>
    </xf>
    <xf numFmtId="9" fontId="0" fillId="0" borderId="0" xfId="0" applyNumberFormat="1" applyAlignment="1">
      <alignment horizontal="left"/>
    </xf>
    <xf numFmtId="3" fontId="3" fillId="0" borderId="0" xfId="0" applyNumberFormat="1" applyFont="1" applyAlignment="1">
      <alignment horizontal="left"/>
    </xf>
    <xf numFmtId="2" fontId="3" fillId="0" borderId="0" xfId="0" applyNumberFormat="1" applyFont="1" applyAlignment="1">
      <alignment horizontal="left"/>
    </xf>
    <xf numFmtId="9" fontId="3" fillId="0" borderId="0" xfId="0" applyNumberFormat="1" applyFont="1" applyAlignment="1">
      <alignment horizontal="left"/>
    </xf>
    <xf numFmtId="164" fontId="0" fillId="0" borderId="0" xfId="0" applyNumberFormat="1" applyAlignment="1">
      <alignment horizontal="left"/>
    </xf>
    <xf numFmtId="9" fontId="0" fillId="0" borderId="2" xfId="0" applyNumberFormat="1" applyBorder="1" applyAlignment="1">
      <alignment horizontal="left"/>
    </xf>
    <xf numFmtId="9" fontId="0" fillId="0" borderId="3" xfId="0" applyNumberFormat="1" applyBorder="1" applyAlignment="1">
      <alignment horizontal="left"/>
    </xf>
    <xf numFmtId="9" fontId="0" fillId="0" borderId="4" xfId="0" applyNumberFormat="1" applyBorder="1" applyAlignment="1">
      <alignment horizontal="left"/>
    </xf>
    <xf numFmtId="9" fontId="0" fillId="0" borderId="5" xfId="0" applyNumberFormat="1" applyBorder="1" applyAlignment="1">
      <alignment horizontal="left"/>
    </xf>
    <xf numFmtId="9" fontId="0" fillId="0" borderId="1" xfId="0" applyNumberFormat="1" applyBorder="1" applyAlignment="1">
      <alignment horizontal="left"/>
    </xf>
    <xf numFmtId="9" fontId="0" fillId="0" borderId="6" xfId="0" applyNumberFormat="1" applyBorder="1" applyAlignment="1">
      <alignment horizontal="left"/>
    </xf>
    <xf numFmtId="8" fontId="0" fillId="0" borderId="1" xfId="0" applyNumberFormat="1" applyBorder="1" applyAlignment="1">
      <alignment horizontal="left"/>
    </xf>
    <xf numFmtId="8" fontId="0" fillId="0" borderId="6" xfId="0" applyNumberFormat="1" applyBorder="1" applyAlignment="1">
      <alignment horizontal="left"/>
    </xf>
    <xf numFmtId="3" fontId="0" fillId="0" borderId="1" xfId="0" applyNumberFormat="1" applyBorder="1" applyAlignment="1">
      <alignment horizontal="left"/>
    </xf>
    <xf numFmtId="8" fontId="1" fillId="0" borderId="1" xfId="0" applyNumberFormat="1" applyFont="1" applyBorder="1" applyAlignment="1">
      <alignment horizontal="left"/>
    </xf>
    <xf numFmtId="8" fontId="1" fillId="0" borderId="6" xfId="0" applyNumberFormat="1" applyFont="1" applyBorder="1" applyAlignment="1">
      <alignment horizontal="left"/>
    </xf>
    <xf numFmtId="1" fontId="0" fillId="0" borderId="1" xfId="0" applyNumberFormat="1" applyBorder="1" applyAlignment="1">
      <alignment horizontal="left"/>
    </xf>
    <xf numFmtId="9" fontId="1" fillId="0" borderId="5" xfId="0" applyNumberFormat="1" applyFont="1" applyBorder="1" applyAlignment="1">
      <alignment horizontal="left"/>
    </xf>
    <xf numFmtId="1" fontId="1" fillId="0" borderId="1" xfId="0" applyNumberFormat="1" applyFont="1" applyBorder="1" applyAlignment="1">
      <alignment horizontal="left"/>
    </xf>
    <xf numFmtId="3" fontId="1" fillId="0" borderId="1" xfId="0" applyNumberFormat="1" applyFont="1" applyBorder="1" applyAlignment="1">
      <alignment horizontal="left"/>
    </xf>
    <xf numFmtId="3" fontId="1" fillId="0" borderId="6" xfId="0" applyNumberFormat="1" applyFont="1" applyBorder="1" applyAlignment="1">
      <alignment horizontal="left"/>
    </xf>
    <xf numFmtId="3" fontId="0" fillId="0" borderId="5" xfId="0" applyNumberFormat="1" applyBorder="1" applyAlignment="1">
      <alignment horizontal="left"/>
    </xf>
    <xf numFmtId="3" fontId="0" fillId="0" borderId="6" xfId="0" applyNumberFormat="1" applyBorder="1" applyAlignment="1">
      <alignment horizontal="left"/>
    </xf>
    <xf numFmtId="3" fontId="0" fillId="0" borderId="7" xfId="0" applyNumberFormat="1" applyBorder="1" applyAlignment="1">
      <alignment horizontal="left"/>
    </xf>
    <xf numFmtId="9" fontId="0" fillId="0" borderId="8" xfId="0" applyNumberFormat="1" applyBorder="1" applyAlignment="1">
      <alignment horizontal="left"/>
    </xf>
    <xf numFmtId="3" fontId="0" fillId="0" borderId="8" xfId="0" applyNumberFormat="1" applyBorder="1" applyAlignment="1">
      <alignment horizontal="left"/>
    </xf>
    <xf numFmtId="3" fontId="0" fillId="0" borderId="9" xfId="0" applyNumberFormat="1" applyBorder="1" applyAlignment="1">
      <alignment horizontal="left"/>
    </xf>
    <xf numFmtId="9" fontId="7" fillId="0" borderId="1" xfId="0" applyNumberFormat="1" applyFont="1" applyBorder="1" applyAlignment="1">
      <alignment horizontal="left"/>
    </xf>
    <xf numFmtId="9" fontId="7" fillId="0" borderId="6" xfId="0" applyNumberFormat="1" applyFont="1" applyBorder="1" applyAlignment="1">
      <alignment horizontal="left"/>
    </xf>
    <xf numFmtId="14" fontId="0" fillId="0" borderId="0" xfId="0" applyNumberFormat="1" applyAlignment="1">
      <alignment horizontal="left"/>
    </xf>
    <xf numFmtId="14" fontId="4" fillId="0" borderId="0" xfId="1" applyNumberFormat="1" applyAlignment="1">
      <alignment horizontal="left"/>
    </xf>
    <xf numFmtId="4" fontId="0" fillId="0" borderId="0" xfId="0" applyNumberFormat="1" applyAlignment="1">
      <alignment horizontal="left"/>
    </xf>
    <xf numFmtId="9" fontId="1" fillId="0" borderId="0" xfId="0" applyNumberFormat="1" applyFont="1" applyAlignment="1">
      <alignment horizontal="left"/>
    </xf>
    <xf numFmtId="1" fontId="0" fillId="0" borderId="0" xfId="0" applyNumberFormat="1"/>
    <xf numFmtId="3" fontId="0" fillId="0" borderId="0" xfId="0" applyNumberFormat="1" applyFill="1" applyAlignment="1">
      <alignment horizontal="left"/>
    </xf>
    <xf numFmtId="3" fontId="1" fillId="0" borderId="0" xfId="0" applyNumberFormat="1" applyFont="1" applyFill="1" applyAlignment="1">
      <alignment horizontal="left"/>
    </xf>
    <xf numFmtId="3" fontId="3" fillId="0" borderId="0" xfId="0" applyNumberFormat="1" applyFont="1" applyFill="1" applyAlignment="1">
      <alignment horizontal="left"/>
    </xf>
    <xf numFmtId="2" fontId="3" fillId="0" borderId="0" xfId="0" applyNumberFormat="1" applyFont="1" applyFill="1" applyAlignment="1">
      <alignment horizontal="left"/>
    </xf>
    <xf numFmtId="9" fontId="0" fillId="0" borderId="0" xfId="0" applyNumberFormat="1" applyFill="1" applyAlignment="1">
      <alignment horizontal="left"/>
    </xf>
    <xf numFmtId="3" fontId="1" fillId="0" borderId="10" xfId="0" applyNumberFormat="1" applyFont="1" applyBorder="1" applyAlignment="1">
      <alignment horizontal="left"/>
    </xf>
    <xf numFmtId="3" fontId="1" fillId="0" borderId="11" xfId="0" applyNumberFormat="1" applyFont="1" applyBorder="1" applyAlignment="1">
      <alignment horizontal="left"/>
    </xf>
    <xf numFmtId="3" fontId="1" fillId="0" borderId="12" xfId="0" applyNumberFormat="1" applyFont="1" applyBorder="1" applyAlignment="1">
      <alignment horizontal="left"/>
    </xf>
    <xf numFmtId="14" fontId="0" fillId="0" borderId="0" xfId="0" applyNumberFormat="1" applyFill="1" applyAlignment="1">
      <alignment horizontal="left"/>
    </xf>
    <xf numFmtId="164" fontId="0" fillId="2" borderId="0" xfId="0" applyNumberForma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488462</xdr:colOff>
      <xdr:row>0</xdr:row>
      <xdr:rowOff>24423</xdr:rowOff>
    </xdr:from>
    <xdr:to>
      <xdr:col>19</xdr:col>
      <xdr:colOff>16282</xdr:colOff>
      <xdr:row>75</xdr:row>
      <xdr:rowOff>97693</xdr:rowOff>
    </xdr:to>
    <xdr:cxnSp macro="">
      <xdr:nvCxnSpPr>
        <xdr:cNvPr id="3" name="Straight Connector 2">
          <a:extLst>
            <a:ext uri="{FF2B5EF4-FFF2-40B4-BE49-F238E27FC236}">
              <a16:creationId xmlns:a16="http://schemas.microsoft.com/office/drawing/2014/main" id="{2404E0D0-566E-A673-A615-CB1928CC6139}"/>
            </a:ext>
          </a:extLst>
        </xdr:cNvPr>
        <xdr:cNvCxnSpPr/>
      </xdr:nvCxnSpPr>
      <xdr:spPr>
        <a:xfrm flipH="1">
          <a:off x="9752949" y="24423"/>
          <a:ext cx="32564" cy="1350596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5772</xdr:colOff>
      <xdr:row>1</xdr:row>
      <xdr:rowOff>0</xdr:rowOff>
    </xdr:from>
    <xdr:to>
      <xdr:col>40</xdr:col>
      <xdr:colOff>11545</xdr:colOff>
      <xdr:row>87</xdr:row>
      <xdr:rowOff>161637</xdr:rowOff>
    </xdr:to>
    <xdr:cxnSp macro="">
      <xdr:nvCxnSpPr>
        <xdr:cNvPr id="4" name="Straight Connector 3">
          <a:extLst>
            <a:ext uri="{FF2B5EF4-FFF2-40B4-BE49-F238E27FC236}">
              <a16:creationId xmlns:a16="http://schemas.microsoft.com/office/drawing/2014/main" id="{42D616A1-C7EB-BC4C-943C-F5EF7F5B5542}"/>
            </a:ext>
          </a:extLst>
        </xdr:cNvPr>
        <xdr:cNvCxnSpPr/>
      </xdr:nvCxnSpPr>
      <xdr:spPr>
        <a:xfrm>
          <a:off x="16307954" y="0"/>
          <a:ext cx="5773" cy="15228455"/>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 id="{90A221D7-86CF-894E-8937-798AC5158EBE}" userId="jameel"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0" dT="2024-03-24T03:27:33.03" personId="{90A221D7-86CF-894E-8937-798AC5158EBE}" id="{EB66CE44-071C-1241-A891-360CED981FC3}">
    <text>Pricing?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ir.mccormick.com/news-releases/news-release-details/mccormick-reports-third-quarter-performance-and-reaffirms-2022" TargetMode="External"/><Relationship Id="rId1" Type="http://schemas.openxmlformats.org/officeDocument/2006/relationships/hyperlink" Target="https://ir.mccormick.com/news-releases/news-release-details/mccormick-announces-lisa-manzones-plan-retir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EFDA-0EC5-6945-B883-72090DEF022B}">
  <dimension ref="B2:DR53"/>
  <sheetViews>
    <sheetView tabSelected="1" topLeftCell="B1" zoomScale="120" zoomScaleNormal="120" workbookViewId="0">
      <pane xSplit="2" ySplit="3" topLeftCell="S4" activePane="bottomRight" state="frozen"/>
      <selection activeCell="B1" sqref="B1"/>
      <selection pane="topRight" activeCell="D1" sqref="D1"/>
      <selection pane="bottomLeft" activeCell="B3" sqref="B3"/>
      <selection pane="bottomRight" activeCell="AA20" sqref="AA20"/>
    </sheetView>
  </sheetViews>
  <sheetFormatPr baseColWidth="10" defaultRowHeight="14"/>
  <cols>
    <col min="1" max="1" width="10.83203125" style="3"/>
    <col min="2" max="2" width="2.33203125" style="3" customWidth="1"/>
    <col min="3" max="3" width="18.6640625" style="3" bestFit="1" customWidth="1"/>
    <col min="4" max="13" width="6.1640625" style="3" bestFit="1" customWidth="1"/>
    <col min="14" max="15" width="6.6640625" style="3" bestFit="1" customWidth="1"/>
    <col min="16" max="19" width="6.6640625" style="41" bestFit="1" customWidth="1"/>
    <col min="20" max="20" width="7.6640625" style="41" bestFit="1" customWidth="1"/>
    <col min="21" max="23" width="5.5" style="41" bestFit="1" customWidth="1"/>
    <col min="24" max="24" width="5.83203125" style="3" customWidth="1"/>
    <col min="25" max="25" width="5.6640625" style="3" customWidth="1"/>
    <col min="26" max="28" width="5.33203125" style="3" bestFit="1" customWidth="1"/>
    <col min="29" max="52" width="5.6640625" style="3" bestFit="1" customWidth="1"/>
    <col min="53" max="53" width="7.83203125" style="3" bestFit="1" customWidth="1"/>
    <col min="54" max="54" width="10.6640625" style="3" bestFit="1" customWidth="1"/>
    <col min="55" max="122" width="5.6640625" style="3" bestFit="1" customWidth="1"/>
    <col min="123" max="16384" width="10.83203125" style="3"/>
  </cols>
  <sheetData>
    <row r="2" spans="3:50">
      <c r="T2" s="49">
        <v>46104</v>
      </c>
    </row>
    <row r="3" spans="3:50">
      <c r="D3" s="3" t="s">
        <v>32</v>
      </c>
      <c r="E3" s="3" t="s">
        <v>33</v>
      </c>
      <c r="F3" s="3" t="s">
        <v>34</v>
      </c>
      <c r="G3" s="3" t="s">
        <v>35</v>
      </c>
      <c r="H3" s="3" t="s">
        <v>0</v>
      </c>
      <c r="I3" s="3" t="s">
        <v>2</v>
      </c>
      <c r="J3" s="3" t="s">
        <v>3</v>
      </c>
      <c r="K3" s="3" t="s">
        <v>4</v>
      </c>
      <c r="L3" s="3" t="s">
        <v>5</v>
      </c>
      <c r="M3" s="3" t="s">
        <v>1</v>
      </c>
      <c r="N3" s="3" t="s">
        <v>6</v>
      </c>
      <c r="O3" s="3" t="s">
        <v>7</v>
      </c>
      <c r="P3" s="41" t="s">
        <v>61</v>
      </c>
      <c r="Q3" s="41" t="s">
        <v>62</v>
      </c>
      <c r="R3" s="41" t="s">
        <v>63</v>
      </c>
      <c r="S3" s="41" t="s">
        <v>64</v>
      </c>
      <c r="T3" s="41" t="s">
        <v>65</v>
      </c>
      <c r="U3" s="41" t="s">
        <v>66</v>
      </c>
      <c r="V3" s="41" t="s">
        <v>67</v>
      </c>
      <c r="W3" s="41" t="s">
        <v>68</v>
      </c>
      <c r="Z3" s="4">
        <v>2009</v>
      </c>
      <c r="AA3" s="4">
        <f>+Z3+1</f>
        <v>2010</v>
      </c>
      <c r="AB3" s="4">
        <f t="shared" ref="AB3:AE3" si="0">+AA3+1</f>
        <v>2011</v>
      </c>
      <c r="AC3" s="4">
        <f t="shared" si="0"/>
        <v>2012</v>
      </c>
      <c r="AD3" s="4">
        <f t="shared" si="0"/>
        <v>2013</v>
      </c>
      <c r="AE3" s="4">
        <f t="shared" si="0"/>
        <v>2014</v>
      </c>
      <c r="AF3" s="4">
        <v>2015</v>
      </c>
      <c r="AG3" s="4">
        <f>+AF3+1</f>
        <v>2016</v>
      </c>
      <c r="AH3" s="4">
        <f t="shared" ref="AH3:AX3" si="1">+AG3+1</f>
        <v>2017</v>
      </c>
      <c r="AI3" s="4">
        <f t="shared" si="1"/>
        <v>2018</v>
      </c>
      <c r="AJ3" s="4">
        <f t="shared" si="1"/>
        <v>2019</v>
      </c>
      <c r="AK3" s="4">
        <f t="shared" si="1"/>
        <v>2020</v>
      </c>
      <c r="AL3" s="4">
        <f t="shared" si="1"/>
        <v>2021</v>
      </c>
      <c r="AM3" s="4">
        <f t="shared" si="1"/>
        <v>2022</v>
      </c>
      <c r="AN3" s="4">
        <f t="shared" si="1"/>
        <v>2023</v>
      </c>
      <c r="AO3" s="4">
        <f t="shared" si="1"/>
        <v>2024</v>
      </c>
      <c r="AP3" s="4">
        <f t="shared" si="1"/>
        <v>2025</v>
      </c>
      <c r="AQ3" s="4">
        <f t="shared" si="1"/>
        <v>2026</v>
      </c>
      <c r="AR3" s="4">
        <f t="shared" si="1"/>
        <v>2027</v>
      </c>
      <c r="AS3" s="4">
        <f t="shared" si="1"/>
        <v>2028</v>
      </c>
      <c r="AT3" s="4">
        <f t="shared" si="1"/>
        <v>2029</v>
      </c>
      <c r="AU3" s="4">
        <f t="shared" si="1"/>
        <v>2030</v>
      </c>
      <c r="AV3" s="4">
        <f t="shared" si="1"/>
        <v>2031</v>
      </c>
      <c r="AW3" s="4">
        <f t="shared" si="1"/>
        <v>2032</v>
      </c>
      <c r="AX3" s="4">
        <f t="shared" si="1"/>
        <v>2033</v>
      </c>
    </row>
    <row r="4" spans="3:50">
      <c r="AF4" s="4"/>
      <c r="AG4" s="4"/>
      <c r="AH4" s="4"/>
      <c r="AI4" s="4"/>
      <c r="AJ4" s="4"/>
      <c r="AK4" s="4"/>
      <c r="AL4" s="4"/>
      <c r="AM4" s="4"/>
      <c r="AN4" s="4"/>
      <c r="AO4" s="4"/>
      <c r="AP4" s="4"/>
      <c r="AQ4" s="4"/>
      <c r="AR4" s="4"/>
      <c r="AS4" s="4"/>
      <c r="AT4" s="4"/>
      <c r="AU4" s="4"/>
      <c r="AV4" s="4"/>
      <c r="AW4" s="4"/>
      <c r="AX4" s="4"/>
    </row>
    <row r="5" spans="3:50">
      <c r="AF5" s="4"/>
      <c r="AG5" s="4"/>
      <c r="AH5" s="4"/>
      <c r="AI5" s="4"/>
      <c r="AJ5" s="4"/>
      <c r="AK5" s="4"/>
      <c r="AL5" s="4"/>
      <c r="AM5" s="4"/>
      <c r="AN5" s="4"/>
      <c r="AO5" s="4"/>
      <c r="AP5" s="4"/>
      <c r="AQ5" s="4"/>
      <c r="AR5" s="4"/>
      <c r="AS5" s="4"/>
      <c r="AT5" s="4"/>
      <c r="AU5" s="4"/>
      <c r="AV5" s="4"/>
      <c r="AW5" s="4"/>
      <c r="AX5" s="4"/>
    </row>
    <row r="6" spans="3:50">
      <c r="AF6" s="4"/>
      <c r="AG6" s="4"/>
      <c r="AH6" s="4"/>
      <c r="AI6" s="4"/>
      <c r="AJ6" s="4"/>
      <c r="AK6" s="4"/>
      <c r="AL6" s="4"/>
      <c r="AM6" s="4"/>
      <c r="AN6" s="4"/>
      <c r="AO6" s="4"/>
      <c r="AP6" s="4"/>
      <c r="AQ6" s="4"/>
      <c r="AR6" s="4"/>
      <c r="AS6" s="4"/>
      <c r="AT6" s="4"/>
      <c r="AU6" s="4"/>
      <c r="AV6" s="4"/>
      <c r="AW6" s="4"/>
      <c r="AX6" s="4"/>
    </row>
    <row r="7" spans="3:50">
      <c r="AF7" s="4"/>
      <c r="AG7" s="4"/>
      <c r="AH7" s="4"/>
      <c r="AI7" s="4"/>
      <c r="AJ7" s="4"/>
      <c r="AK7" s="4"/>
      <c r="AL7" s="4"/>
      <c r="AM7" s="4"/>
      <c r="AN7" s="4"/>
      <c r="AO7" s="4"/>
      <c r="AP7" s="4"/>
      <c r="AQ7" s="4"/>
      <c r="AR7" s="4"/>
      <c r="AS7" s="4"/>
      <c r="AT7" s="4"/>
      <c r="AU7" s="4"/>
      <c r="AV7" s="4"/>
      <c r="AW7" s="4"/>
      <c r="AX7" s="4"/>
    </row>
    <row r="8" spans="3:50" s="5" customFormat="1">
      <c r="C8" s="5" t="s">
        <v>8</v>
      </c>
      <c r="D8" s="5">
        <v>1212</v>
      </c>
      <c r="E8" s="5">
        <v>1401.1</v>
      </c>
      <c r="F8" s="5">
        <v>1430.3</v>
      </c>
      <c r="G8" s="5">
        <f>+AK8-SUM(D8:F8)</f>
        <v>1557.9000000000005</v>
      </c>
      <c r="H8" s="5">
        <v>1481.5</v>
      </c>
      <c r="I8" s="5">
        <v>1556.7</v>
      </c>
      <c r="J8" s="5">
        <v>1549.4</v>
      </c>
      <c r="K8" s="5">
        <f>+AL8-SUM(H8:J8)</f>
        <v>1730.2999999999993</v>
      </c>
      <c r="L8" s="5">
        <v>1522.4</v>
      </c>
      <c r="M8" s="5">
        <v>1536.8</v>
      </c>
      <c r="N8" s="5">
        <v>1595</v>
      </c>
      <c r="O8" s="5">
        <f>+AM8-SUM(L8:N8)</f>
        <v>1696.3000000000002</v>
      </c>
      <c r="P8" s="42">
        <v>1565.5</v>
      </c>
      <c r="Q8" s="42">
        <v>1659.2</v>
      </c>
      <c r="R8" s="42">
        <v>1684.7</v>
      </c>
      <c r="S8" s="42">
        <f>+AN8-SUM(P8:R8)</f>
        <v>1752.8000000000002</v>
      </c>
      <c r="T8" s="42"/>
      <c r="U8" s="42"/>
      <c r="V8" s="42"/>
      <c r="W8" s="42"/>
      <c r="AC8" s="5">
        <v>4014.4</v>
      </c>
      <c r="AD8" s="5">
        <v>4123.3999999999996</v>
      </c>
      <c r="AE8" s="5">
        <v>4243.2</v>
      </c>
      <c r="AF8" s="5">
        <v>4296.3</v>
      </c>
      <c r="AG8" s="5">
        <v>4313.8999999999996</v>
      </c>
      <c r="AH8" s="5">
        <v>4730.3</v>
      </c>
      <c r="AI8" s="5">
        <v>5302.8</v>
      </c>
      <c r="AJ8" s="5">
        <v>5347.4</v>
      </c>
      <c r="AK8" s="5">
        <v>5601.3</v>
      </c>
      <c r="AL8" s="5">
        <v>6317.9</v>
      </c>
      <c r="AM8" s="5">
        <v>6350.5</v>
      </c>
      <c r="AN8" s="5">
        <v>6662.2</v>
      </c>
      <c r="AO8" s="5">
        <f t="shared" ref="AO8:AX8" si="2">+AN8*(1+AO25)</f>
        <v>6895.3769999999995</v>
      </c>
      <c r="AP8" s="5">
        <f>+AO8*(1+AP25)</f>
        <v>7136.7151949999989</v>
      </c>
      <c r="AQ8" s="5">
        <f>+AP8*(1+AQ25)</f>
        <v>7386.5002268249982</v>
      </c>
      <c r="AR8" s="5">
        <f>+AQ8*(1+AR25)</f>
        <v>7645.0277347638721</v>
      </c>
      <c r="AS8" s="5">
        <f t="shared" si="2"/>
        <v>7912.6037054806075</v>
      </c>
      <c r="AT8" s="5">
        <f t="shared" si="2"/>
        <v>8189.5448351724281</v>
      </c>
      <c r="AU8" s="5">
        <f t="shared" si="2"/>
        <v>8476.1789044034631</v>
      </c>
      <c r="AV8" s="5">
        <f t="shared" si="2"/>
        <v>8772.8451660575829</v>
      </c>
      <c r="AW8" s="5">
        <f t="shared" si="2"/>
        <v>9079.8947468695969</v>
      </c>
      <c r="AX8" s="5">
        <f t="shared" si="2"/>
        <v>9397.6910630100319</v>
      </c>
    </row>
    <row r="9" spans="3:50" s="8" customFormat="1">
      <c r="C9" s="8" t="s">
        <v>9</v>
      </c>
      <c r="D9" s="8">
        <v>742.1</v>
      </c>
      <c r="E9" s="8">
        <v>821.6</v>
      </c>
      <c r="F9" s="8">
        <v>840</v>
      </c>
      <c r="G9" s="8">
        <f>+AK9-SUM(D9:F9)</f>
        <v>897.20000000000027</v>
      </c>
      <c r="H9" s="8">
        <v>904</v>
      </c>
      <c r="I9" s="8">
        <v>942.1</v>
      </c>
      <c r="J9" s="8">
        <v>949.8</v>
      </c>
      <c r="K9" s="8">
        <f>+AL9-SUM(H9:J9)</f>
        <v>1027.4000000000005</v>
      </c>
      <c r="L9" s="8">
        <v>962</v>
      </c>
      <c r="M9" s="8">
        <v>1013.8</v>
      </c>
      <c r="N9" s="8">
        <v>1028.9000000000001</v>
      </c>
      <c r="O9" s="8">
        <f>+AM9-SUM(L9:N9)</f>
        <v>1071.3000000000002</v>
      </c>
      <c r="P9" s="8">
        <v>1002.6</v>
      </c>
      <c r="Q9" s="8">
        <v>1043.7</v>
      </c>
      <c r="R9" s="8">
        <v>1061.9000000000001</v>
      </c>
      <c r="S9" s="43">
        <f>+AN9-SUM(P9:R9)</f>
        <v>1051.4999999999995</v>
      </c>
      <c r="T9" s="43"/>
      <c r="U9" s="43"/>
      <c r="V9" s="43"/>
      <c r="W9" s="43"/>
      <c r="AJ9" s="8">
        <v>3202.1</v>
      </c>
      <c r="AK9" s="8">
        <v>3300.9</v>
      </c>
      <c r="AL9" s="8">
        <v>3823.3</v>
      </c>
      <c r="AM9" s="8">
        <v>4076</v>
      </c>
      <c r="AN9" s="8">
        <v>4159.7</v>
      </c>
      <c r="AO9" s="8">
        <f>+AO8*(AO26)</f>
        <v>4305.2894999999999</v>
      </c>
      <c r="AP9" s="8">
        <f t="shared" ref="AP9:AV9" si="3">+AP8*(AP26)</f>
        <v>4455.9746324999996</v>
      </c>
      <c r="AQ9" s="8">
        <f t="shared" si="3"/>
        <v>4611.9337446374993</v>
      </c>
      <c r="AR9" s="8">
        <f t="shared" si="3"/>
        <v>4773.3514256998105</v>
      </c>
      <c r="AS9" s="8">
        <f t="shared" si="3"/>
        <v>4940.4187255993038</v>
      </c>
      <c r="AT9" s="8">
        <f t="shared" si="3"/>
        <v>5113.3333809952792</v>
      </c>
      <c r="AU9" s="8">
        <f t="shared" si="3"/>
        <v>5292.3000493301142</v>
      </c>
      <c r="AV9" s="8">
        <f t="shared" si="3"/>
        <v>5477.5305510566668</v>
      </c>
      <c r="AW9" s="8">
        <f t="shared" ref="AW9:AX9" si="4">+AW8*(AW26)</f>
        <v>5669.2441203436492</v>
      </c>
      <c r="AX9" s="8">
        <f t="shared" si="4"/>
        <v>5867.6676645556772</v>
      </c>
    </row>
    <row r="10" spans="3:50" s="8" customFormat="1">
      <c r="C10" s="8" t="s">
        <v>10</v>
      </c>
      <c r="D10" s="8">
        <f>+D8-D9</f>
        <v>469.9</v>
      </c>
      <c r="E10" s="8">
        <f>+E8-E9</f>
        <v>579.49999999999989</v>
      </c>
      <c r="F10" s="8">
        <f>+F8-F9</f>
        <v>590.29999999999995</v>
      </c>
      <c r="G10" s="8">
        <f>+AK10-SUM(D10:F10)</f>
        <v>660.70000000000027</v>
      </c>
      <c r="H10" s="8">
        <f>+H8-H9</f>
        <v>577.5</v>
      </c>
      <c r="I10" s="8">
        <f>+I8-I9</f>
        <v>614.6</v>
      </c>
      <c r="J10" s="8">
        <f>+J8-J9</f>
        <v>599.60000000000014</v>
      </c>
      <c r="K10" s="8">
        <f>+AL10-SUM(H10:J10)</f>
        <v>702.89999999999941</v>
      </c>
      <c r="L10" s="8">
        <f>+L8-L9</f>
        <v>560.40000000000009</v>
      </c>
      <c r="M10" s="8">
        <f>+M8-M9</f>
        <v>523</v>
      </c>
      <c r="N10" s="8">
        <f>+N8-N9</f>
        <v>566.09999999999991</v>
      </c>
      <c r="O10" s="8">
        <f>+O8-O9</f>
        <v>625</v>
      </c>
      <c r="P10" s="8">
        <f>+P8-P9</f>
        <v>562.9</v>
      </c>
      <c r="Q10" s="8">
        <f>+Q8-Q9</f>
        <v>615.5</v>
      </c>
      <c r="R10" s="8">
        <f>+R8-R9</f>
        <v>622.79999999999995</v>
      </c>
      <c r="S10" s="8">
        <f>+S8-S9</f>
        <v>701.30000000000064</v>
      </c>
      <c r="T10" s="43"/>
      <c r="U10" s="43"/>
      <c r="V10" s="43"/>
      <c r="W10" s="43"/>
      <c r="AJ10" s="8">
        <f>+AJ8-AJ9</f>
        <v>2145.2999999999997</v>
      </c>
      <c r="AK10" s="8">
        <f>+AK8-AK9</f>
        <v>2300.4</v>
      </c>
      <c r="AL10" s="8">
        <f>+AL8-AL9</f>
        <v>2494.5999999999995</v>
      </c>
      <c r="AM10" s="8">
        <f>+AM8-AM9</f>
        <v>2274.5</v>
      </c>
      <c r="AN10" s="8">
        <f>+AN8-AN9</f>
        <v>2502.5</v>
      </c>
      <c r="AO10" s="8">
        <f t="shared" ref="AO10:AV10" si="5">+AO8-AO9</f>
        <v>2590.0874999999996</v>
      </c>
      <c r="AP10" s="8">
        <f t="shared" si="5"/>
        <v>2680.7405624999992</v>
      </c>
      <c r="AQ10" s="8">
        <f t="shared" si="5"/>
        <v>2774.5664821874989</v>
      </c>
      <c r="AR10" s="8">
        <f t="shared" si="5"/>
        <v>2871.6763090640616</v>
      </c>
      <c r="AS10" s="8">
        <f t="shared" si="5"/>
        <v>2972.1849798813037</v>
      </c>
      <c r="AT10" s="8">
        <f t="shared" si="5"/>
        <v>3076.2114541771489</v>
      </c>
      <c r="AU10" s="8">
        <f t="shared" si="5"/>
        <v>3183.8788550733489</v>
      </c>
      <c r="AV10" s="8">
        <f t="shared" si="5"/>
        <v>3295.3146150009161</v>
      </c>
      <c r="AW10" s="8">
        <f t="shared" ref="AW10:AX10" si="6">+AW8-AW9</f>
        <v>3410.6506265259477</v>
      </c>
      <c r="AX10" s="8">
        <f t="shared" si="6"/>
        <v>3530.0233984543547</v>
      </c>
    </row>
    <row r="11" spans="3:50" s="8" customFormat="1">
      <c r="C11" s="8" t="s">
        <v>11</v>
      </c>
      <c r="D11" s="8">
        <v>274.7</v>
      </c>
      <c r="E11" s="8">
        <v>319.2</v>
      </c>
      <c r="F11" s="8">
        <v>317.2</v>
      </c>
      <c r="G11" s="8">
        <f>+AK11-SUM(D11:F11)</f>
        <v>370.5</v>
      </c>
      <c r="H11" s="8">
        <v>321.3</v>
      </c>
      <c r="I11" s="8">
        <v>356.6</v>
      </c>
      <c r="J11" s="8">
        <v>327.3</v>
      </c>
      <c r="K11" s="8">
        <f>+AL11-SUM(H11:J11)</f>
        <v>398.89999999999986</v>
      </c>
      <c r="L11" s="8">
        <v>333.3</v>
      </c>
      <c r="M11" s="8">
        <v>349.2</v>
      </c>
      <c r="N11" s="8">
        <v>328.1</v>
      </c>
      <c r="O11" s="8">
        <f>+AM11-SUM(L11:N11)</f>
        <v>346.49999999999989</v>
      </c>
      <c r="P11" s="8">
        <v>336.1</v>
      </c>
      <c r="Q11" s="8">
        <v>380.5</v>
      </c>
      <c r="R11" s="8">
        <v>371.7</v>
      </c>
      <c r="S11" s="43">
        <f>+AN11-SUM(P11:R11)</f>
        <v>390</v>
      </c>
      <c r="T11" s="43"/>
      <c r="U11" s="43"/>
      <c r="V11" s="43"/>
      <c r="W11" s="43"/>
      <c r="AJ11" s="8">
        <v>1166.8</v>
      </c>
      <c r="AK11" s="8">
        <v>1281.5999999999999</v>
      </c>
      <c r="AL11" s="8">
        <v>1404.1</v>
      </c>
      <c r="AM11" s="8">
        <v>1357.1</v>
      </c>
      <c r="AN11" s="8">
        <v>1478.3</v>
      </c>
      <c r="AO11" s="8">
        <f t="shared" ref="AO11:AV11" si="7">+AO8*AO27</f>
        <v>1530.0404999999998</v>
      </c>
      <c r="AP11" s="8">
        <f t="shared" si="7"/>
        <v>1583.5919174999997</v>
      </c>
      <c r="AQ11" s="8">
        <f t="shared" si="7"/>
        <v>1639.0176346124995</v>
      </c>
      <c r="AR11" s="8">
        <f t="shared" si="7"/>
        <v>1696.3832518239369</v>
      </c>
      <c r="AS11" s="8">
        <f t="shared" si="7"/>
        <v>1755.7566656377746</v>
      </c>
      <c r="AT11" s="8">
        <f t="shared" si="7"/>
        <v>1817.2081489350965</v>
      </c>
      <c r="AU11" s="8">
        <f t="shared" si="7"/>
        <v>1880.8104341478249</v>
      </c>
      <c r="AV11" s="8">
        <f t="shared" si="7"/>
        <v>1946.6387993429985</v>
      </c>
      <c r="AW11" s="8">
        <f t="shared" ref="AW11:AX11" si="8">+AW8*AW27</f>
        <v>2014.7711573200031</v>
      </c>
      <c r="AX11" s="8">
        <f t="shared" si="8"/>
        <v>2085.2881478262029</v>
      </c>
    </row>
    <row r="12" spans="3:50" s="8" customFormat="1">
      <c r="C12" s="8" t="s">
        <v>12</v>
      </c>
      <c r="S12" s="43"/>
      <c r="T12" s="43"/>
      <c r="U12" s="43"/>
      <c r="V12" s="43"/>
      <c r="W12" s="43"/>
      <c r="AJ12" s="8">
        <v>0</v>
      </c>
      <c r="AK12" s="8">
        <v>12.4</v>
      </c>
      <c r="AL12" s="8">
        <v>29</v>
      </c>
      <c r="AM12" s="8">
        <v>2.2000000000000002</v>
      </c>
      <c r="AN12" s="8">
        <v>0</v>
      </c>
    </row>
    <row r="13" spans="3:50" s="8" customFormat="1">
      <c r="C13" s="8" t="s">
        <v>13</v>
      </c>
      <c r="S13" s="43"/>
      <c r="T13" s="43"/>
      <c r="U13" s="43"/>
      <c r="V13" s="43"/>
      <c r="W13" s="43"/>
      <c r="AJ13" s="8">
        <v>20.8</v>
      </c>
      <c r="AK13" s="8">
        <v>6.9</v>
      </c>
      <c r="AL13" s="8">
        <v>46.4</v>
      </c>
      <c r="AM13" s="8">
        <v>51.6</v>
      </c>
      <c r="AN13" s="8">
        <v>61.2</v>
      </c>
    </row>
    <row r="14" spans="3:50" s="8" customFormat="1">
      <c r="C14" s="8" t="s">
        <v>14</v>
      </c>
      <c r="D14" s="8">
        <f>+D10-SUM(D11:D13)</f>
        <v>195.2</v>
      </c>
      <c r="E14" s="8">
        <f>+E10-SUM(E11:E13)</f>
        <v>260.2999999999999</v>
      </c>
      <c r="F14" s="8">
        <f>+F10-SUM(F11:F13)</f>
        <v>273.09999999999997</v>
      </c>
      <c r="G14" s="8">
        <f>+AK14-SUM(D14:F14)</f>
        <v>270.90000000000009</v>
      </c>
      <c r="H14" s="8">
        <f>+H10-SUM(H11:H13)</f>
        <v>256.2</v>
      </c>
      <c r="I14" s="8">
        <f>+I10-SUM(I11:I13)</f>
        <v>258</v>
      </c>
      <c r="J14" s="8">
        <f>+J10-SUM(J11:J13)</f>
        <v>272.30000000000013</v>
      </c>
      <c r="K14" s="8">
        <f>+AL14-SUM(H14:J14)</f>
        <v>228.59999999999923</v>
      </c>
      <c r="L14" s="8">
        <f>+L10-SUM(L11:L13)</f>
        <v>227.10000000000008</v>
      </c>
      <c r="M14" s="8">
        <f>+M10-SUM(M11:M13)</f>
        <v>173.8</v>
      </c>
      <c r="N14" s="8">
        <f>+N10-SUM(N11:N13)</f>
        <v>237.99999999999989</v>
      </c>
      <c r="O14" s="8">
        <f>+O10-SUM(O11:O13)</f>
        <v>278.50000000000011</v>
      </c>
      <c r="P14" s="8">
        <f>+P10-SUM(P11:P13)</f>
        <v>226.79999999999995</v>
      </c>
      <c r="Q14" s="8">
        <f>+Q10-SUM(Q11:Q13)</f>
        <v>235</v>
      </c>
      <c r="R14" s="8">
        <f>+R10-SUM(R11:R13)</f>
        <v>251.09999999999997</v>
      </c>
      <c r="S14" s="8">
        <f>+S10-SUM(S11:S13)</f>
        <v>311.30000000000064</v>
      </c>
      <c r="T14" s="43"/>
      <c r="U14" s="43"/>
      <c r="V14" s="43"/>
      <c r="W14" s="43"/>
      <c r="AC14" s="8">
        <v>578.29999999999995</v>
      </c>
      <c r="AD14" s="8">
        <v>550.5</v>
      </c>
      <c r="AE14" s="8">
        <v>603</v>
      </c>
      <c r="AF14" s="8">
        <v>548.4</v>
      </c>
      <c r="AG14" s="8">
        <v>649.4</v>
      </c>
      <c r="AH14" s="8">
        <v>699.8</v>
      </c>
      <c r="AI14" s="8">
        <v>891.1</v>
      </c>
      <c r="AJ14" s="8">
        <f>+AJ10-SUM(AJ11:AJ13)</f>
        <v>957.69999999999982</v>
      </c>
      <c r="AK14" s="8">
        <f>+AK10-SUM(AK11:AK13)</f>
        <v>999.5</v>
      </c>
      <c r="AL14" s="8">
        <f>+AL10-SUM(AL11:AL13)</f>
        <v>1015.0999999999995</v>
      </c>
      <c r="AM14" s="8">
        <f>+AM10-SUM(AM11:AM13)</f>
        <v>863.60000000000014</v>
      </c>
      <c r="AN14" s="8">
        <f>+AN10-SUM(AN11:AN13)</f>
        <v>963</v>
      </c>
      <c r="AO14" s="8">
        <f t="shared" ref="AO14:AV14" si="9">+AO10-SUM(AO11:AO13)</f>
        <v>1060.0469999999998</v>
      </c>
      <c r="AP14" s="8">
        <f t="shared" si="9"/>
        <v>1097.1486449999995</v>
      </c>
      <c r="AQ14" s="8">
        <f t="shared" si="9"/>
        <v>1135.5488475749994</v>
      </c>
      <c r="AR14" s="8">
        <f t="shared" si="9"/>
        <v>1175.2930572401247</v>
      </c>
      <c r="AS14" s="8">
        <f t="shared" si="9"/>
        <v>1216.428314243529</v>
      </c>
      <c r="AT14" s="8">
        <f t="shared" si="9"/>
        <v>1259.0033052420524</v>
      </c>
      <c r="AU14" s="8">
        <f t="shared" si="9"/>
        <v>1303.0684209255239</v>
      </c>
      <c r="AV14" s="8">
        <f t="shared" si="9"/>
        <v>1348.6758156579176</v>
      </c>
      <c r="AW14" s="8">
        <f t="shared" ref="AW14:AX14" si="10">+AW10-SUM(AW11:AW13)</f>
        <v>1395.8794692059446</v>
      </c>
      <c r="AX14" s="8">
        <f t="shared" si="10"/>
        <v>1444.7352506281518</v>
      </c>
    </row>
    <row r="15" spans="3:50" s="8" customFormat="1">
      <c r="C15" s="8" t="s">
        <v>15</v>
      </c>
      <c r="D15" s="8">
        <v>35.299999999999997</v>
      </c>
      <c r="E15" s="8">
        <v>34.1</v>
      </c>
      <c r="F15" s="8">
        <v>33.5</v>
      </c>
      <c r="G15" s="8">
        <f>+AK15-SUM(D15:F15)</f>
        <v>32.699999999999989</v>
      </c>
      <c r="H15" s="8">
        <v>33.799999999999997</v>
      </c>
      <c r="I15" s="8">
        <v>35.6</v>
      </c>
      <c r="J15" s="8">
        <v>33.9</v>
      </c>
      <c r="K15" s="8">
        <f>+AL15-SUM(H15:J15)</f>
        <v>33.299999999999983</v>
      </c>
      <c r="L15" s="8">
        <v>33.1</v>
      </c>
      <c r="M15" s="8">
        <v>33.700000000000003</v>
      </c>
      <c r="N15" s="8">
        <v>37.9</v>
      </c>
      <c r="O15" s="8">
        <f>+AM15-SUM(L15:N15)</f>
        <v>44.399999999999977</v>
      </c>
      <c r="P15" s="8">
        <v>50.6</v>
      </c>
      <c r="Q15" s="8">
        <v>52.2</v>
      </c>
      <c r="R15" s="8">
        <v>52.7</v>
      </c>
      <c r="S15" s="43">
        <f>+AN15-SUM(P15:R15)</f>
        <v>52.699999999999989</v>
      </c>
      <c r="T15" s="43"/>
      <c r="U15" s="43"/>
      <c r="V15" s="43"/>
      <c r="W15" s="43"/>
      <c r="AJ15" s="8">
        <v>165.2</v>
      </c>
      <c r="AK15" s="8">
        <v>135.6</v>
      </c>
      <c r="AL15" s="8">
        <v>136.6</v>
      </c>
      <c r="AM15" s="8">
        <v>149.1</v>
      </c>
      <c r="AN15" s="8">
        <v>208.2</v>
      </c>
      <c r="AO15" s="8">
        <f t="shared" ref="AO15:AX15" si="11">+AO14*(AN15/AN14)</f>
        <v>229.18150093457939</v>
      </c>
      <c r="AP15" s="8">
        <f t="shared" si="11"/>
        <v>237.20285346728963</v>
      </c>
      <c r="AQ15" s="8">
        <f t="shared" si="11"/>
        <v>245.50495333864473</v>
      </c>
      <c r="AR15" s="8">
        <f t="shared" si="11"/>
        <v>254.09762670549736</v>
      </c>
      <c r="AS15" s="8">
        <f t="shared" si="11"/>
        <v>262.99104364018979</v>
      </c>
      <c r="AT15" s="8">
        <f t="shared" si="11"/>
        <v>272.19573016759642</v>
      </c>
      <c r="AU15" s="8">
        <f t="shared" si="11"/>
        <v>281.72258072346222</v>
      </c>
      <c r="AV15" s="8">
        <f t="shared" si="11"/>
        <v>291.58287104878349</v>
      </c>
      <c r="AW15" s="8">
        <f t="shared" si="11"/>
        <v>301.78827153549088</v>
      </c>
      <c r="AX15" s="8">
        <f t="shared" si="11"/>
        <v>312.35086103923288</v>
      </c>
    </row>
    <row r="16" spans="3:50" s="8" customFormat="1">
      <c r="C16" s="8" t="s">
        <v>16</v>
      </c>
      <c r="D16" s="8">
        <v>5.5</v>
      </c>
      <c r="E16" s="8">
        <v>3.1</v>
      </c>
      <c r="F16" s="8">
        <v>3.9</v>
      </c>
      <c r="G16" s="8">
        <f>+AK16-SUM(D16:F16)</f>
        <v>5.1000000000000014</v>
      </c>
      <c r="H16" s="8">
        <v>4.5999999999999996</v>
      </c>
      <c r="I16" s="8">
        <v>3.9</v>
      </c>
      <c r="J16" s="8">
        <v>3.5</v>
      </c>
      <c r="K16" s="8">
        <f>+AL16-SUM(H16:J16)</f>
        <v>5.3000000000000007</v>
      </c>
      <c r="L16" s="8">
        <v>6.2</v>
      </c>
      <c r="M16" s="8">
        <v>6.3</v>
      </c>
      <c r="N16" s="8">
        <v>77.400000000000006</v>
      </c>
      <c r="O16" s="8">
        <f>+AM16-SUM(L16:N16)</f>
        <v>8.3999999999999915</v>
      </c>
      <c r="P16" s="8">
        <v>11.1</v>
      </c>
      <c r="Q16" s="8">
        <v>12.5</v>
      </c>
      <c r="R16" s="8">
        <v>7.1</v>
      </c>
      <c r="S16" s="43">
        <f>+AN16-SUM(P16:R16)</f>
        <v>13.199999999999996</v>
      </c>
      <c r="T16" s="43"/>
      <c r="U16" s="43"/>
      <c r="V16" s="43"/>
      <c r="W16" s="43"/>
      <c r="AJ16" s="8">
        <v>26.7</v>
      </c>
      <c r="AK16" s="8">
        <v>17.600000000000001</v>
      </c>
      <c r="AL16" s="8">
        <v>17.3</v>
      </c>
      <c r="AM16" s="8">
        <v>98.3</v>
      </c>
      <c r="AN16" s="8">
        <v>43.9</v>
      </c>
      <c r="AO16" s="8">
        <f t="shared" ref="AO16:AX16" si="12">+AO14*(AN16/AN14)</f>
        <v>48.324053271028028</v>
      </c>
      <c r="AP16" s="8">
        <f t="shared" si="12"/>
        <v>50.015395135513998</v>
      </c>
      <c r="AQ16" s="8">
        <f t="shared" si="12"/>
        <v>51.765933965256984</v>
      </c>
      <c r="AR16" s="8">
        <f t="shared" si="12"/>
        <v>53.577741654040992</v>
      </c>
      <c r="AS16" s="8">
        <f t="shared" si="12"/>
        <v>55.452962611932421</v>
      </c>
      <c r="AT16" s="8">
        <f t="shared" si="12"/>
        <v>57.39381630335005</v>
      </c>
      <c r="AU16" s="8">
        <f t="shared" si="12"/>
        <v>59.40259987396729</v>
      </c>
      <c r="AV16" s="8">
        <f t="shared" si="12"/>
        <v>61.481690869556161</v>
      </c>
      <c r="AW16" s="8">
        <f t="shared" si="12"/>
        <v>63.633550049990617</v>
      </c>
      <c r="AX16" s="8">
        <f t="shared" si="12"/>
        <v>65.860724301740248</v>
      </c>
    </row>
    <row r="17" spans="2:122" s="8" customFormat="1">
      <c r="C17" s="8" t="s">
        <v>17</v>
      </c>
      <c r="D17" s="8">
        <f>+D14-D15+D16</f>
        <v>165.39999999999998</v>
      </c>
      <c r="E17" s="8">
        <f>+E14-E15+E16</f>
        <v>229.2999999999999</v>
      </c>
      <c r="F17" s="8">
        <f>+F14-F15+F16</f>
        <v>243.49999999999997</v>
      </c>
      <c r="G17" s="8">
        <f>+AK17-SUM(D17:F17)</f>
        <v>243.30000000000018</v>
      </c>
      <c r="H17" s="8">
        <f>+H14-H15+H16</f>
        <v>226.99999999999997</v>
      </c>
      <c r="I17" s="8">
        <f>+I14-I15+I16</f>
        <v>226.3</v>
      </c>
      <c r="J17" s="8">
        <f>+J14-J15+J16</f>
        <v>241.90000000000012</v>
      </c>
      <c r="K17" s="8">
        <f>+AL17-SUM(H17:J17)</f>
        <v>200.59999999999934</v>
      </c>
      <c r="L17" s="8">
        <f>+L14-L15+L16</f>
        <v>200.20000000000007</v>
      </c>
      <c r="M17" s="8">
        <f>+M14-M15+M16</f>
        <v>146.40000000000003</v>
      </c>
      <c r="N17" s="8">
        <f>+N14-N15+N16</f>
        <v>277.49999999999989</v>
      </c>
      <c r="O17" s="8">
        <f>+O14-O15+O16</f>
        <v>242.50000000000011</v>
      </c>
      <c r="P17" s="8">
        <f>+P14-P15+P16</f>
        <v>187.29999999999995</v>
      </c>
      <c r="Q17" s="8">
        <f>+Q14-Q15+Q16</f>
        <v>195.3</v>
      </c>
      <c r="R17" s="8">
        <f>+R14-R15+R16</f>
        <v>205.49999999999997</v>
      </c>
      <c r="S17" s="8">
        <f>+S14-S15+S16</f>
        <v>271.80000000000064</v>
      </c>
      <c r="T17" s="43"/>
      <c r="U17" s="43"/>
      <c r="V17" s="43"/>
      <c r="W17" s="43"/>
      <c r="AJ17" s="8">
        <f>+AJ14-AJ15+AJ16</f>
        <v>819.19999999999982</v>
      </c>
      <c r="AK17" s="8">
        <f>+AK14-AK15+AK16</f>
        <v>881.5</v>
      </c>
      <c r="AL17" s="8">
        <f>+AL14-AL15+AL16</f>
        <v>895.79999999999939</v>
      </c>
      <c r="AM17" s="8">
        <f>+AM14-AM15+AM16</f>
        <v>812.80000000000007</v>
      </c>
      <c r="AN17" s="8">
        <f>+AN14-AN15+AN16</f>
        <v>798.69999999999993</v>
      </c>
      <c r="AO17" s="8">
        <f t="shared" ref="AO17:AV17" si="13">+AO14-AO15+AO16</f>
        <v>879.1895523364484</v>
      </c>
      <c r="AP17" s="8">
        <f t="shared" si="13"/>
        <v>909.96118666822395</v>
      </c>
      <c r="AQ17" s="8">
        <f t="shared" si="13"/>
        <v>941.80982820161159</v>
      </c>
      <c r="AR17" s="8">
        <f t="shared" si="13"/>
        <v>974.77317218866835</v>
      </c>
      <c r="AS17" s="8">
        <f t="shared" si="13"/>
        <v>1008.8902332152717</v>
      </c>
      <c r="AT17" s="8">
        <f t="shared" si="13"/>
        <v>1044.2013913778062</v>
      </c>
      <c r="AU17" s="8">
        <f t="shared" si="13"/>
        <v>1080.7484400760291</v>
      </c>
      <c r="AV17" s="8">
        <f t="shared" si="13"/>
        <v>1118.5746354786902</v>
      </c>
      <c r="AW17" s="8">
        <f t="shared" ref="AW17:AX17" si="14">+AW14-AW15+AW16</f>
        <v>1157.7247477204444</v>
      </c>
      <c r="AX17" s="8">
        <f t="shared" si="14"/>
        <v>1198.2451138906592</v>
      </c>
    </row>
    <row r="18" spans="2:122" s="8" customFormat="1">
      <c r="C18" s="8" t="s">
        <v>18</v>
      </c>
      <c r="D18" s="8">
        <v>30.1</v>
      </c>
      <c r="E18" s="8">
        <v>40.4</v>
      </c>
      <c r="F18" s="8">
        <v>46.9</v>
      </c>
      <c r="G18" s="8">
        <f>+AK18-SUM(D18:F18)</f>
        <v>57.5</v>
      </c>
      <c r="H18" s="8">
        <v>58.6</v>
      </c>
      <c r="I18" s="8">
        <v>45.4</v>
      </c>
      <c r="J18" s="8">
        <v>31.5</v>
      </c>
      <c r="K18" s="8">
        <f>+AL18-SUM(H18:J18)</f>
        <v>57.199999999999989</v>
      </c>
      <c r="L18" s="8">
        <v>34.4</v>
      </c>
      <c r="M18" s="8">
        <v>21.7</v>
      </c>
      <c r="N18" s="8">
        <v>59.3</v>
      </c>
      <c r="O18" s="8">
        <f>+AM18-SUM(L18:N18)</f>
        <v>53.2</v>
      </c>
      <c r="P18" s="8">
        <v>34.4</v>
      </c>
      <c r="Q18" s="8">
        <v>40.299999999999997</v>
      </c>
      <c r="R18" s="8">
        <v>42.7</v>
      </c>
      <c r="S18" s="43">
        <f>+AN18-SUM(P18:R18)</f>
        <v>57.100000000000009</v>
      </c>
      <c r="T18" s="43"/>
      <c r="U18" s="43"/>
      <c r="V18" s="43"/>
      <c r="W18" s="43"/>
      <c r="AJ18" s="8">
        <v>157.4</v>
      </c>
      <c r="AK18" s="8">
        <v>174.9</v>
      </c>
      <c r="AL18" s="8">
        <v>192.7</v>
      </c>
      <c r="AM18" s="8">
        <v>168.6</v>
      </c>
      <c r="AN18" s="8">
        <v>174.5</v>
      </c>
      <c r="AO18" s="8">
        <f t="shared" ref="AO18:AX18" si="15">+AO17*(AN18/AN17)</f>
        <v>192.0853598130841</v>
      </c>
      <c r="AP18" s="8">
        <f t="shared" si="15"/>
        <v>198.808347406542</v>
      </c>
      <c r="AQ18" s="8">
        <f t="shared" si="15"/>
        <v>205.76663956577093</v>
      </c>
      <c r="AR18" s="8">
        <f t="shared" si="15"/>
        <v>212.96847195057299</v>
      </c>
      <c r="AS18" s="8">
        <f t="shared" si="15"/>
        <v>220.42236846884305</v>
      </c>
      <c r="AT18" s="8">
        <f t="shared" si="15"/>
        <v>228.13715136525255</v>
      </c>
      <c r="AU18" s="8">
        <f t="shared" si="15"/>
        <v>236.1219516630363</v>
      </c>
      <c r="AV18" s="8">
        <f t="shared" si="15"/>
        <v>244.38621997124261</v>
      </c>
      <c r="AW18" s="8">
        <f t="shared" si="15"/>
        <v>252.9397376702361</v>
      </c>
      <c r="AX18" s="8">
        <f t="shared" si="15"/>
        <v>261.79262848869422</v>
      </c>
    </row>
    <row r="19" spans="2:122" s="8" customFormat="1">
      <c r="C19" s="8" t="s">
        <v>19</v>
      </c>
      <c r="D19" s="8">
        <f>+D17-D18</f>
        <v>135.29999999999998</v>
      </c>
      <c r="E19" s="8">
        <f>+E17-E18</f>
        <v>188.89999999999989</v>
      </c>
      <c r="F19" s="8">
        <f>+F17-F18</f>
        <v>196.59999999999997</v>
      </c>
      <c r="G19" s="8">
        <f>+AK19-SUM(D19:F19)</f>
        <v>185.80000000000018</v>
      </c>
      <c r="H19" s="8">
        <f>+H17-H18</f>
        <v>168.39999999999998</v>
      </c>
      <c r="I19" s="8">
        <f>+I17-I18</f>
        <v>180.9</v>
      </c>
      <c r="J19" s="8">
        <f>+J17-J18</f>
        <v>210.40000000000012</v>
      </c>
      <c r="K19" s="8">
        <f>+AL19-SUM(H19:J19)</f>
        <v>143.39999999999941</v>
      </c>
      <c r="L19" s="8">
        <f>+L17-L18</f>
        <v>165.80000000000007</v>
      </c>
      <c r="M19" s="8">
        <f>+M17-M18</f>
        <v>124.70000000000003</v>
      </c>
      <c r="N19" s="8">
        <f>+N17-N18</f>
        <v>218.19999999999987</v>
      </c>
      <c r="O19" s="8">
        <f>+O17-O18</f>
        <v>189.30000000000013</v>
      </c>
      <c r="P19" s="8">
        <f>+P17-P18</f>
        <v>152.89999999999995</v>
      </c>
      <c r="Q19" s="8">
        <f>+Q17-Q18</f>
        <v>155</v>
      </c>
      <c r="R19" s="8">
        <f>+R17-R18</f>
        <v>162.79999999999995</v>
      </c>
      <c r="S19" s="8">
        <f>+S17-S18</f>
        <v>214.70000000000061</v>
      </c>
      <c r="T19" s="43"/>
      <c r="U19" s="43"/>
      <c r="V19" s="43"/>
      <c r="W19" s="43"/>
      <c r="AJ19" s="8">
        <f>+AJ17-AJ18</f>
        <v>661.79999999999984</v>
      </c>
      <c r="AK19" s="8">
        <f>+AK17-AK18</f>
        <v>706.6</v>
      </c>
      <c r="AL19" s="8">
        <f>+AL17-AL18</f>
        <v>703.09999999999945</v>
      </c>
      <c r="AM19" s="8">
        <f>+AM17-AM18</f>
        <v>644.20000000000005</v>
      </c>
      <c r="AN19" s="8">
        <f>+AN17-AN18</f>
        <v>624.19999999999993</v>
      </c>
      <c r="AO19" s="8">
        <f t="shared" ref="AO19:AV19" si="16">+AO17-AO18</f>
        <v>687.1041925233643</v>
      </c>
      <c r="AP19" s="8">
        <f t="shared" si="16"/>
        <v>711.15283926168195</v>
      </c>
      <c r="AQ19" s="8">
        <f t="shared" si="16"/>
        <v>736.04318863584069</v>
      </c>
      <c r="AR19" s="8">
        <f t="shared" si="16"/>
        <v>761.80470023809539</v>
      </c>
      <c r="AS19" s="8">
        <f t="shared" si="16"/>
        <v>788.46786474642863</v>
      </c>
      <c r="AT19" s="8">
        <f t="shared" si="16"/>
        <v>816.06424001255368</v>
      </c>
      <c r="AU19" s="8">
        <f t="shared" si="16"/>
        <v>844.62648841299279</v>
      </c>
      <c r="AV19" s="8">
        <f t="shared" si="16"/>
        <v>874.18841550744764</v>
      </c>
      <c r="AW19" s="8">
        <f t="shared" ref="AW19:AX19" si="17">+AW17-AW18</f>
        <v>904.78501005020826</v>
      </c>
      <c r="AX19" s="8">
        <f t="shared" si="17"/>
        <v>936.45248540196508</v>
      </c>
    </row>
    <row r="20" spans="2:122" s="8" customFormat="1">
      <c r="C20" s="8" t="s">
        <v>20</v>
      </c>
      <c r="D20" s="8">
        <v>10.4</v>
      </c>
      <c r="E20" s="8">
        <v>10.199999999999999</v>
      </c>
      <c r="F20" s="8">
        <v>9.6</v>
      </c>
      <c r="G20" s="8">
        <f>+AK20-SUM(D20:F20)</f>
        <v>10.599999999999994</v>
      </c>
      <c r="H20" s="8">
        <v>13.3</v>
      </c>
      <c r="I20" s="8">
        <v>23.4</v>
      </c>
      <c r="J20" s="8">
        <v>9.1</v>
      </c>
      <c r="K20" s="8">
        <f>+AL20-SUM(H20:J20)</f>
        <v>6.3999999999999986</v>
      </c>
      <c r="L20" s="8">
        <v>9.3000000000000007</v>
      </c>
      <c r="M20" s="8">
        <v>7.5</v>
      </c>
      <c r="N20" s="8">
        <v>7.5</v>
      </c>
      <c r="O20" s="8">
        <f>+AM20-SUM(L20:N20)</f>
        <v>13.499999999999996</v>
      </c>
      <c r="P20" s="8">
        <v>14</v>
      </c>
      <c r="Q20" s="8">
        <v>10.3</v>
      </c>
      <c r="R20" s="8">
        <v>13.4</v>
      </c>
      <c r="S20" s="43">
        <f>+AN20-SUM(P20:R20)</f>
        <v>18.699999999999996</v>
      </c>
      <c r="T20" s="43"/>
      <c r="U20" s="43"/>
      <c r="V20" s="43"/>
      <c r="W20" s="43"/>
      <c r="AJ20" s="8">
        <v>40.9</v>
      </c>
      <c r="AK20" s="8">
        <v>40.799999999999997</v>
      </c>
      <c r="AL20" s="8">
        <v>52.2</v>
      </c>
      <c r="AM20" s="8">
        <v>37.799999999999997</v>
      </c>
      <c r="AN20" s="8">
        <v>56.4</v>
      </c>
      <c r="AO20" s="8">
        <f t="shared" ref="AO20:AX20" si="18">+AN20</f>
        <v>56.4</v>
      </c>
      <c r="AP20" s="8">
        <f t="shared" si="18"/>
        <v>56.4</v>
      </c>
      <c r="AQ20" s="8">
        <f t="shared" si="18"/>
        <v>56.4</v>
      </c>
      <c r="AR20" s="8">
        <f t="shared" si="18"/>
        <v>56.4</v>
      </c>
      <c r="AS20" s="8">
        <f t="shared" si="18"/>
        <v>56.4</v>
      </c>
      <c r="AT20" s="8">
        <f t="shared" si="18"/>
        <v>56.4</v>
      </c>
      <c r="AU20" s="8">
        <f t="shared" si="18"/>
        <v>56.4</v>
      </c>
      <c r="AV20" s="8">
        <f t="shared" si="18"/>
        <v>56.4</v>
      </c>
      <c r="AW20" s="8">
        <f t="shared" si="18"/>
        <v>56.4</v>
      </c>
      <c r="AX20" s="8">
        <f t="shared" si="18"/>
        <v>56.4</v>
      </c>
    </row>
    <row r="21" spans="2:122" s="5" customFormat="1">
      <c r="C21" s="5" t="s">
        <v>21</v>
      </c>
      <c r="D21" s="5">
        <f>+D19+D20</f>
        <v>145.69999999999999</v>
      </c>
      <c r="E21" s="5">
        <f>+E19+E20</f>
        <v>199.09999999999988</v>
      </c>
      <c r="F21" s="5">
        <f>+F19+F20</f>
        <v>206.19999999999996</v>
      </c>
      <c r="G21" s="5">
        <f>+AK21-SUM(D21:F21)</f>
        <v>196.4000000000002</v>
      </c>
      <c r="H21" s="5">
        <f>+H19+H20</f>
        <v>181.7</v>
      </c>
      <c r="I21" s="5">
        <f>+I19+I20</f>
        <v>204.3</v>
      </c>
      <c r="J21" s="5">
        <f>+J19+J20</f>
        <v>219.50000000000011</v>
      </c>
      <c r="K21" s="5">
        <f>+AL21-SUM(H21:J21)</f>
        <v>149.79999999999939</v>
      </c>
      <c r="L21" s="5">
        <f>+L19+L20</f>
        <v>175.10000000000008</v>
      </c>
      <c r="M21" s="5">
        <f>+M19+M20</f>
        <v>132.20000000000005</v>
      </c>
      <c r="N21" s="5">
        <f>+N19+N20</f>
        <v>225.69999999999987</v>
      </c>
      <c r="O21" s="5">
        <f>+O19+O20</f>
        <v>202.80000000000013</v>
      </c>
      <c r="P21" s="5">
        <f>+P19+P20</f>
        <v>166.89999999999995</v>
      </c>
      <c r="Q21" s="5">
        <f>+Q19+Q20</f>
        <v>165.3</v>
      </c>
      <c r="R21" s="5">
        <f>+R19+R20</f>
        <v>176.19999999999996</v>
      </c>
      <c r="S21" s="5">
        <f>+S19+S20</f>
        <v>233.4000000000006</v>
      </c>
      <c r="T21" s="42"/>
      <c r="U21" s="42"/>
      <c r="V21" s="42"/>
      <c r="W21" s="42"/>
      <c r="AC21" s="5">
        <v>407.8</v>
      </c>
      <c r="AD21" s="5">
        <v>389</v>
      </c>
      <c r="AE21" s="5">
        <v>437.9</v>
      </c>
      <c r="AF21" s="5">
        <v>401.6</v>
      </c>
      <c r="AG21" s="5">
        <v>472.3</v>
      </c>
      <c r="AH21" s="5">
        <v>477.4</v>
      </c>
      <c r="AI21" s="5">
        <v>933.4</v>
      </c>
      <c r="AJ21" s="5">
        <f>+AJ19+AJ20</f>
        <v>702.69999999999982</v>
      </c>
      <c r="AK21" s="5">
        <f>+AK19+AK20</f>
        <v>747.4</v>
      </c>
      <c r="AL21" s="5">
        <f>+AL19+AL20</f>
        <v>755.2999999999995</v>
      </c>
      <c r="AM21" s="5">
        <f>+AM19+AM20</f>
        <v>682</v>
      </c>
      <c r="AN21" s="5">
        <f>+AN19+AN20</f>
        <v>680.59999999999991</v>
      </c>
      <c r="AO21" s="5">
        <f t="shared" ref="AO21:AV21" si="19">+AO19+AO20</f>
        <v>743.50419252336428</v>
      </c>
      <c r="AP21" s="5">
        <f t="shared" si="19"/>
        <v>767.55283926168192</v>
      </c>
      <c r="AQ21" s="5">
        <f t="shared" si="19"/>
        <v>792.44318863584067</v>
      </c>
      <c r="AR21" s="5">
        <f t="shared" si="19"/>
        <v>818.20470023809537</v>
      </c>
      <c r="AS21" s="5">
        <f t="shared" si="19"/>
        <v>844.86786474642861</v>
      </c>
      <c r="AT21" s="5">
        <f t="shared" si="19"/>
        <v>872.46424001255366</v>
      </c>
      <c r="AU21" s="5">
        <f t="shared" si="19"/>
        <v>901.02648841299276</v>
      </c>
      <c r="AV21" s="5">
        <f t="shared" si="19"/>
        <v>930.58841550744762</v>
      </c>
      <c r="AW21" s="5">
        <f t="shared" ref="AW21:AX21" si="20">+AW19+AW20</f>
        <v>961.18501005020823</v>
      </c>
      <c r="AX21" s="5">
        <f t="shared" si="20"/>
        <v>992.85248540196505</v>
      </c>
      <c r="AY21" s="5">
        <f>+AX21*(1+$BB$26)</f>
        <v>1002.7810102559847</v>
      </c>
      <c r="AZ21" s="5">
        <f>+AY21*(1+$BB$26)</f>
        <v>1012.8088203585446</v>
      </c>
      <c r="BA21" s="5">
        <f>+AZ21*(1+$BB$26)</f>
        <v>1022.93690856213</v>
      </c>
      <c r="BB21" s="5">
        <f>+BA21*(1+$BB$26)</f>
        <v>1033.1662776477513</v>
      </c>
      <c r="BC21" s="5">
        <f>+BB21*(1+$BB$26)</f>
        <v>1043.4979404242288</v>
      </c>
      <c r="BD21" s="5">
        <f>+BC21*(1+$BB$26)</f>
        <v>1053.9329198284711</v>
      </c>
      <c r="BE21" s="5">
        <f>+BD21*(1+$BB$26)</f>
        <v>1064.4722490267559</v>
      </c>
      <c r="BF21" s="5">
        <f>+BE21*(1+$BB$26)</f>
        <v>1075.1169715170236</v>
      </c>
      <c r="BG21" s="5">
        <f>+BF21*(1+$BB$26)</f>
        <v>1085.8681412321937</v>
      </c>
      <c r="BH21" s="5">
        <f>+BG21*(1+$BB$26)</f>
        <v>1096.7268226445156</v>
      </c>
      <c r="BI21" s="5">
        <f>+BH21*(1+$BB$26)</f>
        <v>1107.6940908709607</v>
      </c>
      <c r="BJ21" s="5">
        <f>+BI21*(1+$BB$26)</f>
        <v>1118.7710317796705</v>
      </c>
      <c r="BK21" s="5">
        <f>+BJ21*(1+$BB$26)</f>
        <v>1129.9587420974672</v>
      </c>
      <c r="BL21" s="5">
        <f>+BK21*(1+$BB$26)</f>
        <v>1141.2583295184418</v>
      </c>
      <c r="BM21" s="5">
        <f>+BL21*(1+$BB$26)</f>
        <v>1152.6709128136263</v>
      </c>
      <c r="BN21" s="5">
        <f>+BM21*(1+$BB$26)</f>
        <v>1164.1976219417625</v>
      </c>
      <c r="BO21" s="5">
        <f>+BN21*(1+$BB$26)</f>
        <v>1175.83959816118</v>
      </c>
      <c r="BP21" s="5">
        <f>+BO21*(1+$BB$26)</f>
        <v>1187.5979941427918</v>
      </c>
      <c r="BQ21" s="5">
        <f>+BP21*(1+$BB$26)</f>
        <v>1199.4739740842197</v>
      </c>
      <c r="BR21" s="5">
        <f>+BQ21*(1+$BB$26)</f>
        <v>1211.468713825062</v>
      </c>
      <c r="BS21" s="5">
        <f>+BR21*(1+$BB$26)</f>
        <v>1223.5834009633127</v>
      </c>
      <c r="BT21" s="5">
        <f>+BS21*(1+$BB$26)</f>
        <v>1235.8192349729459</v>
      </c>
      <c r="BU21" s="5">
        <f>+BT21*(1+$BB$26)</f>
        <v>1248.1774273226754</v>
      </c>
      <c r="BV21" s="5">
        <f>+BU21*(1+$BB$26)</f>
        <v>1260.6592015959022</v>
      </c>
      <c r="BW21" s="5">
        <f>+BV21*(1+$BB$26)</f>
        <v>1273.2657936118612</v>
      </c>
      <c r="BX21" s="5">
        <f>+BW21*(1+$BB$26)</f>
        <v>1285.9984515479798</v>
      </c>
      <c r="BY21" s="5">
        <f>+BX21*(1+$BB$26)</f>
        <v>1298.8584360634595</v>
      </c>
      <c r="BZ21" s="5">
        <f>+BY21*(1+$BB$26)</f>
        <v>1311.8470204240941</v>
      </c>
      <c r="CA21" s="5">
        <f>+BZ21*(1+$BB$26)</f>
        <v>1324.9654906283351</v>
      </c>
      <c r="CB21" s="5">
        <f>+CA21*(1+$BB$26)</f>
        <v>1338.2151455346186</v>
      </c>
      <c r="CC21" s="5">
        <f>+CB21*(1+$BB$26)</f>
        <v>1351.5972969899649</v>
      </c>
      <c r="CD21" s="5">
        <f>+CC21*(1+$BB$26)</f>
        <v>1365.1132699598645</v>
      </c>
      <c r="CE21" s="5">
        <f>+CD21*(1+$BB$26)</f>
        <v>1378.7644026594633</v>
      </c>
      <c r="CF21" s="5">
        <f>+CE21*(1+$BB$26)</f>
        <v>1392.5520466860578</v>
      </c>
      <c r="CG21" s="5">
        <f>+CF21*(1+$BB$26)</f>
        <v>1406.4775671529185</v>
      </c>
      <c r="CH21" s="5">
        <f>+CG21*(1+$BB$26)</f>
        <v>1420.5423428244476</v>
      </c>
      <c r="CI21" s="5">
        <f>+CH21*(1+$BB$26)</f>
        <v>1434.7477662526921</v>
      </c>
      <c r="CJ21" s="5">
        <f>+CI21*(1+$BB$26)</f>
        <v>1449.095243915219</v>
      </c>
      <c r="CK21" s="5">
        <f>+CJ21*(1+$BB$26)</f>
        <v>1463.5861963543712</v>
      </c>
      <c r="CL21" s="5">
        <f>+CK21*(1+$BB$26)</f>
        <v>1478.2220583179148</v>
      </c>
      <c r="CM21" s="5">
        <f>+CL21*(1+$BB$26)</f>
        <v>1493.004278901094</v>
      </c>
      <c r="CN21" s="5">
        <f>+CM21*(1+$BB$26)</f>
        <v>1507.934321690105</v>
      </c>
      <c r="CO21" s="5">
        <f>+CN21*(1+$BB$26)</f>
        <v>1523.0136649070059</v>
      </c>
      <c r="CP21" s="5">
        <f>+CO21*(1+$BB$26)</f>
        <v>1538.2438015560761</v>
      </c>
      <c r="CQ21" s="5">
        <f>+CP21*(1+$BB$26)</f>
        <v>1553.6262395716369</v>
      </c>
      <c r="CR21" s="5">
        <f>+CQ21*(1+$BB$26)</f>
        <v>1569.1625019673534</v>
      </c>
      <c r="CS21" s="5">
        <f>+CR21*(1+$BB$26)</f>
        <v>1584.8541269870268</v>
      </c>
      <c r="CT21" s="5">
        <f>+CS21*(1+$BB$26)</f>
        <v>1600.7026682568971</v>
      </c>
      <c r="CU21" s="5">
        <f>+CT21*(1+$BB$26)</f>
        <v>1616.7096949394661</v>
      </c>
      <c r="CV21" s="5">
        <f>+CU21*(1+$BB$26)</f>
        <v>1632.8767918888607</v>
      </c>
      <c r="CW21" s="5">
        <f>+CV21*(1+$BB$26)</f>
        <v>1649.2055598077493</v>
      </c>
      <c r="CX21" s="5">
        <f>+CW21*(1+$BB$26)</f>
        <v>1665.6976154058268</v>
      </c>
      <c r="CY21" s="5">
        <f>+CX21*(1+$BB$26)</f>
        <v>1682.3545915598852</v>
      </c>
      <c r="CZ21" s="5">
        <f>+CY21*(1+$BB$26)</f>
        <v>1699.1781374754842</v>
      </c>
      <c r="DA21" s="5">
        <f>+CZ21*(1+$BB$26)</f>
        <v>1716.1699188502391</v>
      </c>
      <c r="DB21" s="5">
        <f>+DA21*(1+$BB$26)</f>
        <v>1733.3316180387415</v>
      </c>
      <c r="DC21" s="5">
        <f>+DB21*(1+$BB$26)</f>
        <v>1750.6649342191288</v>
      </c>
      <c r="DD21" s="5">
        <f>+DC21*(1+$BB$26)</f>
        <v>1768.1715835613202</v>
      </c>
      <c r="DE21" s="5">
        <f>+DD21*(1+$BB$26)</f>
        <v>1785.8532993969334</v>
      </c>
      <c r="DF21" s="5">
        <f>+DE21*(1+$BB$26)</f>
        <v>1803.7118323909028</v>
      </c>
      <c r="DG21" s="5">
        <f>+DF21*(1+$BB$26)</f>
        <v>1821.7489507148118</v>
      </c>
      <c r="DH21" s="5">
        <f>+DG21*(1+$BB$26)</f>
        <v>1839.9664402219601</v>
      </c>
      <c r="DI21" s="5">
        <f>+DH21*(1+$BB$26)</f>
        <v>1858.3661046241796</v>
      </c>
      <c r="DJ21" s="5">
        <f>+DI21*(1+$BB$26)</f>
        <v>1876.9497656704214</v>
      </c>
      <c r="DK21" s="5">
        <f>+DJ21*(1+$BB$26)</f>
        <v>1895.7192633271256</v>
      </c>
      <c r="DL21" s="5">
        <f>+DK21*(1+$BB$26)</f>
        <v>1914.6764559603969</v>
      </c>
      <c r="DM21" s="5">
        <f t="shared" ref="DM21:DR21" si="21">+DL21*(1+$BB$26)</f>
        <v>1933.8232205200009</v>
      </c>
      <c r="DN21" s="5">
        <f t="shared" si="21"/>
        <v>1953.1614527252009</v>
      </c>
      <c r="DO21" s="5">
        <f t="shared" si="21"/>
        <v>1972.6930672524529</v>
      </c>
      <c r="DP21" s="5">
        <f t="shared" si="21"/>
        <v>1992.4199979249775</v>
      </c>
      <c r="DQ21" s="5">
        <f t="shared" si="21"/>
        <v>2012.3441979042273</v>
      </c>
      <c r="DR21" s="5">
        <f t="shared" si="21"/>
        <v>2032.4676398832696</v>
      </c>
    </row>
    <row r="22" spans="2:122" s="8" customFormat="1">
      <c r="C22" s="8" t="s">
        <v>22</v>
      </c>
      <c r="D22" s="8">
        <v>268.7</v>
      </c>
      <c r="E22" s="8">
        <v>268.5</v>
      </c>
      <c r="F22" s="8">
        <v>269.60000000000002</v>
      </c>
      <c r="G22" s="8">
        <f>+AK22-SUM(D22:F22)</f>
        <v>-537.95107913669062</v>
      </c>
      <c r="H22" s="8">
        <v>269.89999999999998</v>
      </c>
      <c r="I22" s="8">
        <v>270</v>
      </c>
      <c r="J22" s="8">
        <v>270</v>
      </c>
      <c r="K22" s="8">
        <f>+K21/K23</f>
        <v>268.86445372591965</v>
      </c>
      <c r="L22" s="8">
        <v>270.5</v>
      </c>
      <c r="M22" s="8">
        <v>270.2</v>
      </c>
      <c r="N22" s="8">
        <v>270.2</v>
      </c>
      <c r="O22" s="8">
        <f>+N22</f>
        <v>270.2</v>
      </c>
      <c r="P22" s="8">
        <v>269.8</v>
      </c>
      <c r="Q22" s="8">
        <v>269.8</v>
      </c>
      <c r="R22" s="8">
        <v>270.10000000000002</v>
      </c>
      <c r="S22" s="8">
        <v>270.10000000000002</v>
      </c>
      <c r="T22" s="43"/>
      <c r="U22" s="43"/>
      <c r="V22" s="43"/>
      <c r="W22" s="43"/>
      <c r="AC22" s="8">
        <f t="shared" ref="AC22" si="22">+AC21/AC23</f>
        <v>134.14473684210526</v>
      </c>
      <c r="AD22" s="8">
        <f t="shared" ref="AD22" si="23">+AD21/AD23</f>
        <v>133.67697594501718</v>
      </c>
      <c r="AE22" s="8">
        <f t="shared" ref="AE22" si="24">+AE21/AE23</f>
        <v>131.10778443113773</v>
      </c>
      <c r="AF22" s="8">
        <f t="shared" ref="AF22" si="25">+AF21/AF23</f>
        <v>129.13183279742768</v>
      </c>
      <c r="AG22" s="8">
        <f t="shared" ref="AG22:AH22" si="26">+AG21/AG23</f>
        <v>255.29729729729729</v>
      </c>
      <c r="AH22" s="8">
        <f t="shared" si="26"/>
        <v>256.66666666666663</v>
      </c>
      <c r="AI22" s="8">
        <f>+AI21/AI23</f>
        <v>266.68571428571425</v>
      </c>
      <c r="AJ22" s="8">
        <f>+AJ21/AJ23</f>
        <v>268.20610687022895</v>
      </c>
      <c r="AK22" s="8">
        <f>+AK21/AK23</f>
        <v>268.84892086330939</v>
      </c>
      <c r="AL22" s="8">
        <f>+AL21/AL23</f>
        <v>269.74999999999983</v>
      </c>
      <c r="AM22" s="8">
        <v>2.52</v>
      </c>
      <c r="AN22" s="8">
        <f>+AN21/AN23</f>
        <v>270.07936507936506</v>
      </c>
      <c r="AO22" s="8">
        <f t="shared" ref="AO22:AX22" si="27">+AN22</f>
        <v>270.07936507936506</v>
      </c>
      <c r="AP22" s="8">
        <f t="shared" si="27"/>
        <v>270.07936507936506</v>
      </c>
      <c r="AQ22" s="8">
        <f t="shared" si="27"/>
        <v>270.07936507936506</v>
      </c>
      <c r="AR22" s="8">
        <f t="shared" si="27"/>
        <v>270.07936507936506</v>
      </c>
      <c r="AS22" s="8">
        <f t="shared" si="27"/>
        <v>270.07936507936506</v>
      </c>
      <c r="AT22" s="8">
        <f t="shared" si="27"/>
        <v>270.07936507936506</v>
      </c>
      <c r="AU22" s="8">
        <f t="shared" si="27"/>
        <v>270.07936507936506</v>
      </c>
      <c r="AV22" s="8">
        <f t="shared" si="27"/>
        <v>270.07936507936506</v>
      </c>
      <c r="AW22" s="8">
        <f t="shared" si="27"/>
        <v>270.07936507936506</v>
      </c>
      <c r="AX22" s="8">
        <f t="shared" si="27"/>
        <v>270.07936507936506</v>
      </c>
    </row>
    <row r="23" spans="2:122" s="9" customFormat="1">
      <c r="C23" s="9" t="s">
        <v>23</v>
      </c>
      <c r="D23" s="9">
        <f>+D21/D22</f>
        <v>0.54224041682173429</v>
      </c>
      <c r="E23" s="9">
        <f>+E21/E22</f>
        <v>0.741527001862197</v>
      </c>
      <c r="F23" s="9">
        <f>+F21/F22</f>
        <v>0.76483679525222525</v>
      </c>
      <c r="G23" s="9">
        <f>+AK23-SUM(D23:F23)</f>
        <v>0.73139578606384337</v>
      </c>
      <c r="H23" s="9">
        <f>+H21/H22</f>
        <v>0.67321230085216743</v>
      </c>
      <c r="I23" s="9">
        <f>+I21/I22</f>
        <v>0.75666666666666671</v>
      </c>
      <c r="J23" s="9">
        <f>+J21/J22</f>
        <v>0.81296296296296333</v>
      </c>
      <c r="K23" s="9">
        <f>+AL23-SUM(H23:J23)</f>
        <v>0.55715806951820213</v>
      </c>
      <c r="L23" s="9">
        <f>+L21/L22</f>
        <v>0.64731977818854003</v>
      </c>
      <c r="M23" s="9">
        <f>+M21/M22</f>
        <v>0.48926720947446356</v>
      </c>
      <c r="N23" s="9">
        <f>+N21/N22</f>
        <v>0.83530717986676495</v>
      </c>
      <c r="O23" s="9">
        <f>+AM23-SUM(L23:N23)</f>
        <v>0.54810583247023148</v>
      </c>
      <c r="P23" s="9">
        <f>+P21/P22</f>
        <v>0.61860637509266103</v>
      </c>
      <c r="Q23" s="9">
        <f>+Q21/Q22</f>
        <v>0.61267605633802813</v>
      </c>
      <c r="R23" s="9">
        <f>+R21/R22</f>
        <v>0.65235098111810419</v>
      </c>
      <c r="S23" s="44">
        <f>+AN23-SUM(P23:R23)</f>
        <v>0.63636658745120656</v>
      </c>
      <c r="T23" s="44"/>
      <c r="U23" s="44"/>
      <c r="V23" s="44"/>
      <c r="W23" s="44"/>
      <c r="AC23" s="9">
        <v>3.04</v>
      </c>
      <c r="AD23" s="9">
        <v>2.91</v>
      </c>
      <c r="AE23" s="9">
        <v>3.34</v>
      </c>
      <c r="AF23" s="9">
        <v>3.11</v>
      </c>
      <c r="AG23" s="9">
        <v>1.85</v>
      </c>
      <c r="AH23" s="9">
        <v>1.86</v>
      </c>
      <c r="AI23" s="9">
        <v>3.5</v>
      </c>
      <c r="AJ23" s="9">
        <v>2.62</v>
      </c>
      <c r="AK23" s="9">
        <v>2.78</v>
      </c>
      <c r="AL23" s="9">
        <v>2.8</v>
      </c>
      <c r="AM23" s="9">
        <v>2.52</v>
      </c>
      <c r="AN23" s="9">
        <v>2.52</v>
      </c>
      <c r="AO23" s="9">
        <f t="shared" ref="AO23:AV23" si="28">+AO21/AO22</f>
        <v>2.7529100281499828</v>
      </c>
      <c r="AP23" s="9">
        <f t="shared" si="28"/>
        <v>2.8419529164552433</v>
      </c>
      <c r="AQ23" s="9">
        <f t="shared" si="28"/>
        <v>2.9341123058511882</v>
      </c>
      <c r="AR23" s="9">
        <f t="shared" si="28"/>
        <v>3.0294972738759927</v>
      </c>
      <c r="AS23" s="9">
        <f t="shared" si="28"/>
        <v>3.1282207157816635</v>
      </c>
      <c r="AT23" s="9">
        <f t="shared" si="28"/>
        <v>3.2303994781540339</v>
      </c>
      <c r="AU23" s="9">
        <f t="shared" si="28"/>
        <v>3.3361544972094355</v>
      </c>
      <c r="AV23" s="9">
        <f t="shared" si="28"/>
        <v>3.4456109419317782</v>
      </c>
      <c r="AW23" s="9">
        <f t="shared" ref="AW23:AX23" si="29">+AW21/AW22</f>
        <v>3.5588983622194017</v>
      </c>
      <c r="AX23" s="9">
        <f t="shared" si="29"/>
        <v>3.676150842217091</v>
      </c>
    </row>
    <row r="24" spans="2:122">
      <c r="P24" s="3"/>
      <c r="Q24" s="3"/>
      <c r="R24" s="3"/>
    </row>
    <row r="25" spans="2:122" s="7" customFormat="1">
      <c r="C25" s="6" t="s">
        <v>24</v>
      </c>
      <c r="D25" s="6"/>
      <c r="G25" s="6"/>
      <c r="H25" s="7">
        <f t="shared" ref="H25" si="30">+H8/D8-1</f>
        <v>0.22235973597359737</v>
      </c>
      <c r="I25" s="7">
        <f t="shared" ref="I25" si="31">+I8/E8-1</f>
        <v>0.11105559917207919</v>
      </c>
      <c r="J25" s="7">
        <f t="shared" ref="J25:L25" si="32">+J8/F8-1</f>
        <v>8.3269244214500659E-2</v>
      </c>
      <c r="K25" s="7">
        <f t="shared" si="32"/>
        <v>0.11066178830476847</v>
      </c>
      <c r="L25" s="7">
        <f t="shared" si="32"/>
        <v>2.7607154910563647E-2</v>
      </c>
      <c r="M25" s="7">
        <f>+M8/I8-1</f>
        <v>-1.2783452174471743E-2</v>
      </c>
      <c r="N25" s="7">
        <f>+N8/J8-1</f>
        <v>2.9430747386084866E-2</v>
      </c>
      <c r="O25" s="7">
        <f>+O8/K8-1</f>
        <v>-1.9649771715886888E-2</v>
      </c>
      <c r="P25" s="7">
        <f>+P8/L8-1</f>
        <v>2.831056227009987E-2</v>
      </c>
      <c r="Q25" s="7">
        <f>+Q8/M8-1</f>
        <v>7.9646017699115168E-2</v>
      </c>
      <c r="R25" s="7">
        <f>+R8/N8-1</f>
        <v>5.6238244514106528E-2</v>
      </c>
      <c r="S25" s="7">
        <f>+S8/O8-1</f>
        <v>3.330778753758179E-2</v>
      </c>
      <c r="T25" s="45"/>
      <c r="U25" s="45"/>
      <c r="V25" s="45"/>
      <c r="W25" s="45"/>
      <c r="AD25" s="7">
        <f t="shared" ref="AD25:AG25" si="33">+AD8/AC8-1</f>
        <v>2.7152251893184376E-2</v>
      </c>
      <c r="AE25" s="7">
        <f t="shared" si="33"/>
        <v>2.9053693553863447E-2</v>
      </c>
      <c r="AF25" s="7">
        <f t="shared" si="33"/>
        <v>1.2514140271493224E-2</v>
      </c>
      <c r="AG25" s="7">
        <f t="shared" si="33"/>
        <v>4.0965481926307223E-3</v>
      </c>
      <c r="AH25" s="39">
        <f t="shared" ref="AH25:AJ25" si="34">+AH8/AG8-1</f>
        <v>9.6525186026565457E-2</v>
      </c>
      <c r="AI25" s="39">
        <f t="shared" si="34"/>
        <v>0.1210282645920977</v>
      </c>
      <c r="AJ25" s="7">
        <f t="shared" si="34"/>
        <v>8.4106509768422377E-3</v>
      </c>
      <c r="AK25" s="7">
        <f>+AK8/AJ8-1</f>
        <v>4.7481018812881137E-2</v>
      </c>
      <c r="AL25" s="39">
        <f>+AL8/AK8-1</f>
        <v>0.12793458661382173</v>
      </c>
      <c r="AM25" s="39">
        <f>+AM8/AL8-1</f>
        <v>5.159942385919436E-3</v>
      </c>
      <c r="AN25" s="39">
        <f>+AN8/AM8-1</f>
        <v>4.9082749389811831E-2</v>
      </c>
      <c r="AO25" s="11">
        <v>3.5000000000000003E-2</v>
      </c>
      <c r="AP25" s="11">
        <v>3.5000000000000003E-2</v>
      </c>
      <c r="AQ25" s="11">
        <v>3.5000000000000003E-2</v>
      </c>
      <c r="AR25" s="11">
        <v>3.5000000000000003E-2</v>
      </c>
      <c r="AS25" s="11">
        <v>3.5000000000000003E-2</v>
      </c>
      <c r="AT25" s="11">
        <v>3.5000000000000003E-2</v>
      </c>
      <c r="AU25" s="11">
        <v>3.5000000000000003E-2</v>
      </c>
      <c r="AV25" s="11">
        <v>3.5000000000000003E-2</v>
      </c>
      <c r="AW25" s="11">
        <v>3.5000000000000003E-2</v>
      </c>
      <c r="AX25" s="11">
        <v>3.5000000000000003E-2</v>
      </c>
      <c r="BA25" s="12"/>
      <c r="BB25" s="13"/>
      <c r="BC25" s="13"/>
      <c r="BD25" s="13"/>
      <c r="BE25" s="14"/>
    </row>
    <row r="26" spans="2:122" s="7" customFormat="1">
      <c r="B26" s="10"/>
      <c r="C26" s="10" t="s">
        <v>39</v>
      </c>
      <c r="D26" s="10">
        <f>+D9/D$8</f>
        <v>0.61229372937293736</v>
      </c>
      <c r="E26" s="10">
        <f t="shared" ref="E26:N26" si="35">+E9/E$8</f>
        <v>0.58639640282635075</v>
      </c>
      <c r="F26" s="10">
        <f t="shared" si="35"/>
        <v>0.5872893798503811</v>
      </c>
      <c r="G26" s="10">
        <f t="shared" si="35"/>
        <v>0.57590345978560875</v>
      </c>
      <c r="H26" s="10">
        <f t="shared" si="35"/>
        <v>0.61019237259534254</v>
      </c>
      <c r="I26" s="10">
        <f t="shared" si="35"/>
        <v>0.60519046701355428</v>
      </c>
      <c r="J26" s="10">
        <f t="shared" si="35"/>
        <v>0.61301148831805852</v>
      </c>
      <c r="K26" s="10">
        <f t="shared" si="35"/>
        <v>0.59376986649713981</v>
      </c>
      <c r="L26" s="10">
        <f t="shared" si="35"/>
        <v>0.6318970047293746</v>
      </c>
      <c r="M26" s="10">
        <f t="shared" si="35"/>
        <v>0.65968245705361794</v>
      </c>
      <c r="N26" s="10">
        <f t="shared" si="35"/>
        <v>0.64507836990595613</v>
      </c>
      <c r="O26" s="10">
        <v>0.65</v>
      </c>
      <c r="P26" s="10">
        <f t="shared" ref="P26" si="36">+P9/P$8</f>
        <v>0.6404343660172469</v>
      </c>
      <c r="Q26" s="10">
        <f t="shared" ref="Q26:R26" si="37">+Q9/Q$8</f>
        <v>0.62903809064609451</v>
      </c>
      <c r="R26" s="10">
        <f t="shared" si="37"/>
        <v>0.63031993826794097</v>
      </c>
      <c r="S26" s="10">
        <f t="shared" ref="S26" si="38">+S9/S$8</f>
        <v>0.59989730716567746</v>
      </c>
      <c r="T26" s="45"/>
      <c r="U26" s="45"/>
      <c r="V26" s="45"/>
      <c r="W26" s="45"/>
      <c r="AJ26" s="10">
        <f>+AJ9/AJ$8</f>
        <v>0.59881437708045038</v>
      </c>
      <c r="AK26" s="10">
        <f>+AK9/AK$8</f>
        <v>0.58930962455144342</v>
      </c>
      <c r="AL26" s="10">
        <f>+AL9/AL$8</f>
        <v>0.60515361116826805</v>
      </c>
      <c r="AM26" s="10">
        <f>+AM9/AM$8</f>
        <v>0.64183922525785375</v>
      </c>
      <c r="AN26" s="10">
        <f>+AN9/AN$8</f>
        <v>0.6243733301311879</v>
      </c>
      <c r="AO26" s="10">
        <f>+AN26</f>
        <v>0.6243733301311879</v>
      </c>
      <c r="AP26" s="10">
        <f t="shared" ref="AP26:AX26" si="39">+AO26</f>
        <v>0.6243733301311879</v>
      </c>
      <c r="AQ26" s="10">
        <f t="shared" si="39"/>
        <v>0.6243733301311879</v>
      </c>
      <c r="AR26" s="10">
        <f t="shared" si="39"/>
        <v>0.6243733301311879</v>
      </c>
      <c r="AS26" s="10">
        <f t="shared" si="39"/>
        <v>0.6243733301311879</v>
      </c>
      <c r="AT26" s="10">
        <f t="shared" si="39"/>
        <v>0.6243733301311879</v>
      </c>
      <c r="AU26" s="10">
        <f t="shared" si="39"/>
        <v>0.6243733301311879</v>
      </c>
      <c r="AV26" s="10">
        <f t="shared" si="39"/>
        <v>0.6243733301311879</v>
      </c>
      <c r="AW26" s="10">
        <f t="shared" si="39"/>
        <v>0.6243733301311879</v>
      </c>
      <c r="AX26" s="10">
        <f t="shared" si="39"/>
        <v>0.6243733301311879</v>
      </c>
      <c r="BA26" s="15" t="s">
        <v>43</v>
      </c>
      <c r="BB26" s="34">
        <v>0.01</v>
      </c>
      <c r="BC26" s="34"/>
      <c r="BD26" s="34"/>
      <c r="BE26" s="35"/>
    </row>
    <row r="27" spans="2:122" s="7" customFormat="1">
      <c r="B27" s="10"/>
      <c r="C27" s="10" t="s">
        <v>40</v>
      </c>
      <c r="D27" s="10">
        <f t="shared" ref="D27:N27" si="40">+D11/D$8</f>
        <v>0.22665016501650165</v>
      </c>
      <c r="E27" s="10">
        <f t="shared" si="40"/>
        <v>0.22782099778745271</v>
      </c>
      <c r="F27" s="10">
        <f t="shared" si="40"/>
        <v>0.22177165629588197</v>
      </c>
      <c r="G27" s="10">
        <f t="shared" si="40"/>
        <v>0.23782014249951849</v>
      </c>
      <c r="H27" s="10">
        <f t="shared" si="40"/>
        <v>0.21687478906513669</v>
      </c>
      <c r="I27" s="10">
        <f t="shared" si="40"/>
        <v>0.22907432389028073</v>
      </c>
      <c r="J27" s="10">
        <f t="shared" si="40"/>
        <v>0.21124306183038596</v>
      </c>
      <c r="K27" s="10">
        <f t="shared" si="40"/>
        <v>0.23053805698433799</v>
      </c>
      <c r="L27" s="10">
        <f t="shared" si="40"/>
        <v>0.21893063583815028</v>
      </c>
      <c r="M27" s="10">
        <f t="shared" si="40"/>
        <v>0.22722540343571057</v>
      </c>
      <c r="N27" s="10">
        <f t="shared" si="40"/>
        <v>0.20570532915360504</v>
      </c>
      <c r="O27" s="10">
        <v>0.23</v>
      </c>
      <c r="P27" s="10">
        <f t="shared" ref="P27" si="41">+P11/P$8</f>
        <v>0.21469179175982117</v>
      </c>
      <c r="Q27" s="10">
        <f t="shared" ref="Q27:R27" si="42">+Q11/Q$8</f>
        <v>0.22932738669238187</v>
      </c>
      <c r="R27" s="10">
        <f t="shared" si="42"/>
        <v>0.22063275360598325</v>
      </c>
      <c r="S27" s="10">
        <f t="shared" ref="S27" si="43">+S11/S$8</f>
        <v>0.22250114103149243</v>
      </c>
      <c r="T27" s="45"/>
      <c r="U27" s="45"/>
      <c r="V27" s="45"/>
      <c r="W27" s="45"/>
      <c r="AJ27" s="10">
        <f>+AJ11/AJ$8</f>
        <v>0.21819949882185735</v>
      </c>
      <c r="AK27" s="10">
        <f>+AK11/AK$8</f>
        <v>0.2288040276364415</v>
      </c>
      <c r="AL27" s="10">
        <f>+AL11/AL$8</f>
        <v>0.22224156760949049</v>
      </c>
      <c r="AM27" s="10">
        <f>+AM11/AM$8</f>
        <v>0.21369970868435556</v>
      </c>
      <c r="AN27" s="10">
        <f>+AN11/AN$8</f>
        <v>0.2218936687580679</v>
      </c>
      <c r="AO27" s="10">
        <f>+AN27</f>
        <v>0.2218936687580679</v>
      </c>
      <c r="AP27" s="10">
        <f t="shared" ref="AP27:AX27" si="44">+AO27</f>
        <v>0.2218936687580679</v>
      </c>
      <c r="AQ27" s="10">
        <f t="shared" si="44"/>
        <v>0.2218936687580679</v>
      </c>
      <c r="AR27" s="10">
        <f t="shared" si="44"/>
        <v>0.2218936687580679</v>
      </c>
      <c r="AS27" s="10">
        <f t="shared" si="44"/>
        <v>0.2218936687580679</v>
      </c>
      <c r="AT27" s="10">
        <f t="shared" si="44"/>
        <v>0.2218936687580679</v>
      </c>
      <c r="AU27" s="10">
        <f t="shared" si="44"/>
        <v>0.2218936687580679</v>
      </c>
      <c r="AV27" s="10">
        <f t="shared" si="44"/>
        <v>0.2218936687580679</v>
      </c>
      <c r="AW27" s="10">
        <f t="shared" si="44"/>
        <v>0.2218936687580679</v>
      </c>
      <c r="AX27" s="10">
        <f t="shared" si="44"/>
        <v>0.2218936687580679</v>
      </c>
      <c r="BA27" s="15" t="s">
        <v>44</v>
      </c>
      <c r="BB27" s="34">
        <v>0.05</v>
      </c>
      <c r="BC27" s="34"/>
      <c r="BD27" s="34"/>
      <c r="BE27" s="35"/>
    </row>
    <row r="28" spans="2:122" s="7" customFormat="1">
      <c r="C28" s="10" t="s">
        <v>42</v>
      </c>
      <c r="D28" s="10">
        <f>+D18/D17</f>
        <v>0.18198307134220076</v>
      </c>
      <c r="E28" s="10">
        <f t="shared" ref="E28:N28" si="45">+E18/E17</f>
        <v>0.1761883994766682</v>
      </c>
      <c r="F28" s="10">
        <f t="shared" si="45"/>
        <v>0.19260780287474336</v>
      </c>
      <c r="G28" s="10">
        <f t="shared" si="45"/>
        <v>0.23633374434854071</v>
      </c>
      <c r="H28" s="10">
        <f t="shared" si="45"/>
        <v>0.25814977973568287</v>
      </c>
      <c r="I28" s="10">
        <f t="shared" si="45"/>
        <v>0.20061864781263808</v>
      </c>
      <c r="J28" s="10">
        <f t="shared" si="45"/>
        <v>0.13021909880115745</v>
      </c>
      <c r="K28" s="10">
        <f t="shared" si="45"/>
        <v>0.28514456630109758</v>
      </c>
      <c r="L28" s="10">
        <f t="shared" si="45"/>
        <v>0.17182817182817176</v>
      </c>
      <c r="M28" s="10">
        <f t="shared" si="45"/>
        <v>0.14822404371584696</v>
      </c>
      <c r="N28" s="10">
        <f t="shared" si="45"/>
        <v>0.21369369369369376</v>
      </c>
      <c r="O28" s="10">
        <v>0.22</v>
      </c>
      <c r="P28" s="10">
        <f t="shared" ref="P28" si="46">+P18/P17</f>
        <v>0.18366257341163911</v>
      </c>
      <c r="Q28" s="10">
        <f t="shared" ref="Q28:R28" si="47">+Q18/Q17</f>
        <v>0.20634920634920631</v>
      </c>
      <c r="R28" s="10">
        <f t="shared" si="47"/>
        <v>0.20778588807785892</v>
      </c>
      <c r="S28" s="10">
        <f t="shared" ref="S28" si="48">+S18/S17</f>
        <v>0.21008094186902088</v>
      </c>
      <c r="T28" s="45"/>
      <c r="U28" s="45"/>
      <c r="V28" s="45"/>
      <c r="W28" s="45"/>
      <c r="BA28" s="15" t="s">
        <v>45</v>
      </c>
      <c r="BB28" s="18">
        <f>NPV(BB27,$AO$21:$DN$21)</f>
        <v>20867.755331042215</v>
      </c>
      <c r="BC28" s="18"/>
      <c r="BD28" s="18"/>
      <c r="BE28" s="19"/>
    </row>
    <row r="29" spans="2:122" s="7" customFormat="1">
      <c r="C29" s="6"/>
      <c r="D29" s="6"/>
      <c r="G29" s="6"/>
      <c r="T29" s="45"/>
      <c r="U29" s="45"/>
      <c r="V29" s="45"/>
      <c r="W29" s="45"/>
      <c r="BA29" s="15" t="s">
        <v>47</v>
      </c>
      <c r="BB29" s="20">
        <f>+model!E7-model!E8</f>
        <v>-4244.7999999999993</v>
      </c>
      <c r="BC29" s="16"/>
      <c r="BD29" s="16"/>
      <c r="BE29" s="17"/>
    </row>
    <row r="30" spans="2:122" s="7" customFormat="1">
      <c r="C30" s="7" t="s">
        <v>36</v>
      </c>
      <c r="D30" s="50">
        <f t="shared" ref="D30:E30" si="49">+D10/D8</f>
        <v>0.3877062706270627</v>
      </c>
      <c r="E30" s="50">
        <f t="shared" si="49"/>
        <v>0.4136035971736492</v>
      </c>
      <c r="F30" s="50">
        <f t="shared" ref="F30:G30" si="50">+F10/F8</f>
        <v>0.41271062014961896</v>
      </c>
      <c r="G30" s="50">
        <f t="shared" si="50"/>
        <v>0.42409654021439119</v>
      </c>
      <c r="H30" s="50">
        <f t="shared" ref="H30:M30" si="51">+H10/H8</f>
        <v>0.38980762740465746</v>
      </c>
      <c r="I30" s="50">
        <f t="shared" si="51"/>
        <v>0.39480953298644567</v>
      </c>
      <c r="J30" s="50">
        <f t="shared" si="51"/>
        <v>0.38698851168194148</v>
      </c>
      <c r="K30" s="50">
        <f t="shared" si="51"/>
        <v>0.40623013350286058</v>
      </c>
      <c r="L30" s="50">
        <f t="shared" si="51"/>
        <v>0.36810299527062534</v>
      </c>
      <c r="M30" s="50">
        <f t="shared" si="51"/>
        <v>0.34031754294638211</v>
      </c>
      <c r="N30" s="50">
        <f>+N10/N8</f>
        <v>0.35492163009404382</v>
      </c>
      <c r="O30" s="50">
        <f>+O10/O8</f>
        <v>0.36844897718563929</v>
      </c>
      <c r="P30" s="50">
        <f>+P10/P8</f>
        <v>0.3595656339827531</v>
      </c>
      <c r="Q30" s="50">
        <f>+Q10/Q8</f>
        <v>0.37096190935390549</v>
      </c>
      <c r="R30" s="50">
        <f>+R10/R8</f>
        <v>0.36968006173205908</v>
      </c>
      <c r="S30" s="50">
        <f>+S10/S8</f>
        <v>0.40010269283432254</v>
      </c>
      <c r="T30" s="45"/>
      <c r="U30" s="45"/>
      <c r="V30" s="45"/>
      <c r="W30" s="45"/>
      <c r="AJ30" s="7">
        <f>+AJ10/AJ8</f>
        <v>0.40118562291954968</v>
      </c>
      <c r="AK30" s="7">
        <f>+AK10/AK8</f>
        <v>0.41069037544855658</v>
      </c>
      <c r="AL30" s="7">
        <f>+AL10/AL8</f>
        <v>0.39484638883173201</v>
      </c>
      <c r="AM30" s="7">
        <f>+AM10/AM8</f>
        <v>0.3581607747421463</v>
      </c>
      <c r="AN30" s="7">
        <f>+AN10/AN8</f>
        <v>0.3756266698688121</v>
      </c>
      <c r="AO30" s="7">
        <f t="shared" ref="AO30:AV30" si="52">+AO10/AO8</f>
        <v>0.3756266698688121</v>
      </c>
      <c r="AP30" s="7">
        <f t="shared" si="52"/>
        <v>0.37562666986881205</v>
      </c>
      <c r="AQ30" s="7">
        <f t="shared" si="52"/>
        <v>0.37562666986881205</v>
      </c>
      <c r="AR30" s="7">
        <f t="shared" si="52"/>
        <v>0.3756266698688121</v>
      </c>
      <c r="AS30" s="7">
        <f t="shared" si="52"/>
        <v>0.3756266698688121</v>
      </c>
      <c r="AT30" s="7">
        <f t="shared" si="52"/>
        <v>0.3756266698688121</v>
      </c>
      <c r="AU30" s="7">
        <f t="shared" si="52"/>
        <v>0.3756266698688121</v>
      </c>
      <c r="AV30" s="7">
        <f t="shared" si="52"/>
        <v>0.37562666986881216</v>
      </c>
      <c r="AW30" s="7">
        <f t="shared" ref="AW30:AX30" si="53">+AW10/AW8</f>
        <v>0.37562666986881216</v>
      </c>
      <c r="AX30" s="7">
        <f t="shared" si="53"/>
        <v>0.37562666986881205</v>
      </c>
      <c r="BA30" s="15" t="s">
        <v>48</v>
      </c>
      <c r="BB30" s="21">
        <f>+BB28+$BB$29</f>
        <v>16622.955331042216</v>
      </c>
      <c r="BC30" s="21"/>
      <c r="BD30" s="21"/>
      <c r="BE30" s="22"/>
    </row>
    <row r="31" spans="2:122" s="7" customFormat="1">
      <c r="C31" s="7" t="s">
        <v>37</v>
      </c>
      <c r="D31" s="7">
        <f t="shared" ref="D31:E31" si="54">+D14/D8</f>
        <v>0.16105610561056105</v>
      </c>
      <c r="E31" s="7">
        <f t="shared" si="54"/>
        <v>0.18578259938619651</v>
      </c>
      <c r="F31" s="7">
        <f t="shared" ref="F31" si="55">+F14/F8</f>
        <v>0.19093896385373696</v>
      </c>
      <c r="G31" s="7">
        <f>+G14/G8</f>
        <v>0.17388792605430387</v>
      </c>
      <c r="H31" s="7">
        <f>+H14/H8</f>
        <v>0.17293283833952075</v>
      </c>
      <c r="I31" s="7">
        <f t="shared" ref="I31:N31" si="56">+I14/I8</f>
        <v>0.16573520909616496</v>
      </c>
      <c r="J31" s="7">
        <f t="shared" si="56"/>
        <v>0.17574544985155552</v>
      </c>
      <c r="K31" s="7">
        <f t="shared" si="56"/>
        <v>0.13211581806623091</v>
      </c>
      <c r="L31" s="7">
        <f>+L14/L8</f>
        <v>0.14917235943247509</v>
      </c>
      <c r="M31" s="7">
        <f t="shared" si="56"/>
        <v>0.11309213951067154</v>
      </c>
      <c r="N31" s="7">
        <f t="shared" si="56"/>
        <v>0.14921630094043881</v>
      </c>
      <c r="O31" s="7">
        <f t="shared" ref="O31:P31" si="57">+O14/O8</f>
        <v>0.16418086423392095</v>
      </c>
      <c r="P31" s="7">
        <f t="shared" si="57"/>
        <v>0.14487384222293195</v>
      </c>
      <c r="Q31" s="7">
        <f t="shared" ref="Q31:R31" si="58">+Q14/Q8</f>
        <v>0.14163452266152363</v>
      </c>
      <c r="R31" s="7">
        <f t="shared" si="58"/>
        <v>0.14904730812607583</v>
      </c>
      <c r="S31" s="7">
        <f t="shared" ref="S31" si="59">+S14/S8</f>
        <v>0.1776015518028301</v>
      </c>
      <c r="T31" s="45"/>
      <c r="U31" s="45"/>
      <c r="V31" s="45"/>
      <c r="W31" s="45"/>
      <c r="AC31" s="7">
        <f t="shared" ref="AC31:AF31" si="60">+AC14/AC8</f>
        <v>0.14405639697090472</v>
      </c>
      <c r="AD31" s="7">
        <f t="shared" si="60"/>
        <v>0.13350632972789447</v>
      </c>
      <c r="AE31" s="7">
        <f t="shared" si="60"/>
        <v>0.14210972850678733</v>
      </c>
      <c r="AF31" s="7">
        <f t="shared" si="60"/>
        <v>0.12764471754765727</v>
      </c>
      <c r="AG31" s="7">
        <f t="shared" ref="AG31:AI31" si="61">+AG14/AG8</f>
        <v>0.15053663738148776</v>
      </c>
      <c r="AH31" s="7">
        <f t="shared" si="61"/>
        <v>0.1479398769634061</v>
      </c>
      <c r="AI31" s="7">
        <f t="shared" si="61"/>
        <v>0.16804329788036509</v>
      </c>
      <c r="AJ31" s="7">
        <f t="shared" ref="AJ31" si="62">+AJ14/AJ8</f>
        <v>0.17909638328907504</v>
      </c>
      <c r="AK31" s="7">
        <f t="shared" ref="AK31:AL31" si="63">+AK14/AK8</f>
        <v>0.17844071911877599</v>
      </c>
      <c r="AL31" s="7">
        <f t="shared" si="63"/>
        <v>0.16067047594928688</v>
      </c>
      <c r="AM31" s="7">
        <f t="shared" ref="AM31:AN31" si="64">+AM14/AM8</f>
        <v>0.13598929218171799</v>
      </c>
      <c r="AN31" s="7">
        <f t="shared" si="64"/>
        <v>0.14454684638707935</v>
      </c>
      <c r="AO31" s="7">
        <f t="shared" ref="AO31:AV31" si="65">+AO14/AO8</f>
        <v>0.15373300111074417</v>
      </c>
      <c r="AP31" s="7">
        <f t="shared" si="65"/>
        <v>0.15373300111074414</v>
      </c>
      <c r="AQ31" s="7">
        <f t="shared" si="65"/>
        <v>0.15373300111074414</v>
      </c>
      <c r="AR31" s="7">
        <f t="shared" si="65"/>
        <v>0.1537330011107442</v>
      </c>
      <c r="AS31" s="7">
        <f t="shared" si="65"/>
        <v>0.15373300111074423</v>
      </c>
      <c r="AT31" s="7">
        <f t="shared" si="65"/>
        <v>0.1537330011107442</v>
      </c>
      <c r="AU31" s="7">
        <f t="shared" si="65"/>
        <v>0.15373300111074417</v>
      </c>
      <c r="AV31" s="7">
        <f t="shared" si="65"/>
        <v>0.15373300111074423</v>
      </c>
      <c r="AW31" s="7">
        <f t="shared" ref="AW31:AX31" si="66">+AW14/AW8</f>
        <v>0.15373300111074426</v>
      </c>
      <c r="AX31" s="7">
        <f t="shared" si="66"/>
        <v>0.15373300111074417</v>
      </c>
      <c r="BA31" s="15" t="s">
        <v>22</v>
      </c>
      <c r="BB31" s="23">
        <f>+model!E5</f>
        <v>268.237168</v>
      </c>
      <c r="BC31" s="16"/>
      <c r="BD31" s="16"/>
      <c r="BE31" s="17"/>
    </row>
    <row r="32" spans="2:122">
      <c r="BA32" s="24" t="s">
        <v>46</v>
      </c>
      <c r="BB32" s="25">
        <f>+BB30/BB31</f>
        <v>61.971111069299006</v>
      </c>
      <c r="BC32" s="26"/>
      <c r="BD32" s="26"/>
      <c r="BE32" s="27"/>
    </row>
    <row r="33" spans="3:57">
      <c r="BA33" s="28" t="s">
        <v>49</v>
      </c>
      <c r="BB33" s="20">
        <f>+model!E4</f>
        <v>70.03</v>
      </c>
      <c r="BC33" s="20"/>
      <c r="BD33" s="20"/>
      <c r="BE33" s="29"/>
    </row>
    <row r="34" spans="3:57" s="5" customFormat="1">
      <c r="C34" s="5" t="s">
        <v>78</v>
      </c>
      <c r="D34" s="42">
        <f t="shared" ref="D34:R34" si="67">+D35-SUM(D45:D46,D49)</f>
        <v>0</v>
      </c>
      <c r="E34" s="42">
        <f t="shared" si="67"/>
        <v>0</v>
      </c>
      <c r="F34" s="42">
        <f t="shared" si="67"/>
        <v>0</v>
      </c>
      <c r="G34" s="42">
        <f t="shared" si="67"/>
        <v>0</v>
      </c>
      <c r="H34" s="42">
        <f t="shared" si="67"/>
        <v>0</v>
      </c>
      <c r="I34" s="42">
        <f t="shared" si="67"/>
        <v>0</v>
      </c>
      <c r="J34" s="42">
        <f t="shared" si="67"/>
        <v>0</v>
      </c>
      <c r="K34" s="42">
        <f t="shared" si="67"/>
        <v>0</v>
      </c>
      <c r="L34" s="42">
        <f t="shared" si="67"/>
        <v>0</v>
      </c>
      <c r="M34" s="42">
        <f t="shared" si="67"/>
        <v>0</v>
      </c>
      <c r="N34" s="42">
        <f t="shared" si="67"/>
        <v>-5017.9000000000005</v>
      </c>
      <c r="O34" s="42">
        <f t="shared" si="67"/>
        <v>-4815.6000000000004</v>
      </c>
      <c r="P34" s="42">
        <f t="shared" si="67"/>
        <v>-4849</v>
      </c>
      <c r="Q34" s="42">
        <f t="shared" ref="Q34" si="68">+Q35-SUM(Q45:Q46,Q49)</f>
        <v>-4736.1000000000004</v>
      </c>
      <c r="R34" s="42">
        <f t="shared" ref="R34" si="69">+R35-SUM(R45:R46,R49)</f>
        <v>-4622.4000000000005</v>
      </c>
      <c r="S34" s="42">
        <f t="shared" ref="S34" si="70">+S35-SUM(S45:S46,S49)</f>
        <v>-4244.7999999999993</v>
      </c>
      <c r="T34" s="42"/>
      <c r="U34" s="42"/>
      <c r="V34" s="42"/>
      <c r="W34" s="42"/>
      <c r="BA34" s="46"/>
      <c r="BB34" s="47"/>
      <c r="BC34" s="47"/>
      <c r="BD34" s="47"/>
      <c r="BE34" s="48"/>
    </row>
    <row r="35" spans="3:57">
      <c r="C35" s="3" t="s">
        <v>51</v>
      </c>
      <c r="N35" s="3">
        <v>343.9</v>
      </c>
      <c r="O35" s="3">
        <v>334</v>
      </c>
      <c r="P35" s="41">
        <v>356.8</v>
      </c>
      <c r="Q35" s="41">
        <v>127.4</v>
      </c>
      <c r="R35" s="41">
        <v>154.69999999999999</v>
      </c>
      <c r="S35" s="3">
        <v>166.6</v>
      </c>
      <c r="BA35" s="30" t="s">
        <v>50</v>
      </c>
      <c r="BB35" s="31">
        <f>+BB32/BB33-1</f>
        <v>-0.11507766572470357</v>
      </c>
      <c r="BC35" s="32"/>
      <c r="BD35" s="32"/>
      <c r="BE35" s="33"/>
    </row>
    <row r="36" spans="3:57">
      <c r="C36" s="3" t="s">
        <v>53</v>
      </c>
      <c r="N36" s="3">
        <v>565.79999999999995</v>
      </c>
      <c r="O36" s="3">
        <v>573.70000000000005</v>
      </c>
      <c r="P36" s="41">
        <v>571</v>
      </c>
      <c r="Q36" s="41">
        <v>557.20000000000005</v>
      </c>
      <c r="R36" s="41">
        <v>624.5</v>
      </c>
      <c r="S36" s="3">
        <v>587.5</v>
      </c>
    </row>
    <row r="37" spans="3:57">
      <c r="C37" s="3" t="s">
        <v>54</v>
      </c>
      <c r="N37" s="3">
        <v>1379.5</v>
      </c>
      <c r="O37" s="3">
        <v>1340.1</v>
      </c>
      <c r="P37" s="41">
        <v>1344.6</v>
      </c>
      <c r="Q37" s="41">
        <v>1276.2</v>
      </c>
      <c r="R37" s="41">
        <v>1225.5</v>
      </c>
      <c r="S37" s="3">
        <v>1126.5</v>
      </c>
    </row>
    <row r="38" spans="3:57">
      <c r="C38" s="3" t="s">
        <v>55</v>
      </c>
      <c r="N38" s="3">
        <v>123.6</v>
      </c>
      <c r="O38" s="3">
        <v>138.9</v>
      </c>
      <c r="P38" s="41">
        <v>138.9</v>
      </c>
      <c r="Q38" s="41">
        <v>143.19999999999999</v>
      </c>
      <c r="R38" s="41">
        <v>122.8</v>
      </c>
      <c r="S38" s="3">
        <v>121</v>
      </c>
    </row>
    <row r="39" spans="3:57">
      <c r="C39" s="3" t="s">
        <v>56</v>
      </c>
      <c r="N39" s="3">
        <v>1139.0999999999999</v>
      </c>
      <c r="O39" s="3">
        <v>1198</v>
      </c>
      <c r="P39" s="41">
        <v>1225.2</v>
      </c>
      <c r="Q39" s="41">
        <v>1249.5999999999999</v>
      </c>
      <c r="R39" s="41">
        <v>1285.7</v>
      </c>
      <c r="S39" s="3">
        <v>1324.7</v>
      </c>
    </row>
    <row r="40" spans="3:57">
      <c r="C40" s="3" t="s">
        <v>57</v>
      </c>
      <c r="N40" s="3">
        <v>5209.7</v>
      </c>
      <c r="O40" s="3">
        <v>5212.8999999999996</v>
      </c>
      <c r="P40" s="41">
        <v>5229.7</v>
      </c>
      <c r="Q40" s="41">
        <v>5235.3999999999996</v>
      </c>
      <c r="R40" s="41">
        <v>5252.4</v>
      </c>
      <c r="S40" s="3">
        <v>5260.1</v>
      </c>
    </row>
    <row r="41" spans="3:57">
      <c r="C41" s="3" t="s">
        <v>58</v>
      </c>
      <c r="N41" s="3">
        <v>3396.6</v>
      </c>
      <c r="O41" s="3">
        <v>3387.9</v>
      </c>
      <c r="P41" s="41">
        <v>3381.7</v>
      </c>
      <c r="Q41" s="41">
        <v>3371.9</v>
      </c>
      <c r="R41" s="41">
        <v>3364.4</v>
      </c>
      <c r="S41" s="3">
        <v>3356.7</v>
      </c>
    </row>
    <row r="42" spans="3:57">
      <c r="C42" s="3" t="s">
        <v>59</v>
      </c>
      <c r="N42" s="3">
        <v>782.8</v>
      </c>
      <c r="O42" s="3">
        <v>939.4</v>
      </c>
      <c r="P42" s="41">
        <v>957.5</v>
      </c>
      <c r="Q42" s="41">
        <v>947.3</v>
      </c>
      <c r="R42" s="41">
        <v>960.1</v>
      </c>
      <c r="S42" s="3">
        <v>919.2</v>
      </c>
    </row>
    <row r="43" spans="3:57" s="5" customFormat="1">
      <c r="C43" s="5" t="s">
        <v>60</v>
      </c>
      <c r="N43" s="5">
        <f>+SUM(N35:N42)</f>
        <v>12940.999999999998</v>
      </c>
      <c r="O43" s="5">
        <f>+SUM(O35:O42)</f>
        <v>13124.9</v>
      </c>
      <c r="P43" s="5">
        <f>+SUM(P35:P42)</f>
        <v>13205.400000000001</v>
      </c>
      <c r="Q43" s="5">
        <f>+SUM(Q35:Q42)</f>
        <v>12908.199999999999</v>
      </c>
      <c r="R43" s="5">
        <f>+SUM(R35:R42)</f>
        <v>12990.099999999999</v>
      </c>
      <c r="S43" s="5">
        <f>+SUM(S35:S42)</f>
        <v>12862.300000000003</v>
      </c>
      <c r="T43" s="42"/>
      <c r="U43" s="42"/>
      <c r="V43" s="42"/>
      <c r="W43" s="42"/>
    </row>
    <row r="44" spans="3:57">
      <c r="S44" s="3"/>
    </row>
    <row r="45" spans="3:57">
      <c r="C45" s="3" t="s">
        <v>71</v>
      </c>
      <c r="N45" s="41">
        <v>1436.4</v>
      </c>
      <c r="O45" s="41">
        <v>1236.7</v>
      </c>
      <c r="P45" s="41">
        <v>1304.8</v>
      </c>
      <c r="Q45" s="41">
        <v>460.2</v>
      </c>
      <c r="R45" s="41">
        <v>387</v>
      </c>
      <c r="S45" s="41">
        <v>272.2</v>
      </c>
    </row>
    <row r="46" spans="3:57">
      <c r="C46" s="3" t="s">
        <v>72</v>
      </c>
      <c r="N46" s="41">
        <v>20.6</v>
      </c>
      <c r="O46" s="41">
        <v>270.60000000000002</v>
      </c>
      <c r="P46" s="41">
        <v>281.2</v>
      </c>
      <c r="Q46" s="41">
        <v>285.7</v>
      </c>
      <c r="R46" s="41">
        <v>1004.8</v>
      </c>
      <c r="S46" s="41">
        <v>799.3</v>
      </c>
    </row>
    <row r="47" spans="3:57">
      <c r="C47" s="3" t="s">
        <v>73</v>
      </c>
      <c r="N47" s="41">
        <v>1143.5</v>
      </c>
      <c r="O47" s="41">
        <v>1171</v>
      </c>
      <c r="P47" s="41">
        <v>1124.3</v>
      </c>
      <c r="Q47" s="41">
        <v>1100</v>
      </c>
      <c r="R47" s="41">
        <v>1099.9000000000001</v>
      </c>
      <c r="S47" s="41">
        <v>1119.3</v>
      </c>
    </row>
    <row r="48" spans="3:57">
      <c r="C48" s="3" t="s">
        <v>74</v>
      </c>
      <c r="N48" s="41">
        <v>539.9</v>
      </c>
      <c r="O48" s="41">
        <v>754.1</v>
      </c>
      <c r="P48" s="41">
        <v>610.70000000000005</v>
      </c>
      <c r="Q48" s="41">
        <v>641.20000000000005</v>
      </c>
      <c r="R48" s="41">
        <v>679.3</v>
      </c>
      <c r="S48" s="41">
        <v>908.1</v>
      </c>
    </row>
    <row r="49" spans="3:23">
      <c r="C49" s="3" t="s">
        <v>75</v>
      </c>
      <c r="N49" s="41">
        <v>3904.8</v>
      </c>
      <c r="O49" s="41">
        <v>3642.3</v>
      </c>
      <c r="P49" s="41">
        <v>3619.8</v>
      </c>
      <c r="Q49" s="41">
        <v>4117.6000000000004</v>
      </c>
      <c r="R49" s="41">
        <v>3385.3</v>
      </c>
      <c r="S49" s="41">
        <v>3339.9</v>
      </c>
    </row>
    <row r="50" spans="3:23">
      <c r="C50" s="3" t="s">
        <v>76</v>
      </c>
      <c r="N50" s="41">
        <v>816.3</v>
      </c>
      <c r="O50" s="41">
        <v>866.3</v>
      </c>
      <c r="P50" s="41">
        <v>866.7</v>
      </c>
      <c r="Q50" s="41">
        <v>862.5</v>
      </c>
      <c r="R50" s="41">
        <v>864.5</v>
      </c>
      <c r="S50" s="41">
        <v>861.2</v>
      </c>
    </row>
    <row r="51" spans="3:23">
      <c r="C51" s="3" t="s">
        <v>77</v>
      </c>
      <c r="N51" s="41">
        <v>472.8</v>
      </c>
      <c r="O51" s="41">
        <v>484.7</v>
      </c>
      <c r="P51" s="41">
        <v>510.2</v>
      </c>
      <c r="Q51" s="41">
        <v>484.1</v>
      </c>
      <c r="R51" s="41">
        <v>499.2</v>
      </c>
      <c r="S51" s="41">
        <v>478.8</v>
      </c>
    </row>
    <row r="52" spans="3:23">
      <c r="C52" s="3" t="s">
        <v>70</v>
      </c>
      <c r="N52" s="41">
        <v>4606.7</v>
      </c>
      <c r="O52" s="41">
        <v>4699.2</v>
      </c>
      <c r="P52" s="41">
        <v>4887.7</v>
      </c>
      <c r="Q52" s="41">
        <v>4956.8999999999996</v>
      </c>
      <c r="R52" s="41">
        <v>5070.1000000000004</v>
      </c>
      <c r="S52" s="41">
        <v>5083.5</v>
      </c>
    </row>
    <row r="53" spans="3:23" s="5" customFormat="1">
      <c r="C53" s="5" t="s">
        <v>69</v>
      </c>
      <c r="N53" s="42">
        <f>SUM(N45:N52)</f>
        <v>12941</v>
      </c>
      <c r="O53" s="42">
        <f>SUM(O45:O52)</f>
        <v>13124.900000000001</v>
      </c>
      <c r="P53" s="42">
        <f>SUM(P45:P52)</f>
        <v>13205.400000000001</v>
      </c>
      <c r="Q53" s="42">
        <f>SUM(Q45:Q52)</f>
        <v>12908.2</v>
      </c>
      <c r="R53" s="42">
        <f>SUM(R45:R52)</f>
        <v>12990.1</v>
      </c>
      <c r="S53" s="42">
        <f>SUM(S45:S52)</f>
        <v>12862.3</v>
      </c>
      <c r="T53" s="42"/>
      <c r="U53" s="42"/>
      <c r="V53" s="42"/>
      <c r="W53" s="42"/>
    </row>
  </sheetData>
  <pageMargins left="0.7" right="0.7" top="0.75" bottom="0.75" header="0.3" footer="0.3"/>
  <ignoredErrors>
    <ignoredError sqref="K10:K11 N10:O11 S10:S11 AO21:AX21 K14:K27 N14:O28 S14:S23" formula="1"/>
  </ignoredError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7874-B2B8-A245-9A81-CB8BFA968A07}">
  <dimension ref="A1:F12"/>
  <sheetViews>
    <sheetView zoomScale="200" zoomScaleNormal="200" workbookViewId="0">
      <selection activeCell="C4" sqref="C4"/>
    </sheetView>
  </sheetViews>
  <sheetFormatPr baseColWidth="10" defaultRowHeight="14"/>
  <cols>
    <col min="1" max="1" width="6" style="1" bestFit="1" customWidth="1"/>
    <col min="2" max="2" width="12.33203125" style="36" bestFit="1" customWidth="1"/>
    <col min="3" max="3" width="10.83203125" style="1"/>
    <col min="4" max="4" width="4.83203125" style="1" bestFit="1" customWidth="1"/>
    <col min="5" max="5" width="8.83203125" style="2" bestFit="1" customWidth="1"/>
    <col min="6" max="6" width="5.1640625" style="40" bestFit="1" customWidth="1"/>
    <col min="7" max="16384" width="10.83203125" style="1"/>
  </cols>
  <sheetData>
    <row r="1" spans="1:6">
      <c r="A1" s="1" t="s">
        <v>25</v>
      </c>
    </row>
    <row r="4" spans="1:6">
      <c r="D4" s="3" t="s">
        <v>26</v>
      </c>
      <c r="E4" s="38">
        <v>70.03</v>
      </c>
      <c r="F4" s="4"/>
    </row>
    <row r="5" spans="1:6">
      <c r="D5" s="3" t="s">
        <v>27</v>
      </c>
      <c r="E5" s="38">
        <f>16.796438+251.44073</f>
        <v>268.237168</v>
      </c>
      <c r="F5" s="4">
        <v>2023</v>
      </c>
    </row>
    <row r="6" spans="1:6">
      <c r="B6" s="36" t="s">
        <v>38</v>
      </c>
      <c r="D6" s="3" t="s">
        <v>28</v>
      </c>
      <c r="E6" s="38">
        <f>+E4*E5</f>
        <v>18784.648875039999</v>
      </c>
      <c r="F6" s="4"/>
    </row>
    <row r="7" spans="1:6">
      <c r="B7" s="37">
        <v>44866</v>
      </c>
      <c r="D7" s="3" t="s">
        <v>29</v>
      </c>
      <c r="E7" s="38">
        <v>166.6</v>
      </c>
      <c r="F7" s="4">
        <f>+F5</f>
        <v>2023</v>
      </c>
    </row>
    <row r="8" spans="1:6">
      <c r="B8" s="37" t="s">
        <v>41</v>
      </c>
      <c r="D8" s="3" t="s">
        <v>30</v>
      </c>
      <c r="E8" s="38">
        <f>272.2+799.3+3339.9</f>
        <v>4411.3999999999996</v>
      </c>
      <c r="F8" s="4">
        <f>+F7</f>
        <v>2023</v>
      </c>
    </row>
    <row r="9" spans="1:6">
      <c r="D9" s="3" t="s">
        <v>31</v>
      </c>
      <c r="E9" s="38">
        <f>+E6-E7+E8</f>
        <v>23029.448875039998</v>
      </c>
      <c r="F9" s="4"/>
    </row>
    <row r="12" spans="1:6">
      <c r="B12" s="36" t="s">
        <v>52</v>
      </c>
    </row>
  </sheetData>
  <hyperlinks>
    <hyperlink ref="B7" r:id="rId1" display="https://ir.mccormick.com/news-releases/news-release-details/mccormick-announces-lisa-manzones-plan-retire" xr:uid="{DBB02231-9E9B-3B47-967E-F665F52A6B68}"/>
    <hyperlink ref="B8" r:id="rId2" xr:uid="{17EB53B2-A0FA-544C-8035-C4AF67F3254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jameel</cp:lastModifiedBy>
  <dcterms:created xsi:type="dcterms:W3CDTF">2022-11-11T21:37:09Z</dcterms:created>
  <dcterms:modified xsi:type="dcterms:W3CDTF">2024-03-24T03:30:45Z</dcterms:modified>
</cp:coreProperties>
</file>