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D808D58-6110-CE4E-80E2-1944B7388368}" xr6:coauthVersionLast="47" xr6:coauthVersionMax="47" xr10:uidLastSave="{00000000-0000-0000-0000-000000000000}"/>
  <bookViews>
    <workbookView xWindow="15880" yWindow="2940" windowWidth="38240" windowHeight="25480" activeTab="1" xr2:uid="{17B2CB87-A25A-0F47-93F0-AC6ECC212FFA}"/>
  </bookViews>
  <sheets>
    <sheet name="Model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I33" i="1"/>
  <c r="J33" i="1"/>
  <c r="K33" i="1"/>
  <c r="L33" i="1"/>
  <c r="K7" i="2"/>
  <c r="AR43" i="1"/>
  <c r="AE27" i="1"/>
  <c r="AD27" i="1"/>
  <c r="AC27" i="1"/>
  <c r="S83" i="1" l="1"/>
  <c r="S82" i="1"/>
  <c r="T83" i="1"/>
  <c r="T82" i="1"/>
  <c r="U83" i="1"/>
  <c r="U82" i="1"/>
  <c r="V83" i="1"/>
  <c r="V82" i="1"/>
  <c r="W83" i="1"/>
  <c r="W82" i="1"/>
  <c r="AB83" i="1"/>
  <c r="AA83" i="1"/>
  <c r="Z83" i="1"/>
  <c r="Y83" i="1"/>
  <c r="X83" i="1"/>
  <c r="X82" i="1"/>
  <c r="Y82" i="1"/>
  <c r="K83" i="1"/>
  <c r="G83" i="1"/>
  <c r="Z82" i="1"/>
  <c r="AA82" i="1"/>
  <c r="AB82" i="1"/>
  <c r="G82" i="1"/>
  <c r="K82" i="1"/>
  <c r="H81" i="1"/>
  <c r="I81" i="1" s="1"/>
  <c r="J81" i="1" s="1"/>
  <c r="H80" i="1"/>
  <c r="L81" i="1"/>
  <c r="L82" i="1" s="1"/>
  <c r="L80" i="1"/>
  <c r="K77" i="1"/>
  <c r="G77" i="1"/>
  <c r="K64" i="1"/>
  <c r="J64" i="1"/>
  <c r="K63" i="1"/>
  <c r="J63" i="1"/>
  <c r="K62" i="1"/>
  <c r="J62" i="1"/>
  <c r="L64" i="1"/>
  <c r="L63" i="1"/>
  <c r="L62" i="1"/>
  <c r="K61" i="1"/>
  <c r="J61" i="1"/>
  <c r="I61" i="1"/>
  <c r="L61" i="1"/>
  <c r="I57" i="1"/>
  <c r="I59" i="1" s="1"/>
  <c r="I45" i="1"/>
  <c r="K57" i="1"/>
  <c r="K59" i="1" s="1"/>
  <c r="K45" i="1"/>
  <c r="H11" i="1"/>
  <c r="H8" i="1" s="1"/>
  <c r="L11" i="1"/>
  <c r="L8" i="1" s="1"/>
  <c r="G11" i="1"/>
  <c r="G16" i="1" s="1"/>
  <c r="G18" i="1" s="1"/>
  <c r="G20" i="1" s="1"/>
  <c r="G22" i="1" s="1"/>
  <c r="K11" i="1"/>
  <c r="K16" i="1" s="1"/>
  <c r="K18" i="1" s="1"/>
  <c r="K20" i="1" s="1"/>
  <c r="K22" i="1" s="1"/>
  <c r="L4" i="1"/>
  <c r="J57" i="1"/>
  <c r="J59" i="1" s="1"/>
  <c r="J45" i="1"/>
  <c r="AD11" i="1"/>
  <c r="AE11" i="1" s="1"/>
  <c r="AF11" i="1" s="1"/>
  <c r="AG11" i="1" s="1"/>
  <c r="AH11" i="1" s="1"/>
  <c r="AI11" i="1" s="1"/>
  <c r="AJ11" i="1" s="1"/>
  <c r="AK11" i="1" s="1"/>
  <c r="AL11" i="1" s="1"/>
  <c r="AR34" i="1"/>
  <c r="AR32" i="1"/>
  <c r="AC12" i="1"/>
  <c r="AC28" i="1" s="1"/>
  <c r="AC21" i="1"/>
  <c r="AD21" i="1" s="1"/>
  <c r="AE21" i="1" s="1"/>
  <c r="AF21" i="1" s="1"/>
  <c r="AG21" i="1" s="1"/>
  <c r="AH21" i="1" s="1"/>
  <c r="AI21" i="1" s="1"/>
  <c r="AJ21" i="1" s="1"/>
  <c r="AK21" i="1" s="1"/>
  <c r="AL21" i="1" s="1"/>
  <c r="AC15" i="1"/>
  <c r="AC14" i="1"/>
  <c r="AC13" i="1"/>
  <c r="AB33" i="1"/>
  <c r="AR30" i="1" s="1"/>
  <c r="L57" i="1"/>
  <c r="L59" i="1" s="1"/>
  <c r="L45" i="1"/>
  <c r="S27" i="1"/>
  <c r="R17" i="1"/>
  <c r="R28" i="1"/>
  <c r="R16" i="1"/>
  <c r="R29" i="1" s="1"/>
  <c r="T27" i="1"/>
  <c r="S17" i="1"/>
  <c r="S28" i="1"/>
  <c r="S16" i="1"/>
  <c r="S29" i="1" s="1"/>
  <c r="U27" i="1"/>
  <c r="V27" i="1"/>
  <c r="T17" i="1"/>
  <c r="T28" i="1"/>
  <c r="T16" i="1"/>
  <c r="T29" i="1" s="1"/>
  <c r="U17" i="1"/>
  <c r="U28" i="1"/>
  <c r="U16" i="1"/>
  <c r="U29" i="1" s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W27" i="1"/>
  <c r="V17" i="1"/>
  <c r="V28" i="1"/>
  <c r="V16" i="1"/>
  <c r="V29" i="1" s="1"/>
  <c r="X27" i="1"/>
  <c r="W17" i="1"/>
  <c r="W28" i="1"/>
  <c r="W16" i="1"/>
  <c r="W29" i="1" s="1"/>
  <c r="X28" i="1"/>
  <c r="Y27" i="1"/>
  <c r="X17" i="1"/>
  <c r="X16" i="1"/>
  <c r="X29" i="1" s="1"/>
  <c r="Z27" i="1"/>
  <c r="Y28" i="1"/>
  <c r="Y17" i="1"/>
  <c r="Y16" i="1"/>
  <c r="Y29" i="1" s="1"/>
  <c r="I27" i="1"/>
  <c r="F19" i="1"/>
  <c r="F15" i="1"/>
  <c r="F14" i="1"/>
  <c r="F13" i="1"/>
  <c r="F12" i="1"/>
  <c r="F11" i="1"/>
  <c r="J19" i="1"/>
  <c r="J15" i="1"/>
  <c r="J14" i="1"/>
  <c r="J13" i="1"/>
  <c r="J12" i="1"/>
  <c r="AA17" i="1"/>
  <c r="F17" i="1" s="1"/>
  <c r="AB28" i="1"/>
  <c r="AA28" i="1"/>
  <c r="Z28" i="1"/>
  <c r="AA27" i="1"/>
  <c r="AB27" i="1"/>
  <c r="Z17" i="1"/>
  <c r="Z16" i="1"/>
  <c r="AA16" i="1"/>
  <c r="AA29" i="1" s="1"/>
  <c r="AB17" i="1"/>
  <c r="J17" i="1" s="1"/>
  <c r="AB16" i="1"/>
  <c r="C28" i="1"/>
  <c r="C16" i="1"/>
  <c r="C18" i="1" s="1"/>
  <c r="C20" i="1" s="1"/>
  <c r="C22" i="1" s="1"/>
  <c r="D28" i="1"/>
  <c r="D16" i="1"/>
  <c r="D18" i="1" s="1"/>
  <c r="D20" i="1" s="1"/>
  <c r="D22" i="1" s="1"/>
  <c r="I28" i="1"/>
  <c r="E28" i="1"/>
  <c r="G28" i="1"/>
  <c r="E16" i="1"/>
  <c r="E18" i="1" s="1"/>
  <c r="E20" i="1" s="1"/>
  <c r="E22" i="1" s="1"/>
  <c r="I16" i="1"/>
  <c r="I18" i="1" s="1"/>
  <c r="I20" i="1" s="1"/>
  <c r="I22" i="1" s="1"/>
  <c r="L7" i="2"/>
  <c r="L8" i="2" s="1"/>
  <c r="K6" i="2"/>
  <c r="K9" i="2" s="1"/>
  <c r="AR38" i="1" s="1"/>
  <c r="AR44" i="1" s="1"/>
  <c r="I80" i="1" l="1"/>
  <c r="I82" i="1" s="1"/>
  <c r="I77" i="1"/>
  <c r="C77" i="1"/>
  <c r="D77" i="1"/>
  <c r="E77" i="1"/>
  <c r="I83" i="1"/>
  <c r="H82" i="1"/>
  <c r="L27" i="1"/>
  <c r="L16" i="1"/>
  <c r="L29" i="1" s="1"/>
  <c r="L28" i="1"/>
  <c r="K28" i="1"/>
  <c r="G27" i="1"/>
  <c r="H16" i="1"/>
  <c r="H18" i="1" s="1"/>
  <c r="H20" i="1" s="1"/>
  <c r="H27" i="1"/>
  <c r="H28" i="1"/>
  <c r="I72" i="1"/>
  <c r="I73" i="1" s="1"/>
  <c r="J11" i="1"/>
  <c r="J27" i="1" s="1"/>
  <c r="K27" i="1"/>
  <c r="AD12" i="1"/>
  <c r="AD13" i="1"/>
  <c r="AD15" i="1"/>
  <c r="AD14" i="1"/>
  <c r="AL27" i="1"/>
  <c r="AC16" i="1"/>
  <c r="AC18" i="1" s="1"/>
  <c r="AE12" i="1"/>
  <c r="AE28" i="1" s="1"/>
  <c r="AI27" i="1"/>
  <c r="AD28" i="1"/>
  <c r="AB18" i="1"/>
  <c r="AB20" i="1" s="1"/>
  <c r="AB22" i="1" s="1"/>
  <c r="F28" i="1"/>
  <c r="Z18" i="1"/>
  <c r="Z20" i="1" s="1"/>
  <c r="Z22" i="1" s="1"/>
  <c r="R18" i="1"/>
  <c r="R20" i="1" s="1"/>
  <c r="R22" i="1" s="1"/>
  <c r="S18" i="1"/>
  <c r="S20" i="1" s="1"/>
  <c r="S22" i="1" s="1"/>
  <c r="T18" i="1"/>
  <c r="T20" i="1" s="1"/>
  <c r="T22" i="1" s="1"/>
  <c r="U18" i="1"/>
  <c r="U20" i="1" s="1"/>
  <c r="U22" i="1" s="1"/>
  <c r="C29" i="1"/>
  <c r="Z29" i="1"/>
  <c r="D29" i="1"/>
  <c r="Y18" i="1"/>
  <c r="Y20" i="1" s="1"/>
  <c r="Y22" i="1" s="1"/>
  <c r="AB29" i="1"/>
  <c r="F16" i="1"/>
  <c r="F29" i="1" s="1"/>
  <c r="K29" i="1"/>
  <c r="E29" i="1"/>
  <c r="AA18" i="1"/>
  <c r="G29" i="1"/>
  <c r="I29" i="1"/>
  <c r="V18" i="1"/>
  <c r="V20" i="1" s="1"/>
  <c r="V22" i="1" s="1"/>
  <c r="W18" i="1"/>
  <c r="W20" i="1" s="1"/>
  <c r="W22" i="1" s="1"/>
  <c r="X18" i="1"/>
  <c r="X20" i="1" s="1"/>
  <c r="X22" i="1" s="1"/>
  <c r="J80" i="1" l="1"/>
  <c r="J82" i="1" s="1"/>
  <c r="K86" i="1" s="1"/>
  <c r="L18" i="1"/>
  <c r="L20" i="1" s="1"/>
  <c r="H22" i="1"/>
  <c r="J22" i="1" s="1"/>
  <c r="H83" i="1"/>
  <c r="H77" i="1"/>
  <c r="J16" i="1"/>
  <c r="H29" i="1"/>
  <c r="AC19" i="1"/>
  <c r="AC20" i="1" s="1"/>
  <c r="J29" i="1"/>
  <c r="J28" i="1"/>
  <c r="AD16" i="1"/>
  <c r="AD29" i="1" s="1"/>
  <c r="J20" i="1"/>
  <c r="J18" i="1"/>
  <c r="AI12" i="1"/>
  <c r="AE15" i="1"/>
  <c r="AF15" i="1" s="1"/>
  <c r="AG15" i="1" s="1"/>
  <c r="AH15" i="1" s="1"/>
  <c r="AI15" i="1" s="1"/>
  <c r="AJ15" i="1" s="1"/>
  <c r="AK15" i="1" s="1"/>
  <c r="AL15" i="1" s="1"/>
  <c r="AG27" i="1"/>
  <c r="AL12" i="1"/>
  <c r="AK27" i="1"/>
  <c r="AF12" i="1"/>
  <c r="AF28" i="1" s="1"/>
  <c r="AE13" i="1"/>
  <c r="AF13" i="1" s="1"/>
  <c r="AG13" i="1" s="1"/>
  <c r="AH13" i="1" s="1"/>
  <c r="AI13" i="1" s="1"/>
  <c r="AJ13" i="1" s="1"/>
  <c r="AK13" i="1" s="1"/>
  <c r="AL13" i="1" s="1"/>
  <c r="AH27" i="1"/>
  <c r="AC29" i="1"/>
  <c r="AE14" i="1"/>
  <c r="AF14" i="1" s="1"/>
  <c r="AG14" i="1" s="1"/>
  <c r="AH14" i="1" s="1"/>
  <c r="AI14" i="1" s="1"/>
  <c r="AJ14" i="1" s="1"/>
  <c r="AK14" i="1" s="1"/>
  <c r="AL14" i="1" s="1"/>
  <c r="AF27" i="1"/>
  <c r="AK12" i="1"/>
  <c r="AJ27" i="1"/>
  <c r="AJ12" i="1"/>
  <c r="AH12" i="1"/>
  <c r="AG12" i="1"/>
  <c r="AG28" i="1" s="1"/>
  <c r="AA20" i="1"/>
  <c r="F18" i="1"/>
  <c r="AR39" i="1" l="1"/>
  <c r="AC33" i="1"/>
  <c r="AD17" i="1" s="1"/>
  <c r="J86" i="1"/>
  <c r="L22" i="1"/>
  <c r="L77" i="1"/>
  <c r="L83" i="1"/>
  <c r="L86" i="1"/>
  <c r="K87" i="1"/>
  <c r="J87" i="1"/>
  <c r="J21" i="1"/>
  <c r="J77" i="1"/>
  <c r="J83" i="1"/>
  <c r="AC22" i="1"/>
  <c r="AF16" i="1"/>
  <c r="AF29" i="1" s="1"/>
  <c r="AE16" i="1"/>
  <c r="AE29" i="1" s="1"/>
  <c r="AG16" i="1"/>
  <c r="AG29" i="1" s="1"/>
  <c r="AH28" i="1"/>
  <c r="AA22" i="1"/>
  <c r="F22" i="1" s="1"/>
  <c r="F20" i="1"/>
  <c r="AD18" i="1" l="1"/>
  <c r="AD19" i="1" s="1"/>
  <c r="AD20" i="1" s="1"/>
  <c r="F77" i="1"/>
  <c r="F83" i="1"/>
  <c r="L87" i="1"/>
  <c r="AI28" i="1"/>
  <c r="AH16" i="1"/>
  <c r="AH29" i="1" s="1"/>
  <c r="F21" i="1"/>
  <c r="AR40" i="1" l="1"/>
  <c r="AD33" i="1"/>
  <c r="AD22" i="1"/>
  <c r="AI16" i="1"/>
  <c r="AI29" i="1" s="1"/>
  <c r="AJ28" i="1"/>
  <c r="AE17" i="1" l="1"/>
  <c r="AE18" i="1" s="1"/>
  <c r="AE19" i="1" s="1"/>
  <c r="AE20" i="1" s="1"/>
  <c r="AJ16" i="1"/>
  <c r="AJ29" i="1" s="1"/>
  <c r="AK28" i="1"/>
  <c r="AE33" i="1" l="1"/>
  <c r="AF17" i="1" s="1"/>
  <c r="AF18" i="1" s="1"/>
  <c r="AF19" i="1" s="1"/>
  <c r="AF20" i="1" s="1"/>
  <c r="AF22" i="1" s="1"/>
  <c r="AR41" i="1"/>
  <c r="AE22" i="1"/>
  <c r="AF33" i="1"/>
  <c r="AG17" i="1" s="1"/>
  <c r="AG18" i="1"/>
  <c r="AG19" i="1" s="1"/>
  <c r="AG20" i="1" s="1"/>
  <c r="AG22" i="1" s="1"/>
  <c r="AK16" i="1"/>
  <c r="AK29" i="1" s="1"/>
  <c r="AG33" i="1" l="1"/>
  <c r="AH17" i="1" s="1"/>
  <c r="AH18" i="1"/>
  <c r="AH19" i="1" s="1"/>
  <c r="AH20" i="1" s="1"/>
  <c r="AH22" i="1" s="1"/>
  <c r="AL16" i="1"/>
  <c r="AL29" i="1" s="1"/>
  <c r="AL28" i="1"/>
  <c r="AH33" i="1" l="1"/>
  <c r="AI17" i="1" l="1"/>
  <c r="AI18" i="1" s="1"/>
  <c r="AI19" i="1" s="1"/>
  <c r="AI20" i="1" s="1"/>
  <c r="AI22" i="1" l="1"/>
  <c r="AI33" i="1"/>
  <c r="AJ17" i="1" s="1"/>
  <c r="AJ18" i="1" s="1"/>
  <c r="AJ19" i="1" s="1"/>
  <c r="AJ20" i="1" s="1"/>
  <c r="AJ22" i="1" s="1"/>
  <c r="AJ33" i="1" l="1"/>
  <c r="AK17" i="1" l="1"/>
  <c r="AK18" i="1" s="1"/>
  <c r="AK19" i="1" l="1"/>
  <c r="AK20" i="1"/>
  <c r="AK22" i="1" l="1"/>
  <c r="AK33" i="1"/>
  <c r="AL17" i="1" s="1"/>
  <c r="AL18" i="1" s="1"/>
  <c r="AL19" i="1" s="1"/>
  <c r="AL20" i="1" s="1"/>
  <c r="AL22" i="1" s="1"/>
  <c r="AL33" i="1" l="1"/>
  <c r="AM20" i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AR29" i="1" s="1"/>
  <c r="AR31" i="1" s="1"/>
  <c r="AR33" i="1" s="1"/>
  <c r="AR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tc={4603F859-5B16-104E-B1F0-2FA90310FA7F}</author>
  </authors>
  <commentList>
    <comment ref="B3" authorId="0" shapeId="0" xr:uid="{4603F859-5B16-104E-B1F0-2FA90310FA7F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shipping fees and net of refunds</t>
      </text>
    </comment>
  </commentList>
</comments>
</file>

<file path=xl/sharedStrings.xml><?xml version="1.0" encoding="utf-8"?>
<sst xmlns="http://schemas.openxmlformats.org/spreadsheetml/2006/main" count="128" uniqueCount="117">
  <si>
    <t>Price</t>
  </si>
  <si>
    <t>Shares</t>
  </si>
  <si>
    <t>Market Cap</t>
  </si>
  <si>
    <t>Cash</t>
  </si>
  <si>
    <t>Debt</t>
  </si>
  <si>
    <t xml:space="preserve">Enterprise Value </t>
  </si>
  <si>
    <t xml:space="preserve">CEO </t>
  </si>
  <si>
    <t xml:space="preserve">CFO </t>
  </si>
  <si>
    <t>Press Releases</t>
  </si>
  <si>
    <t>$M except Price</t>
  </si>
  <si>
    <t>Q224</t>
  </si>
  <si>
    <t>Q124</t>
  </si>
  <si>
    <t>Q423</t>
  </si>
  <si>
    <t>Q323</t>
  </si>
  <si>
    <t>Q223</t>
  </si>
  <si>
    <t>Q123</t>
  </si>
  <si>
    <t>Q122</t>
  </si>
  <si>
    <t>Q222</t>
  </si>
  <si>
    <t>Q322</t>
  </si>
  <si>
    <t>Q422</t>
  </si>
  <si>
    <t>Q324</t>
  </si>
  <si>
    <t>Q424</t>
  </si>
  <si>
    <t>R</t>
  </si>
  <si>
    <t>C</t>
  </si>
  <si>
    <t>Marketing</t>
  </si>
  <si>
    <t>Product Dev</t>
  </si>
  <si>
    <t>G&amp;A</t>
  </si>
  <si>
    <t xml:space="preserve">Operating Income </t>
  </si>
  <si>
    <t>Other Income</t>
  </si>
  <si>
    <t>EBT</t>
  </si>
  <si>
    <t>Taxes</t>
  </si>
  <si>
    <t xml:space="preserve">Net Income </t>
  </si>
  <si>
    <t>$M</t>
  </si>
  <si>
    <t>R Y/Y</t>
  </si>
  <si>
    <t xml:space="preserve">GM % </t>
  </si>
  <si>
    <t xml:space="preserve">OM % </t>
  </si>
  <si>
    <t>EPS</t>
  </si>
  <si>
    <t>Diluted</t>
  </si>
  <si>
    <t xml:space="preserve">L </t>
  </si>
  <si>
    <t>E</t>
  </si>
  <si>
    <t>L  + E</t>
  </si>
  <si>
    <t xml:space="preserve">Total Assets </t>
  </si>
  <si>
    <t xml:space="preserve">Cash </t>
  </si>
  <si>
    <t>Investments</t>
  </si>
  <si>
    <t>A/R</t>
  </si>
  <si>
    <t>Prepaid Exp</t>
  </si>
  <si>
    <t>Funds rec</t>
  </si>
  <si>
    <t>PPE</t>
  </si>
  <si>
    <t>Goodwill</t>
  </si>
  <si>
    <t>Intangible assets</t>
  </si>
  <si>
    <t>Deferred TA</t>
  </si>
  <si>
    <t>OA</t>
  </si>
  <si>
    <t>A/P</t>
  </si>
  <si>
    <t>Accrued Exp</t>
  </si>
  <si>
    <t>Fin Lease</t>
  </si>
  <si>
    <t>Funds Payable</t>
  </si>
  <si>
    <t>Deferred R</t>
  </si>
  <si>
    <t>OCL</t>
  </si>
  <si>
    <t>Fin Lease LT</t>
  </si>
  <si>
    <t>Deferred Tax Liab</t>
  </si>
  <si>
    <t>LTD</t>
  </si>
  <si>
    <t>OL</t>
  </si>
  <si>
    <t xml:space="preserve">Net Cash </t>
  </si>
  <si>
    <t>Long Term Investments</t>
  </si>
  <si>
    <t>EBITDA</t>
  </si>
  <si>
    <t xml:space="preserve">Terminal </t>
  </si>
  <si>
    <t>NPV</t>
  </si>
  <si>
    <t>Discount</t>
  </si>
  <si>
    <t>Net Cash</t>
  </si>
  <si>
    <t xml:space="preserve">Total Value </t>
  </si>
  <si>
    <t xml:space="preserve">Estimate </t>
  </si>
  <si>
    <t>Current</t>
  </si>
  <si>
    <t>Upside</t>
  </si>
  <si>
    <t>EV/E24</t>
  </si>
  <si>
    <t>EV</t>
  </si>
  <si>
    <t>EV/E25</t>
  </si>
  <si>
    <t>EV/E26</t>
  </si>
  <si>
    <t>Gross Merchandise Sales</t>
  </si>
  <si>
    <t>Active Sellers</t>
  </si>
  <si>
    <t>Active Buyers</t>
  </si>
  <si>
    <t>GMS Y/Y</t>
  </si>
  <si>
    <t>Avg Rev Per Seller</t>
  </si>
  <si>
    <t>Market Place</t>
  </si>
  <si>
    <t>Services</t>
  </si>
  <si>
    <t xml:space="preserve">Working Capital </t>
  </si>
  <si>
    <t>Starting</t>
  </si>
  <si>
    <t>SBC</t>
  </si>
  <si>
    <t>Vested Options</t>
  </si>
  <si>
    <t>Stock Buybacks</t>
  </si>
  <si>
    <t>Other compr. Loss</t>
  </si>
  <si>
    <t>Net Income</t>
  </si>
  <si>
    <t xml:space="preserve">Ending Book Value </t>
  </si>
  <si>
    <t>RSUs</t>
  </si>
  <si>
    <t xml:space="preserve">c/c Cash </t>
  </si>
  <si>
    <t>c/c Short Term Investments</t>
  </si>
  <si>
    <t>c/c Long Term Investments</t>
  </si>
  <si>
    <t xml:space="preserve">Model Net Income </t>
  </si>
  <si>
    <t>CFFO</t>
  </si>
  <si>
    <t>Capex</t>
  </si>
  <si>
    <t>Free Cash Flow</t>
  </si>
  <si>
    <t>4Q FCF</t>
  </si>
  <si>
    <t>4Q NI</t>
  </si>
  <si>
    <t>EV / 4Q FCF</t>
  </si>
  <si>
    <t xml:space="preserve">Josh Silverman </t>
  </si>
  <si>
    <t>Rachel Glaser</t>
  </si>
  <si>
    <t xml:space="preserve">CTO </t>
  </si>
  <si>
    <t xml:space="preserve">Rachana Kumar </t>
  </si>
  <si>
    <t>COO/CMO</t>
  </si>
  <si>
    <t>Raina Moskowitz</t>
  </si>
  <si>
    <t>HR</t>
  </si>
  <si>
    <t>Toni Thompson</t>
  </si>
  <si>
    <t>CPO</t>
  </si>
  <si>
    <t xml:space="preserve">Nick Daniel </t>
  </si>
  <si>
    <t xml:space="preserve">CLO </t>
  </si>
  <si>
    <t xml:space="preserve">Colin Stretch </t>
  </si>
  <si>
    <t xml:space="preserve">Management 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</si>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</sst>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5" formatCode="0.0"/>
    <numFmt numFmtId="168" formatCode="0.0\x"/>
  </numFmts>
  <fonts count="8">
    <font>
      <sz val="10"/>
      <color theme="1"/>
      <name val="ArialMT"/>
      <family val="2"/>
    </font>
    <font>
      <u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i/>
      <sz val="8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3" fillId="0" borderId="0" xfId="1" applyNumberFormat="1"/>
    <xf numFmtId="9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right"/>
    </xf>
    <xf numFmtId="3" fontId="4" fillId="0" borderId="0" xfId="0" applyNumberFormat="1" applyFont="1"/>
    <xf numFmtId="10" fontId="0" fillId="0" borderId="0" xfId="0" applyNumberFormat="1"/>
    <xf numFmtId="8" fontId="0" fillId="0" borderId="0" xfId="0" applyNumberFormat="1"/>
    <xf numFmtId="168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left"/>
    </xf>
    <xf numFmtId="3" fontId="2" fillId="0" borderId="0" xfId="0" applyNumberFormat="1" applyFont="1"/>
    <xf numFmtId="3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9622</xdr:colOff>
      <xdr:row>0</xdr:row>
      <xdr:rowOff>48106</xdr:rowOff>
    </xdr:from>
    <xdr:to>
      <xdr:col>12</xdr:col>
      <xdr:colOff>19242</xdr:colOff>
      <xdr:row>110</xdr:row>
      <xdr:rowOff>57727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4E0C23-A667-DE21-AF5B-03AB5F047014}"/>
            </a:ext>
          </a:extLst>
        </xdr:cNvPr>
        <xdr:cNvCxnSpPr/>
      </xdr:nvCxnSpPr>
      <xdr:spPr>
        <a:xfrm>
          <a:off x="6119092" y="48106"/>
          <a:ext cx="9620" cy="181456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19242</xdr:rowOff>
    </xdr:from>
    <xdr:to>
      <xdr:col>28</xdr:col>
      <xdr:colOff>48106</xdr:colOff>
      <xdr:row>112</xdr:row>
      <xdr:rowOff>96212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69E9CDC-C8E4-2043-A40A-13D00F2C3650}"/>
            </a:ext>
          </a:extLst>
        </xdr:cNvPr>
        <xdr:cNvCxnSpPr/>
      </xdr:nvCxnSpPr>
      <xdr:spPr>
        <a:xfrm>
          <a:off x="13498561" y="19242"/>
          <a:ext cx="48106" cy="185400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A76C4AA-9A67-C045-A3C5-85B1F9D37007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9-23T14:49:34.57" personId="{2A76C4AA-9A67-C045-A3C5-85B1F9D37007}" id="{4603F859-5B16-104E-B1F0-2FA90310FA7F}">
    <text>Excludes shipping fees and net of refunds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sy.com/team/member/cstretch" TargetMode="External"/><Relationship Id="rId3" Type="http://schemas.openxmlformats.org/officeDocument/2006/relationships/hyperlink" Target="https://www.etsy.com/team/member/rglaser" TargetMode="External"/><Relationship Id="rId7" Type="http://schemas.openxmlformats.org/officeDocument/2006/relationships/hyperlink" Target="https://www.etsy.com/team/member/ndaniel" TargetMode="External"/><Relationship Id="rId2" Type="http://schemas.openxmlformats.org/officeDocument/2006/relationships/hyperlink" Target="https://www.etsy.com/team/member/jsilverman" TargetMode="External"/><Relationship Id="rId1" Type="http://schemas.openxmlformats.org/officeDocument/2006/relationships/hyperlink" Target="https://s22.q4cdn.com/941741262/files/doc_financials/2024/q2/Exhibit-99-1-Q2-2024-1.pdf" TargetMode="External"/><Relationship Id="rId6" Type="http://schemas.openxmlformats.org/officeDocument/2006/relationships/hyperlink" Target="https://www.etsy.com/team/member/tthompson" TargetMode="External"/><Relationship Id="rId5" Type="http://schemas.openxmlformats.org/officeDocument/2006/relationships/hyperlink" Target="https://www.etsy.com/team/member/rmoskowitz" TargetMode="External"/><Relationship Id="rId4" Type="http://schemas.openxmlformats.org/officeDocument/2006/relationships/hyperlink" Target="https://www.etsy.com/team/member/rku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42EB-E5FA-C545-A161-E88513D444C7}">
  <dimension ref="A1:ID87"/>
  <sheetViews>
    <sheetView zoomScale="132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I43" sqref="AI43"/>
    </sheetView>
  </sheetViews>
  <sheetFormatPr baseColWidth="10" defaultRowHeight="13"/>
  <cols>
    <col min="1" max="1" width="3.5" style="1" bestFit="1" customWidth="1"/>
    <col min="2" max="2" width="21" style="1" bestFit="1" customWidth="1"/>
    <col min="3" max="11" width="5.5" style="1" bestFit="1" customWidth="1"/>
    <col min="12" max="12" width="6.1640625" style="1" bestFit="1" customWidth="1"/>
    <col min="13" max="14" width="5.5" style="1" bestFit="1" customWidth="1"/>
    <col min="15" max="16" width="10.83203125" style="1"/>
    <col min="17" max="24" width="5.1640625" style="1" bestFit="1" customWidth="1"/>
    <col min="25" max="38" width="5.6640625" style="1" bestFit="1" customWidth="1"/>
    <col min="39" max="42" width="5.1640625" style="1" bestFit="1" customWidth="1"/>
    <col min="43" max="43" width="11" style="1" bestFit="1" customWidth="1"/>
    <col min="44" max="44" width="9.6640625" style="1" bestFit="1" customWidth="1"/>
    <col min="45" max="78" width="5.1640625" style="1" bestFit="1" customWidth="1"/>
    <col min="79" max="238" width="5.6640625" style="1" bestFit="1" customWidth="1"/>
    <col min="239" max="16384" width="10.83203125" style="1"/>
  </cols>
  <sheetData>
    <row r="1" spans="1:238">
      <c r="A1" s="1" t="s">
        <v>32</v>
      </c>
    </row>
    <row r="2" spans="1:238" s="6" customFormat="1">
      <c r="C2" s="6" t="s">
        <v>16</v>
      </c>
      <c r="D2" s="6" t="s">
        <v>17</v>
      </c>
      <c r="E2" s="6" t="s">
        <v>18</v>
      </c>
      <c r="F2" s="6" t="s">
        <v>19</v>
      </c>
      <c r="G2" s="6" t="s">
        <v>15</v>
      </c>
      <c r="H2" s="6" t="s">
        <v>14</v>
      </c>
      <c r="I2" s="6" t="s">
        <v>13</v>
      </c>
      <c r="J2" s="6" t="s">
        <v>12</v>
      </c>
      <c r="K2" s="6" t="s">
        <v>11</v>
      </c>
      <c r="L2" s="6" t="s">
        <v>10</v>
      </c>
      <c r="M2" s="6" t="s">
        <v>20</v>
      </c>
      <c r="N2" s="6" t="s">
        <v>21</v>
      </c>
      <c r="Q2" s="6">
        <v>2012</v>
      </c>
      <c r="R2" s="6">
        <f>+Q2+1</f>
        <v>2013</v>
      </c>
      <c r="S2" s="6">
        <f>+R2+1</f>
        <v>2014</v>
      </c>
      <c r="T2" s="6">
        <f>+S2+1</f>
        <v>2015</v>
      </c>
      <c r="U2" s="6">
        <f>+T2+1</f>
        <v>2016</v>
      </c>
      <c r="V2" s="6">
        <f t="shared" ref="V2:AP2" si="0">+U2+1</f>
        <v>2017</v>
      </c>
      <c r="W2" s="6">
        <f t="shared" si="0"/>
        <v>2018</v>
      </c>
      <c r="X2" s="6">
        <f t="shared" si="0"/>
        <v>2019</v>
      </c>
      <c r="Y2" s="6">
        <f t="shared" si="0"/>
        <v>2020</v>
      </c>
      <c r="Z2" s="6">
        <f t="shared" si="0"/>
        <v>2021</v>
      </c>
      <c r="AA2" s="6">
        <f t="shared" si="0"/>
        <v>2022</v>
      </c>
      <c r="AB2" s="6">
        <f t="shared" si="0"/>
        <v>2023</v>
      </c>
      <c r="AC2" s="6">
        <f t="shared" si="0"/>
        <v>2024</v>
      </c>
      <c r="AD2" s="6">
        <f t="shared" si="0"/>
        <v>2025</v>
      </c>
      <c r="AE2" s="6">
        <f t="shared" si="0"/>
        <v>2026</v>
      </c>
      <c r="AF2" s="6">
        <f t="shared" si="0"/>
        <v>2027</v>
      </c>
      <c r="AG2" s="6">
        <f t="shared" si="0"/>
        <v>2028</v>
      </c>
      <c r="AH2" s="6">
        <f t="shared" si="0"/>
        <v>2029</v>
      </c>
      <c r="AI2" s="6">
        <f t="shared" si="0"/>
        <v>2030</v>
      </c>
      <c r="AJ2" s="6">
        <f t="shared" si="0"/>
        <v>2031</v>
      </c>
      <c r="AK2" s="6">
        <f t="shared" si="0"/>
        <v>2032</v>
      </c>
      <c r="AL2" s="6">
        <f t="shared" si="0"/>
        <v>2033</v>
      </c>
      <c r="AM2" s="6">
        <f t="shared" si="0"/>
        <v>2034</v>
      </c>
      <c r="AN2" s="6">
        <f t="shared" si="0"/>
        <v>2035</v>
      </c>
      <c r="AO2" s="6">
        <f t="shared" si="0"/>
        <v>2036</v>
      </c>
      <c r="AP2" s="6">
        <f t="shared" si="0"/>
        <v>2037</v>
      </c>
      <c r="AQ2" s="6">
        <f t="shared" ref="AQ2:DB2" si="1">+AP2+1</f>
        <v>2038</v>
      </c>
      <c r="AR2" s="6">
        <f t="shared" si="1"/>
        <v>2039</v>
      </c>
      <c r="AS2" s="6">
        <f t="shared" si="1"/>
        <v>2040</v>
      </c>
      <c r="AT2" s="6">
        <f t="shared" si="1"/>
        <v>2041</v>
      </c>
      <c r="AU2" s="6">
        <f t="shared" si="1"/>
        <v>2042</v>
      </c>
      <c r="AV2" s="6">
        <f t="shared" si="1"/>
        <v>2043</v>
      </c>
      <c r="AW2" s="6">
        <f t="shared" si="1"/>
        <v>2044</v>
      </c>
      <c r="AX2" s="6">
        <f t="shared" si="1"/>
        <v>2045</v>
      </c>
      <c r="AY2" s="6">
        <f t="shared" si="1"/>
        <v>2046</v>
      </c>
      <c r="AZ2" s="6">
        <f t="shared" si="1"/>
        <v>2047</v>
      </c>
      <c r="BA2" s="6">
        <f t="shared" si="1"/>
        <v>2048</v>
      </c>
      <c r="BB2" s="6">
        <f t="shared" si="1"/>
        <v>2049</v>
      </c>
      <c r="BC2" s="6">
        <f t="shared" si="1"/>
        <v>2050</v>
      </c>
      <c r="BD2" s="6">
        <f t="shared" si="1"/>
        <v>2051</v>
      </c>
      <c r="BE2" s="6">
        <f t="shared" si="1"/>
        <v>2052</v>
      </c>
      <c r="BF2" s="6">
        <f t="shared" si="1"/>
        <v>2053</v>
      </c>
      <c r="BG2" s="6">
        <f t="shared" si="1"/>
        <v>2054</v>
      </c>
      <c r="BH2" s="6">
        <f t="shared" si="1"/>
        <v>2055</v>
      </c>
      <c r="BI2" s="6">
        <f t="shared" si="1"/>
        <v>2056</v>
      </c>
      <c r="BJ2" s="6">
        <f t="shared" si="1"/>
        <v>2057</v>
      </c>
      <c r="BK2" s="6">
        <f t="shared" si="1"/>
        <v>2058</v>
      </c>
      <c r="BL2" s="6">
        <f t="shared" si="1"/>
        <v>2059</v>
      </c>
      <c r="BM2" s="6">
        <f t="shared" si="1"/>
        <v>2060</v>
      </c>
      <c r="BN2" s="6">
        <f t="shared" si="1"/>
        <v>2061</v>
      </c>
      <c r="BO2" s="6">
        <f t="shared" si="1"/>
        <v>2062</v>
      </c>
      <c r="BP2" s="6">
        <f t="shared" si="1"/>
        <v>2063</v>
      </c>
      <c r="BQ2" s="6">
        <f t="shared" si="1"/>
        <v>2064</v>
      </c>
      <c r="BR2" s="6">
        <f t="shared" si="1"/>
        <v>2065</v>
      </c>
      <c r="BS2" s="6">
        <f t="shared" si="1"/>
        <v>2066</v>
      </c>
      <c r="BT2" s="6">
        <f t="shared" si="1"/>
        <v>2067</v>
      </c>
      <c r="BU2" s="6">
        <f t="shared" si="1"/>
        <v>2068</v>
      </c>
      <c r="BV2" s="6">
        <f t="shared" si="1"/>
        <v>2069</v>
      </c>
      <c r="BW2" s="6">
        <f t="shared" si="1"/>
        <v>2070</v>
      </c>
      <c r="BX2" s="6">
        <f t="shared" si="1"/>
        <v>2071</v>
      </c>
      <c r="BY2" s="6">
        <f t="shared" si="1"/>
        <v>2072</v>
      </c>
      <c r="BZ2" s="6">
        <f t="shared" si="1"/>
        <v>2073</v>
      </c>
      <c r="CA2" s="6">
        <f t="shared" si="1"/>
        <v>2074</v>
      </c>
      <c r="CB2" s="6">
        <f t="shared" si="1"/>
        <v>2075</v>
      </c>
      <c r="CC2" s="6">
        <f t="shared" si="1"/>
        <v>2076</v>
      </c>
      <c r="CD2" s="6">
        <f t="shared" si="1"/>
        <v>2077</v>
      </c>
      <c r="CE2" s="6">
        <f t="shared" si="1"/>
        <v>2078</v>
      </c>
      <c r="CF2" s="6">
        <f t="shared" si="1"/>
        <v>2079</v>
      </c>
      <c r="CG2" s="6">
        <f t="shared" si="1"/>
        <v>2080</v>
      </c>
      <c r="CH2" s="6">
        <f t="shared" si="1"/>
        <v>2081</v>
      </c>
      <c r="CI2" s="6">
        <f t="shared" si="1"/>
        <v>2082</v>
      </c>
      <c r="CJ2" s="6">
        <f t="shared" si="1"/>
        <v>2083</v>
      </c>
      <c r="CK2" s="6">
        <f t="shared" si="1"/>
        <v>2084</v>
      </c>
      <c r="CL2" s="6">
        <f t="shared" si="1"/>
        <v>2085</v>
      </c>
      <c r="CM2" s="6">
        <f t="shared" si="1"/>
        <v>2086</v>
      </c>
      <c r="CN2" s="6">
        <f t="shared" si="1"/>
        <v>2087</v>
      </c>
      <c r="CO2" s="6">
        <f t="shared" si="1"/>
        <v>2088</v>
      </c>
      <c r="CP2" s="6">
        <f t="shared" si="1"/>
        <v>2089</v>
      </c>
      <c r="CQ2" s="6">
        <f t="shared" si="1"/>
        <v>2090</v>
      </c>
      <c r="CR2" s="6">
        <f t="shared" si="1"/>
        <v>2091</v>
      </c>
      <c r="CS2" s="6">
        <f t="shared" si="1"/>
        <v>2092</v>
      </c>
      <c r="CT2" s="6">
        <f t="shared" si="1"/>
        <v>2093</v>
      </c>
      <c r="CU2" s="6">
        <f t="shared" si="1"/>
        <v>2094</v>
      </c>
      <c r="CV2" s="6">
        <f t="shared" si="1"/>
        <v>2095</v>
      </c>
      <c r="CW2" s="6">
        <f t="shared" si="1"/>
        <v>2096</v>
      </c>
      <c r="CX2" s="6">
        <f t="shared" si="1"/>
        <v>2097</v>
      </c>
      <c r="CY2" s="6">
        <f t="shared" si="1"/>
        <v>2098</v>
      </c>
      <c r="CZ2" s="6">
        <f t="shared" si="1"/>
        <v>2099</v>
      </c>
      <c r="DA2" s="6">
        <f t="shared" si="1"/>
        <v>2100</v>
      </c>
      <c r="DB2" s="6">
        <f t="shared" si="1"/>
        <v>2101</v>
      </c>
      <c r="DC2" s="6">
        <f t="shared" ref="DC2:FN2" si="2">+DB2+1</f>
        <v>2102</v>
      </c>
      <c r="DD2" s="6">
        <f t="shared" si="2"/>
        <v>2103</v>
      </c>
      <c r="DE2" s="6">
        <f t="shared" si="2"/>
        <v>2104</v>
      </c>
      <c r="DF2" s="6">
        <f t="shared" si="2"/>
        <v>2105</v>
      </c>
      <c r="DG2" s="6">
        <f t="shared" si="2"/>
        <v>2106</v>
      </c>
      <c r="DH2" s="6">
        <f t="shared" si="2"/>
        <v>2107</v>
      </c>
      <c r="DI2" s="6">
        <f t="shared" si="2"/>
        <v>2108</v>
      </c>
      <c r="DJ2" s="6">
        <f t="shared" si="2"/>
        <v>2109</v>
      </c>
      <c r="DK2" s="6">
        <f t="shared" si="2"/>
        <v>2110</v>
      </c>
      <c r="DL2" s="6">
        <f t="shared" si="2"/>
        <v>2111</v>
      </c>
      <c r="DM2" s="6">
        <f t="shared" si="2"/>
        <v>2112</v>
      </c>
      <c r="DN2" s="6">
        <f t="shared" si="2"/>
        <v>2113</v>
      </c>
      <c r="DO2" s="6">
        <f t="shared" si="2"/>
        <v>2114</v>
      </c>
      <c r="DP2" s="6">
        <f t="shared" si="2"/>
        <v>2115</v>
      </c>
      <c r="DQ2" s="6">
        <f t="shared" si="2"/>
        <v>2116</v>
      </c>
      <c r="DR2" s="6">
        <f t="shared" si="2"/>
        <v>2117</v>
      </c>
      <c r="DS2" s="6">
        <f t="shared" si="2"/>
        <v>2118</v>
      </c>
      <c r="DT2" s="6">
        <f t="shared" si="2"/>
        <v>2119</v>
      </c>
      <c r="DU2" s="6">
        <f t="shared" si="2"/>
        <v>2120</v>
      </c>
      <c r="DV2" s="6">
        <f t="shared" si="2"/>
        <v>2121</v>
      </c>
      <c r="DW2" s="6">
        <f t="shared" si="2"/>
        <v>2122</v>
      </c>
      <c r="DX2" s="6">
        <f t="shared" si="2"/>
        <v>2123</v>
      </c>
      <c r="DY2" s="6">
        <f t="shared" si="2"/>
        <v>2124</v>
      </c>
      <c r="DZ2" s="6">
        <f t="shared" si="2"/>
        <v>2125</v>
      </c>
      <c r="EA2" s="6">
        <f t="shared" si="2"/>
        <v>2126</v>
      </c>
      <c r="EB2" s="6">
        <f t="shared" si="2"/>
        <v>2127</v>
      </c>
      <c r="EC2" s="6">
        <f t="shared" si="2"/>
        <v>2128</v>
      </c>
      <c r="ED2" s="6">
        <f t="shared" si="2"/>
        <v>2129</v>
      </c>
      <c r="EE2" s="6">
        <f t="shared" si="2"/>
        <v>2130</v>
      </c>
      <c r="EF2" s="6">
        <f t="shared" si="2"/>
        <v>2131</v>
      </c>
      <c r="EG2" s="6">
        <f t="shared" si="2"/>
        <v>2132</v>
      </c>
      <c r="EH2" s="6">
        <f t="shared" si="2"/>
        <v>2133</v>
      </c>
      <c r="EI2" s="6">
        <f t="shared" si="2"/>
        <v>2134</v>
      </c>
      <c r="EJ2" s="6">
        <f t="shared" si="2"/>
        <v>2135</v>
      </c>
      <c r="EK2" s="6">
        <f t="shared" si="2"/>
        <v>2136</v>
      </c>
      <c r="EL2" s="6">
        <f t="shared" si="2"/>
        <v>2137</v>
      </c>
      <c r="EM2" s="6">
        <f t="shared" si="2"/>
        <v>2138</v>
      </c>
      <c r="EN2" s="6">
        <f t="shared" si="2"/>
        <v>2139</v>
      </c>
      <c r="EO2" s="6">
        <f t="shared" si="2"/>
        <v>2140</v>
      </c>
      <c r="EP2" s="6">
        <f t="shared" si="2"/>
        <v>2141</v>
      </c>
      <c r="EQ2" s="6">
        <f t="shared" si="2"/>
        <v>2142</v>
      </c>
      <c r="ER2" s="6">
        <f t="shared" si="2"/>
        <v>2143</v>
      </c>
      <c r="ES2" s="6">
        <f t="shared" si="2"/>
        <v>2144</v>
      </c>
      <c r="ET2" s="6">
        <f t="shared" si="2"/>
        <v>2145</v>
      </c>
      <c r="EU2" s="6">
        <f t="shared" si="2"/>
        <v>2146</v>
      </c>
      <c r="EV2" s="6">
        <f t="shared" si="2"/>
        <v>2147</v>
      </c>
      <c r="EW2" s="6">
        <f t="shared" si="2"/>
        <v>2148</v>
      </c>
      <c r="EX2" s="6">
        <f t="shared" si="2"/>
        <v>2149</v>
      </c>
      <c r="EY2" s="6">
        <f t="shared" si="2"/>
        <v>2150</v>
      </c>
      <c r="EZ2" s="6">
        <f t="shared" si="2"/>
        <v>2151</v>
      </c>
      <c r="FA2" s="6">
        <f t="shared" si="2"/>
        <v>2152</v>
      </c>
      <c r="FB2" s="6">
        <f t="shared" si="2"/>
        <v>2153</v>
      </c>
      <c r="FC2" s="6">
        <f t="shared" si="2"/>
        <v>2154</v>
      </c>
      <c r="FD2" s="6">
        <f t="shared" si="2"/>
        <v>2155</v>
      </c>
      <c r="FE2" s="6">
        <f t="shared" si="2"/>
        <v>2156</v>
      </c>
      <c r="FF2" s="6">
        <f t="shared" si="2"/>
        <v>2157</v>
      </c>
      <c r="FG2" s="6">
        <f t="shared" si="2"/>
        <v>2158</v>
      </c>
      <c r="FH2" s="6">
        <f t="shared" si="2"/>
        <v>2159</v>
      </c>
      <c r="FI2" s="6">
        <f t="shared" si="2"/>
        <v>2160</v>
      </c>
      <c r="FJ2" s="6">
        <f t="shared" si="2"/>
        <v>2161</v>
      </c>
      <c r="FK2" s="6">
        <f t="shared" si="2"/>
        <v>2162</v>
      </c>
      <c r="FL2" s="6">
        <f t="shared" si="2"/>
        <v>2163</v>
      </c>
      <c r="FM2" s="6">
        <f t="shared" si="2"/>
        <v>2164</v>
      </c>
      <c r="FN2" s="6">
        <f t="shared" si="2"/>
        <v>2165</v>
      </c>
      <c r="FO2" s="6">
        <f t="shared" ref="FO2:GQ2" si="3">+FN2+1</f>
        <v>2166</v>
      </c>
      <c r="FP2" s="6">
        <f t="shared" si="3"/>
        <v>2167</v>
      </c>
      <c r="FQ2" s="6">
        <f t="shared" si="3"/>
        <v>2168</v>
      </c>
      <c r="FR2" s="6">
        <f t="shared" si="3"/>
        <v>2169</v>
      </c>
      <c r="FS2" s="6">
        <f t="shared" si="3"/>
        <v>2170</v>
      </c>
      <c r="FT2" s="6">
        <f t="shared" si="3"/>
        <v>2171</v>
      </c>
      <c r="FU2" s="6">
        <f t="shared" si="3"/>
        <v>2172</v>
      </c>
      <c r="FV2" s="6">
        <f t="shared" si="3"/>
        <v>2173</v>
      </c>
      <c r="FW2" s="6">
        <f t="shared" si="3"/>
        <v>2174</v>
      </c>
      <c r="FX2" s="6">
        <f t="shared" si="3"/>
        <v>2175</v>
      </c>
      <c r="FY2" s="6">
        <f t="shared" si="3"/>
        <v>2176</v>
      </c>
      <c r="FZ2" s="6">
        <f t="shared" si="3"/>
        <v>2177</v>
      </c>
      <c r="GA2" s="6">
        <f t="shared" si="3"/>
        <v>2178</v>
      </c>
      <c r="GB2" s="6">
        <f t="shared" si="3"/>
        <v>2179</v>
      </c>
      <c r="GC2" s="6">
        <f t="shared" si="3"/>
        <v>2180</v>
      </c>
      <c r="GD2" s="6">
        <f t="shared" si="3"/>
        <v>2181</v>
      </c>
      <c r="GE2" s="6">
        <f t="shared" si="3"/>
        <v>2182</v>
      </c>
      <c r="GF2" s="6">
        <f t="shared" si="3"/>
        <v>2183</v>
      </c>
      <c r="GG2" s="6">
        <f t="shared" si="3"/>
        <v>2184</v>
      </c>
      <c r="GH2" s="6">
        <f t="shared" si="3"/>
        <v>2185</v>
      </c>
      <c r="GI2" s="6">
        <f t="shared" si="3"/>
        <v>2186</v>
      </c>
      <c r="GJ2" s="6">
        <f t="shared" si="3"/>
        <v>2187</v>
      </c>
      <c r="GK2" s="6">
        <f t="shared" si="3"/>
        <v>2188</v>
      </c>
      <c r="GL2" s="6">
        <f t="shared" si="3"/>
        <v>2189</v>
      </c>
      <c r="GM2" s="6">
        <f t="shared" si="3"/>
        <v>2190</v>
      </c>
      <c r="GN2" s="6">
        <f t="shared" si="3"/>
        <v>2191</v>
      </c>
      <c r="GO2" s="6">
        <f t="shared" si="3"/>
        <v>2192</v>
      </c>
      <c r="GP2" s="6">
        <f t="shared" si="3"/>
        <v>2193</v>
      </c>
      <c r="GQ2" s="6">
        <f t="shared" si="3"/>
        <v>2194</v>
      </c>
      <c r="GR2" s="6">
        <f t="shared" ref="GR2:ID2" si="4">+GQ2+1</f>
        <v>2195</v>
      </c>
      <c r="GS2" s="6">
        <f t="shared" si="4"/>
        <v>2196</v>
      </c>
      <c r="GT2" s="6">
        <f t="shared" si="4"/>
        <v>2197</v>
      </c>
      <c r="GU2" s="6">
        <f t="shared" si="4"/>
        <v>2198</v>
      </c>
      <c r="GV2" s="6">
        <f t="shared" si="4"/>
        <v>2199</v>
      </c>
      <c r="GW2" s="6">
        <f t="shared" si="4"/>
        <v>2200</v>
      </c>
      <c r="GX2" s="6">
        <f t="shared" si="4"/>
        <v>2201</v>
      </c>
      <c r="GY2" s="6">
        <f t="shared" si="4"/>
        <v>2202</v>
      </c>
      <c r="GZ2" s="6">
        <f t="shared" si="4"/>
        <v>2203</v>
      </c>
      <c r="HA2" s="6">
        <f t="shared" si="4"/>
        <v>2204</v>
      </c>
      <c r="HB2" s="6">
        <f t="shared" si="4"/>
        <v>2205</v>
      </c>
      <c r="HC2" s="6">
        <f t="shared" si="4"/>
        <v>2206</v>
      </c>
      <c r="HD2" s="6">
        <f t="shared" si="4"/>
        <v>2207</v>
      </c>
      <c r="HE2" s="6">
        <f t="shared" si="4"/>
        <v>2208</v>
      </c>
      <c r="HF2" s="6">
        <f t="shared" si="4"/>
        <v>2209</v>
      </c>
      <c r="HG2" s="6">
        <f t="shared" si="4"/>
        <v>2210</v>
      </c>
      <c r="HH2" s="6">
        <f t="shared" si="4"/>
        <v>2211</v>
      </c>
      <c r="HI2" s="6">
        <f t="shared" si="4"/>
        <v>2212</v>
      </c>
      <c r="HJ2" s="6">
        <f t="shared" si="4"/>
        <v>2213</v>
      </c>
      <c r="HK2" s="6">
        <f t="shared" si="4"/>
        <v>2214</v>
      </c>
      <c r="HL2" s="6">
        <f t="shared" si="4"/>
        <v>2215</v>
      </c>
      <c r="HM2" s="6">
        <f t="shared" si="4"/>
        <v>2216</v>
      </c>
      <c r="HN2" s="6">
        <f t="shared" si="4"/>
        <v>2217</v>
      </c>
      <c r="HO2" s="6">
        <f t="shared" si="4"/>
        <v>2218</v>
      </c>
      <c r="HP2" s="6">
        <f t="shared" si="4"/>
        <v>2219</v>
      </c>
      <c r="HQ2" s="6">
        <f t="shared" si="4"/>
        <v>2220</v>
      </c>
      <c r="HR2" s="6">
        <f t="shared" si="4"/>
        <v>2221</v>
      </c>
      <c r="HS2" s="6">
        <f t="shared" si="4"/>
        <v>2222</v>
      </c>
      <c r="HT2" s="6">
        <f t="shared" si="4"/>
        <v>2223</v>
      </c>
      <c r="HU2" s="6">
        <f t="shared" si="4"/>
        <v>2224</v>
      </c>
      <c r="HV2" s="6">
        <f t="shared" si="4"/>
        <v>2225</v>
      </c>
      <c r="HW2" s="6">
        <f t="shared" si="4"/>
        <v>2226</v>
      </c>
      <c r="HX2" s="6">
        <f t="shared" si="4"/>
        <v>2227</v>
      </c>
      <c r="HY2" s="6">
        <f t="shared" si="4"/>
        <v>2228</v>
      </c>
      <c r="HZ2" s="6">
        <f t="shared" si="4"/>
        <v>2229</v>
      </c>
      <c r="IA2" s="6">
        <f t="shared" si="4"/>
        <v>2230</v>
      </c>
      <c r="IB2" s="6">
        <f t="shared" si="4"/>
        <v>2231</v>
      </c>
      <c r="IC2" s="6">
        <f t="shared" si="4"/>
        <v>2232</v>
      </c>
      <c r="ID2" s="6">
        <f t="shared" si="4"/>
        <v>2233</v>
      </c>
    </row>
    <row r="3" spans="1:238" s="11" customFormat="1">
      <c r="B3" s="12" t="s">
        <v>77</v>
      </c>
      <c r="H3" s="11">
        <v>3012.5039999999999</v>
      </c>
      <c r="K3" s="11">
        <v>2986.5</v>
      </c>
      <c r="L3" s="11">
        <v>2949.2539999999999</v>
      </c>
    </row>
    <row r="4" spans="1:238" s="14" customFormat="1" ht="11">
      <c r="B4" s="15" t="s">
        <v>80</v>
      </c>
      <c r="L4" s="14">
        <f>+L3/H3-1</f>
        <v>-2.0995822744135806E-2</v>
      </c>
    </row>
    <row r="5" spans="1:238" s="11" customFormat="1">
      <c r="B5" s="12" t="s">
        <v>78</v>
      </c>
      <c r="H5" s="11">
        <v>8.3119999999999994</v>
      </c>
      <c r="L5" s="11">
        <v>8.8010000000000002</v>
      </c>
    </row>
    <row r="6" spans="1:238" s="6" customFormat="1">
      <c r="B6" s="13" t="s">
        <v>79</v>
      </c>
      <c r="H6" s="6">
        <v>96.25</v>
      </c>
      <c r="L6" s="6">
        <v>96.61</v>
      </c>
    </row>
    <row r="7" spans="1:238" s="6" customFormat="1"/>
    <row r="8" spans="1:238" s="6" customFormat="1">
      <c r="B8" s="13" t="s">
        <v>81</v>
      </c>
      <c r="H8" s="6">
        <f>+H11/H5</f>
        <v>75.658806544754569</v>
      </c>
      <c r="L8" s="6">
        <f>+L11/L5</f>
        <v>73.605953868878544</v>
      </c>
    </row>
    <row r="9" spans="1:238" s="6" customFormat="1">
      <c r="B9" s="13" t="s">
        <v>82</v>
      </c>
      <c r="G9" s="6">
        <v>467.51600000000002</v>
      </c>
      <c r="H9" s="6">
        <v>452.95699999999999</v>
      </c>
      <c r="K9" s="6">
        <v>466.98200000000003</v>
      </c>
      <c r="L9" s="6">
        <v>470.37700000000001</v>
      </c>
    </row>
    <row r="10" spans="1:238" s="6" customFormat="1">
      <c r="B10" s="13" t="s">
        <v>83</v>
      </c>
      <c r="G10" s="6">
        <v>173.36099999999999</v>
      </c>
      <c r="H10" s="6">
        <v>175.91900000000001</v>
      </c>
      <c r="K10" s="6">
        <v>178.97200000000001</v>
      </c>
      <c r="L10" s="6">
        <v>177.429</v>
      </c>
    </row>
    <row r="11" spans="1:238">
      <c r="B11" s="1" t="s">
        <v>22</v>
      </c>
      <c r="C11" s="1">
        <v>579.26599999999996</v>
      </c>
      <c r="D11" s="1">
        <v>585.13499999999999</v>
      </c>
      <c r="E11" s="1">
        <v>594.46900000000005</v>
      </c>
      <c r="F11" s="1">
        <f>+AA11-SUM(C11:E11)</f>
        <v>807.24099999999999</v>
      </c>
      <c r="G11" s="1">
        <f>SUM(G9:G10)</f>
        <v>640.87699999999995</v>
      </c>
      <c r="H11" s="1">
        <f>SUM(H9:H10)</f>
        <v>628.87599999999998</v>
      </c>
      <c r="I11" s="1">
        <v>636.30200000000002</v>
      </c>
      <c r="J11" s="1">
        <f>+AB11-SUM(G11:I11)</f>
        <v>842.32200000000012</v>
      </c>
      <c r="K11" s="1">
        <f>SUM(K9:K10)</f>
        <v>645.95400000000006</v>
      </c>
      <c r="L11" s="1">
        <f>SUM(L9:L10)</f>
        <v>647.80600000000004</v>
      </c>
      <c r="O11" s="4"/>
      <c r="R11" s="1">
        <v>125.02200000000001</v>
      </c>
      <c r="S11" s="1">
        <v>195.59100000000001</v>
      </c>
      <c r="T11" s="1">
        <v>273.49900000000002</v>
      </c>
      <c r="U11" s="1">
        <v>364.96699999999998</v>
      </c>
      <c r="V11" s="1">
        <v>441.23099999999999</v>
      </c>
      <c r="W11" s="1">
        <v>603.69299999999998</v>
      </c>
      <c r="X11" s="1">
        <v>818.37900000000002</v>
      </c>
      <c r="Y11" s="1">
        <v>1725.625</v>
      </c>
      <c r="Z11" s="1">
        <v>2329.1439999999998</v>
      </c>
      <c r="AA11" s="1">
        <v>2566.1109999999999</v>
      </c>
      <c r="AB11" s="1">
        <v>2748.377</v>
      </c>
      <c r="AC11" s="1">
        <v>2800</v>
      </c>
      <c r="AD11" s="1">
        <f t="shared" ref="AD11:AL11" si="5">+AC11*1.02</f>
        <v>2856</v>
      </c>
      <c r="AE11" s="1">
        <f t="shared" si="5"/>
        <v>2913.12</v>
      </c>
      <c r="AF11" s="1">
        <f t="shared" si="5"/>
        <v>2971.3824</v>
      </c>
      <c r="AG11" s="1">
        <f t="shared" si="5"/>
        <v>3030.8100479999998</v>
      </c>
      <c r="AH11" s="1">
        <f t="shared" si="5"/>
        <v>3091.4262489600001</v>
      </c>
      <c r="AI11" s="1">
        <f t="shared" si="5"/>
        <v>3153.2547739392003</v>
      </c>
      <c r="AJ11" s="1">
        <f t="shared" si="5"/>
        <v>3216.3198694179841</v>
      </c>
      <c r="AK11" s="1">
        <f t="shared" si="5"/>
        <v>3280.6462668063441</v>
      </c>
      <c r="AL11" s="1">
        <f t="shared" si="5"/>
        <v>3346.259192142471</v>
      </c>
    </row>
    <row r="12" spans="1:238">
      <c r="B12" s="1" t="s">
        <v>23</v>
      </c>
      <c r="C12" s="1">
        <v>172.995</v>
      </c>
      <c r="D12" s="1">
        <v>171.42099999999999</v>
      </c>
      <c r="E12" s="1">
        <v>174.40100000000001</v>
      </c>
      <c r="F12" s="1">
        <f>+AA12-SUM(C12:E12)</f>
        <v>225.77499999999998</v>
      </c>
      <c r="G12" s="1">
        <v>195.453</v>
      </c>
      <c r="H12" s="1">
        <v>188.63800000000001</v>
      </c>
      <c r="I12" s="1">
        <v>188.827</v>
      </c>
      <c r="J12" s="1">
        <f>+AB12-SUM(G12:I12)</f>
        <v>255.75699999999995</v>
      </c>
      <c r="K12" s="1">
        <v>187.13300000000001</v>
      </c>
      <c r="L12" s="1">
        <v>184.09</v>
      </c>
      <c r="R12" s="1">
        <v>47.779000000000003</v>
      </c>
      <c r="S12" s="1">
        <v>73.632999999999996</v>
      </c>
      <c r="T12" s="1">
        <v>96.978999999999999</v>
      </c>
      <c r="U12" s="1">
        <v>123.328</v>
      </c>
      <c r="V12" s="1">
        <v>150.98599999999999</v>
      </c>
      <c r="W12" s="1">
        <v>190.762</v>
      </c>
      <c r="X12" s="1">
        <v>271.036</v>
      </c>
      <c r="Y12" s="1">
        <v>464.745</v>
      </c>
      <c r="Z12" s="1">
        <v>654.51199999999994</v>
      </c>
      <c r="AA12" s="1">
        <v>744.59199999999998</v>
      </c>
      <c r="AB12" s="1">
        <v>828.67499999999995</v>
      </c>
      <c r="AC12" s="1">
        <f>+AC11*0.29</f>
        <v>812</v>
      </c>
      <c r="AD12" s="1">
        <f t="shared" ref="AD12:AL12" si="6">+AD11*0.29</f>
        <v>828.2399999999999</v>
      </c>
      <c r="AE12" s="1">
        <f t="shared" si="6"/>
        <v>844.80479999999989</v>
      </c>
      <c r="AF12" s="1">
        <f t="shared" si="6"/>
        <v>861.70089599999994</v>
      </c>
      <c r="AG12" s="1">
        <f t="shared" si="6"/>
        <v>878.93491391999987</v>
      </c>
      <c r="AH12" s="1">
        <f t="shared" si="6"/>
        <v>896.51361219839998</v>
      </c>
      <c r="AI12" s="1">
        <f t="shared" si="6"/>
        <v>914.44388444236802</v>
      </c>
      <c r="AJ12" s="1">
        <f t="shared" si="6"/>
        <v>932.73276213121528</v>
      </c>
      <c r="AK12" s="1">
        <f t="shared" si="6"/>
        <v>951.38741737383975</v>
      </c>
      <c r="AL12" s="1">
        <f t="shared" si="6"/>
        <v>970.4151657213165</v>
      </c>
    </row>
    <row r="13" spans="1:238">
      <c r="B13" s="1" t="s">
        <v>24</v>
      </c>
      <c r="C13" s="1">
        <v>154.28</v>
      </c>
      <c r="D13" s="1">
        <v>164.06800000000001</v>
      </c>
      <c r="E13" s="1">
        <v>147.24199999999999</v>
      </c>
      <c r="F13" s="1">
        <f>+AA13-SUM(C13:E13)</f>
        <v>244.80899999999997</v>
      </c>
      <c r="G13" s="1">
        <v>171.31399999999999</v>
      </c>
      <c r="H13" s="1">
        <v>165.87</v>
      </c>
      <c r="I13" s="1">
        <v>160.93600000000001</v>
      </c>
      <c r="J13" s="1">
        <f>+AB13-SUM(G13:I13)</f>
        <v>261.07600000000002</v>
      </c>
      <c r="K13" s="1">
        <v>191.81100000000001</v>
      </c>
      <c r="L13" s="1">
        <v>183.06299999999999</v>
      </c>
      <c r="R13" s="1">
        <v>17.850000000000001</v>
      </c>
      <c r="S13" s="1">
        <v>39.655000000000001</v>
      </c>
      <c r="T13" s="1">
        <v>66.771000000000001</v>
      </c>
      <c r="U13" s="1">
        <v>82.248000000000005</v>
      </c>
      <c r="V13" s="1">
        <v>109.08499999999999</v>
      </c>
      <c r="W13" s="1">
        <v>158.01300000000001</v>
      </c>
      <c r="X13" s="1">
        <v>215.571</v>
      </c>
      <c r="Y13" s="1">
        <v>500.75599999999997</v>
      </c>
      <c r="Z13" s="1">
        <v>654.80399999999997</v>
      </c>
      <c r="AA13" s="1">
        <v>710.399</v>
      </c>
      <c r="AB13" s="1">
        <v>759.19600000000003</v>
      </c>
      <c r="AC13" s="1">
        <f>+AC$11*(AB13/AB$11)</f>
        <v>773.45604333030019</v>
      </c>
      <c r="AD13" s="1">
        <f t="shared" ref="AD13:AL13" si="7">+AD$11*(AC13/AC$11)</f>
        <v>788.92516419690617</v>
      </c>
      <c r="AE13" s="1">
        <f t="shared" si="7"/>
        <v>804.70366748084427</v>
      </c>
      <c r="AF13" s="1">
        <f t="shared" si="7"/>
        <v>820.79774083046118</v>
      </c>
      <c r="AG13" s="1">
        <f t="shared" si="7"/>
        <v>837.21369564707027</v>
      </c>
      <c r="AH13" s="1">
        <f t="shared" si="7"/>
        <v>853.95796956001175</v>
      </c>
      <c r="AI13" s="1">
        <f t="shared" si="7"/>
        <v>871.03712895121214</v>
      </c>
      <c r="AJ13" s="1">
        <f t="shared" si="7"/>
        <v>888.45787153023628</v>
      </c>
      <c r="AK13" s="1">
        <f t="shared" si="7"/>
        <v>906.22702896084104</v>
      </c>
      <c r="AL13" s="1">
        <f t="shared" si="7"/>
        <v>924.35156954005788</v>
      </c>
    </row>
    <row r="14" spans="1:238">
      <c r="B14" s="1" t="s">
        <v>25</v>
      </c>
      <c r="C14" s="1">
        <v>89.475999999999999</v>
      </c>
      <c r="D14" s="1">
        <v>102.095</v>
      </c>
      <c r="E14" s="1">
        <v>108.04</v>
      </c>
      <c r="F14" s="1">
        <f>+AA14-SUM(C14:E14)</f>
        <v>112.78700000000003</v>
      </c>
      <c r="G14" s="1">
        <v>115.92400000000001</v>
      </c>
      <c r="H14" s="1">
        <v>121.988</v>
      </c>
      <c r="I14" s="1">
        <v>113.932</v>
      </c>
      <c r="J14" s="1">
        <f>+AB14-SUM(G14:I14)</f>
        <v>117.488</v>
      </c>
      <c r="K14" s="1">
        <v>109.846</v>
      </c>
      <c r="L14" s="1">
        <v>114.49299999999999</v>
      </c>
      <c r="R14" s="1">
        <v>27.547999999999998</v>
      </c>
      <c r="S14" s="1">
        <v>36.634</v>
      </c>
      <c r="T14" s="1">
        <v>42.694000000000003</v>
      </c>
      <c r="U14" s="1">
        <v>55.082999999999998</v>
      </c>
      <c r="V14" s="1">
        <v>74.616</v>
      </c>
      <c r="W14" s="1">
        <v>97.248999999999995</v>
      </c>
      <c r="X14" s="1">
        <v>121.878</v>
      </c>
      <c r="Y14" s="1">
        <v>180.08</v>
      </c>
      <c r="Z14" s="1">
        <v>271.53500000000003</v>
      </c>
      <c r="AA14" s="1">
        <v>412.39800000000002</v>
      </c>
      <c r="AB14" s="1">
        <v>469.33199999999999</v>
      </c>
      <c r="AC14" s="1">
        <f>+AC$11*(AB14/AB$11)</f>
        <v>478.14750305362037</v>
      </c>
      <c r="AD14" s="1">
        <f t="shared" ref="AD14:AL14" si="8">+AD$11*(AC14/AC$11)</f>
        <v>487.71045311469277</v>
      </c>
      <c r="AE14" s="1">
        <f t="shared" si="8"/>
        <v>497.46466217698662</v>
      </c>
      <c r="AF14" s="1">
        <f t="shared" si="8"/>
        <v>507.41395542052635</v>
      </c>
      <c r="AG14" s="1">
        <f t="shared" si="8"/>
        <v>517.56223452893687</v>
      </c>
      <c r="AH14" s="1">
        <f t="shared" si="8"/>
        <v>527.91347921951569</v>
      </c>
      <c r="AI14" s="1">
        <f t="shared" si="8"/>
        <v>538.47174880390605</v>
      </c>
      <c r="AJ14" s="1">
        <f t="shared" si="8"/>
        <v>549.24118377998423</v>
      </c>
      <c r="AK14" s="1">
        <f t="shared" si="8"/>
        <v>560.22600745558395</v>
      </c>
      <c r="AL14" s="1">
        <f t="shared" si="8"/>
        <v>571.43052760469573</v>
      </c>
    </row>
    <row r="15" spans="1:238">
      <c r="B15" s="1" t="s">
        <v>26</v>
      </c>
      <c r="C15" s="1">
        <v>78.2</v>
      </c>
      <c r="D15" s="1">
        <v>74.989999999999995</v>
      </c>
      <c r="E15" s="1">
        <v>74.543999999999997</v>
      </c>
      <c r="F15" s="1">
        <f>+AA15-SUM(C15:E15)</f>
        <v>84.52600000000001</v>
      </c>
      <c r="G15" s="1">
        <v>79.986999999999995</v>
      </c>
      <c r="H15" s="1">
        <v>86.661000000000001</v>
      </c>
      <c r="I15" s="1">
        <v>84.051000000000002</v>
      </c>
      <c r="J15" s="1">
        <f>+AB15-SUM(G15:I15)</f>
        <v>92.543000000000006</v>
      </c>
      <c r="K15" s="1">
        <v>89.073999999999998</v>
      </c>
      <c r="L15" s="1">
        <v>95.991</v>
      </c>
      <c r="R15" s="1">
        <v>31.111999999999998</v>
      </c>
      <c r="S15" s="1">
        <v>51.92</v>
      </c>
      <c r="T15" s="1">
        <v>68.938999999999993</v>
      </c>
      <c r="U15" s="1">
        <v>86.18</v>
      </c>
      <c r="V15" s="1">
        <v>91.486000000000004</v>
      </c>
      <c r="W15" s="1">
        <v>82.882999999999996</v>
      </c>
      <c r="X15" s="1">
        <v>121.134</v>
      </c>
      <c r="Y15" s="1">
        <v>156.035</v>
      </c>
      <c r="Z15" s="1">
        <v>282.53100000000001</v>
      </c>
      <c r="AA15" s="1">
        <v>312.26</v>
      </c>
      <c r="AB15" s="1">
        <v>343.24200000000002</v>
      </c>
      <c r="AC15" s="1">
        <f>+AC$11*(AB15/AB$11)</f>
        <v>349.68914381105651</v>
      </c>
      <c r="AD15" s="1">
        <f t="shared" ref="AD15:AL15" si="9">+AD$11*(AC15/AC$11)</f>
        <v>356.68292668727764</v>
      </c>
      <c r="AE15" s="1">
        <f t="shared" si="9"/>
        <v>363.81658522102316</v>
      </c>
      <c r="AF15" s="1">
        <f t="shared" si="9"/>
        <v>371.0929169254436</v>
      </c>
      <c r="AG15" s="1">
        <f t="shared" si="9"/>
        <v>378.51477526395246</v>
      </c>
      <c r="AH15" s="1">
        <f t="shared" si="9"/>
        <v>386.08507076923155</v>
      </c>
      <c r="AI15" s="1">
        <f t="shared" si="9"/>
        <v>393.80677218461619</v>
      </c>
      <c r="AJ15" s="1">
        <f t="shared" si="9"/>
        <v>401.6829076283085</v>
      </c>
      <c r="AK15" s="1">
        <f t="shared" si="9"/>
        <v>409.7165657808747</v>
      </c>
      <c r="AL15" s="1">
        <f t="shared" si="9"/>
        <v>417.91089709649219</v>
      </c>
    </row>
    <row r="16" spans="1:238">
      <c r="B16" s="1" t="s">
        <v>27</v>
      </c>
      <c r="C16" s="1">
        <f>+C11-SUM(C12:C15)</f>
        <v>84.314999999999998</v>
      </c>
      <c r="D16" s="1">
        <f>+D11-SUM(D12:D15)</f>
        <v>72.560999999999922</v>
      </c>
      <c r="E16" s="1">
        <f>+E11-SUM(E12:E15)</f>
        <v>90.242000000000019</v>
      </c>
      <c r="F16" s="1">
        <f>+AA16-SUM(C16:E16)</f>
        <v>139.3439999999996</v>
      </c>
      <c r="G16" s="1">
        <f>+G11-SUM(G12:G15)</f>
        <v>78.198999999999955</v>
      </c>
      <c r="H16" s="1">
        <f>+H11-SUM(H12:H15)</f>
        <v>65.718999999999937</v>
      </c>
      <c r="I16" s="1">
        <f>+I11-SUM(I12:I15)</f>
        <v>88.555999999999926</v>
      </c>
      <c r="J16" s="1">
        <f>+AB16-SUM(G16:I16)</f>
        <v>115.45799999999997</v>
      </c>
      <c r="K16" s="1">
        <f>+K11-SUM(K12:K15)</f>
        <v>68.090000000000032</v>
      </c>
      <c r="L16" s="1">
        <f>+L11-SUM(L12:L15)</f>
        <v>70.168999999999983</v>
      </c>
      <c r="R16" s="1">
        <f>+R11-SUM(R12:R15)</f>
        <v>0.73300000000000409</v>
      </c>
      <c r="S16" s="1">
        <f>+S11-SUM(S12:S15)</f>
        <v>-6.2509999999999764</v>
      </c>
      <c r="T16" s="1">
        <f>+T11-SUM(T12:T15)</f>
        <v>-1.8840000000000146</v>
      </c>
      <c r="U16" s="1">
        <f>+U11-SUM(U12:U15)</f>
        <v>18.127999999999986</v>
      </c>
      <c r="V16" s="1">
        <f>+V11-SUM(V12:V15)</f>
        <v>15.05800000000005</v>
      </c>
      <c r="W16" s="1">
        <f>+W11-SUM(W12:W15)</f>
        <v>74.785999999999945</v>
      </c>
      <c r="X16" s="1">
        <f>+X11-SUM(X12:X15)</f>
        <v>88.759999999999991</v>
      </c>
      <c r="Y16" s="1">
        <f>+Y11-SUM(Y12:Y15)</f>
        <v>424.00900000000001</v>
      </c>
      <c r="Z16" s="1">
        <f>+Z11-SUM(Z12:Z15)</f>
        <v>465.76199999999994</v>
      </c>
      <c r="AA16" s="1">
        <f>+AA11-SUM(AA12:AA15)</f>
        <v>386.46199999999953</v>
      </c>
      <c r="AB16" s="1">
        <f>+AB11-SUM(AB12:AB15)</f>
        <v>347.93199999999979</v>
      </c>
      <c r="AC16" s="1">
        <f>+AC11-SUM(AC12:AC15)</f>
        <v>386.70730980502276</v>
      </c>
      <c r="AD16" s="1">
        <f t="shared" ref="AD16:AL16" si="10">+AD11-SUM(AD12:AD15)</f>
        <v>394.44145600112324</v>
      </c>
      <c r="AE16" s="1">
        <f t="shared" si="10"/>
        <v>402.33028512114606</v>
      </c>
      <c r="AF16" s="1">
        <f t="shared" si="10"/>
        <v>410.37689082356883</v>
      </c>
      <c r="AG16" s="1">
        <f t="shared" si="10"/>
        <v>418.58442864004019</v>
      </c>
      <c r="AH16" s="1">
        <f t="shared" si="10"/>
        <v>426.95611721284104</v>
      </c>
      <c r="AI16" s="1">
        <f t="shared" si="10"/>
        <v>435.4952395570981</v>
      </c>
      <c r="AJ16" s="1">
        <f t="shared" si="10"/>
        <v>444.20514434824008</v>
      </c>
      <c r="AK16" s="1">
        <f t="shared" si="10"/>
        <v>453.08924723520477</v>
      </c>
      <c r="AL16" s="1">
        <f t="shared" si="10"/>
        <v>462.15103217990873</v>
      </c>
    </row>
    <row r="17" spans="2:238">
      <c r="B17" s="1" t="s">
        <v>28</v>
      </c>
      <c r="C17" s="1">
        <v>1.6719999999999999</v>
      </c>
      <c r="D17" s="1">
        <v>0.60099999999999998</v>
      </c>
      <c r="E17" s="1">
        <v>5.7629999999999999</v>
      </c>
      <c r="F17" s="1">
        <f>+AA17-SUM(C17:E17)</f>
        <v>-11.247999999999999</v>
      </c>
      <c r="G17" s="1">
        <v>3.0720000000000001</v>
      </c>
      <c r="H17" s="1">
        <v>7.7859999999999996</v>
      </c>
      <c r="I17" s="1">
        <v>8.4109999999999996</v>
      </c>
      <c r="J17" s="1">
        <f>+AB17-SUM(G17:I17)</f>
        <v>2.6880000000000024</v>
      </c>
      <c r="K17" s="1">
        <v>11.565</v>
      </c>
      <c r="L17" s="1">
        <v>8.8079999999999998</v>
      </c>
      <c r="R17" s="1">
        <f>+-0.302+0.046</f>
        <v>-0.25600000000000001</v>
      </c>
      <c r="S17" s="1">
        <f>+-0.59+0.041</f>
        <v>-0.54899999999999993</v>
      </c>
      <c r="T17" s="1">
        <f>+-1.526+0.324</f>
        <v>-1.202</v>
      </c>
      <c r="U17" s="1">
        <f>-7.204+1.702</f>
        <v>-5.5019999999999998</v>
      </c>
      <c r="V17" s="1">
        <f>+-11.13+2.394</f>
        <v>-8.7360000000000007</v>
      </c>
      <c r="W17" s="1">
        <f>+-22.178+8.957</f>
        <v>-13.221</v>
      </c>
      <c r="X17" s="1">
        <f>+-24.32+13.199</f>
        <v>-11.121</v>
      </c>
      <c r="Y17" s="1">
        <f>+-42.025+7.102</f>
        <v>-34.923000000000002</v>
      </c>
      <c r="Z17" s="1">
        <f>+-9.855+2.137</f>
        <v>-7.718</v>
      </c>
      <c r="AA17" s="1">
        <f>+-14.168+10.956</f>
        <v>-3.2119999999999997</v>
      </c>
      <c r="AB17" s="1">
        <f>+-14.042+35.999</f>
        <v>21.957000000000001</v>
      </c>
      <c r="AC17" s="1">
        <f>+AB33*$AR$26</f>
        <v>-23.850639999999999</v>
      </c>
      <c r="AD17" s="1">
        <f t="shared" ref="AD17:AL17" si="11">+AC33*$AR$26</f>
        <v>-16.304154383839769</v>
      </c>
      <c r="AE17" s="1">
        <f t="shared" si="11"/>
        <v>-8.4398709213865963</v>
      </c>
      <c r="AF17" s="1">
        <f t="shared" si="11"/>
        <v>-0.24796322764318235</v>
      </c>
      <c r="AG17" s="1">
        <f t="shared" si="11"/>
        <v>8.2816637860670959</v>
      </c>
      <c r="AH17" s="1">
        <f t="shared" si="11"/>
        <v>17.159380787248566</v>
      </c>
      <c r="AI17" s="1">
        <f t="shared" si="11"/>
        <v>26.39584106610306</v>
      </c>
      <c r="AJ17" s="1">
        <f t="shared" si="11"/>
        <v>36.001987752144885</v>
      </c>
      <c r="AK17" s="1">
        <f t="shared" si="11"/>
        <v>45.989061207678617</v>
      </c>
      <c r="AL17" s="1">
        <f t="shared" si="11"/>
        <v>56.368606602353523</v>
      </c>
    </row>
    <row r="18" spans="2:238">
      <c r="B18" s="1" t="s">
        <v>29</v>
      </c>
      <c r="C18" s="1">
        <f>SUM(C16:C17)</f>
        <v>85.986999999999995</v>
      </c>
      <c r="D18" s="1">
        <f>SUM(D16:D17)</f>
        <v>73.161999999999921</v>
      </c>
      <c r="E18" s="1">
        <f>SUM(E16:E17)</f>
        <v>96.005000000000024</v>
      </c>
      <c r="F18" s="1">
        <f>+AA18-SUM(C18:E18)</f>
        <v>128.09599999999961</v>
      </c>
      <c r="G18" s="1">
        <f>SUM(G16:G17)</f>
        <v>81.270999999999958</v>
      </c>
      <c r="H18" s="1">
        <f>SUM(H16:H17)</f>
        <v>73.504999999999939</v>
      </c>
      <c r="I18" s="1">
        <f>SUM(I16:I17)</f>
        <v>96.966999999999928</v>
      </c>
      <c r="J18" s="1">
        <f>+AB18-SUM(G18:I18)</f>
        <v>118.14599999999996</v>
      </c>
      <c r="K18" s="1">
        <f>SUM(K16:K17)</f>
        <v>79.65500000000003</v>
      </c>
      <c r="L18" s="1">
        <f>SUM(L16:L17)</f>
        <v>78.976999999999975</v>
      </c>
      <c r="R18" s="1">
        <f>SUM(R16:R17)</f>
        <v>0.47700000000000409</v>
      </c>
      <c r="S18" s="1">
        <f>SUM(S16:S17)</f>
        <v>-6.7999999999999758</v>
      </c>
      <c r="T18" s="1">
        <f>SUM(T16:T17)</f>
        <v>-3.0860000000000145</v>
      </c>
      <c r="U18" s="1">
        <f>SUM(U16:U17)</f>
        <v>12.625999999999987</v>
      </c>
      <c r="V18" s="1">
        <f>SUM(V16:V17)</f>
        <v>6.3220000000000489</v>
      </c>
      <c r="W18" s="1">
        <f>SUM(W16:W17)</f>
        <v>61.564999999999941</v>
      </c>
      <c r="X18" s="1">
        <f>SUM(X16:X17)</f>
        <v>77.638999999999996</v>
      </c>
      <c r="Y18" s="1">
        <f>SUM(Y16:Y17)</f>
        <v>389.08600000000001</v>
      </c>
      <c r="Z18" s="1">
        <f>SUM(Z16:Z17)</f>
        <v>458.04399999999993</v>
      </c>
      <c r="AA18" s="1">
        <f>SUM(AA16:AA17)</f>
        <v>383.24999999999955</v>
      </c>
      <c r="AB18" s="1">
        <f>SUM(AB16:AB17)</f>
        <v>369.88899999999978</v>
      </c>
      <c r="AC18" s="1">
        <f>SUM(AC16:AC17)</f>
        <v>362.85666980502276</v>
      </c>
      <c r="AD18" s="1">
        <f t="shared" ref="AD18:AL18" si="12">SUM(AD16:AD17)</f>
        <v>378.13730161728347</v>
      </c>
      <c r="AE18" s="1">
        <f t="shared" si="12"/>
        <v>393.89041419975945</v>
      </c>
      <c r="AF18" s="1">
        <f t="shared" si="12"/>
        <v>410.12892759592563</v>
      </c>
      <c r="AG18" s="1">
        <f t="shared" si="12"/>
        <v>426.86609242610729</v>
      </c>
      <c r="AH18" s="1">
        <f t="shared" si="12"/>
        <v>444.11549800008959</v>
      </c>
      <c r="AI18" s="1">
        <f t="shared" si="12"/>
        <v>461.89108062320116</v>
      </c>
      <c r="AJ18" s="1">
        <f t="shared" si="12"/>
        <v>480.20713210038497</v>
      </c>
      <c r="AK18" s="1">
        <f t="shared" si="12"/>
        <v>499.07830844288338</v>
      </c>
      <c r="AL18" s="1">
        <f t="shared" si="12"/>
        <v>518.51963878226229</v>
      </c>
    </row>
    <row r="19" spans="2:238">
      <c r="B19" s="1" t="s">
        <v>30</v>
      </c>
      <c r="C19" s="1">
        <v>0.122</v>
      </c>
      <c r="D19" s="1">
        <v>-3.9E-2</v>
      </c>
      <c r="E19" s="1">
        <v>-14.051</v>
      </c>
      <c r="F19" s="1">
        <f>+AA19-SUM(C19:E19)</f>
        <v>-18.342000000000002</v>
      </c>
      <c r="G19" s="1">
        <v>-6.734</v>
      </c>
      <c r="H19" s="1">
        <v>56.500999999999998</v>
      </c>
      <c r="I19" s="1">
        <v>-9.1170000000000009</v>
      </c>
      <c r="J19" s="1">
        <f>+AB19-SUM(G19:I19)</f>
        <v>-25.901999999999994</v>
      </c>
      <c r="K19" s="1">
        <v>-16.651</v>
      </c>
      <c r="L19" s="1">
        <v>-25.972000000000001</v>
      </c>
      <c r="R19" s="1">
        <v>-0.84499999999999997</v>
      </c>
      <c r="S19" s="1">
        <v>-4.9829999999999997</v>
      </c>
      <c r="T19" s="1">
        <v>-26.068999999999999</v>
      </c>
      <c r="U19" s="1">
        <v>-27.024999999999999</v>
      </c>
      <c r="V19" s="1">
        <v>49.534999999999997</v>
      </c>
      <c r="W19" s="1">
        <v>22.413</v>
      </c>
      <c r="X19" s="1">
        <v>15.247999999999999</v>
      </c>
      <c r="Y19" s="1">
        <v>-16.463000000000001</v>
      </c>
      <c r="Z19" s="1">
        <v>21.853000000000002</v>
      </c>
      <c r="AA19" s="1">
        <v>-32.31</v>
      </c>
      <c r="AB19" s="1">
        <v>14.747999999999999</v>
      </c>
      <c r="AC19" s="1">
        <f>+AC18*(AB19/AB18)</f>
        <v>14.467611002988678</v>
      </c>
      <c r="AD19" s="1">
        <f t="shared" ref="AD19:AL19" si="13">+AD18*(AC19/AC18)</f>
        <v>15.076871505375125</v>
      </c>
      <c r="AE19" s="1">
        <f t="shared" si="13"/>
        <v>15.704970487411238</v>
      </c>
      <c r="AF19" s="1">
        <f t="shared" si="13"/>
        <v>16.352423089588267</v>
      </c>
      <c r="AG19" s="1">
        <f t="shared" si="13"/>
        <v>17.019757632966197</v>
      </c>
      <c r="AH19" s="1">
        <f t="shared" si="13"/>
        <v>17.70751594263502</v>
      </c>
      <c r="AI19" s="1">
        <f t="shared" si="13"/>
        <v>18.416253678890083</v>
      </c>
      <c r="AJ19" s="1">
        <f t="shared" si="13"/>
        <v>19.146540676301484</v>
      </c>
      <c r="AK19" s="1">
        <f t="shared" si="13"/>
        <v>19.89896129086198</v>
      </c>
      <c r="AL19" s="1">
        <f t="shared" si="13"/>
        <v>20.674114755401774</v>
      </c>
    </row>
    <row r="20" spans="2:238">
      <c r="B20" s="1" t="s">
        <v>31</v>
      </c>
      <c r="C20" s="1">
        <f>+SUM(C18:C19)</f>
        <v>86.108999999999995</v>
      </c>
      <c r="D20" s="1">
        <f>+SUM(D18:D19)</f>
        <v>73.122999999999919</v>
      </c>
      <c r="E20" s="1">
        <f>+SUM(E18:E19)</f>
        <v>81.954000000000022</v>
      </c>
      <c r="F20" s="1">
        <f>+AA20-SUM(C20:E20)</f>
        <v>109.75399999999962</v>
      </c>
      <c r="G20" s="1">
        <f>+SUM(G18:G19)</f>
        <v>74.536999999999964</v>
      </c>
      <c r="H20" s="1">
        <f>+SUM(H18:H19)</f>
        <v>130.00599999999994</v>
      </c>
      <c r="I20" s="1">
        <f>+SUM(I18:I19)</f>
        <v>87.849999999999923</v>
      </c>
      <c r="J20" s="1">
        <f>+AB20-SUM(G20:I20)</f>
        <v>92.243999999999971</v>
      </c>
      <c r="K20" s="1">
        <f>+SUM(K18:K19)</f>
        <v>63.004000000000033</v>
      </c>
      <c r="L20" s="1">
        <f>+SUM(L18:L19)</f>
        <v>53.004999999999974</v>
      </c>
      <c r="R20" s="1">
        <f>+SUM(R18:R19)</f>
        <v>-0.36799999999999589</v>
      </c>
      <c r="S20" s="1">
        <f>+SUM(S18:S19)</f>
        <v>-11.782999999999976</v>
      </c>
      <c r="T20" s="1">
        <f>+SUM(T18:T19)</f>
        <v>-29.155000000000015</v>
      </c>
      <c r="U20" s="1">
        <f>+SUM(U18:U19)</f>
        <v>-14.399000000000012</v>
      </c>
      <c r="V20" s="1">
        <f>+SUM(V18:V19)</f>
        <v>55.857000000000042</v>
      </c>
      <c r="W20" s="1">
        <f>+SUM(W18:W19)</f>
        <v>83.977999999999938</v>
      </c>
      <c r="X20" s="1">
        <f>+SUM(X18:X19)</f>
        <v>92.887</v>
      </c>
      <c r="Y20" s="1">
        <f>+SUM(Y18:Y19)</f>
        <v>372.62299999999999</v>
      </c>
      <c r="Z20" s="1">
        <f>+SUM(Z18:Z19)</f>
        <v>479.89699999999993</v>
      </c>
      <c r="AA20" s="1">
        <f>+SUM(AA18:AA19)</f>
        <v>350.93999999999954</v>
      </c>
      <c r="AB20" s="1">
        <f>+SUM(AB18:AB19)</f>
        <v>384.63699999999977</v>
      </c>
      <c r="AC20" s="1">
        <f>+SUM(AC18:AC19)</f>
        <v>377.32428080801145</v>
      </c>
      <c r="AD20" s="1">
        <f t="shared" ref="AD20:AL20" si="14">+SUM(AD18:AD19)</f>
        <v>393.21417312265862</v>
      </c>
      <c r="AE20" s="1">
        <f t="shared" si="14"/>
        <v>409.59538468717068</v>
      </c>
      <c r="AF20" s="1">
        <f t="shared" si="14"/>
        <v>426.48135068551392</v>
      </c>
      <c r="AG20" s="1">
        <f t="shared" si="14"/>
        <v>443.8858500590735</v>
      </c>
      <c r="AH20" s="1">
        <f t="shared" si="14"/>
        <v>461.82301394272463</v>
      </c>
      <c r="AI20" s="1">
        <f t="shared" si="14"/>
        <v>480.30733430209125</v>
      </c>
      <c r="AJ20" s="1">
        <f t="shared" si="14"/>
        <v>499.35367277668644</v>
      </c>
      <c r="AK20" s="1">
        <f t="shared" si="14"/>
        <v>518.9772697337454</v>
      </c>
      <c r="AL20" s="1">
        <f t="shared" si="14"/>
        <v>539.19375353766407</v>
      </c>
      <c r="AM20" s="1">
        <f>+AL20*(1+$AR$27)</f>
        <v>544.58569107304072</v>
      </c>
      <c r="AN20" s="1">
        <f t="shared" ref="AN20:AP20" si="15">+AM20*(1+$AR$27)</f>
        <v>550.03154798377113</v>
      </c>
      <c r="AO20" s="1">
        <f t="shared" si="15"/>
        <v>555.53186346360883</v>
      </c>
      <c r="AP20" s="1">
        <f t="shared" si="15"/>
        <v>561.08718209824497</v>
      </c>
      <c r="AQ20" s="1">
        <f t="shared" ref="AQ20:DB20" si="16">+AP20*(1+$AR$27)</f>
        <v>566.69805391922739</v>
      </c>
      <c r="AR20" s="1">
        <f t="shared" si="16"/>
        <v>572.3650344584197</v>
      </c>
      <c r="AS20" s="1">
        <f t="shared" si="16"/>
        <v>578.08868480300396</v>
      </c>
      <c r="AT20" s="1">
        <f t="shared" si="16"/>
        <v>583.86957165103399</v>
      </c>
      <c r="AU20" s="1">
        <f t="shared" si="16"/>
        <v>589.70826736754429</v>
      </c>
      <c r="AV20" s="1">
        <f t="shared" si="16"/>
        <v>595.60535004121971</v>
      </c>
      <c r="AW20" s="1">
        <f t="shared" si="16"/>
        <v>601.56140354163188</v>
      </c>
      <c r="AX20" s="1">
        <f t="shared" si="16"/>
        <v>607.5770175770482</v>
      </c>
      <c r="AY20" s="1">
        <f t="shared" si="16"/>
        <v>613.65278775281865</v>
      </c>
      <c r="AZ20" s="1">
        <f t="shared" si="16"/>
        <v>619.78931563034689</v>
      </c>
      <c r="BA20" s="1">
        <f t="shared" si="16"/>
        <v>625.9872087866504</v>
      </c>
      <c r="BB20" s="1">
        <f t="shared" si="16"/>
        <v>632.24708087451688</v>
      </c>
      <c r="BC20" s="1">
        <f t="shared" si="16"/>
        <v>638.56955168326203</v>
      </c>
      <c r="BD20" s="1">
        <f t="shared" si="16"/>
        <v>644.95524720009462</v>
      </c>
      <c r="BE20" s="1">
        <f t="shared" si="16"/>
        <v>651.40479967209558</v>
      </c>
      <c r="BF20" s="1">
        <f t="shared" si="16"/>
        <v>657.91884766881651</v>
      </c>
      <c r="BG20" s="1">
        <f t="shared" si="16"/>
        <v>664.49803614550467</v>
      </c>
      <c r="BH20" s="1">
        <f t="shared" si="16"/>
        <v>671.14301650695973</v>
      </c>
      <c r="BI20" s="1">
        <f t="shared" si="16"/>
        <v>677.85444667202933</v>
      </c>
      <c r="BJ20" s="1">
        <f t="shared" si="16"/>
        <v>684.63299113874962</v>
      </c>
      <c r="BK20" s="1">
        <f t="shared" si="16"/>
        <v>691.47932105013717</v>
      </c>
      <c r="BL20" s="1">
        <f t="shared" si="16"/>
        <v>698.3941142606385</v>
      </c>
      <c r="BM20" s="1">
        <f t="shared" si="16"/>
        <v>705.37805540324484</v>
      </c>
      <c r="BN20" s="1">
        <f t="shared" si="16"/>
        <v>712.43183595727726</v>
      </c>
      <c r="BO20" s="1">
        <f t="shared" si="16"/>
        <v>719.55615431684998</v>
      </c>
      <c r="BP20" s="1">
        <f t="shared" si="16"/>
        <v>726.75171586001852</v>
      </c>
      <c r="BQ20" s="1">
        <f t="shared" si="16"/>
        <v>734.01923301861871</v>
      </c>
      <c r="BR20" s="1">
        <f t="shared" si="16"/>
        <v>741.35942534880485</v>
      </c>
      <c r="BS20" s="1">
        <f t="shared" si="16"/>
        <v>748.77301960229295</v>
      </c>
      <c r="BT20" s="1">
        <f t="shared" si="16"/>
        <v>756.26074979831583</v>
      </c>
      <c r="BU20" s="1">
        <f t="shared" si="16"/>
        <v>763.82335729629904</v>
      </c>
      <c r="BV20" s="1">
        <f t="shared" si="16"/>
        <v>771.46159086926207</v>
      </c>
      <c r="BW20" s="1">
        <f t="shared" si="16"/>
        <v>779.17620677795469</v>
      </c>
      <c r="BX20" s="1">
        <f t="shared" si="16"/>
        <v>786.96796884573428</v>
      </c>
      <c r="BY20" s="1">
        <f t="shared" si="16"/>
        <v>794.83764853419166</v>
      </c>
      <c r="BZ20" s="1">
        <f t="shared" si="16"/>
        <v>802.78602501953355</v>
      </c>
      <c r="CA20" s="1">
        <f t="shared" si="16"/>
        <v>810.81388526972887</v>
      </c>
      <c r="CB20" s="1">
        <f t="shared" si="16"/>
        <v>818.92202412242614</v>
      </c>
      <c r="CC20" s="1">
        <f t="shared" si="16"/>
        <v>827.11124436365037</v>
      </c>
      <c r="CD20" s="1">
        <f t="shared" si="16"/>
        <v>835.3823568072869</v>
      </c>
      <c r="CE20" s="1">
        <f t="shared" si="16"/>
        <v>843.73618037535982</v>
      </c>
      <c r="CF20" s="1">
        <f t="shared" si="16"/>
        <v>852.17354217911338</v>
      </c>
      <c r="CG20" s="1">
        <f t="shared" si="16"/>
        <v>860.69527760090455</v>
      </c>
      <c r="CH20" s="1">
        <f t="shared" si="16"/>
        <v>869.3022303769136</v>
      </c>
      <c r="CI20" s="1">
        <f t="shared" si="16"/>
        <v>877.99525268068271</v>
      </c>
      <c r="CJ20" s="1">
        <f t="shared" si="16"/>
        <v>886.77520520748953</v>
      </c>
      <c r="CK20" s="1">
        <f t="shared" si="16"/>
        <v>895.64295725956447</v>
      </c>
      <c r="CL20" s="1">
        <f t="shared" si="16"/>
        <v>904.59938683216012</v>
      </c>
      <c r="CM20" s="1">
        <f t="shared" si="16"/>
        <v>913.64538070048172</v>
      </c>
      <c r="CN20" s="1">
        <f t="shared" si="16"/>
        <v>922.78183450748656</v>
      </c>
      <c r="CO20" s="1">
        <f t="shared" si="16"/>
        <v>932.00965285256143</v>
      </c>
      <c r="CP20" s="1">
        <f t="shared" si="16"/>
        <v>941.32974938108703</v>
      </c>
      <c r="CQ20" s="1">
        <f t="shared" si="16"/>
        <v>950.74304687489791</v>
      </c>
      <c r="CR20" s="1">
        <f t="shared" si="16"/>
        <v>960.25047734364693</v>
      </c>
      <c r="CS20" s="1">
        <f t="shared" si="16"/>
        <v>969.85298211708346</v>
      </c>
      <c r="CT20" s="1">
        <f t="shared" si="16"/>
        <v>979.55151193825429</v>
      </c>
      <c r="CU20" s="1">
        <f t="shared" si="16"/>
        <v>989.34702705763686</v>
      </c>
      <c r="CV20" s="1">
        <f t="shared" si="16"/>
        <v>999.24049732821322</v>
      </c>
      <c r="CW20" s="1">
        <f t="shared" si="16"/>
        <v>1009.2329023014954</v>
      </c>
      <c r="CX20" s="1">
        <f t="shared" si="16"/>
        <v>1019.3252313245104</v>
      </c>
      <c r="CY20" s="1">
        <f t="shared" si="16"/>
        <v>1029.5184836377555</v>
      </c>
      <c r="CZ20" s="1">
        <f t="shared" si="16"/>
        <v>1039.813668474133</v>
      </c>
      <c r="DA20" s="1">
        <f t="shared" si="16"/>
        <v>1050.2118051588743</v>
      </c>
      <c r="DB20" s="1">
        <f t="shared" si="16"/>
        <v>1060.713923210463</v>
      </c>
      <c r="DC20" s="1">
        <f t="shared" ref="DC20:FN20" si="17">+DB20*(1+$AR$27)</f>
        <v>1071.3210624425676</v>
      </c>
      <c r="DD20" s="1">
        <f t="shared" si="17"/>
        <v>1082.0342730669934</v>
      </c>
      <c r="DE20" s="1">
        <f t="shared" si="17"/>
        <v>1092.8546157976632</v>
      </c>
      <c r="DF20" s="1">
        <f t="shared" si="17"/>
        <v>1103.7831619556398</v>
      </c>
      <c r="DG20" s="1">
        <f t="shared" si="17"/>
        <v>1114.8209935751961</v>
      </c>
      <c r="DH20" s="1">
        <f t="shared" si="17"/>
        <v>1125.9692035109481</v>
      </c>
      <c r="DI20" s="1">
        <f t="shared" si="17"/>
        <v>1137.2288955460576</v>
      </c>
      <c r="DJ20" s="1">
        <f t="shared" si="17"/>
        <v>1148.6011845015182</v>
      </c>
      <c r="DK20" s="1">
        <f t="shared" si="17"/>
        <v>1160.0871963465333</v>
      </c>
      <c r="DL20" s="1">
        <f t="shared" si="17"/>
        <v>1171.6880683099987</v>
      </c>
      <c r="DM20" s="1">
        <f t="shared" si="17"/>
        <v>1183.4049489930987</v>
      </c>
      <c r="DN20" s="1">
        <f t="shared" si="17"/>
        <v>1195.2389984830297</v>
      </c>
      <c r="DO20" s="1">
        <f t="shared" si="17"/>
        <v>1207.19138846786</v>
      </c>
      <c r="DP20" s="1">
        <f t="shared" si="17"/>
        <v>1219.2633023525386</v>
      </c>
      <c r="DQ20" s="1">
        <f t="shared" si="17"/>
        <v>1231.455935376064</v>
      </c>
      <c r="DR20" s="1">
        <f t="shared" si="17"/>
        <v>1243.7704947298246</v>
      </c>
      <c r="DS20" s="1">
        <f t="shared" si="17"/>
        <v>1256.2081996771228</v>
      </c>
      <c r="DT20" s="1">
        <f t="shared" si="17"/>
        <v>1268.770281673894</v>
      </c>
      <c r="DU20" s="1">
        <f t="shared" si="17"/>
        <v>1281.457984490633</v>
      </c>
      <c r="DV20" s="1">
        <f t="shared" si="17"/>
        <v>1294.2725643355393</v>
      </c>
      <c r="DW20" s="1">
        <f t="shared" si="17"/>
        <v>1307.2152899788948</v>
      </c>
      <c r="DX20" s="1">
        <f t="shared" si="17"/>
        <v>1320.2874428786838</v>
      </c>
      <c r="DY20" s="1">
        <f t="shared" si="17"/>
        <v>1333.4903173074706</v>
      </c>
      <c r="DZ20" s="1">
        <f t="shared" si="17"/>
        <v>1346.8252204805453</v>
      </c>
      <c r="EA20" s="1">
        <f t="shared" si="17"/>
        <v>1360.2934726853507</v>
      </c>
      <c r="EB20" s="1">
        <f t="shared" si="17"/>
        <v>1373.8964074122043</v>
      </c>
      <c r="EC20" s="1">
        <f t="shared" si="17"/>
        <v>1387.6353714863264</v>
      </c>
      <c r="ED20" s="1">
        <f t="shared" si="17"/>
        <v>1401.5117252011896</v>
      </c>
      <c r="EE20" s="1">
        <f t="shared" si="17"/>
        <v>1415.5268424532014</v>
      </c>
      <c r="EF20" s="1">
        <f t="shared" si="17"/>
        <v>1429.6821108777335</v>
      </c>
      <c r="EG20" s="1">
        <f t="shared" si="17"/>
        <v>1443.9789319865108</v>
      </c>
      <c r="EH20" s="1">
        <f t="shared" si="17"/>
        <v>1458.418721306376</v>
      </c>
      <c r="EI20" s="1">
        <f t="shared" si="17"/>
        <v>1473.0029085194399</v>
      </c>
      <c r="EJ20" s="1">
        <f t="shared" si="17"/>
        <v>1487.7329376046343</v>
      </c>
      <c r="EK20" s="1">
        <f t="shared" si="17"/>
        <v>1502.6102669806808</v>
      </c>
      <c r="EL20" s="1">
        <f t="shared" si="17"/>
        <v>1517.6363696504875</v>
      </c>
      <c r="EM20" s="1">
        <f t="shared" si="17"/>
        <v>1532.8127333469924</v>
      </c>
      <c r="EN20" s="1">
        <f t="shared" si="17"/>
        <v>1548.1408606804623</v>
      </c>
      <c r="EO20" s="1">
        <f t="shared" si="17"/>
        <v>1563.622269287267</v>
      </c>
      <c r="EP20" s="1">
        <f t="shared" si="17"/>
        <v>1579.2584919801398</v>
      </c>
      <c r="EQ20" s="1">
        <f t="shared" si="17"/>
        <v>1595.0510768999411</v>
      </c>
      <c r="ER20" s="1">
        <f t="shared" si="17"/>
        <v>1611.0015876689406</v>
      </c>
      <c r="ES20" s="1">
        <f t="shared" si="17"/>
        <v>1627.11160354563</v>
      </c>
      <c r="ET20" s="1">
        <f t="shared" si="17"/>
        <v>1643.3827195810863</v>
      </c>
      <c r="EU20" s="1">
        <f t="shared" si="17"/>
        <v>1659.8165467768972</v>
      </c>
      <c r="EV20" s="1">
        <f t="shared" si="17"/>
        <v>1676.4147122446661</v>
      </c>
      <c r="EW20" s="1">
        <f t="shared" si="17"/>
        <v>1693.1788593671129</v>
      </c>
      <c r="EX20" s="1">
        <f t="shared" si="17"/>
        <v>1710.110647960784</v>
      </c>
      <c r="EY20" s="1">
        <f t="shared" si="17"/>
        <v>1727.2117544403918</v>
      </c>
      <c r="EZ20" s="1">
        <f t="shared" si="17"/>
        <v>1744.4838719847958</v>
      </c>
      <c r="FA20" s="1">
        <f t="shared" si="17"/>
        <v>1761.9287107046437</v>
      </c>
      <c r="FB20" s="1">
        <f t="shared" si="17"/>
        <v>1779.54799781169</v>
      </c>
      <c r="FC20" s="1">
        <f t="shared" si="17"/>
        <v>1797.3434777898069</v>
      </c>
      <c r="FD20" s="1">
        <f t="shared" si="17"/>
        <v>1815.316912567705</v>
      </c>
      <c r="FE20" s="1">
        <f t="shared" si="17"/>
        <v>1833.4700816933821</v>
      </c>
      <c r="FF20" s="1">
        <f t="shared" si="17"/>
        <v>1851.804782510316</v>
      </c>
      <c r="FG20" s="1">
        <f t="shared" si="17"/>
        <v>1870.3228303354192</v>
      </c>
      <c r="FH20" s="1">
        <f t="shared" si="17"/>
        <v>1889.0260586387735</v>
      </c>
      <c r="FI20" s="1">
        <f t="shared" si="17"/>
        <v>1907.9163192251613</v>
      </c>
      <c r="FJ20" s="1">
        <f t="shared" si="17"/>
        <v>1926.9954824174129</v>
      </c>
      <c r="FK20" s="1">
        <f t="shared" si="17"/>
        <v>1946.2654372415871</v>
      </c>
      <c r="FL20" s="1">
        <f t="shared" si="17"/>
        <v>1965.728091614003</v>
      </c>
      <c r="FM20" s="1">
        <f t="shared" si="17"/>
        <v>1985.3853725301431</v>
      </c>
      <c r="FN20" s="1">
        <f t="shared" si="17"/>
        <v>2005.2392262554445</v>
      </c>
      <c r="FO20" s="1">
        <f t="shared" ref="FO20:GQ20" si="18">+FN20*(1+$AR$27)</f>
        <v>2025.2916185179988</v>
      </c>
      <c r="FP20" s="1">
        <f t="shared" si="18"/>
        <v>2045.5445347031789</v>
      </c>
      <c r="FQ20" s="1">
        <f t="shared" si="18"/>
        <v>2065.9999800502105</v>
      </c>
      <c r="FR20" s="1">
        <f t="shared" si="18"/>
        <v>2086.6599798507127</v>
      </c>
      <c r="FS20" s="1">
        <f t="shared" si="18"/>
        <v>2107.5265796492199</v>
      </c>
      <c r="FT20" s="1">
        <f t="shared" si="18"/>
        <v>2128.6018454457121</v>
      </c>
      <c r="FU20" s="1">
        <f t="shared" si="18"/>
        <v>2149.8878639001691</v>
      </c>
      <c r="FV20" s="1">
        <f t="shared" si="18"/>
        <v>2171.3867425391709</v>
      </c>
      <c r="FW20" s="1">
        <f t="shared" si="18"/>
        <v>2193.1006099645624</v>
      </c>
      <c r="FX20" s="1">
        <f t="shared" si="18"/>
        <v>2215.0316160642083</v>
      </c>
      <c r="FY20" s="1">
        <f t="shared" si="18"/>
        <v>2237.1819322248502</v>
      </c>
      <c r="FZ20" s="1">
        <f t="shared" si="18"/>
        <v>2259.5537515470987</v>
      </c>
      <c r="GA20" s="1">
        <f t="shared" si="18"/>
        <v>2282.1492890625696</v>
      </c>
      <c r="GB20" s="1">
        <f t="shared" si="18"/>
        <v>2304.9707819531955</v>
      </c>
      <c r="GC20" s="1">
        <f t="shared" si="18"/>
        <v>2328.0204897727276</v>
      </c>
      <c r="GD20" s="1">
        <f t="shared" si="18"/>
        <v>2351.300694670455</v>
      </c>
      <c r="GE20" s="1">
        <f t="shared" si="18"/>
        <v>2374.8137016171595</v>
      </c>
      <c r="GF20" s="1">
        <f t="shared" si="18"/>
        <v>2398.5618386333313</v>
      </c>
      <c r="GG20" s="1">
        <f t="shared" si="18"/>
        <v>2422.5474570196648</v>
      </c>
      <c r="GH20" s="1">
        <f t="shared" si="18"/>
        <v>2446.7729315898614</v>
      </c>
      <c r="GI20" s="1">
        <f t="shared" si="18"/>
        <v>2471.2406609057603</v>
      </c>
      <c r="GJ20" s="1">
        <f t="shared" si="18"/>
        <v>2495.953067514818</v>
      </c>
      <c r="GK20" s="1">
        <f t="shared" si="18"/>
        <v>2520.912598189966</v>
      </c>
      <c r="GL20" s="1">
        <f t="shared" si="18"/>
        <v>2546.1217241718659</v>
      </c>
      <c r="GM20" s="1">
        <f t="shared" si="18"/>
        <v>2571.5829414135846</v>
      </c>
      <c r="GN20" s="1">
        <f t="shared" si="18"/>
        <v>2597.2987708277205</v>
      </c>
      <c r="GO20" s="1">
        <f t="shared" si="18"/>
        <v>2623.2717585359978</v>
      </c>
      <c r="GP20" s="1">
        <f t="shared" si="18"/>
        <v>2649.504476121358</v>
      </c>
      <c r="GQ20" s="1">
        <f t="shared" si="18"/>
        <v>2675.9995208825717</v>
      </c>
      <c r="GR20" s="1">
        <f>+GQ20*(1+$AR$27)</f>
        <v>2702.7595160913975</v>
      </c>
      <c r="GS20" s="1">
        <f>+GR20*(1+$AR$27)</f>
        <v>2729.7871112523117</v>
      </c>
      <c r="GT20" s="1">
        <f>+GS20*(1+$AR$27)</f>
        <v>2757.084982364835</v>
      </c>
      <c r="GU20" s="1">
        <f>+GT20*(1+$AR$27)</f>
        <v>2784.6558321884836</v>
      </c>
      <c r="GV20" s="1">
        <f>+GU20*(1+$AR$27)</f>
        <v>2812.5023905103685</v>
      </c>
      <c r="GW20" s="1">
        <f>+GV20*(1+$AR$27)</f>
        <v>2840.6274144154722</v>
      </c>
      <c r="GX20" s="1">
        <f>+GW20*(1+$AR$27)</f>
        <v>2869.0336885596271</v>
      </c>
      <c r="GY20" s="1">
        <f>+GX20*(1+$AR$27)</f>
        <v>2897.7240254452236</v>
      </c>
      <c r="GZ20" s="1">
        <f>+GY20*(1+$AR$27)</f>
        <v>2926.7012656996758</v>
      </c>
      <c r="HA20" s="1">
        <f>+GZ20*(1+$AR$27)</f>
        <v>2955.9682783566727</v>
      </c>
      <c r="HB20" s="1">
        <f>+HA20*(1+$AR$27)</f>
        <v>2985.5279611402393</v>
      </c>
      <c r="HC20" s="1">
        <f>+HB20*(1+$AR$27)</f>
        <v>3015.3832407516416</v>
      </c>
      <c r="HD20" s="1">
        <f>+HC20*(1+$AR$27)</f>
        <v>3045.5370731591579</v>
      </c>
      <c r="HE20" s="1">
        <f>+HD20*(1+$AR$27)</f>
        <v>3075.9924438907497</v>
      </c>
      <c r="HF20" s="1">
        <f>+HE20*(1+$AR$27)</f>
        <v>3106.7523683296572</v>
      </c>
      <c r="HG20" s="1">
        <f>+HF20*(1+$AR$27)</f>
        <v>3137.8198920129539</v>
      </c>
      <c r="HH20" s="1">
        <f>+HG20*(1+$AR$27)</f>
        <v>3169.1980909330837</v>
      </c>
      <c r="HI20" s="1">
        <f>+HH20*(1+$AR$27)</f>
        <v>3200.8900718424147</v>
      </c>
      <c r="HJ20" s="1">
        <f>+HI20*(1+$AR$27)</f>
        <v>3232.898972560839</v>
      </c>
      <c r="HK20" s="1">
        <f>+HJ20*(1+$AR$27)</f>
        <v>3265.2279622864476</v>
      </c>
      <c r="HL20" s="1">
        <f>+HK20*(1+$AR$27)</f>
        <v>3297.8802419093122</v>
      </c>
      <c r="HM20" s="1">
        <f>+HL20*(1+$AR$27)</f>
        <v>3330.8590443284052</v>
      </c>
      <c r="HN20" s="1">
        <f>+HM20*(1+$AR$27)</f>
        <v>3364.1676347716893</v>
      </c>
      <c r="HO20" s="1">
        <f>+HN20*(1+$AR$27)</f>
        <v>3397.8093111194062</v>
      </c>
      <c r="HP20" s="1">
        <f>+HO20*(1+$AR$27)</f>
        <v>3431.7874042306003</v>
      </c>
      <c r="HQ20" s="1">
        <f>+HP20*(1+$AR$27)</f>
        <v>3466.1052782729062</v>
      </c>
      <c r="HR20" s="1">
        <f>+HQ20*(1+$AR$27)</f>
        <v>3500.7663310556354</v>
      </c>
      <c r="HS20" s="1">
        <f>+HR20*(1+$AR$27)</f>
        <v>3535.7739943661918</v>
      </c>
      <c r="HT20" s="1">
        <f>+HS20*(1+$AR$27)</f>
        <v>3571.1317343098535</v>
      </c>
      <c r="HU20" s="1">
        <f>+HT20*(1+$AR$27)</f>
        <v>3606.843051652952</v>
      </c>
      <c r="HV20" s="1">
        <f>+HU20*(1+$AR$27)</f>
        <v>3642.9114821694816</v>
      </c>
      <c r="HW20" s="1">
        <f>+HV20*(1+$AR$27)</f>
        <v>3679.3405969911764</v>
      </c>
      <c r="HX20" s="1">
        <f>+HW20*(1+$AR$27)</f>
        <v>3716.1340029610883</v>
      </c>
      <c r="HY20" s="1">
        <f>+HX20*(1+$AR$27)</f>
        <v>3753.2953429906993</v>
      </c>
      <c r="HZ20" s="1">
        <f>+HY20*(1+$AR$27)</f>
        <v>3790.8282964206064</v>
      </c>
      <c r="IA20" s="1">
        <f>+HZ20*(1+$AR$27)</f>
        <v>3828.7365793848126</v>
      </c>
      <c r="IB20" s="1">
        <f>+IA20*(1+$AR$27)</f>
        <v>3867.0239451786606</v>
      </c>
      <c r="IC20" s="1">
        <f>+IB20*(1+$AR$27)</f>
        <v>3905.6941846304471</v>
      </c>
      <c r="ID20" s="1">
        <f>+IC20*(1+$AR$27)</f>
        <v>3944.7511264767518</v>
      </c>
    </row>
    <row r="21" spans="2:238">
      <c r="B21" s="1" t="s">
        <v>37</v>
      </c>
      <c r="C21" s="1">
        <v>146.67787899999999</v>
      </c>
      <c r="D21" s="1">
        <v>145.683336</v>
      </c>
      <c r="E21" s="1">
        <v>126.34925</v>
      </c>
      <c r="F21" s="1">
        <f>+F20/F22</f>
        <v>106.50470282939541</v>
      </c>
      <c r="G21" s="1">
        <v>142.96600000000001</v>
      </c>
      <c r="H21" s="1">
        <v>141.011</v>
      </c>
      <c r="I21" s="1">
        <v>138.890567</v>
      </c>
      <c r="J21" s="1">
        <f>+J20/J22</f>
        <v>137.93988632264455</v>
      </c>
      <c r="K21" s="1">
        <v>135.33799999999999</v>
      </c>
      <c r="L21" s="1">
        <v>133.11799999999999</v>
      </c>
      <c r="R21" s="1">
        <v>32.667242000000002</v>
      </c>
      <c r="S21" s="1">
        <v>40.246662999999998</v>
      </c>
      <c r="T21" s="1">
        <v>91.122291000000004</v>
      </c>
      <c r="U21" s="1">
        <v>113.562738</v>
      </c>
      <c r="V21" s="1">
        <v>122.267673</v>
      </c>
      <c r="W21" s="1">
        <v>127.084785</v>
      </c>
      <c r="X21" s="1">
        <v>125.720073</v>
      </c>
      <c r="Y21" s="1">
        <v>136.414592</v>
      </c>
      <c r="Z21" s="1">
        <v>146.683324</v>
      </c>
      <c r="AA21" s="1">
        <v>126.778626</v>
      </c>
      <c r="AB21" s="1">
        <v>140.14540600000001</v>
      </c>
      <c r="AC21" s="1">
        <f>+AB21</f>
        <v>140.14540600000001</v>
      </c>
      <c r="AD21" s="1">
        <f t="shared" ref="AD21:AL21" si="19">+AC21</f>
        <v>140.14540600000001</v>
      </c>
      <c r="AE21" s="1">
        <f t="shared" si="19"/>
        <v>140.14540600000001</v>
      </c>
      <c r="AF21" s="1">
        <f t="shared" si="19"/>
        <v>140.14540600000001</v>
      </c>
      <c r="AG21" s="1">
        <f t="shared" si="19"/>
        <v>140.14540600000001</v>
      </c>
      <c r="AH21" s="1">
        <f t="shared" si="19"/>
        <v>140.14540600000001</v>
      </c>
      <c r="AI21" s="1">
        <f t="shared" si="19"/>
        <v>140.14540600000001</v>
      </c>
      <c r="AJ21" s="1">
        <f t="shared" si="19"/>
        <v>140.14540600000001</v>
      </c>
      <c r="AK21" s="1">
        <f t="shared" si="19"/>
        <v>140.14540600000001</v>
      </c>
      <c r="AL21" s="1">
        <f t="shared" si="19"/>
        <v>140.14540600000001</v>
      </c>
    </row>
    <row r="22" spans="2:238" s="5" customFormat="1">
      <c r="B22" s="5" t="s">
        <v>36</v>
      </c>
      <c r="C22" s="5">
        <f>+C20/C21</f>
        <v>0.58706193863084155</v>
      </c>
      <c r="D22" s="5">
        <f>+D20/D21</f>
        <v>0.50193111997380346</v>
      </c>
      <c r="E22" s="5">
        <f>+E20/E21</f>
        <v>0.64863068043538064</v>
      </c>
      <c r="F22" s="5">
        <f>+AA22-SUM(C22:E22)</f>
        <v>1.0305084853934487</v>
      </c>
      <c r="G22" s="5">
        <f>+G20/G21</f>
        <v>0.52136172236755562</v>
      </c>
      <c r="H22" s="5">
        <f>+H20/H21</f>
        <v>0.92195644311436664</v>
      </c>
      <c r="I22" s="5">
        <f>+I20/I21</f>
        <v>0.63251235773268832</v>
      </c>
      <c r="J22" s="5">
        <f>+AB22-SUM(G22:I22)</f>
        <v>0.66872608394238586</v>
      </c>
      <c r="K22" s="5">
        <f>+K20/K21</f>
        <v>0.46553074524523813</v>
      </c>
      <c r="L22" s="5">
        <f>+L20/L21</f>
        <v>0.39818056160699511</v>
      </c>
      <c r="R22" s="5">
        <f>+R20/R21</f>
        <v>-1.126510771861291E-2</v>
      </c>
      <c r="S22" s="5">
        <f>+S20/S21</f>
        <v>-0.29276961421621406</v>
      </c>
      <c r="T22" s="5">
        <f>+T20/T21</f>
        <v>-0.31995464205350166</v>
      </c>
      <c r="U22" s="5">
        <f>+U20/U21</f>
        <v>-0.12679335012158666</v>
      </c>
      <c r="V22" s="5">
        <f>+V20/V21</f>
        <v>0.45684193237242721</v>
      </c>
      <c r="W22" s="5">
        <f>+W20/W21</f>
        <v>0.66080294348375335</v>
      </c>
      <c r="X22" s="5">
        <f>+X20/X21</f>
        <v>0.73883985097590577</v>
      </c>
      <c r="Y22" s="5">
        <f>+Y20/Y21</f>
        <v>2.7315479563945768</v>
      </c>
      <c r="Z22" s="5">
        <f>+Z20/Z21</f>
        <v>3.2716534293973316</v>
      </c>
      <c r="AA22" s="5">
        <f>+AA20/AA21</f>
        <v>2.7681322244334745</v>
      </c>
      <c r="AB22" s="5">
        <f>+AB20/AB21</f>
        <v>2.7445566071569965</v>
      </c>
      <c r="AC22" s="5">
        <f>+AC20/AC21</f>
        <v>2.6923770930315865</v>
      </c>
      <c r="AD22" s="5">
        <f t="shared" ref="AD22:AL22" si="20">+AD20/AD21</f>
        <v>2.8057585642347678</v>
      </c>
      <c r="AE22" s="5">
        <f t="shared" si="20"/>
        <v>2.9226458174959418</v>
      </c>
      <c r="AF22" s="5">
        <f t="shared" si="20"/>
        <v>3.0431347188470372</v>
      </c>
      <c r="AG22" s="5">
        <f t="shared" si="20"/>
        <v>3.16732358718254</v>
      </c>
      <c r="AH22" s="5">
        <f t="shared" si="20"/>
        <v>3.2953132544546242</v>
      </c>
      <c r="AI22" s="5">
        <f t="shared" si="20"/>
        <v>3.4272071273038462</v>
      </c>
      <c r="AJ22" s="5">
        <f t="shared" si="20"/>
        <v>3.5631112501588986</v>
      </c>
      <c r="AK22" s="5">
        <f t="shared" si="20"/>
        <v>3.7031343698397463</v>
      </c>
      <c r="AL22" s="5">
        <f t="shared" si="20"/>
        <v>3.847388001699207</v>
      </c>
    </row>
    <row r="24" spans="2:238"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38">
      <c r="B25" s="1" t="s">
        <v>64</v>
      </c>
      <c r="G25" s="1">
        <v>170.34399999999999</v>
      </c>
      <c r="H25" s="1">
        <v>166.23500000000001</v>
      </c>
      <c r="K25" s="1">
        <v>167.935</v>
      </c>
      <c r="L25" s="1">
        <v>179.375</v>
      </c>
    </row>
    <row r="26" spans="2:238">
      <c r="AQ26" s="1" t="s">
        <v>116</v>
      </c>
      <c r="AR26" s="4">
        <v>0.02</v>
      </c>
    </row>
    <row r="27" spans="2:238" s="4" customFormat="1">
      <c r="B27" s="4" t="s">
        <v>33</v>
      </c>
      <c r="G27" s="4">
        <f t="shared" ref="G27:J27" si="21">+G11/C11-1</f>
        <v>0.10636046306878022</v>
      </c>
      <c r="H27" s="4">
        <f t="shared" si="21"/>
        <v>7.4753689319558614E-2</v>
      </c>
      <c r="I27" s="4">
        <f t="shared" si="21"/>
        <v>7.0370364140098118E-2</v>
      </c>
      <c r="J27" s="4">
        <f t="shared" si="21"/>
        <v>4.3457901667531829E-2</v>
      </c>
      <c r="K27" s="4">
        <f>+K11/G11-1</f>
        <v>7.9219569433761627E-3</v>
      </c>
      <c r="L27" s="4">
        <f>+L11/H11-1</f>
        <v>3.010132363136786E-2</v>
      </c>
      <c r="S27" s="4">
        <f>+S11/R11-1</f>
        <v>0.56445265633248543</v>
      </c>
      <c r="T27" s="4">
        <f>+T11/S11-1</f>
        <v>0.39832098613944411</v>
      </c>
      <c r="U27" s="4">
        <f>+U11/T11-1</f>
        <v>0.33443632335035933</v>
      </c>
      <c r="V27" s="4">
        <f>+V11/U11-1</f>
        <v>0.20896135815018901</v>
      </c>
      <c r="W27" s="4">
        <f>+W11/V11-1</f>
        <v>0.36820169027108252</v>
      </c>
      <c r="X27" s="4">
        <f>+X11/W11-1</f>
        <v>0.35562115181060583</v>
      </c>
      <c r="Y27" s="4">
        <f>+Y11/X11-1</f>
        <v>1.1085890522606272</v>
      </c>
      <c r="Z27" s="4">
        <f>+Z11/Y11-1</f>
        <v>0.34973936979355291</v>
      </c>
      <c r="AA27" s="4">
        <f>+AA11/Z11-1</f>
        <v>0.10173995253191737</v>
      </c>
      <c r="AB27" s="4">
        <f>+AB11/AA11-1</f>
        <v>7.1028104396107627E-2</v>
      </c>
      <c r="AC27" s="4">
        <f>+AC11/AB11-1</f>
        <v>1.8783085435513325E-2</v>
      </c>
      <c r="AD27" s="4">
        <f>+AD11/AC11-1</f>
        <v>2.0000000000000018E-2</v>
      </c>
      <c r="AE27" s="4">
        <f>+AE11/AD11-1</f>
        <v>2.0000000000000018E-2</v>
      </c>
      <c r="AF27" s="4">
        <f t="shared" ref="AD27:AL27" si="22">+AF11/AE11-1</f>
        <v>2.0000000000000018E-2</v>
      </c>
      <c r="AG27" s="4">
        <f t="shared" si="22"/>
        <v>2.0000000000000018E-2</v>
      </c>
      <c r="AH27" s="4">
        <f t="shared" si="22"/>
        <v>2.0000000000000018E-2</v>
      </c>
      <c r="AI27" s="4">
        <f t="shared" si="22"/>
        <v>2.0000000000000018E-2</v>
      </c>
      <c r="AJ27" s="4">
        <f t="shared" si="22"/>
        <v>2.0000000000000018E-2</v>
      </c>
      <c r="AK27" s="4">
        <f t="shared" si="22"/>
        <v>2.0000000000000018E-2</v>
      </c>
      <c r="AL27" s="4">
        <f t="shared" si="22"/>
        <v>2.0000000000000018E-2</v>
      </c>
      <c r="AQ27" s="4" t="s">
        <v>65</v>
      </c>
      <c r="AR27" s="8">
        <v>0.01</v>
      </c>
    </row>
    <row r="28" spans="2:238" s="4" customFormat="1">
      <c r="B28" s="4" t="s">
        <v>34</v>
      </c>
      <c r="C28" s="4">
        <f>(C11-C12)/C11</f>
        <v>0.70135481799380595</v>
      </c>
      <c r="D28" s="4">
        <f>(D11-D12)/D11</f>
        <v>0.70704025566749551</v>
      </c>
      <c r="E28" s="4">
        <f>(E11-E12)/E11</f>
        <v>0.70662725894874245</v>
      </c>
      <c r="F28" s="4">
        <f>(F11-F12)/F11</f>
        <v>0.72031276904914399</v>
      </c>
      <c r="G28" s="4">
        <f>(G11-G12)/G11</f>
        <v>0.69502260184091491</v>
      </c>
      <c r="H28" s="4">
        <f>(H11-H12)/H11</f>
        <v>0.7000394354371926</v>
      </c>
      <c r="I28" s="4">
        <f>(I11-I12)/I11</f>
        <v>0.7032431141187675</v>
      </c>
      <c r="J28" s="4">
        <f>(J11-J12)/J11</f>
        <v>0.69636671011798346</v>
      </c>
      <c r="K28" s="4">
        <f>(K11-K12)/K11</f>
        <v>0.71029980463005105</v>
      </c>
      <c r="L28" s="4">
        <f>(L11-L12)/L11</f>
        <v>0.71582541686863044</v>
      </c>
      <c r="R28" s="4">
        <f>(R11-R12)/R11</f>
        <v>0.61783526099406494</v>
      </c>
      <c r="S28" s="4">
        <f>(S11-S12)/S11</f>
        <v>0.62353584776395643</v>
      </c>
      <c r="T28" s="4">
        <f>(T11-T12)/T11</f>
        <v>0.64541369438279494</v>
      </c>
      <c r="U28" s="4">
        <f>(U11-U12)/U11</f>
        <v>0.66208451723032491</v>
      </c>
      <c r="V28" s="4">
        <f>(V11-V12)/V11</f>
        <v>0.65780736167676346</v>
      </c>
      <c r="W28" s="4">
        <f>(W11-W12)/W11</f>
        <v>0.68400826247778257</v>
      </c>
      <c r="X28" s="4">
        <f>(X11-X12)/X11</f>
        <v>0.6688135937016958</v>
      </c>
      <c r="Y28" s="4">
        <f>(Y11-Y12)/Y11</f>
        <v>0.73068018833755888</v>
      </c>
      <c r="Z28" s="4">
        <f>(Z11-Z12)/Z11</f>
        <v>0.71899032434233345</v>
      </c>
      <c r="AA28" s="4">
        <f>(AA11-AA12)/AA11</f>
        <v>0.70983640224448585</v>
      </c>
      <c r="AB28" s="4">
        <f>(AB11-AB12)/AB11</f>
        <v>0.69848568809883071</v>
      </c>
      <c r="AC28" s="4">
        <f>(AC11-AC12)/AC11</f>
        <v>0.71</v>
      </c>
      <c r="AD28" s="4">
        <f t="shared" ref="AD28:AL28" si="23">(AD11-AD12)/AD11</f>
        <v>0.71000000000000008</v>
      </c>
      <c r="AE28" s="4">
        <f t="shared" si="23"/>
        <v>0.71000000000000008</v>
      </c>
      <c r="AF28" s="4">
        <f t="shared" si="23"/>
        <v>0.71000000000000008</v>
      </c>
      <c r="AG28" s="4">
        <f t="shared" si="23"/>
        <v>0.71000000000000008</v>
      </c>
      <c r="AH28" s="4">
        <f t="shared" si="23"/>
        <v>0.71</v>
      </c>
      <c r="AI28" s="4">
        <f t="shared" si="23"/>
        <v>0.71000000000000008</v>
      </c>
      <c r="AJ28" s="4">
        <f t="shared" si="23"/>
        <v>0.71000000000000008</v>
      </c>
      <c r="AK28" s="4">
        <f t="shared" si="23"/>
        <v>0.71000000000000008</v>
      </c>
      <c r="AL28" s="4">
        <f t="shared" si="23"/>
        <v>0.71000000000000008</v>
      </c>
      <c r="AQ28" s="4" t="s">
        <v>67</v>
      </c>
      <c r="AR28" s="8">
        <v>7.0000000000000007E-2</v>
      </c>
    </row>
    <row r="29" spans="2:238" s="4" customFormat="1">
      <c r="B29" s="4" t="s">
        <v>35</v>
      </c>
      <c r="C29" s="4">
        <f>+C16/C11</f>
        <v>0.14555489188041418</v>
      </c>
      <c r="D29" s="4">
        <f>+D16/D11</f>
        <v>0.12400728037119627</v>
      </c>
      <c r="E29" s="4">
        <f>+E16/E11</f>
        <v>0.15180270123421072</v>
      </c>
      <c r="F29" s="4">
        <f>+F16/F11</f>
        <v>0.17261759499331625</v>
      </c>
      <c r="G29" s="4">
        <f>+G16/G11</f>
        <v>0.12201873370397122</v>
      </c>
      <c r="H29" s="4">
        <f>+H16/H11</f>
        <v>0.10450231842207357</v>
      </c>
      <c r="I29" s="4">
        <f>+I16/I11</f>
        <v>0.13917290846170516</v>
      </c>
      <c r="J29" s="4">
        <f>+J16/J11</f>
        <v>0.1370710963265829</v>
      </c>
      <c r="K29" s="4">
        <f>+K16/K11</f>
        <v>0.10540998275418996</v>
      </c>
      <c r="L29" s="4">
        <f>+L16/L11</f>
        <v>0.10831792234094773</v>
      </c>
      <c r="R29" s="4">
        <f>+R16/R11</f>
        <v>5.8629681176113327E-3</v>
      </c>
      <c r="S29" s="4">
        <f>+S16/S11</f>
        <v>-3.1959548240972108E-2</v>
      </c>
      <c r="T29" s="4">
        <f>+T16/T11</f>
        <v>-6.8885078190414383E-3</v>
      </c>
      <c r="U29" s="4">
        <f>+U16/U11</f>
        <v>4.9670244159060919E-2</v>
      </c>
      <c r="V29" s="4">
        <f>+V16/V11</f>
        <v>3.4127248538747393E-2</v>
      </c>
      <c r="W29" s="4">
        <f>+W16/W11</f>
        <v>0.12388084672176081</v>
      </c>
      <c r="X29" s="4">
        <f>+X16/X11</f>
        <v>0.10845830599270019</v>
      </c>
      <c r="Y29" s="4">
        <f>+Y16/Y11</f>
        <v>0.24571329228540384</v>
      </c>
      <c r="Z29" s="4">
        <f>+Z16/Z11</f>
        <v>0.1999713199355643</v>
      </c>
      <c r="AA29" s="4">
        <f>+AA16/AA11</f>
        <v>0.15060221479117605</v>
      </c>
      <c r="AB29" s="4">
        <f>+AB16/AB11</f>
        <v>0.12659544160062458</v>
      </c>
      <c r="AC29" s="4">
        <f>+AC16/AC11</f>
        <v>0.13810975350179383</v>
      </c>
      <c r="AD29" s="4">
        <f t="shared" ref="AD29:AL29" si="24">+AD16/AD11</f>
        <v>0.13810975350179386</v>
      </c>
      <c r="AE29" s="4">
        <f t="shared" si="24"/>
        <v>0.13810975350179397</v>
      </c>
      <c r="AF29" s="4">
        <f t="shared" si="24"/>
        <v>0.13810975350179391</v>
      </c>
      <c r="AG29" s="4">
        <f t="shared" si="24"/>
        <v>0.13810975350179391</v>
      </c>
      <c r="AH29" s="4">
        <f t="shared" si="24"/>
        <v>0.13810975350179394</v>
      </c>
      <c r="AI29" s="4">
        <f t="shared" si="24"/>
        <v>0.138109753501794</v>
      </c>
      <c r="AJ29" s="4">
        <f t="shared" si="24"/>
        <v>0.138109753501794</v>
      </c>
      <c r="AK29" s="4">
        <f t="shared" si="24"/>
        <v>0.13810975350179397</v>
      </c>
      <c r="AL29" s="4">
        <f t="shared" si="24"/>
        <v>0.13810975350179391</v>
      </c>
      <c r="AQ29" s="4" t="s">
        <v>66</v>
      </c>
      <c r="AR29" s="9">
        <f>NPV(AR28,AC20:ID20)</f>
        <v>7740.0957497990439</v>
      </c>
    </row>
    <row r="30" spans="2:238">
      <c r="AQ30" s="1" t="s">
        <v>68</v>
      </c>
      <c r="AR30" s="1">
        <f>+AB33</f>
        <v>-1192.5319999999999</v>
      </c>
    </row>
    <row r="31" spans="2:238">
      <c r="AQ31" s="1" t="s">
        <v>69</v>
      </c>
      <c r="AR31" s="1">
        <f>+SUM(AR29:AR30)</f>
        <v>6547.5637497990438</v>
      </c>
    </row>
    <row r="32" spans="2:238">
      <c r="AQ32" s="1" t="s">
        <v>1</v>
      </c>
      <c r="AR32" s="1">
        <f>+MaIn!K5</f>
        <v>114.75226000000001</v>
      </c>
    </row>
    <row r="33" spans="2:44" s="7" customFormat="1">
      <c r="B33" s="7" t="s">
        <v>62</v>
      </c>
      <c r="I33" s="7">
        <f>+SUM(I34:I35,I43)-I55</f>
        <v>-1229.2630000000004</v>
      </c>
      <c r="J33" s="7">
        <f>+SUM(J34:J35,J43)-J55</f>
        <v>-960.14100000000008</v>
      </c>
      <c r="K33" s="7">
        <f>+SUM(K34:K35,K43)-K55</f>
        <v>-1156.7469999999998</v>
      </c>
      <c r="L33" s="7">
        <f>+SUM(L34:L35,L43)-L55</f>
        <v>-1192.5319999999999</v>
      </c>
      <c r="AB33" s="7">
        <f>+L33</f>
        <v>-1192.5319999999999</v>
      </c>
      <c r="AC33" s="7">
        <f>+AB33+AC20</f>
        <v>-815.20771919198842</v>
      </c>
      <c r="AD33" s="7">
        <f t="shared" ref="AD33:AL33" si="25">+AC33+AD20</f>
        <v>-421.9935460693298</v>
      </c>
      <c r="AE33" s="7">
        <f t="shared" si="25"/>
        <v>-12.398161382159117</v>
      </c>
      <c r="AF33" s="7">
        <f t="shared" si="25"/>
        <v>414.0831893033548</v>
      </c>
      <c r="AG33" s="7">
        <f t="shared" si="25"/>
        <v>857.96903936242825</v>
      </c>
      <c r="AH33" s="7">
        <f t="shared" si="25"/>
        <v>1319.7920533051529</v>
      </c>
      <c r="AI33" s="7">
        <f t="shared" si="25"/>
        <v>1800.0993876072441</v>
      </c>
      <c r="AJ33" s="7">
        <f t="shared" si="25"/>
        <v>2299.4530603839307</v>
      </c>
      <c r="AK33" s="7">
        <f t="shared" si="25"/>
        <v>2818.430330117676</v>
      </c>
      <c r="AL33" s="7">
        <f t="shared" si="25"/>
        <v>3357.6240836553402</v>
      </c>
      <c r="AQ33" s="7" t="s">
        <v>70</v>
      </c>
      <c r="AR33" s="7">
        <f>+AR31/AR32</f>
        <v>57.058255321499054</v>
      </c>
    </row>
    <row r="34" spans="2:44">
      <c r="B34" s="1" t="s">
        <v>42</v>
      </c>
      <c r="I34" s="1">
        <v>741.95799999999997</v>
      </c>
      <c r="J34" s="1">
        <v>914</v>
      </c>
      <c r="K34" s="1">
        <v>788.83699999999999</v>
      </c>
      <c r="L34" s="1">
        <v>759.21100000000001</v>
      </c>
      <c r="AQ34" s="1" t="s">
        <v>71</v>
      </c>
      <c r="AR34" s="1">
        <f>+MaIn!K4</f>
        <v>53.91</v>
      </c>
    </row>
    <row r="35" spans="2:44">
      <c r="B35" s="1" t="s">
        <v>43</v>
      </c>
      <c r="I35" s="1">
        <v>234.93</v>
      </c>
      <c r="J35" s="1">
        <v>323</v>
      </c>
      <c r="K35" s="1">
        <v>254.875</v>
      </c>
      <c r="L35" s="1">
        <v>240.679</v>
      </c>
      <c r="AQ35" s="1" t="s">
        <v>72</v>
      </c>
      <c r="AR35" s="4">
        <f>+AR33/AR34-1</f>
        <v>5.8398355063978169E-2</v>
      </c>
    </row>
    <row r="36" spans="2:44">
      <c r="B36" s="1" t="s">
        <v>44</v>
      </c>
      <c r="I36" s="1">
        <v>19.41</v>
      </c>
      <c r="J36" s="1">
        <v>236.11799999999999</v>
      </c>
      <c r="K36" s="1">
        <v>16.542000000000002</v>
      </c>
      <c r="L36" s="1">
        <v>10.324</v>
      </c>
    </row>
    <row r="37" spans="2:44">
      <c r="B37" s="1" t="s">
        <v>45</v>
      </c>
      <c r="I37" s="1">
        <v>125.605</v>
      </c>
      <c r="J37" s="1">
        <v>24.734000000000002</v>
      </c>
      <c r="K37" s="1">
        <v>104.633</v>
      </c>
      <c r="L37" s="1">
        <v>109.31100000000001</v>
      </c>
    </row>
    <row r="38" spans="2:44">
      <c r="B38" s="1" t="s">
        <v>46</v>
      </c>
      <c r="I38" s="1">
        <v>221.958</v>
      </c>
      <c r="J38" s="1">
        <v>129.88399999999999</v>
      </c>
      <c r="K38" s="1">
        <v>239.53200000000001</v>
      </c>
      <c r="L38" s="1">
        <v>239.48099999999999</v>
      </c>
      <c r="AQ38" s="1" t="s">
        <v>74</v>
      </c>
      <c r="AR38" s="1">
        <f>+MaIn!K9</f>
        <v>7378.8263366000001</v>
      </c>
    </row>
    <row r="39" spans="2:44">
      <c r="B39" s="1" t="s">
        <v>47</v>
      </c>
      <c r="I39" s="1">
        <v>245.80600000000001</v>
      </c>
      <c r="J39" s="1">
        <v>265.387</v>
      </c>
      <c r="K39" s="1">
        <v>241.875</v>
      </c>
      <c r="L39" s="1">
        <v>238.798</v>
      </c>
      <c r="AQ39" s="1" t="s">
        <v>73</v>
      </c>
      <c r="AR39" s="10">
        <f>+$AR$38/AC20</f>
        <v>19.555662627379295</v>
      </c>
    </row>
    <row r="40" spans="2:44">
      <c r="B40" s="1" t="s">
        <v>48</v>
      </c>
      <c r="I40" s="1">
        <v>137.46100000000001</v>
      </c>
      <c r="J40" s="1">
        <v>249.79400000000001</v>
      </c>
      <c r="K40" s="1">
        <v>137.89400000000001</v>
      </c>
      <c r="L40" s="1">
        <v>137.74199999999999</v>
      </c>
      <c r="AQ40" s="1" t="s">
        <v>75</v>
      </c>
      <c r="AR40" s="10">
        <f>+$AR$38/AD20</f>
        <v>18.765412950408226</v>
      </c>
    </row>
    <row r="41" spans="2:44">
      <c r="B41" s="1" t="s">
        <v>49</v>
      </c>
      <c r="I41" s="1">
        <v>452.88099999999997</v>
      </c>
      <c r="J41" s="1">
        <v>138.37700000000001</v>
      </c>
      <c r="K41" s="1">
        <v>444.82900000000001</v>
      </c>
      <c r="L41" s="1">
        <v>435.68700000000001</v>
      </c>
      <c r="AQ41" s="1" t="s">
        <v>76</v>
      </c>
      <c r="AR41" s="10">
        <f>+$AR$38/AE20</f>
        <v>18.014915725272623</v>
      </c>
    </row>
    <row r="42" spans="2:44">
      <c r="B42" s="1" t="s">
        <v>50</v>
      </c>
      <c r="I42" s="1">
        <v>146.38</v>
      </c>
      <c r="J42" s="1">
        <v>457.14</v>
      </c>
      <c r="K42" s="1">
        <v>141.012</v>
      </c>
      <c r="L42" s="1">
        <v>137.756</v>
      </c>
    </row>
    <row r="43" spans="2:44">
      <c r="B43" s="1" t="s">
        <v>63</v>
      </c>
      <c r="I43" s="1">
        <v>76.599999999999994</v>
      </c>
      <c r="J43" s="1">
        <v>86.676000000000002</v>
      </c>
      <c r="K43" s="1">
        <v>84.424000000000007</v>
      </c>
      <c r="L43" s="1">
        <v>93.528000000000006</v>
      </c>
      <c r="AQ43" s="1" t="s">
        <v>100</v>
      </c>
      <c r="AR43" s="1">
        <f>+L86</f>
        <v>718.71100000000001</v>
      </c>
    </row>
    <row r="44" spans="2:44">
      <c r="B44" s="1" t="s">
        <v>51</v>
      </c>
      <c r="I44" s="1">
        <v>46.207999999999998</v>
      </c>
      <c r="J44" s="1">
        <v>45.191000000000003</v>
      </c>
      <c r="K44" s="1">
        <v>43.218000000000004</v>
      </c>
      <c r="L44" s="1">
        <v>45.570999999999998</v>
      </c>
      <c r="AQ44" s="1" t="s">
        <v>102</v>
      </c>
      <c r="AR44" s="10">
        <f>+AR38/AR43</f>
        <v>10.266750246761216</v>
      </c>
    </row>
    <row r="45" spans="2:44" s="7" customFormat="1">
      <c r="B45" s="7" t="s">
        <v>41</v>
      </c>
      <c r="I45" s="7">
        <f>+SUM(I34:I44)</f>
        <v>2449.1970000000001</v>
      </c>
      <c r="J45" s="7">
        <f>+SUM(J34:J44)</f>
        <v>2870.3009999999995</v>
      </c>
      <c r="K45" s="7">
        <f>+SUM(K34:K44)</f>
        <v>2497.6709999999998</v>
      </c>
      <c r="L45" s="7">
        <f>+SUM(L34:L44)</f>
        <v>2448.0879999999993</v>
      </c>
    </row>
    <row r="47" spans="2:44">
      <c r="B47" s="1" t="s">
        <v>52</v>
      </c>
      <c r="I47" s="1">
        <v>14.15</v>
      </c>
      <c r="J47" s="1">
        <v>29.92</v>
      </c>
      <c r="K47" s="1">
        <v>10.132</v>
      </c>
      <c r="L47" s="1">
        <v>13.07</v>
      </c>
    </row>
    <row r="48" spans="2:44">
      <c r="B48" s="1" t="s">
        <v>53</v>
      </c>
      <c r="I48" s="1">
        <v>271.97300000000001</v>
      </c>
      <c r="J48" s="1">
        <v>353.553</v>
      </c>
      <c r="K48" s="1">
        <v>262.51799999999997</v>
      </c>
      <c r="L48" s="1">
        <v>256.81900000000002</v>
      </c>
    </row>
    <row r="49" spans="2:12">
      <c r="B49" s="1" t="s">
        <v>54</v>
      </c>
      <c r="I49" s="1">
        <v>5.2210000000000001</v>
      </c>
      <c r="J49" s="1">
        <v>6.0789999999999997</v>
      </c>
      <c r="K49" s="1">
        <v>6.0449999999999999</v>
      </c>
      <c r="L49" s="1">
        <v>6.0369999999999999</v>
      </c>
    </row>
    <row r="50" spans="2:12">
      <c r="B50" s="1" t="s">
        <v>55</v>
      </c>
      <c r="I50" s="1">
        <v>221.958</v>
      </c>
      <c r="J50" s="1">
        <v>265.387</v>
      </c>
      <c r="K50" s="1">
        <v>239.53200000000001</v>
      </c>
      <c r="L50" s="1">
        <v>239.48099999999999</v>
      </c>
    </row>
    <row r="51" spans="2:12">
      <c r="B51" s="1" t="s">
        <v>56</v>
      </c>
      <c r="I51" s="1">
        <v>14.984</v>
      </c>
      <c r="J51" s="1">
        <v>14.635</v>
      </c>
      <c r="K51" s="1">
        <v>13.869</v>
      </c>
      <c r="L51" s="1">
        <v>15.788</v>
      </c>
    </row>
    <row r="52" spans="2:12">
      <c r="B52" s="1" t="s">
        <v>57</v>
      </c>
      <c r="I52" s="1">
        <v>20.530999999999999</v>
      </c>
      <c r="J52" s="1">
        <v>41.207000000000001</v>
      </c>
      <c r="K52" s="1">
        <v>33.024999999999999</v>
      </c>
      <c r="L52" s="1">
        <v>33.29</v>
      </c>
    </row>
    <row r="53" spans="2:12">
      <c r="B53" s="1" t="s">
        <v>58</v>
      </c>
      <c r="I53" s="1">
        <v>101.114</v>
      </c>
      <c r="J53" s="1">
        <v>99.62</v>
      </c>
      <c r="K53" s="1">
        <v>98.111999999999995</v>
      </c>
      <c r="L53" s="1">
        <v>96.587000000000003</v>
      </c>
    </row>
    <row r="54" spans="2:12">
      <c r="B54" s="1" t="s">
        <v>59</v>
      </c>
      <c r="I54" s="1">
        <v>25.495999999999999</v>
      </c>
      <c r="J54" s="1">
        <v>13.192</v>
      </c>
      <c r="K54" s="1">
        <v>11.023</v>
      </c>
      <c r="L54" s="1">
        <v>8.7880000000000003</v>
      </c>
    </row>
    <row r="55" spans="2:12">
      <c r="B55" s="1" t="s">
        <v>60</v>
      </c>
      <c r="I55" s="1">
        <v>2282.7510000000002</v>
      </c>
      <c r="J55" s="1">
        <v>2283.817</v>
      </c>
      <c r="K55" s="1">
        <v>2284.8829999999998</v>
      </c>
      <c r="L55" s="1">
        <v>2285.9499999999998</v>
      </c>
    </row>
    <row r="56" spans="2:12">
      <c r="B56" s="1" t="s">
        <v>61</v>
      </c>
      <c r="I56" s="1">
        <v>113.547</v>
      </c>
      <c r="J56" s="1">
        <v>121.705</v>
      </c>
      <c r="K56" s="1">
        <v>122.29300000000001</v>
      </c>
      <c r="L56" s="1">
        <v>127.274</v>
      </c>
    </row>
    <row r="57" spans="2:12">
      <c r="B57" s="1" t="s">
        <v>38</v>
      </c>
      <c r="I57" s="1">
        <f>+SUM(I47:I56)</f>
        <v>3071.7250000000004</v>
      </c>
      <c r="J57" s="1">
        <f>+SUM(J47:J56)</f>
        <v>3229.1149999999998</v>
      </c>
      <c r="K57" s="1">
        <f>+SUM(K47:K56)</f>
        <v>3081.4319999999998</v>
      </c>
      <c r="L57" s="1">
        <f>+SUM(L47:L56)</f>
        <v>3083.0839999999994</v>
      </c>
    </row>
    <row r="58" spans="2:12">
      <c r="B58" s="1" t="s">
        <v>39</v>
      </c>
      <c r="I58" s="1">
        <v>-622.52800000000002</v>
      </c>
      <c r="J58" s="1">
        <v>-543.71500000000003</v>
      </c>
      <c r="K58" s="1">
        <v>-583.76099999999997</v>
      </c>
      <c r="L58" s="1">
        <v>-634.99599999999998</v>
      </c>
    </row>
    <row r="59" spans="2:12" s="7" customFormat="1">
      <c r="B59" s="7" t="s">
        <v>40</v>
      </c>
      <c r="I59" s="7">
        <f>+SUM(I57:I58)</f>
        <v>2449.1970000000001</v>
      </c>
      <c r="J59" s="7">
        <f>+SUM(J57:J58)</f>
        <v>2685.3999999999996</v>
      </c>
      <c r="K59" s="7">
        <f>+SUM(K57:K58)</f>
        <v>2497.6709999999998</v>
      </c>
      <c r="L59" s="7">
        <f>+SUM(L57:L58)</f>
        <v>2448.0879999999993</v>
      </c>
    </row>
    <row r="61" spans="2:12">
      <c r="B61" s="1" t="s">
        <v>84</v>
      </c>
      <c r="I61" s="1">
        <f t="shared" ref="I61:L61" si="26">+SUM(I34:I38)-SUM(I47:I52)</f>
        <v>795.04399999999987</v>
      </c>
      <c r="J61" s="1">
        <f t="shared" si="26"/>
        <v>916.95499999999981</v>
      </c>
      <c r="K61" s="1">
        <f t="shared" si="26"/>
        <v>839.29799999999989</v>
      </c>
      <c r="L61" s="1">
        <f>+SUM(L34:L38)-SUM(L47:L52)</f>
        <v>794.52099999999996</v>
      </c>
    </row>
    <row r="62" spans="2:12">
      <c r="B62" s="1" t="s">
        <v>93</v>
      </c>
      <c r="J62" s="1">
        <f t="shared" ref="J62:L62" si="27">+J34-I34</f>
        <v>172.04200000000003</v>
      </c>
      <c r="K62" s="1">
        <f t="shared" si="27"/>
        <v>-125.16300000000001</v>
      </c>
      <c r="L62" s="1">
        <f>+L34-K34</f>
        <v>-29.625999999999976</v>
      </c>
    </row>
    <row r="63" spans="2:12">
      <c r="B63" s="1" t="s">
        <v>94</v>
      </c>
      <c r="J63" s="1">
        <f t="shared" ref="J63:L63" si="28">+J35-I35</f>
        <v>88.07</v>
      </c>
      <c r="K63" s="1">
        <f t="shared" si="28"/>
        <v>-68.125</v>
      </c>
      <c r="L63" s="1">
        <f>+L35-K35</f>
        <v>-14.195999999999998</v>
      </c>
    </row>
    <row r="64" spans="2:12">
      <c r="B64" s="1" t="s">
        <v>95</v>
      </c>
      <c r="J64" s="1">
        <f t="shared" ref="J64:L64" si="29">+J43-I43</f>
        <v>10.076000000000008</v>
      </c>
      <c r="K64" s="1">
        <f t="shared" si="29"/>
        <v>-2.2519999999999953</v>
      </c>
      <c r="L64" s="1">
        <f>+L43-K43</f>
        <v>9.1039999999999992</v>
      </c>
    </row>
    <row r="66" spans="2:28">
      <c r="B66" s="1" t="s">
        <v>85</v>
      </c>
      <c r="I66" s="1">
        <v>-464.17500000000001</v>
      </c>
    </row>
    <row r="67" spans="2:28">
      <c r="B67" s="1" t="s">
        <v>86</v>
      </c>
      <c r="I67" s="1">
        <v>76.37</v>
      </c>
    </row>
    <row r="68" spans="2:28">
      <c r="B68" s="1" t="s">
        <v>87</v>
      </c>
      <c r="I68" s="1">
        <v>2.6930000000000001</v>
      </c>
    </row>
    <row r="69" spans="2:28">
      <c r="B69" s="1" t="s">
        <v>92</v>
      </c>
      <c r="I69" s="1">
        <v>-8.4659999999999993</v>
      </c>
    </row>
    <row r="70" spans="2:28">
      <c r="B70" s="1" t="s">
        <v>88</v>
      </c>
      <c r="I70" s="1">
        <v>-299.67099999999999</v>
      </c>
    </row>
    <row r="71" spans="2:28">
      <c r="B71" s="1" t="s">
        <v>89</v>
      </c>
      <c r="I71" s="1">
        <v>-17.129000000000001</v>
      </c>
    </row>
    <row r="72" spans="2:28" s="16" customFormat="1">
      <c r="B72" s="16" t="s">
        <v>90</v>
      </c>
      <c r="I72" s="16">
        <f>+I20</f>
        <v>87.849999999999923</v>
      </c>
    </row>
    <row r="73" spans="2:28" s="7" customFormat="1">
      <c r="B73" s="7" t="s">
        <v>91</v>
      </c>
      <c r="I73" s="7">
        <f>SUM(I66:I72)</f>
        <v>-622.52800000000013</v>
      </c>
    </row>
    <row r="77" spans="2:28">
      <c r="B77" s="7" t="s">
        <v>96</v>
      </c>
      <c r="C77" s="1">
        <f>+C20</f>
        <v>86.108999999999995</v>
      </c>
      <c r="D77" s="1">
        <f t="shared" ref="D77:L77" si="30">+D20</f>
        <v>73.122999999999919</v>
      </c>
      <c r="E77" s="1">
        <f t="shared" si="30"/>
        <v>81.954000000000022</v>
      </c>
      <c r="F77" s="1">
        <f t="shared" si="30"/>
        <v>109.75399999999962</v>
      </c>
      <c r="G77" s="1">
        <f t="shared" si="30"/>
        <v>74.536999999999964</v>
      </c>
      <c r="H77" s="1">
        <f t="shared" si="30"/>
        <v>130.00599999999994</v>
      </c>
      <c r="I77" s="1">
        <f t="shared" si="30"/>
        <v>87.849999999999923</v>
      </c>
      <c r="J77" s="1">
        <f t="shared" si="30"/>
        <v>92.243999999999971</v>
      </c>
      <c r="K77" s="1">
        <f t="shared" si="30"/>
        <v>63.004000000000033</v>
      </c>
      <c r="L77" s="1">
        <f t="shared" si="30"/>
        <v>53.004999999999974</v>
      </c>
    </row>
    <row r="78" spans="2:28">
      <c r="B78" s="1" t="s">
        <v>31</v>
      </c>
    </row>
    <row r="80" spans="2:28">
      <c r="B80" s="1" t="s">
        <v>97</v>
      </c>
      <c r="G80" s="1">
        <v>55.631</v>
      </c>
      <c r="H80" s="1">
        <f>191.902-G80</f>
        <v>136.27099999999999</v>
      </c>
      <c r="I80" s="1">
        <f>410.408-SUM(G80:H80)</f>
        <v>218.50600000000003</v>
      </c>
      <c r="J80" s="1">
        <f>705.513-SUM(G80:I80)</f>
        <v>295.10500000000002</v>
      </c>
      <c r="K80" s="1">
        <v>69.033000000000001</v>
      </c>
      <c r="L80" s="1">
        <f>220.094-K80</f>
        <v>151.06099999999998</v>
      </c>
      <c r="S80" s="1">
        <v>12.087</v>
      </c>
      <c r="T80" s="1">
        <v>29.210999999999999</v>
      </c>
      <c r="U80" s="1">
        <v>46.759</v>
      </c>
      <c r="V80" s="1">
        <v>69.100999999999999</v>
      </c>
      <c r="W80" s="1">
        <v>198.92500000000001</v>
      </c>
      <c r="X80" s="1">
        <v>206.92</v>
      </c>
      <c r="Y80" s="1">
        <v>678.95600000000002</v>
      </c>
      <c r="Z80" s="1">
        <v>651.55100000000004</v>
      </c>
      <c r="AA80" s="1">
        <v>683.61199999999997</v>
      </c>
      <c r="AB80" s="1">
        <v>705.51300000000003</v>
      </c>
    </row>
    <row r="81" spans="2:28">
      <c r="B81" s="1" t="s">
        <v>98</v>
      </c>
      <c r="G81" s="1">
        <v>-2.2490000000000001</v>
      </c>
      <c r="H81" s="1">
        <f>+-3.852-G81</f>
        <v>-1.6029999999999998</v>
      </c>
      <c r="I81" s="1">
        <f>+-7.74-SUM(G81:H81)</f>
        <v>-3.8880000000000003</v>
      </c>
      <c r="J81" s="1">
        <f>+-12.938-SUM(G81:I81)</f>
        <v>-5.1980000000000004</v>
      </c>
      <c r="K81" s="1">
        <v>-2.2570000000000001</v>
      </c>
      <c r="L81" s="1">
        <f>+-5.908-K81</f>
        <v>-3.6510000000000002</v>
      </c>
      <c r="S81" s="1">
        <v>-1.304</v>
      </c>
      <c r="T81" s="1">
        <v>-11.116</v>
      </c>
      <c r="U81" s="1">
        <v>-35.981000000000002</v>
      </c>
      <c r="V81" s="1">
        <v>-3.948</v>
      </c>
      <c r="W81" s="1">
        <v>-1.0189999999999999</v>
      </c>
      <c r="X81" s="1">
        <v>-7.5279999999999996</v>
      </c>
      <c r="Y81" s="1">
        <v>-1.4450000000000001</v>
      </c>
      <c r="Z81" s="1">
        <v>-11.247999999999999</v>
      </c>
      <c r="AA81" s="1">
        <v>-10.237</v>
      </c>
      <c r="AB81" s="1">
        <v>-12.938000000000001</v>
      </c>
    </row>
    <row r="82" spans="2:28">
      <c r="B82" s="1" t="s">
        <v>99</v>
      </c>
      <c r="G82" s="1">
        <f>+SUM(G80:G81)</f>
        <v>53.381999999999998</v>
      </c>
      <c r="H82" s="1">
        <f>+SUM(H80:H81)</f>
        <v>134.66799999999998</v>
      </c>
      <c r="I82" s="1">
        <f>+SUM(I80:I81)</f>
        <v>214.61800000000002</v>
      </c>
      <c r="J82" s="1">
        <f>+SUM(J80:J81)</f>
        <v>289.90700000000004</v>
      </c>
      <c r="K82" s="1">
        <f>+SUM(K80:K81)</f>
        <v>66.775999999999996</v>
      </c>
      <c r="L82" s="1">
        <f>+SUM(L80:L81)</f>
        <v>147.40999999999997</v>
      </c>
      <c r="S82" s="1">
        <f>SUM(S80:S81)</f>
        <v>10.782999999999999</v>
      </c>
      <c r="T82" s="1">
        <f>SUM(T80:T81)</f>
        <v>18.094999999999999</v>
      </c>
      <c r="U82" s="1">
        <f>SUM(U80:U81)</f>
        <v>10.777999999999999</v>
      </c>
      <c r="V82" s="1">
        <f>SUM(V80:V81)</f>
        <v>65.153000000000006</v>
      </c>
      <c r="W82" s="1">
        <f>SUM(W80:W81)</f>
        <v>197.90600000000001</v>
      </c>
      <c r="X82" s="1">
        <f>SUM(X80:X81)</f>
        <v>199.392</v>
      </c>
      <c r="Y82" s="1">
        <f>SUM(Y80:Y81)</f>
        <v>677.51099999999997</v>
      </c>
      <c r="Z82" s="1">
        <f>SUM(Z80:Z81)</f>
        <v>640.303</v>
      </c>
      <c r="AA82" s="1">
        <f>SUM(AA80:AA81)</f>
        <v>673.375</v>
      </c>
      <c r="AB82" s="1">
        <f>SUM(AB80:AB81)</f>
        <v>692.57500000000005</v>
      </c>
    </row>
    <row r="83" spans="2:28">
      <c r="B83" s="1" t="s">
        <v>31</v>
      </c>
      <c r="F83" s="1">
        <f t="shared" ref="F83:L83" si="31">+F20</f>
        <v>109.75399999999962</v>
      </c>
      <c r="G83" s="1">
        <f t="shared" si="31"/>
        <v>74.536999999999964</v>
      </c>
      <c r="H83" s="1">
        <f t="shared" si="31"/>
        <v>130.00599999999994</v>
      </c>
      <c r="I83" s="1">
        <f t="shared" si="31"/>
        <v>87.849999999999923</v>
      </c>
      <c r="J83" s="1">
        <f t="shared" si="31"/>
        <v>92.243999999999971</v>
      </c>
      <c r="K83" s="1">
        <f t="shared" si="31"/>
        <v>63.004000000000033</v>
      </c>
      <c r="L83" s="1">
        <f>+L20</f>
        <v>53.004999999999974</v>
      </c>
      <c r="S83" s="1">
        <f>+S20</f>
        <v>-11.782999999999976</v>
      </c>
      <c r="T83" s="1">
        <f>+T20</f>
        <v>-29.155000000000015</v>
      </c>
      <c r="U83" s="1">
        <f>+U20</f>
        <v>-14.399000000000012</v>
      </c>
      <c r="V83" s="1">
        <f>+V20</f>
        <v>55.857000000000042</v>
      </c>
      <c r="W83" s="1">
        <f>+W20</f>
        <v>83.977999999999938</v>
      </c>
      <c r="X83" s="1">
        <f>+X20</f>
        <v>92.887</v>
      </c>
      <c r="Y83" s="1">
        <f>+Y20</f>
        <v>372.62299999999999</v>
      </c>
      <c r="Z83" s="1">
        <f>+Z20</f>
        <v>479.89699999999993</v>
      </c>
      <c r="AA83" s="1">
        <f>+AA20</f>
        <v>350.93999999999954</v>
      </c>
      <c r="AB83" s="1">
        <f>+AB20</f>
        <v>384.63699999999977</v>
      </c>
    </row>
    <row r="86" spans="2:28">
      <c r="B86" s="1" t="s">
        <v>100</v>
      </c>
      <c r="J86" s="1">
        <f>SUM(G82:J82)</f>
        <v>692.57500000000005</v>
      </c>
      <c r="K86" s="1">
        <f>SUM(H82:K82)</f>
        <v>705.96899999999994</v>
      </c>
      <c r="L86" s="1">
        <f>SUM(I82:L82)</f>
        <v>718.71100000000001</v>
      </c>
    </row>
    <row r="87" spans="2:28">
      <c r="B87" s="1" t="s">
        <v>101</v>
      </c>
      <c r="J87" s="1">
        <f>SUM(G83:J83)</f>
        <v>384.63699999999977</v>
      </c>
      <c r="K87" s="1">
        <f>SUM(H83:K83)</f>
        <v>373.10399999999987</v>
      </c>
      <c r="L87" s="1">
        <f>SUM(I83:L83)</f>
        <v>296.10299999999989</v>
      </c>
    </row>
  </sheetData>
  <pageMargins left="0.7" right="0.7" top="0.75" bottom="0.75" header="0.3" footer="0.3"/>
  <ignoredErrors>
    <ignoredError sqref="F16:J22 AC18:AL19" formula="1"/>
    <ignoredError sqref="I61:L61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C439-3463-284C-BCB7-1175D0394021}">
  <dimension ref="B2:L17"/>
  <sheetViews>
    <sheetView tabSelected="1" zoomScale="134" workbookViewId="0">
      <selection activeCell="D26" sqref="D26"/>
    </sheetView>
  </sheetViews>
  <sheetFormatPr baseColWidth="10" defaultRowHeight="13"/>
  <cols>
    <col min="1" max="1" width="2.1640625" style="1" customWidth="1"/>
    <col min="2" max="2" width="10.83203125" style="1"/>
    <col min="3" max="3" width="14.1640625" style="1" bestFit="1" customWidth="1"/>
    <col min="4" max="9" width="10.83203125" style="1"/>
    <col min="10" max="10" width="14.5" style="1" bestFit="1" customWidth="1"/>
    <col min="11" max="11" width="13.5" style="1" bestFit="1" customWidth="1"/>
    <col min="12" max="12" width="5.5" style="1" bestFit="1" customWidth="1"/>
    <col min="13" max="16384" width="10.83203125" style="1"/>
  </cols>
  <sheetData>
    <row r="2" spans="2:12">
      <c r="C2" s="17" t="s">
        <v>115</v>
      </c>
    </row>
    <row r="3" spans="2:12">
      <c r="B3" s="1" t="s">
        <v>6</v>
      </c>
      <c r="C3" s="3" t="s">
        <v>103</v>
      </c>
      <c r="K3" s="1" t="s">
        <v>9</v>
      </c>
    </row>
    <row r="4" spans="2:12">
      <c r="B4" s="1" t="s">
        <v>7</v>
      </c>
      <c r="C4" s="3" t="s">
        <v>104</v>
      </c>
      <c r="J4" s="1" t="s">
        <v>0</v>
      </c>
      <c r="K4" s="1">
        <v>53.91</v>
      </c>
    </row>
    <row r="5" spans="2:12">
      <c r="B5" s="1" t="s">
        <v>105</v>
      </c>
      <c r="C5" s="3" t="s">
        <v>106</v>
      </c>
      <c r="J5" s="1" t="s">
        <v>1</v>
      </c>
      <c r="K5" s="1">
        <v>114.75226000000001</v>
      </c>
      <c r="L5" s="1" t="s">
        <v>10</v>
      </c>
    </row>
    <row r="6" spans="2:12">
      <c r="B6" s="1" t="s">
        <v>107</v>
      </c>
      <c r="C6" s="3" t="s">
        <v>108</v>
      </c>
      <c r="J6" s="1" t="s">
        <v>2</v>
      </c>
      <c r="K6" s="1">
        <f>+K4*K5</f>
        <v>6186.2943366</v>
      </c>
    </row>
    <row r="7" spans="2:12">
      <c r="B7" s="1" t="s">
        <v>109</v>
      </c>
      <c r="C7" s="3" t="s">
        <v>110</v>
      </c>
      <c r="J7" s="1" t="s">
        <v>3</v>
      </c>
      <c r="K7" s="1">
        <f>759.211+240.679+93.528</f>
        <v>1093.4179999999999</v>
      </c>
      <c r="L7" s="1" t="str">
        <f>+L5</f>
        <v>Q224</v>
      </c>
    </row>
    <row r="8" spans="2:12">
      <c r="B8" s="1" t="s">
        <v>111</v>
      </c>
      <c r="C8" s="3" t="s">
        <v>112</v>
      </c>
      <c r="J8" s="1" t="s">
        <v>4</v>
      </c>
      <c r="K8" s="1">
        <v>2285.9499999999998</v>
      </c>
      <c r="L8" s="1" t="str">
        <f>+L7</f>
        <v>Q224</v>
      </c>
    </row>
    <row r="9" spans="2:12">
      <c r="B9" s="1" t="s">
        <v>113</v>
      </c>
      <c r="C9" s="3" t="s">
        <v>114</v>
      </c>
      <c r="J9" s="1" t="s">
        <v>5</v>
      </c>
      <c r="K9" s="1">
        <f>+K6-K7+K8</f>
        <v>7378.8263366000001</v>
      </c>
    </row>
    <row r="11" spans="2:12">
      <c r="B11" s="2" t="s">
        <v>8</v>
      </c>
    </row>
    <row r="12" spans="2:12">
      <c r="B12" s="3" t="s">
        <v>10</v>
      </c>
    </row>
    <row r="13" spans="2:12">
      <c r="B13" s="1" t="s">
        <v>11</v>
      </c>
    </row>
    <row r="14" spans="2:12">
      <c r="B14" s="1" t="s">
        <v>12</v>
      </c>
    </row>
    <row r="15" spans="2:12">
      <c r="B15" s="1" t="s">
        <v>13</v>
      </c>
    </row>
    <row r="16" spans="2:12">
      <c r="B16" s="1" t="s">
        <v>14</v>
      </c>
    </row>
    <row r="17" spans="2:2">
      <c r="B17" s="1" t="s">
        <v>15</v>
      </c>
    </row>
  </sheetData>
  <hyperlinks>
    <hyperlink ref="B12" r:id="rId1" xr:uid="{70210E01-763B-9F45-B582-9AC835A801F0}"/>
    <hyperlink ref="C3" r:id="rId2" xr:uid="{052ABCAF-7A56-2A4E-8ACF-B712DC7AE08A}"/>
    <hyperlink ref="C4" r:id="rId3" xr:uid="{1AA0EF64-2B1A-794F-AA51-E06EA8DCD071}"/>
    <hyperlink ref="C5" r:id="rId4" xr:uid="{9E9AD21B-A122-7D49-98C0-03B6151F429D}"/>
    <hyperlink ref="C6" r:id="rId5" xr:uid="{574C9DC1-D930-4B47-B29E-593DAC7B5995}"/>
    <hyperlink ref="C7" r:id="rId6" xr:uid="{C44CA24A-7A5D-E84D-85DA-7731B383D450}"/>
    <hyperlink ref="C8" r:id="rId7" xr:uid="{4FE522B6-DB9E-7545-AC31-D512210CC2AF}"/>
    <hyperlink ref="C9" r:id="rId8" xr:uid="{68059B4C-A5C3-A644-945E-4A58B84050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2024-09-23T02:18:04Z</dcterms:created>
  <dcterms:modified xsi:type="dcterms:W3CDTF">2024-09-24T00:46:33Z</dcterms:modified>
</cp:coreProperties>
</file>