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7B1413C4-4C80-324E-AC79-3F023126052B}" xr6:coauthVersionLast="47" xr6:coauthVersionMax="47" xr10:uidLastSave="{00000000-0000-0000-0000-000000000000}"/>
  <bookViews>
    <workbookView xWindow="1760" yWindow="500" windowWidth="50060" windowHeight="27820" xr2:uid="{2E2CFD86-883D-4E4E-A687-1A32DC30856E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I64" i="2"/>
  <c r="M65" i="2"/>
  <c r="L65" i="2"/>
  <c r="K65" i="2"/>
  <c r="J65" i="2"/>
  <c r="I65" i="2"/>
  <c r="M64" i="2"/>
  <c r="L64" i="2"/>
  <c r="K64" i="2"/>
  <c r="J64" i="2"/>
  <c r="N65" i="2"/>
  <c r="N64" i="2"/>
  <c r="M62" i="2"/>
  <c r="L62" i="2"/>
  <c r="K62" i="2"/>
  <c r="J62" i="2"/>
  <c r="I62" i="2"/>
  <c r="H62" i="2"/>
  <c r="G62" i="2"/>
  <c r="F62" i="2"/>
  <c r="N62" i="2"/>
  <c r="G60" i="2"/>
  <c r="K60" i="2"/>
  <c r="G59" i="2"/>
  <c r="H60" i="2"/>
  <c r="H59" i="2"/>
  <c r="L60" i="2"/>
  <c r="L59" i="2"/>
  <c r="I60" i="2"/>
  <c r="M60" i="2"/>
  <c r="I59" i="2"/>
  <c r="I61" i="2" s="1"/>
  <c r="M59" i="2"/>
  <c r="N59" i="2" s="1"/>
  <c r="F60" i="2"/>
  <c r="F61" i="2" s="1"/>
  <c r="F59" i="2"/>
  <c r="L61" i="2"/>
  <c r="K61" i="2"/>
  <c r="H61" i="2"/>
  <c r="G61" i="2"/>
  <c r="E61" i="2"/>
  <c r="D61" i="2"/>
  <c r="C61" i="2"/>
  <c r="J60" i="2"/>
  <c r="N60" i="2"/>
  <c r="AF8" i="2"/>
  <c r="AG8" i="2" s="1"/>
  <c r="AH8" i="2" s="1"/>
  <c r="AI8" i="2" s="1"/>
  <c r="AJ8" i="2" s="1"/>
  <c r="AK8" i="2" s="1"/>
  <c r="AL8" i="2" s="1"/>
  <c r="AE8" i="2"/>
  <c r="AD8" i="2"/>
  <c r="AO32" i="2"/>
  <c r="AO30" i="2"/>
  <c r="AD15" i="2"/>
  <c r="AC32" i="2"/>
  <c r="O15" i="2"/>
  <c r="N32" i="2"/>
  <c r="N55" i="2"/>
  <c r="N41" i="2"/>
  <c r="AE11" i="2"/>
  <c r="XFD7" i="2"/>
  <c r="AA8" i="2"/>
  <c r="AO28" i="2"/>
  <c r="AD1" i="2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AB8" i="2"/>
  <c r="Q9" i="2"/>
  <c r="P9" i="2"/>
  <c r="P19" i="2"/>
  <c r="O19" i="2"/>
  <c r="O13" i="2"/>
  <c r="O12" i="2"/>
  <c r="O8" i="2"/>
  <c r="P8" i="2" s="1"/>
  <c r="M6" i="2"/>
  <c r="L6" i="2"/>
  <c r="K6" i="2"/>
  <c r="J6" i="2"/>
  <c r="I6" i="2"/>
  <c r="H6" i="2"/>
  <c r="N6" i="2"/>
  <c r="M9" i="2"/>
  <c r="L9" i="2"/>
  <c r="K9" i="2"/>
  <c r="J9" i="2"/>
  <c r="I9" i="2"/>
  <c r="H9" i="2"/>
  <c r="G9" i="2"/>
  <c r="N9" i="2"/>
  <c r="R9" i="2" s="1"/>
  <c r="O11" i="2"/>
  <c r="O9" i="2" s="1"/>
  <c r="M30" i="2"/>
  <c r="L30" i="2"/>
  <c r="K30" i="2"/>
  <c r="J30" i="2"/>
  <c r="I30" i="2"/>
  <c r="H30" i="2"/>
  <c r="G30" i="2"/>
  <c r="F30" i="2"/>
  <c r="E30" i="2"/>
  <c r="D30" i="2"/>
  <c r="C30" i="2"/>
  <c r="N30" i="2"/>
  <c r="Y30" i="2"/>
  <c r="X30" i="2"/>
  <c r="AB25" i="2"/>
  <c r="AB24" i="2"/>
  <c r="AA6" i="2"/>
  <c r="AB6" i="2"/>
  <c r="AB26" i="2" s="1"/>
  <c r="AB23" i="2"/>
  <c r="X29" i="2"/>
  <c r="X28" i="2"/>
  <c r="Y29" i="2"/>
  <c r="Y28" i="2"/>
  <c r="Y26" i="2"/>
  <c r="AB17" i="2"/>
  <c r="AA17" i="2"/>
  <c r="Z17" i="2"/>
  <c r="AB15" i="2"/>
  <c r="Z15" i="2"/>
  <c r="AB13" i="2"/>
  <c r="AA13" i="2"/>
  <c r="Z13" i="2"/>
  <c r="AB12" i="2"/>
  <c r="AA12" i="2"/>
  <c r="Z12" i="2"/>
  <c r="Z11" i="2"/>
  <c r="Z26" i="2" s="1"/>
  <c r="AA11" i="2"/>
  <c r="AA30" i="2" s="1"/>
  <c r="AB11" i="2"/>
  <c r="AB9" i="2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C29" i="2"/>
  <c r="C28" i="2"/>
  <c r="G26" i="2"/>
  <c r="I26" i="2"/>
  <c r="H26" i="2"/>
  <c r="C16" i="2"/>
  <c r="C18" i="2" s="1"/>
  <c r="C20" i="2" s="1"/>
  <c r="D14" i="2"/>
  <c r="D16" i="2" s="1"/>
  <c r="E14" i="2"/>
  <c r="E16" i="2" s="1"/>
  <c r="E18" i="2" s="1"/>
  <c r="E20" i="2" s="1"/>
  <c r="F14" i="2"/>
  <c r="F16" i="2" s="1"/>
  <c r="F18" i="2" s="1"/>
  <c r="F20" i="2" s="1"/>
  <c r="L26" i="2"/>
  <c r="K26" i="2"/>
  <c r="J26" i="2"/>
  <c r="G15" i="2"/>
  <c r="AA15" i="2" s="1"/>
  <c r="G14" i="2"/>
  <c r="K14" i="2"/>
  <c r="K16" i="2" s="1"/>
  <c r="K18" i="2" s="1"/>
  <c r="K20" i="2" s="1"/>
  <c r="H14" i="2"/>
  <c r="H16" i="2" s="1"/>
  <c r="H18" i="2" s="1"/>
  <c r="H20" i="2" s="1"/>
  <c r="L14" i="2"/>
  <c r="L16" i="2" s="1"/>
  <c r="L18" i="2" s="1"/>
  <c r="L20" i="2" s="1"/>
  <c r="M26" i="2"/>
  <c r="N26" i="2"/>
  <c r="I14" i="2"/>
  <c r="I16" i="2" s="1"/>
  <c r="I18" i="2" s="1"/>
  <c r="I20" i="2" s="1"/>
  <c r="M14" i="2"/>
  <c r="M16" i="2" s="1"/>
  <c r="M18" i="2" s="1"/>
  <c r="M20" i="2" s="1"/>
  <c r="M29" i="2"/>
  <c r="L29" i="2"/>
  <c r="K29" i="2"/>
  <c r="J29" i="2"/>
  <c r="I29" i="2"/>
  <c r="H29" i="2"/>
  <c r="G29" i="2"/>
  <c r="F29" i="2"/>
  <c r="E29" i="2"/>
  <c r="D29" i="2"/>
  <c r="M28" i="2"/>
  <c r="L28" i="2"/>
  <c r="K28" i="2"/>
  <c r="J28" i="2"/>
  <c r="I28" i="2"/>
  <c r="H28" i="2"/>
  <c r="G28" i="2"/>
  <c r="F28" i="2"/>
  <c r="E28" i="2"/>
  <c r="D28" i="2"/>
  <c r="N29" i="2"/>
  <c r="N28" i="2"/>
  <c r="J16" i="2"/>
  <c r="J18" i="2" s="1"/>
  <c r="J20" i="2" s="1"/>
  <c r="N14" i="2"/>
  <c r="N16" i="2" s="1"/>
  <c r="N18" i="2" s="1"/>
  <c r="N20" i="2" s="1"/>
  <c r="I7" i="1"/>
  <c r="I8" i="1" s="1"/>
  <c r="H6" i="1"/>
  <c r="H9" i="1" s="1"/>
  <c r="J59" i="2" l="1"/>
  <c r="J61" i="2" s="1"/>
  <c r="M61" i="2"/>
  <c r="N61" i="2"/>
  <c r="Q8" i="2"/>
  <c r="R8" i="2" s="1"/>
  <c r="AC8" i="2" s="1"/>
  <c r="P11" i="2"/>
  <c r="P26" i="2" s="1"/>
  <c r="AB30" i="2"/>
  <c r="X14" i="2"/>
  <c r="O14" i="2"/>
  <c r="Q11" i="2"/>
  <c r="Q26" i="2" s="1"/>
  <c r="O26" i="2"/>
  <c r="Z30" i="2"/>
  <c r="R11" i="2"/>
  <c r="R26" i="2" s="1"/>
  <c r="P13" i="2"/>
  <c r="Q13" i="2"/>
  <c r="P12" i="2"/>
  <c r="Q19" i="2"/>
  <c r="AA26" i="2"/>
  <c r="AA14" i="2"/>
  <c r="AA29" i="2"/>
  <c r="G16" i="2"/>
  <c r="AA16" i="2" s="1"/>
  <c r="AB29" i="2"/>
  <c r="Y14" i="2"/>
  <c r="Z28" i="2"/>
  <c r="AA28" i="2"/>
  <c r="AB28" i="2"/>
  <c r="Z29" i="2"/>
  <c r="Y16" i="2"/>
  <c r="X16" i="2"/>
  <c r="AB14" i="2"/>
  <c r="Z16" i="2"/>
  <c r="AB18" i="2"/>
  <c r="Y18" i="2"/>
  <c r="Y20" i="2" s="1"/>
  <c r="Z14" i="2"/>
  <c r="AB16" i="2"/>
  <c r="D18" i="2"/>
  <c r="G18" i="2"/>
  <c r="AE9" i="2" l="1"/>
  <c r="P14" i="2"/>
  <c r="AC11" i="2"/>
  <c r="Q12" i="2"/>
  <c r="Q14" i="2" s="1"/>
  <c r="R12" i="2"/>
  <c r="R13" i="2"/>
  <c r="AC13" i="2" s="1"/>
  <c r="AC29" i="2" s="1"/>
  <c r="R19" i="2"/>
  <c r="D20" i="2"/>
  <c r="X18" i="2"/>
  <c r="X20" i="2" s="1"/>
  <c r="Z18" i="2"/>
  <c r="G20" i="2"/>
  <c r="AB20" i="2" s="1"/>
  <c r="AB19" i="2" s="1"/>
  <c r="AA18" i="2"/>
  <c r="AC12" i="2" l="1"/>
  <c r="AC28" i="2" s="1"/>
  <c r="O16" i="2"/>
  <c r="AC9" i="2"/>
  <c r="AD9" i="2" s="1"/>
  <c r="AC30" i="2"/>
  <c r="AC26" i="2"/>
  <c r="R14" i="2"/>
  <c r="AC14" i="2" s="1"/>
  <c r="AA20" i="2"/>
  <c r="AA19" i="2" s="1"/>
  <c r="Z20" i="2"/>
  <c r="Z19" i="2" s="1"/>
  <c r="AD11" i="2" l="1"/>
  <c r="O17" i="2"/>
  <c r="O18" i="2" l="1"/>
  <c r="O32" i="2" s="1"/>
  <c r="P15" i="2" s="1"/>
  <c r="P16" i="2" s="1"/>
  <c r="P17" i="2" s="1"/>
  <c r="AD26" i="2"/>
  <c r="AD13" i="2"/>
  <c r="AD29" i="2" s="1"/>
  <c r="AD12" i="2"/>
  <c r="AF9" i="2"/>
  <c r="AF11" i="2" s="1"/>
  <c r="P18" i="2" l="1"/>
  <c r="P20" i="2" s="1"/>
  <c r="AD14" i="2"/>
  <c r="AD16" i="2" s="1"/>
  <c r="AD28" i="2"/>
  <c r="AE26" i="2"/>
  <c r="AE13" i="2"/>
  <c r="AE29" i="2" s="1"/>
  <c r="AE12" i="2"/>
  <c r="AE28" i="2" s="1"/>
  <c r="AE14" i="2"/>
  <c r="AE30" i="2"/>
  <c r="AD30" i="2"/>
  <c r="O20" i="2"/>
  <c r="AG9" i="2"/>
  <c r="AG11" i="2" s="1"/>
  <c r="P32" i="2" l="1"/>
  <c r="AF26" i="2"/>
  <c r="AF13" i="2"/>
  <c r="AF29" i="2" s="1"/>
  <c r="AF12" i="2"/>
  <c r="AF28" i="2" s="1"/>
  <c r="AH9" i="2"/>
  <c r="Q15" i="2" l="1"/>
  <c r="AF30" i="2"/>
  <c r="AG26" i="2"/>
  <c r="AG13" i="2"/>
  <c r="AG29" i="2" s="1"/>
  <c r="AG12" i="2"/>
  <c r="AG28" i="2" s="1"/>
  <c r="AG14" i="2"/>
  <c r="AI9" i="2"/>
  <c r="AH11" i="2"/>
  <c r="AF14" i="2"/>
  <c r="Q16" i="2" l="1"/>
  <c r="AH26" i="2"/>
  <c r="AH13" i="2"/>
  <c r="AH29" i="2" s="1"/>
  <c r="AH12" i="2"/>
  <c r="AH28" i="2" s="1"/>
  <c r="AH14" i="2"/>
  <c r="AJ9" i="2"/>
  <c r="AI11" i="2"/>
  <c r="AG30" i="2"/>
  <c r="Q17" i="2" l="1"/>
  <c r="AI26" i="2"/>
  <c r="AI12" i="2"/>
  <c r="AI28" i="2" s="1"/>
  <c r="AI13" i="2"/>
  <c r="AI29" i="2" s="1"/>
  <c r="AI30" i="2"/>
  <c r="AI14" i="2"/>
  <c r="AK9" i="2"/>
  <c r="AJ11" i="2"/>
  <c r="AH30" i="2"/>
  <c r="Q18" i="2" l="1"/>
  <c r="AL9" i="2"/>
  <c r="AL11" i="2" s="1"/>
  <c r="AK11" i="2"/>
  <c r="AJ26" i="2"/>
  <c r="AJ13" i="2"/>
  <c r="AJ29" i="2" s="1"/>
  <c r="AJ12" i="2"/>
  <c r="AJ30" i="2"/>
  <c r="Q20" i="2" l="1"/>
  <c r="Q32" i="2"/>
  <c r="R15" i="2" s="1"/>
  <c r="AJ14" i="2"/>
  <c r="AJ28" i="2"/>
  <c r="AK26" i="2"/>
  <c r="AK12" i="2"/>
  <c r="AK28" i="2" s="1"/>
  <c r="AK13" i="2"/>
  <c r="AK29" i="2" s="1"/>
  <c r="AL26" i="2"/>
  <c r="AK14" i="2" l="1"/>
  <c r="AK30" i="2"/>
  <c r="R16" i="2"/>
  <c r="AC15" i="2"/>
  <c r="AL12" i="2"/>
  <c r="AL13" i="2"/>
  <c r="AL29" i="2" s="1"/>
  <c r="AC16" i="2" l="1"/>
  <c r="R17" i="2"/>
  <c r="AC17" i="2" s="1"/>
  <c r="AD17" i="2" s="1"/>
  <c r="R18" i="2"/>
  <c r="AL14" i="2"/>
  <c r="AL28" i="2"/>
  <c r="AL30" i="2"/>
  <c r="R32" i="2" l="1"/>
  <c r="R20" i="2"/>
  <c r="AC20" i="2" s="1"/>
  <c r="AC18" i="2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D18" i="2"/>
  <c r="AD20" i="2" l="1"/>
  <c r="AD32" i="2"/>
  <c r="AE15" i="2" s="1"/>
  <c r="AE16" i="2" s="1"/>
  <c r="AE17" i="2" s="1"/>
  <c r="AE18" i="2" l="1"/>
  <c r="AE20" i="2" s="1"/>
  <c r="AE32" i="2"/>
  <c r="AF15" i="2" s="1"/>
  <c r="AF16" i="2" s="1"/>
  <c r="AF17" i="2" s="1"/>
  <c r="AF18" i="2" l="1"/>
  <c r="AF20" i="2" s="1"/>
  <c r="AF32" i="2" l="1"/>
  <c r="AG15" i="2" s="1"/>
  <c r="AG16" i="2" s="1"/>
  <c r="AG17" i="2" l="1"/>
  <c r="AG18" i="2"/>
  <c r="AG20" i="2" s="1"/>
  <c r="AG32" i="2" l="1"/>
  <c r="AH15" i="2" l="1"/>
  <c r="AH16" i="2" s="1"/>
  <c r="AH17" i="2" l="1"/>
  <c r="AH18" i="2"/>
  <c r="AH20" i="2" l="1"/>
  <c r="AH32" i="2"/>
  <c r="AI15" i="2" l="1"/>
  <c r="AI16" i="2" s="1"/>
  <c r="AI17" i="2" l="1"/>
  <c r="AI18" i="2"/>
  <c r="AI20" i="2" l="1"/>
  <c r="AI32" i="2"/>
  <c r="AJ15" i="2" l="1"/>
  <c r="AJ16" i="2" s="1"/>
  <c r="AJ17" i="2" l="1"/>
  <c r="AJ18" i="2" s="1"/>
  <c r="AJ20" i="2" l="1"/>
  <c r="AJ32" i="2"/>
  <c r="AK15" i="2" l="1"/>
  <c r="AK16" i="2" s="1"/>
  <c r="AK17" i="2" l="1"/>
  <c r="AK18" i="2" s="1"/>
  <c r="AK20" i="2" l="1"/>
  <c r="AK32" i="2"/>
  <c r="AL15" i="2" l="1"/>
  <c r="AL16" i="2" s="1"/>
  <c r="AL17" i="2" s="1"/>
  <c r="AL18" i="2" s="1"/>
  <c r="AL32" i="2" s="1"/>
  <c r="AM18" i="2" l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ET18" i="2" s="1"/>
  <c r="EU18" i="2" s="1"/>
  <c r="EV18" i="2" s="1"/>
  <c r="EW18" i="2" s="1"/>
  <c r="EX18" i="2" s="1"/>
  <c r="EY18" i="2" s="1"/>
  <c r="EZ18" i="2" s="1"/>
  <c r="FA18" i="2" s="1"/>
  <c r="FB18" i="2" s="1"/>
  <c r="FC18" i="2" s="1"/>
  <c r="FD18" i="2" s="1"/>
  <c r="FE18" i="2" s="1"/>
  <c r="FF18" i="2" s="1"/>
  <c r="FG18" i="2" s="1"/>
  <c r="FH18" i="2" s="1"/>
  <c r="FI18" i="2" s="1"/>
  <c r="FJ18" i="2" s="1"/>
  <c r="FK18" i="2" s="1"/>
  <c r="FL18" i="2" s="1"/>
  <c r="FM18" i="2" s="1"/>
  <c r="FN18" i="2" s="1"/>
  <c r="FO18" i="2" s="1"/>
  <c r="FP18" i="2" s="1"/>
  <c r="FQ18" i="2" s="1"/>
  <c r="FR18" i="2" s="1"/>
  <c r="FS18" i="2" s="1"/>
  <c r="FT18" i="2" s="1"/>
  <c r="FU18" i="2" s="1"/>
  <c r="FV18" i="2" s="1"/>
  <c r="FW18" i="2" s="1"/>
  <c r="FX18" i="2" s="1"/>
  <c r="FY18" i="2" s="1"/>
  <c r="FZ18" i="2" s="1"/>
  <c r="GA18" i="2" s="1"/>
  <c r="GB18" i="2" s="1"/>
  <c r="GC18" i="2" s="1"/>
  <c r="GD18" i="2" s="1"/>
  <c r="GE18" i="2" s="1"/>
  <c r="GF18" i="2" s="1"/>
  <c r="GG18" i="2" s="1"/>
  <c r="GH18" i="2" s="1"/>
  <c r="GI18" i="2" s="1"/>
  <c r="GJ18" i="2" s="1"/>
  <c r="GK18" i="2" s="1"/>
  <c r="GL18" i="2" s="1"/>
  <c r="GM18" i="2" s="1"/>
  <c r="GN18" i="2" s="1"/>
  <c r="GO18" i="2" s="1"/>
  <c r="GP18" i="2" s="1"/>
  <c r="GQ18" i="2" s="1"/>
  <c r="GR18" i="2" s="1"/>
  <c r="GS18" i="2" s="1"/>
  <c r="GT18" i="2" s="1"/>
  <c r="GU18" i="2" s="1"/>
  <c r="GV18" i="2" s="1"/>
  <c r="GW18" i="2" s="1"/>
  <c r="GX18" i="2" s="1"/>
  <c r="GY18" i="2" s="1"/>
  <c r="GZ18" i="2" s="1"/>
  <c r="HA18" i="2" s="1"/>
  <c r="HB18" i="2" s="1"/>
  <c r="HC18" i="2" s="1"/>
  <c r="HD18" i="2" s="1"/>
  <c r="HE18" i="2" s="1"/>
  <c r="HF18" i="2" s="1"/>
  <c r="HG18" i="2" s="1"/>
  <c r="HH18" i="2" s="1"/>
  <c r="HI18" i="2" s="1"/>
  <c r="HJ18" i="2" s="1"/>
  <c r="HK18" i="2" s="1"/>
  <c r="HL18" i="2" s="1"/>
  <c r="HM18" i="2" s="1"/>
  <c r="HN18" i="2" s="1"/>
  <c r="HO18" i="2" s="1"/>
  <c r="HP18" i="2" s="1"/>
  <c r="HQ18" i="2" s="1"/>
  <c r="HR18" i="2" s="1"/>
  <c r="HS18" i="2" s="1"/>
  <c r="HT18" i="2" s="1"/>
  <c r="AO27" i="2" s="1"/>
  <c r="AO29" i="2" s="1"/>
  <c r="AO31" i="2" s="1"/>
  <c r="AO33" i="2" s="1"/>
  <c r="AL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tc={A0733517-9570-2A4E-AD49-A7D624D9E87E}</author>
    <author>tc={56FD61DA-2456-884D-809E-5EF672C98F5D}</author>
    <author>tc={66E2A64D-26B6-E34A-883E-E5120AD4EF9E}</author>
    <author>tc={870AA40D-8D26-CE43-B971-3E25DCE09EA5}</author>
  </authors>
  <commentList>
    <comment ref="AB3" authorId="0" shapeId="0" xr:uid="{A0733517-9570-2A4E-AD49-A7D624D9E87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Increased foot traffic</t>
      </text>
    </comment>
    <comment ref="O11" authorId="1" shapeId="0" xr:uid="{56FD61DA-2456-884D-809E-5EF672C98F5D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2.175b-2.200b</t>
      </text>
    </comment>
    <comment ref="AC11" authorId="2" shapeId="0" xr:uid="{66E2A64D-26B6-E34A-883E-E5120AD4EF9E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10.7B-10.8B</t>
      </text>
    </comment>
    <comment ref="AE11" authorId="3" shapeId="0" xr:uid="{870AA40D-8D26-CE43-B971-3E25DCE09EA5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Company goal is to double 2021 rev by 2026</t>
      </text>
    </comment>
  </commentList>
</comments>
</file>

<file path=xl/sharedStrings.xml><?xml version="1.0" encoding="utf-8"?>
<sst xmlns="http://schemas.openxmlformats.org/spreadsheetml/2006/main" count="105" uniqueCount="94">
  <si>
    <t>P</t>
  </si>
  <si>
    <t>S</t>
  </si>
  <si>
    <t>MC</t>
  </si>
  <si>
    <t>EV</t>
  </si>
  <si>
    <t>D</t>
  </si>
  <si>
    <t>C</t>
  </si>
  <si>
    <t>10K</t>
  </si>
  <si>
    <t xml:space="preserve">CEO </t>
  </si>
  <si>
    <t>Calvin McDonald</t>
  </si>
  <si>
    <t xml:space="preserve">Power of Three ×2 strategy </t>
  </si>
  <si>
    <t xml:space="preserve">The Company's Power of Three ×2 growth plan calls for a doubling of the business from 2021 net revenue of $6.25 billion to $12.5 billion by 2026. The key pillars of the plan are product innovation, guest experience, and market expansion and the growth strategy includes a plan to double men's, double e-commerce, and quadruple international net revenue relative to 2021. </t>
  </si>
  <si>
    <t xml:space="preserve">Units 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</si>
  <si>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</si>
  <si>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</si>
  <si>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</si>
  <si>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</si>
  <si>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</si>
  <si>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</si>
  <si>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</si>
  <si>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</si>
  <si>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</si>
  <si>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</si>
  <si>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</si>
  <si>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</si>
  <si>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</si>
  <si>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</si>
  <si>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</si>
  <si>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</si>
  <si>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</t>
  </si>
  <si>
    <t>SG&amp;A</t>
  </si>
  <si>
    <t>Operating Income</t>
  </si>
  <si>
    <t>Other income</t>
  </si>
  <si>
    <t>EBT</t>
  </si>
  <si>
    <t>T</t>
  </si>
  <si>
    <t>Net Income</t>
  </si>
  <si>
    <t>Diluted</t>
  </si>
  <si>
    <t>EPS</t>
  </si>
  <si>
    <t>% Sales</t>
  </si>
  <si>
    <t>Growth Y/Y</t>
  </si>
  <si>
    <t>Press Release</t>
  </si>
  <si>
    <t>Double revenue by 2026</t>
  </si>
  <si>
    <t xml:space="preserve">Products </t>
  </si>
  <si>
    <t>Wundermost</t>
  </si>
  <si>
    <t>Women's</t>
  </si>
  <si>
    <t>Steady State</t>
  </si>
  <si>
    <t xml:space="preserve">Soft Jersey </t>
  </si>
  <si>
    <t>Men's</t>
  </si>
  <si>
    <t>Americas</t>
  </si>
  <si>
    <t>ROW</t>
  </si>
  <si>
    <t>China Mainland</t>
  </si>
  <si>
    <t>GM%</t>
  </si>
  <si>
    <t>Company News</t>
  </si>
  <si>
    <t>stopped  selling the lululemon Studio Mirror during the third quarter of 2023.</t>
  </si>
  <si>
    <t>RPU ($M)</t>
  </si>
  <si>
    <t xml:space="preserve">Cash </t>
  </si>
  <si>
    <t xml:space="preserve">Terminal </t>
  </si>
  <si>
    <t>Discount</t>
  </si>
  <si>
    <t>ROIC</t>
  </si>
  <si>
    <t>NPV</t>
  </si>
  <si>
    <t xml:space="preserve">Net Cash </t>
  </si>
  <si>
    <t xml:space="preserve">Total Value </t>
  </si>
  <si>
    <t>Inventories</t>
  </si>
  <si>
    <t xml:space="preserve">Prepaid </t>
  </si>
  <si>
    <t>OCA</t>
  </si>
  <si>
    <t>PPE</t>
  </si>
  <si>
    <t xml:space="preserve">Right of use </t>
  </si>
  <si>
    <t>Goodwill</t>
  </si>
  <si>
    <t>Deferred i/t</t>
  </si>
  <si>
    <t>TA</t>
  </si>
  <si>
    <t>A/P</t>
  </si>
  <si>
    <t>Acrued liab</t>
  </si>
  <si>
    <t>Accrued comp</t>
  </si>
  <si>
    <t>Current lease</t>
  </si>
  <si>
    <t>Current i/t</t>
  </si>
  <si>
    <t>Gift card liab</t>
  </si>
  <si>
    <t>OCL</t>
  </si>
  <si>
    <t>NCL</t>
  </si>
  <si>
    <t>NC i/t</t>
  </si>
  <si>
    <t>ONCL</t>
  </si>
  <si>
    <t>Equity</t>
  </si>
  <si>
    <t>TL + E</t>
  </si>
  <si>
    <t>Shares</t>
  </si>
  <si>
    <t>Estimate</t>
  </si>
  <si>
    <t>Current</t>
  </si>
  <si>
    <t>Upside</t>
  </si>
  <si>
    <t>CFFO</t>
  </si>
  <si>
    <t>Capex</t>
  </si>
  <si>
    <t>Free cash Flow</t>
  </si>
  <si>
    <t>4Q FCF</t>
  </si>
  <si>
    <t>4Q NI</t>
  </si>
  <si>
    <t>Founder</t>
  </si>
  <si>
    <t>Founded</t>
  </si>
  <si>
    <t>Chip Wilson</t>
  </si>
  <si>
    <t xml:space="preserve">ownership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</si>
</sst>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_(&quot;$&quot;* #,##0.0_);_(&quot;$&quot;* \(#,##0.0\);_(&quot;$&quot;* &quot;-&quot;?_);_(@_)"/>
    <numFmt numFmtId="170" formatCode="0.0%"/>
  </numFmts>
  <fonts count="5">
    <font>
      <sz val="10"/>
      <color theme="1"/>
      <name val="ArialMT"/>
      <family val="2"/>
    </font>
    <font>
      <u/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4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14" fontId="2" fillId="0" borderId="0" xfId="1" applyNumberFormat="1"/>
    <xf numFmtId="1" fontId="0" fillId="0" borderId="0" xfId="0" applyNumberFormat="1"/>
    <xf numFmtId="169" fontId="0" fillId="0" borderId="0" xfId="0" applyNumberFormat="1"/>
    <xf numFmtId="3" fontId="0" fillId="2" borderId="0" xfId="0" applyNumberFormat="1" applyFill="1"/>
    <xf numFmtId="3" fontId="0" fillId="0" borderId="0" xfId="0" applyNumberFormat="1" applyFont="1"/>
    <xf numFmtId="3" fontId="4" fillId="0" borderId="0" xfId="0" applyNumberFormat="1" applyFont="1"/>
    <xf numFmtId="170" fontId="0" fillId="0" borderId="0" xfId="0" applyNumberFormat="1"/>
    <xf numFmtId="10" fontId="0" fillId="0" borderId="0" xfId="0" applyNumberFormat="1"/>
    <xf numFmtId="3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416560</xdr:colOff>
      <xdr:row>0</xdr:row>
      <xdr:rowOff>20320</xdr:rowOff>
    </xdr:from>
    <xdr:to>
      <xdr:col>14</xdr:col>
      <xdr:colOff>24306</xdr:colOff>
      <xdr:row>65</xdr:row>
      <xdr:rowOff>66842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675D8A-DDDC-4799-F30B-293837D30ADE}"/>
            </a:ext>
          </a:extLst>
        </xdr:cNvPr>
        <xdr:cNvCxnSpPr/>
      </xdr:nvCxnSpPr>
      <xdr:spPr>
        <a:xfrm>
          <a:off x="6468809" y="20320"/>
          <a:ext cx="39181" cy="956240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24306</xdr:colOff>
      <xdr:row>0</xdr:row>
      <xdr:rowOff>12153</xdr:rowOff>
    </xdr:from>
    <xdr:to>
      <xdr:col>28</xdr:col>
      <xdr:colOff>63487</xdr:colOff>
      <xdr:row>65</xdr:row>
      <xdr:rowOff>58675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64C4E5F-ABE0-0D42-9EEB-D1EF6C49DB32}"/>
            </a:ext>
          </a:extLst>
        </xdr:cNvPr>
        <xdr:cNvCxnSpPr/>
      </xdr:nvCxnSpPr>
      <xdr:spPr>
        <a:xfrm>
          <a:off x="12748612" y="12153"/>
          <a:ext cx="39181" cy="956240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FEE450A0-D509-F541-93A0-022A146DD72B}" userId="jam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3" dT="2024-03-27T17:10:25.90" personId="{FEE450A0-D509-F541-93A0-022A146DD72B}" id="{A0733517-9570-2A4E-AD49-A7D624D9E87E}">
    <text>Increased foot traffic</text>
  </threadedComment>
  <threadedComment ref="O11" dT="2024-03-27T17:16:01.35" personId="{FEE450A0-D509-F541-93A0-022A146DD72B}" id="{56FD61DA-2456-884D-809E-5EF672C98F5D}">
    <text>Guidance: 2.175b-2.200b</text>
  </threadedComment>
  <threadedComment ref="AC11" dT="2024-03-27T17:16:48.18" personId="{FEE450A0-D509-F541-93A0-022A146DD72B}" id="{66E2A64D-26B6-E34A-883E-E5120AD4EF9E}">
    <text>Guidance: 10.7B-10.8B</text>
  </threadedComment>
  <threadedComment ref="AE11" dT="2024-03-27T17:35:16.71" personId="{FEE450A0-D509-F541-93A0-022A146DD72B}" id="{870AA40D-8D26-CE43-B971-3E25DCE09EA5}">
    <text>Company goal is to double 2021 rev by 2026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Chip_Wilson" TargetMode="External"/><Relationship Id="rId1" Type="http://schemas.openxmlformats.org/officeDocument/2006/relationships/hyperlink" Target="https://corporate.lululemon.com/media/press-releases/2022/04-20-2022-11301795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EAA3C-92C1-994C-A146-5F095EEA74A2}">
  <dimension ref="B1:M22"/>
  <sheetViews>
    <sheetView tabSelected="1" zoomScale="208" workbookViewId="0">
      <selection activeCell="G32" sqref="G32"/>
    </sheetView>
  </sheetViews>
  <sheetFormatPr baseColWidth="10" defaultRowHeight="13"/>
  <cols>
    <col min="1" max="1" width="10.83203125" style="1"/>
    <col min="2" max="2" width="5.33203125" style="1" bestFit="1" customWidth="1"/>
    <col min="3" max="3" width="14" style="1" bestFit="1" customWidth="1"/>
    <col min="4" max="6" width="10.83203125" style="1"/>
    <col min="7" max="7" width="3.6640625" style="1" bestFit="1" customWidth="1"/>
    <col min="8" max="8" width="6.6640625" style="1" bestFit="1" customWidth="1"/>
    <col min="9" max="9" width="4.33203125" style="1" bestFit="1" customWidth="1"/>
    <col min="10" max="16384" width="10.83203125" style="1"/>
  </cols>
  <sheetData>
    <row r="1" spans="2:9">
      <c r="D1" s="1" t="s">
        <v>93</v>
      </c>
    </row>
    <row r="2" spans="2:9">
      <c r="B2" s="1" t="s">
        <v>90</v>
      </c>
      <c r="C2" s="13" t="s">
        <v>92</v>
      </c>
      <c r="D2" s="12">
        <v>8.7499999999999994E-2</v>
      </c>
      <c r="E2" s="1">
        <f>+D2*H6</f>
        <v>4095.2965290824995</v>
      </c>
    </row>
    <row r="3" spans="2:9">
      <c r="B3" s="1" t="s">
        <v>91</v>
      </c>
    </row>
    <row r="4" spans="2:9">
      <c r="B4" s="1" t="s">
        <v>7</v>
      </c>
      <c r="C4" s="1" t="s">
        <v>8</v>
      </c>
      <c r="G4" s="1" t="s">
        <v>0</v>
      </c>
      <c r="H4" s="1">
        <v>387.15</v>
      </c>
    </row>
    <row r="5" spans="2:9">
      <c r="G5" s="1" t="s">
        <v>1</v>
      </c>
      <c r="H5" s="1">
        <v>120.892132</v>
      </c>
      <c r="I5" s="1" t="s">
        <v>6</v>
      </c>
    </row>
    <row r="6" spans="2:9">
      <c r="G6" s="1" t="s">
        <v>2</v>
      </c>
      <c r="H6" s="1">
        <f>+H4*H5</f>
        <v>46803.388903799998</v>
      </c>
    </row>
    <row r="7" spans="2:9">
      <c r="G7" s="1" t="s">
        <v>5</v>
      </c>
      <c r="H7" s="1">
        <v>2243.971</v>
      </c>
      <c r="I7" s="1" t="str">
        <f>+I5</f>
        <v>10K</v>
      </c>
    </row>
    <row r="8" spans="2:9">
      <c r="G8" s="1" t="s">
        <v>4</v>
      </c>
      <c r="H8" s="1">
        <v>0</v>
      </c>
      <c r="I8" s="1" t="str">
        <f>+I7</f>
        <v>10K</v>
      </c>
    </row>
    <row r="9" spans="2:9">
      <c r="G9" s="1" t="s">
        <v>3</v>
      </c>
      <c r="H9" s="1">
        <f>+H6-H7+H8</f>
        <v>44559.4179038</v>
      </c>
    </row>
    <row r="13" spans="2:9">
      <c r="C13" s="1" t="s">
        <v>9</v>
      </c>
    </row>
    <row r="14" spans="2:9">
      <c r="C14" s="1" t="s">
        <v>10</v>
      </c>
    </row>
    <row r="17" spans="2:13">
      <c r="C17" s="4" t="s">
        <v>39</v>
      </c>
      <c r="L17" s="4" t="s">
        <v>41</v>
      </c>
    </row>
    <row r="18" spans="2:13">
      <c r="C18" s="5">
        <v>44671</v>
      </c>
      <c r="D18" s="1" t="s">
        <v>40</v>
      </c>
      <c r="L18" s="1" t="s">
        <v>42</v>
      </c>
      <c r="M18" s="1" t="s">
        <v>43</v>
      </c>
    </row>
    <row r="19" spans="2:13">
      <c r="L19" s="1" t="s">
        <v>44</v>
      </c>
      <c r="M19" s="1" t="s">
        <v>46</v>
      </c>
    </row>
    <row r="20" spans="2:13">
      <c r="L20" s="1" t="s">
        <v>45</v>
      </c>
      <c r="M20" s="1" t="s">
        <v>46</v>
      </c>
    </row>
    <row r="21" spans="2:13">
      <c r="B21" s="4" t="s">
        <v>51</v>
      </c>
    </row>
    <row r="22" spans="2:13">
      <c r="B22" s="1" t="s">
        <v>52</v>
      </c>
    </row>
  </sheetData>
  <hyperlinks>
    <hyperlink ref="C18" r:id="rId1" display="https://corporate.lululemon.com/media/press-releases/2022/04-20-2022-113017957" xr:uid="{7CD71B0A-C7D9-8749-9FB2-E4DFB8334FBD}"/>
    <hyperlink ref="C2" r:id="rId2" xr:uid="{29933395-5AAE-314D-A9B3-8F841D2695C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4279-EDF9-9647-97C2-74F2BE9E30B8}">
  <dimension ref="B1:XFD65"/>
  <sheetViews>
    <sheetView zoomScale="255" zoomScaleNormal="170" workbookViewId="0">
      <pane xSplit="2" ySplit="2" topLeftCell="V3" activePane="bottomRight" state="frozen"/>
      <selection pane="topRight" activeCell="C1" sqref="C1"/>
      <selection pane="bottomLeft" activeCell="A3" sqref="A3"/>
      <selection pane="bottomRight" activeCell="H64" sqref="H64"/>
    </sheetView>
  </sheetViews>
  <sheetFormatPr baseColWidth="10" defaultRowHeight="13"/>
  <cols>
    <col min="1" max="1" width="2.1640625" style="1" customWidth="1"/>
    <col min="2" max="2" width="15" style="1" bestFit="1" customWidth="1"/>
    <col min="3" max="18" width="5.6640625" style="1" bestFit="1" customWidth="1"/>
    <col min="19" max="19" width="10.83203125" style="1"/>
    <col min="20" max="23" width="5.1640625" style="1" bestFit="1" customWidth="1"/>
    <col min="24" max="27" width="5.6640625" style="1" bestFit="1" customWidth="1"/>
    <col min="28" max="38" width="6.6640625" style="1" bestFit="1" customWidth="1"/>
    <col min="39" max="39" width="5.6640625" style="1" bestFit="1" customWidth="1"/>
    <col min="40" max="40" width="10.83203125" style="1" bestFit="1" customWidth="1"/>
    <col min="41" max="41" width="8" style="1" bestFit="1" customWidth="1"/>
    <col min="42" max="209" width="5.6640625" style="1" bestFit="1" customWidth="1"/>
    <col min="210" max="228" width="6.6640625" style="1" bestFit="1" customWidth="1"/>
    <col min="229" max="16384" width="10.83203125" style="1"/>
  </cols>
  <sheetData>
    <row r="1" spans="2:228 16384:16384">
      <c r="AC1" s="1">
        <v>1</v>
      </c>
      <c r="AD1" s="1">
        <f>+AC1+1</f>
        <v>2</v>
      </c>
      <c r="AE1" s="1">
        <f t="shared" ref="AE1:AS1" si="0">+AD1+1</f>
        <v>3</v>
      </c>
      <c r="AF1" s="1">
        <f t="shared" si="0"/>
        <v>4</v>
      </c>
      <c r="AG1" s="1">
        <f t="shared" si="0"/>
        <v>5</v>
      </c>
      <c r="AH1" s="1">
        <f t="shared" si="0"/>
        <v>6</v>
      </c>
      <c r="AI1" s="1">
        <f t="shared" si="0"/>
        <v>7</v>
      </c>
      <c r="AJ1" s="1">
        <f t="shared" si="0"/>
        <v>8</v>
      </c>
      <c r="AK1" s="1">
        <f t="shared" si="0"/>
        <v>9</v>
      </c>
      <c r="AL1" s="1">
        <f t="shared" si="0"/>
        <v>10</v>
      </c>
      <c r="AM1" s="1">
        <f t="shared" si="0"/>
        <v>11</v>
      </c>
      <c r="AN1" s="1">
        <f t="shared" si="0"/>
        <v>12</v>
      </c>
      <c r="AO1" s="1">
        <f t="shared" si="0"/>
        <v>13</v>
      </c>
      <c r="AP1" s="1">
        <f t="shared" si="0"/>
        <v>14</v>
      </c>
      <c r="AQ1" s="1">
        <f t="shared" si="0"/>
        <v>15</v>
      </c>
      <c r="AR1" s="1">
        <f t="shared" si="0"/>
        <v>16</v>
      </c>
      <c r="AS1" s="1">
        <f t="shared" si="0"/>
        <v>17</v>
      </c>
      <c r="AT1" s="1">
        <f t="shared" ref="AT1:DE1" si="1">+AS1+1</f>
        <v>18</v>
      </c>
      <c r="AU1" s="1">
        <f t="shared" si="1"/>
        <v>19</v>
      </c>
      <c r="AV1" s="1">
        <f t="shared" si="1"/>
        <v>20</v>
      </c>
      <c r="AW1" s="1">
        <f t="shared" si="1"/>
        <v>21</v>
      </c>
      <c r="AX1" s="1">
        <f t="shared" si="1"/>
        <v>22</v>
      </c>
      <c r="AY1" s="1">
        <f t="shared" si="1"/>
        <v>23</v>
      </c>
      <c r="AZ1" s="1">
        <f t="shared" si="1"/>
        <v>24</v>
      </c>
      <c r="BA1" s="1">
        <f t="shared" si="1"/>
        <v>25</v>
      </c>
      <c r="BB1" s="1">
        <f t="shared" si="1"/>
        <v>26</v>
      </c>
      <c r="BC1" s="1">
        <f t="shared" si="1"/>
        <v>27</v>
      </c>
      <c r="BD1" s="1">
        <f t="shared" si="1"/>
        <v>28</v>
      </c>
      <c r="BE1" s="1">
        <f t="shared" si="1"/>
        <v>29</v>
      </c>
      <c r="BF1" s="1">
        <f t="shared" si="1"/>
        <v>30</v>
      </c>
      <c r="BG1" s="1">
        <f t="shared" si="1"/>
        <v>31</v>
      </c>
      <c r="BH1" s="1">
        <f t="shared" si="1"/>
        <v>32</v>
      </c>
      <c r="BI1" s="1">
        <f t="shared" si="1"/>
        <v>33</v>
      </c>
      <c r="BJ1" s="1">
        <f t="shared" si="1"/>
        <v>34</v>
      </c>
      <c r="BK1" s="1">
        <f t="shared" si="1"/>
        <v>35</v>
      </c>
      <c r="BL1" s="1">
        <f t="shared" si="1"/>
        <v>36</v>
      </c>
      <c r="BM1" s="1">
        <f t="shared" si="1"/>
        <v>37</v>
      </c>
      <c r="BN1" s="1">
        <f t="shared" si="1"/>
        <v>38</v>
      </c>
      <c r="BO1" s="1">
        <f t="shared" si="1"/>
        <v>39</v>
      </c>
      <c r="BP1" s="1">
        <f t="shared" si="1"/>
        <v>40</v>
      </c>
      <c r="BQ1" s="1">
        <f t="shared" si="1"/>
        <v>41</v>
      </c>
      <c r="BR1" s="1">
        <f t="shared" si="1"/>
        <v>42</v>
      </c>
      <c r="BS1" s="1">
        <f t="shared" si="1"/>
        <v>43</v>
      </c>
      <c r="BT1" s="1">
        <f t="shared" si="1"/>
        <v>44</v>
      </c>
      <c r="BU1" s="1">
        <f t="shared" si="1"/>
        <v>45</v>
      </c>
      <c r="BV1" s="1">
        <f t="shared" si="1"/>
        <v>46</v>
      </c>
      <c r="BW1" s="1">
        <f t="shared" si="1"/>
        <v>47</v>
      </c>
      <c r="BX1" s="1">
        <f t="shared" si="1"/>
        <v>48</v>
      </c>
      <c r="BY1" s="1">
        <f t="shared" si="1"/>
        <v>49</v>
      </c>
      <c r="BZ1" s="1">
        <f t="shared" si="1"/>
        <v>50</v>
      </c>
      <c r="CA1" s="1">
        <f t="shared" si="1"/>
        <v>51</v>
      </c>
      <c r="CB1" s="1">
        <f t="shared" si="1"/>
        <v>52</v>
      </c>
      <c r="CC1" s="1">
        <f t="shared" si="1"/>
        <v>53</v>
      </c>
      <c r="CD1" s="1">
        <f t="shared" si="1"/>
        <v>54</v>
      </c>
      <c r="CE1" s="1">
        <f t="shared" si="1"/>
        <v>55</v>
      </c>
      <c r="CF1" s="1">
        <f t="shared" si="1"/>
        <v>56</v>
      </c>
      <c r="CG1" s="1">
        <f t="shared" si="1"/>
        <v>57</v>
      </c>
      <c r="CH1" s="1">
        <f t="shared" si="1"/>
        <v>58</v>
      </c>
      <c r="CI1" s="1">
        <f t="shared" si="1"/>
        <v>59</v>
      </c>
      <c r="CJ1" s="1">
        <f t="shared" si="1"/>
        <v>60</v>
      </c>
      <c r="CK1" s="1">
        <f t="shared" si="1"/>
        <v>61</v>
      </c>
      <c r="CL1" s="1">
        <f t="shared" si="1"/>
        <v>62</v>
      </c>
      <c r="CM1" s="1">
        <f t="shared" si="1"/>
        <v>63</v>
      </c>
      <c r="CN1" s="1">
        <f t="shared" si="1"/>
        <v>64</v>
      </c>
      <c r="CO1" s="1">
        <f t="shared" si="1"/>
        <v>65</v>
      </c>
      <c r="CP1" s="1">
        <f t="shared" si="1"/>
        <v>66</v>
      </c>
      <c r="CQ1" s="1">
        <f t="shared" si="1"/>
        <v>67</v>
      </c>
      <c r="CR1" s="1">
        <f t="shared" si="1"/>
        <v>68</v>
      </c>
      <c r="CS1" s="1">
        <f t="shared" si="1"/>
        <v>69</v>
      </c>
      <c r="CT1" s="1">
        <f t="shared" si="1"/>
        <v>70</v>
      </c>
      <c r="CU1" s="1">
        <f t="shared" si="1"/>
        <v>71</v>
      </c>
      <c r="CV1" s="1">
        <f t="shared" si="1"/>
        <v>72</v>
      </c>
      <c r="CW1" s="1">
        <f t="shared" si="1"/>
        <v>73</v>
      </c>
      <c r="CX1" s="1">
        <f t="shared" si="1"/>
        <v>74</v>
      </c>
      <c r="CY1" s="1">
        <f t="shared" si="1"/>
        <v>75</v>
      </c>
      <c r="CZ1" s="1">
        <f t="shared" si="1"/>
        <v>76</v>
      </c>
      <c r="DA1" s="1">
        <f t="shared" si="1"/>
        <v>77</v>
      </c>
      <c r="DB1" s="1">
        <f t="shared" si="1"/>
        <v>78</v>
      </c>
      <c r="DC1" s="1">
        <f t="shared" si="1"/>
        <v>79</v>
      </c>
      <c r="DD1" s="1">
        <f t="shared" si="1"/>
        <v>80</v>
      </c>
      <c r="DE1" s="1">
        <f t="shared" si="1"/>
        <v>81</v>
      </c>
      <c r="DF1" s="1">
        <f t="shared" ref="DF1:FQ1" si="2">+DE1+1</f>
        <v>82</v>
      </c>
      <c r="DG1" s="1">
        <f t="shared" si="2"/>
        <v>83</v>
      </c>
      <c r="DH1" s="1">
        <f t="shared" si="2"/>
        <v>84</v>
      </c>
      <c r="DI1" s="1">
        <f t="shared" si="2"/>
        <v>85</v>
      </c>
      <c r="DJ1" s="1">
        <f t="shared" si="2"/>
        <v>86</v>
      </c>
      <c r="DK1" s="1">
        <f t="shared" si="2"/>
        <v>87</v>
      </c>
      <c r="DL1" s="1">
        <f t="shared" si="2"/>
        <v>88</v>
      </c>
      <c r="DM1" s="1">
        <f t="shared" si="2"/>
        <v>89</v>
      </c>
      <c r="DN1" s="1">
        <f t="shared" si="2"/>
        <v>90</v>
      </c>
      <c r="DO1" s="1">
        <f t="shared" si="2"/>
        <v>91</v>
      </c>
      <c r="DP1" s="1">
        <f t="shared" si="2"/>
        <v>92</v>
      </c>
      <c r="DQ1" s="1">
        <f t="shared" si="2"/>
        <v>93</v>
      </c>
      <c r="DR1" s="1">
        <f t="shared" si="2"/>
        <v>94</v>
      </c>
      <c r="DS1" s="1">
        <f t="shared" si="2"/>
        <v>95</v>
      </c>
      <c r="DT1" s="1">
        <f t="shared" si="2"/>
        <v>96</v>
      </c>
      <c r="DU1" s="1">
        <f t="shared" si="2"/>
        <v>97</v>
      </c>
      <c r="DV1" s="1">
        <f t="shared" si="2"/>
        <v>98</v>
      </c>
      <c r="DW1" s="1">
        <f t="shared" si="2"/>
        <v>99</v>
      </c>
      <c r="DX1" s="1">
        <f t="shared" si="2"/>
        <v>100</v>
      </c>
      <c r="DY1" s="1">
        <f t="shared" si="2"/>
        <v>101</v>
      </c>
      <c r="DZ1" s="1">
        <f t="shared" si="2"/>
        <v>102</v>
      </c>
      <c r="EA1" s="1">
        <f t="shared" si="2"/>
        <v>103</v>
      </c>
      <c r="EB1" s="1">
        <f t="shared" si="2"/>
        <v>104</v>
      </c>
      <c r="EC1" s="1">
        <f t="shared" si="2"/>
        <v>105</v>
      </c>
      <c r="ED1" s="1">
        <f t="shared" si="2"/>
        <v>106</v>
      </c>
      <c r="EE1" s="1">
        <f t="shared" si="2"/>
        <v>107</v>
      </c>
      <c r="EF1" s="1">
        <f t="shared" si="2"/>
        <v>108</v>
      </c>
      <c r="EG1" s="1">
        <f t="shared" si="2"/>
        <v>109</v>
      </c>
      <c r="EH1" s="1">
        <f t="shared" si="2"/>
        <v>110</v>
      </c>
      <c r="EI1" s="1">
        <f t="shared" si="2"/>
        <v>111</v>
      </c>
      <c r="EJ1" s="1">
        <f t="shared" si="2"/>
        <v>112</v>
      </c>
      <c r="EK1" s="1">
        <f t="shared" si="2"/>
        <v>113</v>
      </c>
      <c r="EL1" s="1">
        <f t="shared" si="2"/>
        <v>114</v>
      </c>
      <c r="EM1" s="1">
        <f t="shared" si="2"/>
        <v>115</v>
      </c>
      <c r="EN1" s="1">
        <f t="shared" si="2"/>
        <v>116</v>
      </c>
      <c r="EO1" s="1">
        <f t="shared" si="2"/>
        <v>117</v>
      </c>
      <c r="EP1" s="1">
        <f t="shared" si="2"/>
        <v>118</v>
      </c>
      <c r="EQ1" s="1">
        <f t="shared" si="2"/>
        <v>119</v>
      </c>
      <c r="ER1" s="1">
        <f t="shared" si="2"/>
        <v>120</v>
      </c>
      <c r="ES1" s="1">
        <f t="shared" si="2"/>
        <v>121</v>
      </c>
      <c r="ET1" s="1">
        <f t="shared" si="2"/>
        <v>122</v>
      </c>
      <c r="EU1" s="1">
        <f t="shared" si="2"/>
        <v>123</v>
      </c>
      <c r="EV1" s="1">
        <f t="shared" si="2"/>
        <v>124</v>
      </c>
      <c r="EW1" s="1">
        <f t="shared" si="2"/>
        <v>125</v>
      </c>
      <c r="EX1" s="1">
        <f t="shared" si="2"/>
        <v>126</v>
      </c>
      <c r="EY1" s="1">
        <f t="shared" si="2"/>
        <v>127</v>
      </c>
      <c r="EZ1" s="1">
        <f t="shared" si="2"/>
        <v>128</v>
      </c>
      <c r="FA1" s="1">
        <f t="shared" si="2"/>
        <v>129</v>
      </c>
      <c r="FB1" s="1">
        <f t="shared" si="2"/>
        <v>130</v>
      </c>
      <c r="FC1" s="1">
        <f t="shared" si="2"/>
        <v>131</v>
      </c>
      <c r="FD1" s="1">
        <f t="shared" si="2"/>
        <v>132</v>
      </c>
      <c r="FE1" s="1">
        <f t="shared" si="2"/>
        <v>133</v>
      </c>
      <c r="FF1" s="1">
        <f t="shared" si="2"/>
        <v>134</v>
      </c>
      <c r="FG1" s="1">
        <f t="shared" si="2"/>
        <v>135</v>
      </c>
      <c r="FH1" s="1">
        <f t="shared" si="2"/>
        <v>136</v>
      </c>
      <c r="FI1" s="1">
        <f t="shared" si="2"/>
        <v>137</v>
      </c>
      <c r="FJ1" s="1">
        <f t="shared" si="2"/>
        <v>138</v>
      </c>
      <c r="FK1" s="1">
        <f t="shared" si="2"/>
        <v>139</v>
      </c>
      <c r="FL1" s="1">
        <f t="shared" si="2"/>
        <v>140</v>
      </c>
      <c r="FM1" s="1">
        <f t="shared" si="2"/>
        <v>141</v>
      </c>
      <c r="FN1" s="1">
        <f t="shared" si="2"/>
        <v>142</v>
      </c>
      <c r="FO1" s="1">
        <f t="shared" si="2"/>
        <v>143</v>
      </c>
      <c r="FP1" s="1">
        <f t="shared" si="2"/>
        <v>144</v>
      </c>
      <c r="FQ1" s="1">
        <f t="shared" si="2"/>
        <v>145</v>
      </c>
      <c r="FR1" s="1">
        <f t="shared" ref="FR1:HT1" si="3">+FQ1+1</f>
        <v>146</v>
      </c>
      <c r="FS1" s="1">
        <f t="shared" si="3"/>
        <v>147</v>
      </c>
      <c r="FT1" s="1">
        <f t="shared" si="3"/>
        <v>148</v>
      </c>
      <c r="FU1" s="1">
        <f t="shared" si="3"/>
        <v>149</v>
      </c>
      <c r="FV1" s="1">
        <f t="shared" si="3"/>
        <v>150</v>
      </c>
      <c r="FW1" s="1">
        <f t="shared" si="3"/>
        <v>151</v>
      </c>
      <c r="FX1" s="1">
        <f t="shared" si="3"/>
        <v>152</v>
      </c>
      <c r="FY1" s="1">
        <f t="shared" si="3"/>
        <v>153</v>
      </c>
      <c r="FZ1" s="1">
        <f t="shared" si="3"/>
        <v>154</v>
      </c>
      <c r="GA1" s="1">
        <f t="shared" si="3"/>
        <v>155</v>
      </c>
      <c r="GB1" s="1">
        <f t="shared" si="3"/>
        <v>156</v>
      </c>
      <c r="GC1" s="1">
        <f t="shared" si="3"/>
        <v>157</v>
      </c>
      <c r="GD1" s="1">
        <f t="shared" si="3"/>
        <v>158</v>
      </c>
      <c r="GE1" s="1">
        <f t="shared" si="3"/>
        <v>159</v>
      </c>
      <c r="GF1" s="1">
        <f t="shared" si="3"/>
        <v>160</v>
      </c>
      <c r="GG1" s="1">
        <f t="shared" si="3"/>
        <v>161</v>
      </c>
      <c r="GH1" s="1">
        <f t="shared" si="3"/>
        <v>162</v>
      </c>
      <c r="GI1" s="1">
        <f t="shared" si="3"/>
        <v>163</v>
      </c>
      <c r="GJ1" s="1">
        <f t="shared" si="3"/>
        <v>164</v>
      </c>
      <c r="GK1" s="1">
        <f t="shared" si="3"/>
        <v>165</v>
      </c>
      <c r="GL1" s="1">
        <f t="shared" si="3"/>
        <v>166</v>
      </c>
      <c r="GM1" s="1">
        <f t="shared" si="3"/>
        <v>167</v>
      </c>
      <c r="GN1" s="1">
        <f t="shared" si="3"/>
        <v>168</v>
      </c>
      <c r="GO1" s="1">
        <f t="shared" si="3"/>
        <v>169</v>
      </c>
      <c r="GP1" s="1">
        <f t="shared" si="3"/>
        <v>170</v>
      </c>
      <c r="GQ1" s="1">
        <f t="shared" si="3"/>
        <v>171</v>
      </c>
      <c r="GR1" s="1">
        <f t="shared" si="3"/>
        <v>172</v>
      </c>
      <c r="GS1" s="1">
        <f t="shared" si="3"/>
        <v>173</v>
      </c>
      <c r="GT1" s="1">
        <f t="shared" si="3"/>
        <v>174</v>
      </c>
      <c r="GU1" s="1">
        <f t="shared" si="3"/>
        <v>175</v>
      </c>
      <c r="GV1" s="1">
        <f t="shared" si="3"/>
        <v>176</v>
      </c>
      <c r="GW1" s="1">
        <f t="shared" si="3"/>
        <v>177</v>
      </c>
      <c r="GX1" s="1">
        <f t="shared" si="3"/>
        <v>178</v>
      </c>
      <c r="GY1" s="1">
        <f t="shared" si="3"/>
        <v>179</v>
      </c>
      <c r="GZ1" s="1">
        <f t="shared" si="3"/>
        <v>180</v>
      </c>
      <c r="HA1" s="1">
        <f t="shared" si="3"/>
        <v>181</v>
      </c>
      <c r="HB1" s="1">
        <f t="shared" si="3"/>
        <v>182</v>
      </c>
      <c r="HC1" s="1">
        <f t="shared" si="3"/>
        <v>183</v>
      </c>
      <c r="HD1" s="1">
        <f t="shared" si="3"/>
        <v>184</v>
      </c>
      <c r="HE1" s="1">
        <f t="shared" si="3"/>
        <v>185</v>
      </c>
      <c r="HF1" s="1">
        <f t="shared" si="3"/>
        <v>186</v>
      </c>
      <c r="HG1" s="1">
        <f t="shared" si="3"/>
        <v>187</v>
      </c>
      <c r="HH1" s="1">
        <f t="shared" si="3"/>
        <v>188</v>
      </c>
      <c r="HI1" s="1">
        <f t="shared" si="3"/>
        <v>189</v>
      </c>
      <c r="HJ1" s="1">
        <f t="shared" si="3"/>
        <v>190</v>
      </c>
      <c r="HK1" s="1">
        <f t="shared" si="3"/>
        <v>191</v>
      </c>
      <c r="HL1" s="1">
        <f t="shared" si="3"/>
        <v>192</v>
      </c>
      <c r="HM1" s="1">
        <f t="shared" si="3"/>
        <v>193</v>
      </c>
      <c r="HN1" s="1">
        <f t="shared" si="3"/>
        <v>194</v>
      </c>
      <c r="HO1" s="1">
        <f t="shared" si="3"/>
        <v>195</v>
      </c>
      <c r="HP1" s="1">
        <f t="shared" si="3"/>
        <v>196</v>
      </c>
      <c r="HQ1" s="1">
        <f t="shared" si="3"/>
        <v>197</v>
      </c>
      <c r="HR1" s="1">
        <f t="shared" si="3"/>
        <v>198</v>
      </c>
      <c r="HS1" s="1">
        <f t="shared" si="3"/>
        <v>199</v>
      </c>
      <c r="HT1" s="1">
        <f t="shared" si="3"/>
        <v>200</v>
      </c>
    </row>
    <row r="2" spans="2:228 16384:16384"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T2" s="6">
        <v>2015</v>
      </c>
      <c r="U2" s="6">
        <f>+T2+1</f>
        <v>2016</v>
      </c>
      <c r="V2" s="6">
        <f t="shared" ref="V2:AN2" si="4">+U2+1</f>
        <v>2017</v>
      </c>
      <c r="W2" s="6">
        <f t="shared" si="4"/>
        <v>2018</v>
      </c>
      <c r="X2" s="6">
        <f t="shared" si="4"/>
        <v>2019</v>
      </c>
      <c r="Y2" s="6">
        <f t="shared" si="4"/>
        <v>2020</v>
      </c>
      <c r="Z2" s="6">
        <f t="shared" si="4"/>
        <v>2021</v>
      </c>
      <c r="AA2" s="6">
        <f t="shared" si="4"/>
        <v>2022</v>
      </c>
      <c r="AB2" s="6">
        <f t="shared" si="4"/>
        <v>2023</v>
      </c>
      <c r="AC2" s="6">
        <f t="shared" si="4"/>
        <v>2024</v>
      </c>
      <c r="AD2" s="6">
        <f t="shared" si="4"/>
        <v>2025</v>
      </c>
      <c r="AE2" s="6">
        <f t="shared" si="4"/>
        <v>2026</v>
      </c>
      <c r="AF2" s="6">
        <f t="shared" si="4"/>
        <v>2027</v>
      </c>
      <c r="AG2" s="6">
        <f t="shared" si="4"/>
        <v>2028</v>
      </c>
      <c r="AH2" s="6">
        <f t="shared" si="4"/>
        <v>2029</v>
      </c>
      <c r="AI2" s="6">
        <f t="shared" si="4"/>
        <v>2030</v>
      </c>
      <c r="AJ2" s="6">
        <f t="shared" si="4"/>
        <v>2031</v>
      </c>
      <c r="AK2" s="6">
        <f t="shared" si="4"/>
        <v>2032</v>
      </c>
      <c r="AL2" s="6">
        <f t="shared" si="4"/>
        <v>2033</v>
      </c>
      <c r="AM2" s="6"/>
      <c r="AN2" s="6"/>
    </row>
    <row r="3" spans="2:228 16384:16384">
      <c r="B3" s="1" t="s">
        <v>47</v>
      </c>
      <c r="AA3" s="1">
        <v>6817.4539999999997</v>
      </c>
      <c r="AB3" s="1">
        <v>7631.6469999999999</v>
      </c>
    </row>
    <row r="4" spans="2:228 16384:16384">
      <c r="B4" s="1" t="s">
        <v>49</v>
      </c>
      <c r="AA4" s="1">
        <v>576.50300000000004</v>
      </c>
      <c r="AB4" s="1">
        <v>963.76</v>
      </c>
    </row>
    <row r="5" spans="2:228 16384:16384">
      <c r="B5" s="1" t="s">
        <v>48</v>
      </c>
      <c r="AA5" s="1">
        <v>716.56100000000004</v>
      </c>
      <c r="AB5" s="1">
        <v>1023.871</v>
      </c>
    </row>
    <row r="6" spans="2:228 16384:16384">
      <c r="H6" s="1">
        <f t="shared" ref="H6:M6" si="5">+H8-G8</f>
        <v>11</v>
      </c>
      <c r="I6" s="1">
        <f t="shared" si="5"/>
        <v>18</v>
      </c>
      <c r="J6" s="1">
        <f t="shared" si="5"/>
        <v>22</v>
      </c>
      <c r="K6" s="1">
        <f t="shared" si="5"/>
        <v>88</v>
      </c>
      <c r="L6" s="1">
        <f t="shared" si="5"/>
        <v>10</v>
      </c>
      <c r="M6" s="1">
        <f t="shared" si="5"/>
        <v>14</v>
      </c>
      <c r="N6" s="1">
        <f>+N8-M8</f>
        <v>25</v>
      </c>
      <c r="AA6" s="1">
        <f>SUM(AA3:AA5)</f>
        <v>8110.5179999999991</v>
      </c>
      <c r="AB6" s="1">
        <f>SUM(AB3:AB5)</f>
        <v>9619.2779999999984</v>
      </c>
    </row>
    <row r="7" spans="2:228 16384:16384">
      <c r="XFD7" s="1">
        <f>+XFD8-XFC8</f>
        <v>0</v>
      </c>
    </row>
    <row r="8" spans="2:228 16384:16384">
      <c r="B8" s="1" t="s">
        <v>11</v>
      </c>
      <c r="G8" s="1">
        <v>523</v>
      </c>
      <c r="H8" s="1">
        <v>534</v>
      </c>
      <c r="I8" s="1">
        <v>552</v>
      </c>
      <c r="J8" s="1">
        <v>574</v>
      </c>
      <c r="K8" s="1">
        <v>662</v>
      </c>
      <c r="L8" s="1">
        <v>672</v>
      </c>
      <c r="M8" s="1">
        <v>686</v>
      </c>
      <c r="N8" s="1">
        <v>711</v>
      </c>
      <c r="O8" s="1">
        <f>+N8+20</f>
        <v>731</v>
      </c>
      <c r="P8" s="1">
        <f t="shared" ref="P8:R8" si="6">+O8+20</f>
        <v>751</v>
      </c>
      <c r="Q8" s="1">
        <f t="shared" si="6"/>
        <v>771</v>
      </c>
      <c r="R8" s="1">
        <f t="shared" si="6"/>
        <v>791</v>
      </c>
      <c r="AA8" s="1">
        <f>+J8</f>
        <v>574</v>
      </c>
      <c r="AB8" s="1">
        <f>+N8</f>
        <v>711</v>
      </c>
      <c r="AC8" s="1">
        <f>+R8</f>
        <v>791</v>
      </c>
      <c r="AD8" s="1">
        <f>+AC8+80</f>
        <v>871</v>
      </c>
      <c r="AE8" s="1">
        <f t="shared" ref="AE8:AL8" si="7">+AD8+80</f>
        <v>951</v>
      </c>
      <c r="AF8" s="1">
        <f t="shared" si="7"/>
        <v>1031</v>
      </c>
      <c r="AG8" s="1">
        <f t="shared" si="7"/>
        <v>1111</v>
      </c>
      <c r="AH8" s="1">
        <f t="shared" si="7"/>
        <v>1191</v>
      </c>
      <c r="AI8" s="1">
        <f t="shared" si="7"/>
        <v>1271</v>
      </c>
      <c r="AJ8" s="1">
        <f t="shared" si="7"/>
        <v>1351</v>
      </c>
      <c r="AK8" s="1">
        <f t="shared" si="7"/>
        <v>1431</v>
      </c>
      <c r="AL8" s="1">
        <f t="shared" si="7"/>
        <v>1511</v>
      </c>
    </row>
    <row r="9" spans="2:228 16384:16384" s="7" customFormat="1">
      <c r="B9" s="7" t="s">
        <v>53</v>
      </c>
      <c r="G9" s="7">
        <f t="shared" ref="G9:M9" si="8">+G11/G8</f>
        <v>3.0850152963671129</v>
      </c>
      <c r="H9" s="7">
        <f t="shared" si="8"/>
        <v>3.4987415730337079</v>
      </c>
      <c r="I9" s="7">
        <f t="shared" si="8"/>
        <v>3.3639293478260868</v>
      </c>
      <c r="J9" s="7">
        <f t="shared" si="8"/>
        <v>4.8289860627177701</v>
      </c>
      <c r="K9" s="7">
        <f t="shared" si="8"/>
        <v>3.0223444108761326</v>
      </c>
      <c r="L9" s="7">
        <f t="shared" si="8"/>
        <v>3.2874479166666668</v>
      </c>
      <c r="M9" s="7">
        <f t="shared" si="8"/>
        <v>3.2131457725947521</v>
      </c>
      <c r="N9" s="7">
        <f>+N11/N8</f>
        <v>4.5078804500703233</v>
      </c>
      <c r="O9" s="7">
        <f>+O11/O8</f>
        <v>2.9924760601915183</v>
      </c>
      <c r="P9" s="7">
        <f>+L9*1.01</f>
        <v>3.3203223958333337</v>
      </c>
      <c r="Q9" s="7">
        <f t="shared" ref="Q9:R9" si="9">+M9*1.01</f>
        <v>3.2452772303206996</v>
      </c>
      <c r="R9" s="7">
        <f t="shared" si="9"/>
        <v>4.5529592545710269</v>
      </c>
      <c r="AB9" s="7">
        <f>+AB11/AB8</f>
        <v>13.529223628691984</v>
      </c>
      <c r="AC9" s="7">
        <f>+AC11/AC8</f>
        <v>13.634085504695037</v>
      </c>
      <c r="AD9" s="7">
        <f>+AC9*1.01</f>
        <v>13.770426359741988</v>
      </c>
      <c r="AE9" s="7">
        <f>+AE11/AE8</f>
        <v>13.157974763406941</v>
      </c>
      <c r="AF9" s="7">
        <f>+AE9</f>
        <v>13.157974763406941</v>
      </c>
      <c r="AG9" s="7">
        <f t="shared" ref="AG9:AL9" si="10">+AF9</f>
        <v>13.157974763406941</v>
      </c>
      <c r="AH9" s="7">
        <f t="shared" si="10"/>
        <v>13.157974763406941</v>
      </c>
      <c r="AI9" s="7">
        <f t="shared" si="10"/>
        <v>13.157974763406941</v>
      </c>
      <c r="AJ9" s="7">
        <f t="shared" si="10"/>
        <v>13.157974763406941</v>
      </c>
      <c r="AK9" s="7">
        <f t="shared" si="10"/>
        <v>13.157974763406941</v>
      </c>
      <c r="AL9" s="7">
        <f t="shared" si="10"/>
        <v>13.157974763406941</v>
      </c>
    </row>
    <row r="10" spans="2:228 16384:16384">
      <c r="J10" s="3"/>
      <c r="K10" s="3"/>
      <c r="L10" s="3"/>
      <c r="M10" s="3"/>
      <c r="N10" s="3"/>
    </row>
    <row r="11" spans="2:228 16384:16384">
      <c r="B11" s="1" t="s">
        <v>28</v>
      </c>
      <c r="C11" s="1">
        <v>1226.4649999999999</v>
      </c>
      <c r="D11" s="1">
        <v>1450.6179999999999</v>
      </c>
      <c r="E11" s="1">
        <v>1450.421</v>
      </c>
      <c r="F11" s="1">
        <v>2129.1129999999998</v>
      </c>
      <c r="G11" s="1">
        <v>1613.463</v>
      </c>
      <c r="H11" s="1">
        <v>1868.328</v>
      </c>
      <c r="I11" s="1">
        <v>1856.8889999999999</v>
      </c>
      <c r="J11" s="1">
        <v>2771.8380000000002</v>
      </c>
      <c r="K11" s="1">
        <v>2000.7919999999999</v>
      </c>
      <c r="L11" s="1">
        <v>2209.165</v>
      </c>
      <c r="M11" s="1">
        <v>2204.2179999999998</v>
      </c>
      <c r="N11" s="1">
        <v>3205.1030000000001</v>
      </c>
      <c r="O11" s="1">
        <f>AVERAGE(2.175,2.2)*1000</f>
        <v>2187.5</v>
      </c>
      <c r="P11" s="1">
        <f>+P8*P9</f>
        <v>2493.5621192708336</v>
      </c>
      <c r="Q11" s="1">
        <f>+Q8*Q9</f>
        <v>2502.1087445772596</v>
      </c>
      <c r="R11" s="1">
        <f>+R8*R9</f>
        <v>3601.3907703656823</v>
      </c>
      <c r="X11" s="1">
        <v>3979.2959999999998</v>
      </c>
      <c r="Y11" s="1">
        <v>4401.8789999999999</v>
      </c>
      <c r="Z11" s="1">
        <f>+SUM(C11:F11)</f>
        <v>6256.6170000000002</v>
      </c>
      <c r="AA11" s="1">
        <f>SUM(G11:J11)</f>
        <v>8110.518</v>
      </c>
      <c r="AB11" s="1">
        <f>SUM(K11:N11)</f>
        <v>9619.2780000000002</v>
      </c>
      <c r="AC11" s="1">
        <f>SUM(O11:R11)</f>
        <v>10784.561634213775</v>
      </c>
      <c r="AD11" s="1">
        <f>+AD8*AD9</f>
        <v>11994.041359335271</v>
      </c>
      <c r="AE11" s="1">
        <f>+Z11*2</f>
        <v>12513.234</v>
      </c>
      <c r="AF11" s="1">
        <f>+AF8*AF9</f>
        <v>13565.871981072556</v>
      </c>
      <c r="AG11" s="1">
        <f>+AG8*AG9</f>
        <v>14618.509962145112</v>
      </c>
      <c r="AH11" s="1">
        <f t="shared" ref="AE11:AL11" si="11">+AH8*AH9</f>
        <v>15671.147943217666</v>
      </c>
      <c r="AI11" s="1">
        <f t="shared" si="11"/>
        <v>16723.785924290223</v>
      </c>
      <c r="AJ11" s="1">
        <f t="shared" si="11"/>
        <v>17776.423905362775</v>
      </c>
      <c r="AK11" s="1">
        <f t="shared" si="11"/>
        <v>18829.061886435331</v>
      </c>
      <c r="AL11" s="1">
        <f t="shared" si="11"/>
        <v>19881.699867507887</v>
      </c>
    </row>
    <row r="12" spans="2:228 16384:16384">
      <c r="B12" s="1" t="s">
        <v>5</v>
      </c>
      <c r="C12" s="1">
        <v>526.15099999999995</v>
      </c>
      <c r="D12" s="1">
        <v>607.93200000000002</v>
      </c>
      <c r="E12" s="1">
        <v>621.02800000000002</v>
      </c>
      <c r="F12" s="1">
        <v>892.94100000000003</v>
      </c>
      <c r="G12" s="1">
        <v>743.07</v>
      </c>
      <c r="H12" s="1">
        <v>812.85199999999998</v>
      </c>
      <c r="I12" s="1">
        <v>818.03700000000003</v>
      </c>
      <c r="J12" s="1">
        <v>1244.2190000000001</v>
      </c>
      <c r="K12" s="1">
        <v>849.98699999999997</v>
      </c>
      <c r="L12" s="1">
        <v>910.654</v>
      </c>
      <c r="M12" s="1">
        <v>947.55399999999997</v>
      </c>
      <c r="N12" s="1">
        <v>1301.6780000000001</v>
      </c>
      <c r="O12" s="1">
        <f>+O$11*(K12/K$11)</f>
        <v>929.30527636056127</v>
      </c>
      <c r="P12" s="1">
        <f t="shared" ref="P12:R12" si="12">+P$11*(L12/L$11)</f>
        <v>1027.8871511011907</v>
      </c>
      <c r="Q12" s="1">
        <f t="shared" si="12"/>
        <v>1075.6119174052478</v>
      </c>
      <c r="R12" s="1">
        <f t="shared" si="12"/>
        <v>1462.6210562306612</v>
      </c>
      <c r="X12" s="1">
        <v>1755.91</v>
      </c>
      <c r="Y12" s="1">
        <v>1937.8879999999999</v>
      </c>
      <c r="Z12" s="1">
        <f t="shared" ref="X12:Z20" si="13">+SUM(C12:F12)</f>
        <v>2648.0520000000001</v>
      </c>
      <c r="AA12" s="1">
        <f t="shared" ref="AA12:AA18" si="14">SUM(G12:J12)</f>
        <v>3618.1779999999999</v>
      </c>
      <c r="AB12" s="1">
        <f t="shared" ref="AB12:AB18" si="15">SUM(K12:N12)</f>
        <v>4009.8730000000005</v>
      </c>
      <c r="AC12" s="1">
        <f>+SUM(O12:R12)</f>
        <v>4495.4254010976611</v>
      </c>
      <c r="AD12" s="9">
        <f>+AD$11*(AC12/AC$11)</f>
        <v>4999.5836657390946</v>
      </c>
      <c r="AE12" s="9">
        <f t="shared" ref="AE12:AL12" si="16">+AE$11*(AD12/AD$11)</f>
        <v>5216.0033834866063</v>
      </c>
      <c r="AF12" s="9">
        <f t="shared" si="16"/>
        <v>5654.7838994476251</v>
      </c>
      <c r="AG12" s="9">
        <f t="shared" si="16"/>
        <v>6093.564415408644</v>
      </c>
      <c r="AH12" s="9">
        <f t="shared" si="16"/>
        <v>6532.3449313696619</v>
      </c>
      <c r="AI12" s="9">
        <f t="shared" si="16"/>
        <v>6971.1254473306808</v>
      </c>
      <c r="AJ12" s="9">
        <f t="shared" si="16"/>
        <v>7409.9059632916978</v>
      </c>
      <c r="AK12" s="9">
        <f t="shared" si="16"/>
        <v>7848.6864792527167</v>
      </c>
      <c r="AL12" s="9">
        <f t="shared" si="16"/>
        <v>8287.4669952137356</v>
      </c>
    </row>
    <row r="13" spans="2:228 16384:16384">
      <c r="B13" s="1" t="s">
        <v>29</v>
      </c>
      <c r="C13" s="1">
        <v>607.851</v>
      </c>
      <c r="D13" s="1">
        <v>541.31700000000001</v>
      </c>
      <c r="E13" s="1">
        <v>545.12400000000002</v>
      </c>
      <c r="F13" s="1">
        <v>641.95899999999995</v>
      </c>
      <c r="G13" s="1">
        <v>607.851</v>
      </c>
      <c r="H13" s="1">
        <v>662.25300000000004</v>
      </c>
      <c r="I13" s="1">
        <v>684.23599999999999</v>
      </c>
      <c r="J13" s="1">
        <v>803.10699999999997</v>
      </c>
      <c r="K13" s="1">
        <v>747.51300000000003</v>
      </c>
      <c r="L13" s="1">
        <v>817.375</v>
      </c>
      <c r="M13" s="1">
        <v>842.79499999999996</v>
      </c>
      <c r="N13" s="1">
        <v>989.53499999999997</v>
      </c>
      <c r="O13" s="1">
        <f>+O$11*(K13/K$11)</f>
        <v>817.26870534268437</v>
      </c>
      <c r="P13" s="1">
        <f t="shared" ref="P13" si="17">+P$11*(L13/L$11)</f>
        <v>922.59986793154769</v>
      </c>
      <c r="Q13" s="1">
        <f t="shared" ref="Q13" si="18">+Q$11*(M13/M$11)</f>
        <v>956.69518141399419</v>
      </c>
      <c r="R13" s="1">
        <f t="shared" ref="R13" si="19">+R$11*(N13/N$11)</f>
        <v>1111.8838352320674</v>
      </c>
      <c r="X13" s="1">
        <v>1334.2470000000001</v>
      </c>
      <c r="Y13" s="1">
        <v>1609.0029999999999</v>
      </c>
      <c r="Z13" s="1">
        <f t="shared" si="13"/>
        <v>2336.2510000000002</v>
      </c>
      <c r="AA13" s="1">
        <f t="shared" si="14"/>
        <v>2757.4470000000001</v>
      </c>
      <c r="AB13" s="1">
        <f t="shared" si="15"/>
        <v>3397.2179999999998</v>
      </c>
      <c r="AC13" s="1">
        <f t="shared" ref="AC13:AC20" si="20">+SUM(O13:R13)</f>
        <v>3808.4475899202935</v>
      </c>
      <c r="AD13" s="9">
        <f>+AD$11*(AC13/AC$11)</f>
        <v>4235.5618575585104</v>
      </c>
      <c r="AE13" s="9">
        <f t="shared" ref="AE13:AL13" si="21">+AE$11*(AD13/AD$11)</f>
        <v>4418.9089446362959</v>
      </c>
      <c r="AF13" s="9">
        <f t="shared" si="21"/>
        <v>4790.6363006519678</v>
      </c>
      <c r="AG13" s="9">
        <f t="shared" si="21"/>
        <v>5162.3636566676396</v>
      </c>
      <c r="AH13" s="9">
        <f t="shared" si="21"/>
        <v>5534.0910126833105</v>
      </c>
      <c r="AI13" s="9">
        <f t="shared" si="21"/>
        <v>5905.8183686989823</v>
      </c>
      <c r="AJ13" s="9">
        <f t="shared" si="21"/>
        <v>6277.5457247146533</v>
      </c>
      <c r="AK13" s="9">
        <f t="shared" si="21"/>
        <v>6649.2730807303251</v>
      </c>
      <c r="AL13" s="9">
        <f t="shared" si="21"/>
        <v>7021.0004367459969</v>
      </c>
    </row>
    <row r="14" spans="2:228 16384:16384">
      <c r="B14" s="1" t="s">
        <v>30</v>
      </c>
      <c r="C14" s="1">
        <v>496.63400000000001</v>
      </c>
      <c r="D14" s="1">
        <f>+D11-SUM(D12:D13)</f>
        <v>301.36899999999991</v>
      </c>
      <c r="E14" s="1">
        <f>+E11-SUM(E12:E13)</f>
        <v>284.26900000000001</v>
      </c>
      <c r="F14" s="1">
        <f>+F11-SUM(F12:F13)</f>
        <v>594.21299999999974</v>
      </c>
      <c r="G14" s="1">
        <f>+G11-SUM(G12:G13)</f>
        <v>262.54199999999992</v>
      </c>
      <c r="H14" s="1">
        <f>+H11-SUM(H12:H13)</f>
        <v>393.22299999999996</v>
      </c>
      <c r="I14" s="1">
        <f>+I11-SUM(I12:I13)</f>
        <v>354.61599999999976</v>
      </c>
      <c r="J14" s="1">
        <v>407.91300000000001</v>
      </c>
      <c r="K14" s="1">
        <f>+K11-SUM(K12:K13)</f>
        <v>403.29199999999992</v>
      </c>
      <c r="L14" s="1">
        <f>+L11-SUM(L12:L13)</f>
        <v>481.13599999999997</v>
      </c>
      <c r="M14" s="1">
        <f>+M11-SUM(M12:M13)</f>
        <v>413.86899999999991</v>
      </c>
      <c r="N14" s="1">
        <f>+N11-SUM(N12:N13)</f>
        <v>913.88999999999987</v>
      </c>
      <c r="O14" s="1">
        <f>+O11-SUM(O12:O13)</f>
        <v>440.92601829675436</v>
      </c>
      <c r="P14" s="1">
        <f>+P11-SUM(P12:P13)</f>
        <v>543.07510023809527</v>
      </c>
      <c r="Q14" s="1">
        <f>+Q11-SUM(Q12:Q13)</f>
        <v>469.80164575801746</v>
      </c>
      <c r="R14" s="1">
        <f>+R11-SUM(R12:R13)</f>
        <v>1026.8858789029537</v>
      </c>
      <c r="X14" s="1">
        <f t="shared" si="13"/>
        <v>798.00299999999993</v>
      </c>
      <c r="Y14" s="1">
        <f t="shared" si="13"/>
        <v>1082.2719999999999</v>
      </c>
      <c r="Z14" s="1">
        <f t="shared" si="13"/>
        <v>1676.4849999999997</v>
      </c>
      <c r="AA14" s="1">
        <f t="shared" si="14"/>
        <v>1418.2939999999996</v>
      </c>
      <c r="AB14" s="1">
        <f t="shared" si="15"/>
        <v>2212.1869999999999</v>
      </c>
      <c r="AC14" s="1">
        <f t="shared" si="20"/>
        <v>2480.688643195821</v>
      </c>
      <c r="AD14" s="1">
        <f>+AD11-SUM(AD12:AD13)</f>
        <v>2758.8958360376673</v>
      </c>
      <c r="AE14" s="1">
        <f t="shared" ref="AE14:AL14" si="22">+AE11-SUM(AE12:AE13)</f>
        <v>2878.3216718770982</v>
      </c>
      <c r="AF14" s="1">
        <f t="shared" si="22"/>
        <v>3120.4517809729623</v>
      </c>
      <c r="AG14" s="1">
        <f t="shared" si="22"/>
        <v>3362.5818900688282</v>
      </c>
      <c r="AH14" s="1">
        <f t="shared" si="22"/>
        <v>3604.7119991646923</v>
      </c>
      <c r="AI14" s="1">
        <f t="shared" si="22"/>
        <v>3846.8421082605601</v>
      </c>
      <c r="AJ14" s="1">
        <f t="shared" si="22"/>
        <v>4088.9722173564242</v>
      </c>
      <c r="AK14" s="1">
        <f t="shared" si="22"/>
        <v>4331.1023264522883</v>
      </c>
      <c r="AL14" s="1">
        <f t="shared" si="22"/>
        <v>4573.2324355481542</v>
      </c>
    </row>
    <row r="15" spans="2:228 16384:16384">
      <c r="B15" s="1" t="s">
        <v>31</v>
      </c>
      <c r="C15" s="1">
        <v>0.22700000000000001</v>
      </c>
      <c r="D15" s="1">
        <v>9.6000000000000002E-2</v>
      </c>
      <c r="E15" s="1">
        <v>1.4999999999999999E-2</v>
      </c>
      <c r="F15" s="1">
        <v>0.17599999999999999</v>
      </c>
      <c r="G15" s="1">
        <f>+-0.022</f>
        <v>-2.1999999999999999E-2</v>
      </c>
      <c r="H15" s="1">
        <v>0.14499999999999999</v>
      </c>
      <c r="I15" s="1">
        <v>0.33100000000000002</v>
      </c>
      <c r="J15" s="1">
        <v>3.7090000000000001</v>
      </c>
      <c r="K15" s="1">
        <v>8.0250000000000004</v>
      </c>
      <c r="L15" s="1">
        <v>7.3620000000000001</v>
      </c>
      <c r="M15" s="1">
        <v>9.8420000000000005</v>
      </c>
      <c r="N15" s="1">
        <v>17.829999999999998</v>
      </c>
      <c r="O15" s="8">
        <f>+N32*$AO$24</f>
        <v>22.439710000000002</v>
      </c>
      <c r="P15" s="8">
        <f t="shared" ref="P15:R15" si="23">+O32*$AO$24</f>
        <v>25.769127930186873</v>
      </c>
      <c r="Q15" s="8">
        <f t="shared" si="23"/>
        <v>29.856439651984875</v>
      </c>
      <c r="R15" s="8">
        <f t="shared" si="23"/>
        <v>33.446628755183944</v>
      </c>
      <c r="X15" s="1">
        <v>8.2829999999999995</v>
      </c>
      <c r="Y15" s="1">
        <v>8.2829999999999995</v>
      </c>
      <c r="Z15" s="1">
        <f t="shared" si="13"/>
        <v>0.51400000000000001</v>
      </c>
      <c r="AA15" s="1">
        <f t="shared" si="14"/>
        <v>4.1630000000000003</v>
      </c>
      <c r="AB15" s="1">
        <f t="shared" si="15"/>
        <v>43.058999999999997</v>
      </c>
      <c r="AC15" s="1">
        <f t="shared" si="20"/>
        <v>111.5119063373557</v>
      </c>
      <c r="AD15" s="1">
        <f>+AC32*$AO$24</f>
        <v>41.065427141360885</v>
      </c>
      <c r="AE15" s="1">
        <f t="shared" ref="AE15:AL15" si="24">+AD32*$AO$24</f>
        <v>61.183965617919696</v>
      </c>
      <c r="AF15" s="1">
        <f t="shared" si="24"/>
        <v>82.305171131620327</v>
      </c>
      <c r="AG15" s="1">
        <f t="shared" si="24"/>
        <v>105.31791413608036</v>
      </c>
      <c r="AH15" s="1">
        <f t="shared" si="24"/>
        <v>130.23578587996749</v>
      </c>
      <c r="AI15" s="1">
        <f t="shared" si="24"/>
        <v>157.07247526903586</v>
      </c>
      <c r="AJ15" s="1">
        <f t="shared" si="24"/>
        <v>185.84176956782082</v>
      </c>
      <c r="AK15" s="1">
        <f t="shared" si="24"/>
        <v>216.5575551063753</v>
      </c>
      <c r="AL15" s="1">
        <f t="shared" si="24"/>
        <v>249.23381799208471</v>
      </c>
    </row>
    <row r="16" spans="2:228 16384:16384">
      <c r="B16" s="1" t="s">
        <v>32</v>
      </c>
      <c r="C16" s="1">
        <f>++SUM(C14:C15)</f>
        <v>496.86099999999999</v>
      </c>
      <c r="D16" s="1">
        <f>SUM(D14:D15)</f>
        <v>301.46499999999992</v>
      </c>
      <c r="E16" s="1">
        <f>++SUM(E14:E15)</f>
        <v>284.28399999999999</v>
      </c>
      <c r="F16" s="1">
        <f>++SUM(F14:F15)</f>
        <v>594.38899999999978</v>
      </c>
      <c r="G16" s="1">
        <f>++SUM(G14:G15)</f>
        <v>262.51999999999992</v>
      </c>
      <c r="H16" s="1">
        <f>++SUM(H14:H15)</f>
        <v>393.36799999999994</v>
      </c>
      <c r="I16" s="1">
        <f>++SUM(I14:I15)</f>
        <v>354.94699999999978</v>
      </c>
      <c r="J16" s="1">
        <f>++SUM(J14:J15)</f>
        <v>411.62200000000001</v>
      </c>
      <c r="K16" s="1">
        <f>++SUM(K14:K15)</f>
        <v>411.31699999999989</v>
      </c>
      <c r="L16" s="1">
        <f>++SUM(L14:L15)</f>
        <v>488.49799999999999</v>
      </c>
      <c r="M16" s="1">
        <f>++SUM(M14:M15)</f>
        <v>423.7109999999999</v>
      </c>
      <c r="N16" s="1">
        <f>++SUM(N14:N15)</f>
        <v>931.71999999999991</v>
      </c>
      <c r="O16" s="1">
        <f t="shared" ref="O16:R16" si="25">++SUM(O14:O15)</f>
        <v>463.36572829675436</v>
      </c>
      <c r="P16" s="1">
        <f t="shared" si="25"/>
        <v>568.84422816828214</v>
      </c>
      <c r="Q16" s="1">
        <f t="shared" si="25"/>
        <v>499.65808541000234</v>
      </c>
      <c r="R16" s="1">
        <f t="shared" si="25"/>
        <v>1060.3325076581375</v>
      </c>
      <c r="X16" s="1">
        <f t="shared" si="13"/>
        <v>798.32599999999991</v>
      </c>
      <c r="Y16" s="1">
        <f t="shared" si="13"/>
        <v>1082.6099999999999</v>
      </c>
      <c r="Z16" s="1">
        <f t="shared" si="13"/>
        <v>1676.9989999999998</v>
      </c>
      <c r="AA16" s="1">
        <f t="shared" si="14"/>
        <v>1422.4569999999997</v>
      </c>
      <c r="AB16" s="1">
        <f t="shared" si="15"/>
        <v>2255.2459999999996</v>
      </c>
      <c r="AC16" s="1">
        <f t="shared" si="20"/>
        <v>2592.2005495331764</v>
      </c>
      <c r="AD16" s="1">
        <f>+SUM(AD14:AD15)</f>
        <v>2799.9612631790283</v>
      </c>
      <c r="AE16" s="1">
        <f t="shared" ref="AE16:AL16" si="26">+SUM(AE14:AE15)</f>
        <v>2939.5056374950177</v>
      </c>
      <c r="AF16" s="1">
        <f t="shared" si="26"/>
        <v>3202.7569521045825</v>
      </c>
      <c r="AG16" s="1">
        <f t="shared" si="26"/>
        <v>3467.8998042049084</v>
      </c>
      <c r="AH16" s="1">
        <f t="shared" si="26"/>
        <v>3734.9477850446597</v>
      </c>
      <c r="AI16" s="1">
        <f t="shared" si="26"/>
        <v>4003.9145835295958</v>
      </c>
      <c r="AJ16" s="1">
        <f t="shared" si="26"/>
        <v>4274.813986924245</v>
      </c>
      <c r="AK16" s="1">
        <f t="shared" si="26"/>
        <v>4547.659881558664</v>
      </c>
      <c r="AL16" s="1">
        <f t="shared" si="26"/>
        <v>4822.4662535402385</v>
      </c>
    </row>
    <row r="17" spans="2:228">
      <c r="B17" s="1" t="s">
        <v>33</v>
      </c>
      <c r="C17" s="1">
        <v>49.091999999999999</v>
      </c>
      <c r="D17" s="1">
        <v>83.052999999999997</v>
      </c>
      <c r="E17" s="1">
        <v>70.174000000000007</v>
      </c>
      <c r="F17" s="1">
        <v>156.22800000000001</v>
      </c>
      <c r="G17" s="1">
        <v>70.326999999999998</v>
      </c>
      <c r="H17" s="1">
        <v>111.83199999999999</v>
      </c>
      <c r="I17" s="1">
        <v>97.287999999999997</v>
      </c>
      <c r="J17" s="1">
        <v>198.32400000000001</v>
      </c>
      <c r="K17" s="1">
        <v>119.03400000000001</v>
      </c>
      <c r="L17" s="1">
        <v>145.01599999999999</v>
      </c>
      <c r="M17" s="1">
        <v>99.242999999999995</v>
      </c>
      <c r="N17" s="1">
        <v>262.25200000000001</v>
      </c>
      <c r="O17" s="1">
        <f>+O16*(N17/N16)</f>
        <v>130.42393527806686</v>
      </c>
      <c r="P17" s="1">
        <f t="shared" ref="P17:R17" si="27">+P16*(O17/O16)</f>
        <v>160.1130559884819</v>
      </c>
      <c r="Q17" s="1">
        <f t="shared" si="27"/>
        <v>140.6391750900957</v>
      </c>
      <c r="R17" s="1">
        <f t="shared" si="27"/>
        <v>298.45266904044342</v>
      </c>
      <c r="X17" s="1">
        <v>251.797</v>
      </c>
      <c r="Y17" s="1">
        <v>230.43700000000001</v>
      </c>
      <c r="Z17" s="1">
        <f t="shared" si="13"/>
        <v>358.54700000000003</v>
      </c>
      <c r="AA17" s="1">
        <f t="shared" si="14"/>
        <v>477.77100000000002</v>
      </c>
      <c r="AB17" s="1">
        <f t="shared" si="15"/>
        <v>625.54500000000007</v>
      </c>
      <c r="AC17" s="1">
        <f t="shared" si="20"/>
        <v>729.62883539708787</v>
      </c>
      <c r="AD17" s="1">
        <f>+AD16*(AC17/AC16)</f>
        <v>788.10741552314721</v>
      </c>
      <c r="AE17" s="1">
        <f t="shared" ref="AE17:AL17" si="28">+AE16*(AD17/AD16)</f>
        <v>827.38508612495548</v>
      </c>
      <c r="AF17" s="1">
        <f t="shared" si="28"/>
        <v>901.4826516585789</v>
      </c>
      <c r="AG17" s="1">
        <f t="shared" si="28"/>
        <v>976.11262981619564</v>
      </c>
      <c r="AH17" s="1">
        <f t="shared" si="28"/>
        <v>1051.2788461378229</v>
      </c>
      <c r="AI17" s="1">
        <f t="shared" si="28"/>
        <v>1126.985153651101</v>
      </c>
      <c r="AJ17" s="1">
        <f t="shared" si="28"/>
        <v>1203.2354330687947</v>
      </c>
      <c r="AK17" s="1">
        <f t="shared" si="28"/>
        <v>1280.0335929877249</v>
      </c>
      <c r="AL17" s="1">
        <f t="shared" si="28"/>
        <v>1357.38357008912</v>
      </c>
    </row>
    <row r="18" spans="2:228">
      <c r="B18" s="1" t="s">
        <v>34</v>
      </c>
      <c r="C18" s="1">
        <f>+C16-C17</f>
        <v>447.76900000000001</v>
      </c>
      <c r="D18" s="1">
        <f>+D16-D17</f>
        <v>218.41199999999992</v>
      </c>
      <c r="E18" s="1">
        <f>+E16-E17</f>
        <v>214.10999999999999</v>
      </c>
      <c r="F18" s="1">
        <f>+F16-F17</f>
        <v>438.16099999999977</v>
      </c>
      <c r="G18" s="1">
        <f>+G16-G17</f>
        <v>192.19299999999993</v>
      </c>
      <c r="H18" s="1">
        <f>+H16-H17</f>
        <v>281.53599999999994</v>
      </c>
      <c r="I18" s="1">
        <f>+I16-I17</f>
        <v>257.65899999999976</v>
      </c>
      <c r="J18" s="1">
        <f>+J16-J17</f>
        <v>213.298</v>
      </c>
      <c r="K18" s="1">
        <f>+K16-K17</f>
        <v>292.2829999999999</v>
      </c>
      <c r="L18" s="1">
        <f>+L16-L17</f>
        <v>343.48199999999997</v>
      </c>
      <c r="M18" s="1">
        <f>+M16-M17</f>
        <v>324.4679999999999</v>
      </c>
      <c r="N18" s="1">
        <f>+N16-N17</f>
        <v>669.46799999999985</v>
      </c>
      <c r="O18" s="1">
        <f t="shared" ref="O18:R18" si="29">+O16-O17</f>
        <v>332.94179301868746</v>
      </c>
      <c r="P18" s="1">
        <f t="shared" si="29"/>
        <v>408.73117217980024</v>
      </c>
      <c r="Q18" s="1">
        <f t="shared" si="29"/>
        <v>359.01891031990664</v>
      </c>
      <c r="R18" s="1">
        <f t="shared" si="29"/>
        <v>761.87983861769408</v>
      </c>
      <c r="X18" s="1">
        <f t="shared" si="13"/>
        <v>666.18099999999993</v>
      </c>
      <c r="Y18" s="1">
        <f t="shared" si="13"/>
        <v>880.29099999999994</v>
      </c>
      <c r="Z18" s="1">
        <f t="shared" si="13"/>
        <v>1318.4519999999998</v>
      </c>
      <c r="AA18" s="1">
        <f t="shared" si="14"/>
        <v>944.68599999999969</v>
      </c>
      <c r="AB18" s="1">
        <f t="shared" si="15"/>
        <v>1629.7009999999996</v>
      </c>
      <c r="AC18" s="1">
        <f t="shared" si="20"/>
        <v>1862.5717141360883</v>
      </c>
      <c r="AD18" s="1">
        <f>+AD16-AD17</f>
        <v>2011.8538476558811</v>
      </c>
      <c r="AE18" s="1">
        <f t="shared" ref="AE18:AL18" si="30">+AE16-AE17</f>
        <v>2112.1205513700625</v>
      </c>
      <c r="AF18" s="1">
        <f t="shared" si="30"/>
        <v>2301.2743004460035</v>
      </c>
      <c r="AG18" s="1">
        <f t="shared" si="30"/>
        <v>2491.7871743887126</v>
      </c>
      <c r="AH18" s="1">
        <f t="shared" si="30"/>
        <v>2683.668938906837</v>
      </c>
      <c r="AI18" s="1">
        <f t="shared" si="30"/>
        <v>2876.9294298784948</v>
      </c>
      <c r="AJ18" s="1">
        <f t="shared" si="30"/>
        <v>3071.5785538554501</v>
      </c>
      <c r="AK18" s="1">
        <f t="shared" si="30"/>
        <v>3267.6262885709393</v>
      </c>
      <c r="AL18" s="1">
        <f t="shared" si="30"/>
        <v>3465.0826834511186</v>
      </c>
      <c r="AM18" s="1">
        <f>+AL18*(1+$AO$25)</f>
        <v>3499.7335102856296</v>
      </c>
      <c r="AN18" s="1">
        <f t="shared" ref="AN18:AS18" si="31">+AM18*(1+$AO$25)</f>
        <v>3534.7308453884857</v>
      </c>
      <c r="AO18" s="1">
        <f t="shared" si="31"/>
        <v>3570.0781538423707</v>
      </c>
      <c r="AP18" s="1">
        <f t="shared" si="31"/>
        <v>3605.7789353807943</v>
      </c>
      <c r="AQ18" s="1">
        <f t="shared" si="31"/>
        <v>3641.8367247346023</v>
      </c>
      <c r="AR18" s="1">
        <f t="shared" si="31"/>
        <v>3678.2550919819482</v>
      </c>
      <c r="AS18" s="1">
        <f t="shared" si="31"/>
        <v>3715.0376429017679</v>
      </c>
      <c r="AT18" s="1">
        <f t="shared" ref="AT18:DE18" si="32">+AS18*(1+$AO$25)</f>
        <v>3752.1880193307857</v>
      </c>
      <c r="AU18" s="1">
        <f t="shared" si="32"/>
        <v>3789.7098995240935</v>
      </c>
      <c r="AV18" s="1">
        <f t="shared" si="32"/>
        <v>3827.6069985193344</v>
      </c>
      <c r="AW18" s="1">
        <f t="shared" si="32"/>
        <v>3865.8830685045277</v>
      </c>
      <c r="AX18" s="1">
        <f t="shared" si="32"/>
        <v>3904.5418991895731</v>
      </c>
      <c r="AY18" s="1">
        <f t="shared" si="32"/>
        <v>3943.5873181814691</v>
      </c>
      <c r="AZ18" s="1">
        <f t="shared" si="32"/>
        <v>3983.0231913632838</v>
      </c>
      <c r="BA18" s="1">
        <f t="shared" si="32"/>
        <v>4022.8534232769166</v>
      </c>
      <c r="BB18" s="1">
        <f t="shared" si="32"/>
        <v>4063.0819575096857</v>
      </c>
      <c r="BC18" s="1">
        <f t="shared" si="32"/>
        <v>4103.7127770847828</v>
      </c>
      <c r="BD18" s="1">
        <f t="shared" si="32"/>
        <v>4144.749904855631</v>
      </c>
      <c r="BE18" s="1">
        <f t="shared" si="32"/>
        <v>4186.197403904187</v>
      </c>
      <c r="BF18" s="1">
        <f t="shared" si="32"/>
        <v>4228.0593779432293</v>
      </c>
      <c r="BG18" s="1">
        <f t="shared" si="32"/>
        <v>4270.3399717226612</v>
      </c>
      <c r="BH18" s="1">
        <f t="shared" si="32"/>
        <v>4313.0433714398878</v>
      </c>
      <c r="BI18" s="1">
        <f t="shared" si="32"/>
        <v>4356.173805154287</v>
      </c>
      <c r="BJ18" s="1">
        <f t="shared" si="32"/>
        <v>4399.7355432058303</v>
      </c>
      <c r="BK18" s="1">
        <f t="shared" si="32"/>
        <v>4443.7328986378889</v>
      </c>
      <c r="BL18" s="1">
        <f t="shared" si="32"/>
        <v>4488.1702276242677</v>
      </c>
      <c r="BM18" s="1">
        <f t="shared" si="32"/>
        <v>4533.05192990051</v>
      </c>
      <c r="BN18" s="1">
        <f t="shared" si="32"/>
        <v>4578.3824491995156</v>
      </c>
      <c r="BO18" s="1">
        <f t="shared" si="32"/>
        <v>4624.1662736915105</v>
      </c>
      <c r="BP18" s="1">
        <f t="shared" si="32"/>
        <v>4670.4079364284253</v>
      </c>
      <c r="BQ18" s="1">
        <f t="shared" si="32"/>
        <v>4717.1120157927098</v>
      </c>
      <c r="BR18" s="1">
        <f t="shared" si="32"/>
        <v>4764.2831359506372</v>
      </c>
      <c r="BS18" s="1">
        <f t="shared" si="32"/>
        <v>4811.9259673101433</v>
      </c>
      <c r="BT18" s="1">
        <f t="shared" si="32"/>
        <v>4860.0452269832449</v>
      </c>
      <c r="BU18" s="1">
        <f t="shared" si="32"/>
        <v>4908.6456792530771</v>
      </c>
      <c r="BV18" s="1">
        <f t="shared" si="32"/>
        <v>4957.7321360456081</v>
      </c>
      <c r="BW18" s="1">
        <f t="shared" si="32"/>
        <v>5007.3094574060642</v>
      </c>
      <c r="BX18" s="1">
        <f t="shared" si="32"/>
        <v>5057.3825519801248</v>
      </c>
      <c r="BY18" s="1">
        <f t="shared" si="32"/>
        <v>5107.956377499926</v>
      </c>
      <c r="BZ18" s="1">
        <f t="shared" si="32"/>
        <v>5159.0359412749249</v>
      </c>
      <c r="CA18" s="1">
        <f t="shared" si="32"/>
        <v>5210.6263006876743</v>
      </c>
      <c r="CB18" s="1">
        <f t="shared" si="32"/>
        <v>5262.7325636945507</v>
      </c>
      <c r="CC18" s="1">
        <f t="shared" si="32"/>
        <v>5315.3598893314966</v>
      </c>
      <c r="CD18" s="1">
        <f t="shared" si="32"/>
        <v>5368.5134882248112</v>
      </c>
      <c r="CE18" s="1">
        <f t="shared" si="32"/>
        <v>5422.1986231070596</v>
      </c>
      <c r="CF18" s="1">
        <f t="shared" si="32"/>
        <v>5476.4206093381299</v>
      </c>
      <c r="CG18" s="1">
        <f t="shared" si="32"/>
        <v>5531.1848154315112</v>
      </c>
      <c r="CH18" s="1">
        <f t="shared" si="32"/>
        <v>5586.4966635858264</v>
      </c>
      <c r="CI18" s="1">
        <f t="shared" si="32"/>
        <v>5642.3616302216851</v>
      </c>
      <c r="CJ18" s="1">
        <f t="shared" si="32"/>
        <v>5698.7852465239021</v>
      </c>
      <c r="CK18" s="1">
        <f t="shared" si="32"/>
        <v>5755.7730989891415</v>
      </c>
      <c r="CL18" s="1">
        <f t="shared" si="32"/>
        <v>5813.3308299790333</v>
      </c>
      <c r="CM18" s="1">
        <f t="shared" si="32"/>
        <v>5871.4641382788241</v>
      </c>
      <c r="CN18" s="1">
        <f t="shared" si="32"/>
        <v>5930.1787796616127</v>
      </c>
      <c r="CO18" s="1">
        <f t="shared" si="32"/>
        <v>5989.4805674582285</v>
      </c>
      <c r="CP18" s="1">
        <f t="shared" si="32"/>
        <v>6049.3753731328106</v>
      </c>
      <c r="CQ18" s="1">
        <f t="shared" si="32"/>
        <v>6109.8691268641387</v>
      </c>
      <c r="CR18" s="1">
        <f t="shared" si="32"/>
        <v>6170.9678181327799</v>
      </c>
      <c r="CS18" s="1">
        <f t="shared" si="32"/>
        <v>6232.6774963141079</v>
      </c>
      <c r="CT18" s="1">
        <f t="shared" si="32"/>
        <v>6295.0042712772492</v>
      </c>
      <c r="CU18" s="1">
        <f t="shared" si="32"/>
        <v>6357.9543139900215</v>
      </c>
      <c r="CV18" s="1">
        <f t="shared" si="32"/>
        <v>6421.5338571299217</v>
      </c>
      <c r="CW18" s="1">
        <f t="shared" si="32"/>
        <v>6485.7491957012207</v>
      </c>
      <c r="CX18" s="1">
        <f t="shared" si="32"/>
        <v>6550.6066876582327</v>
      </c>
      <c r="CY18" s="1">
        <f t="shared" si="32"/>
        <v>6616.1127545348154</v>
      </c>
      <c r="CZ18" s="1">
        <f t="shared" si="32"/>
        <v>6682.2738820801633</v>
      </c>
      <c r="DA18" s="1">
        <f t="shared" si="32"/>
        <v>6749.0966209009648</v>
      </c>
      <c r="DB18" s="1">
        <f t="shared" si="32"/>
        <v>6816.5875871099743</v>
      </c>
      <c r="DC18" s="1">
        <f t="shared" si="32"/>
        <v>6884.7534629810743</v>
      </c>
      <c r="DD18" s="1">
        <f t="shared" si="32"/>
        <v>6953.6009976108853</v>
      </c>
      <c r="DE18" s="1">
        <f t="shared" si="32"/>
        <v>7023.1370075869945</v>
      </c>
      <c r="DF18" s="1">
        <f t="shared" ref="DF18:FQ18" si="33">+DE18*(1+$AO$25)</f>
        <v>7093.3683776628641</v>
      </c>
      <c r="DG18" s="1">
        <f t="shared" si="33"/>
        <v>7164.3020614394927</v>
      </c>
      <c r="DH18" s="1">
        <f t="shared" si="33"/>
        <v>7235.9450820538877</v>
      </c>
      <c r="DI18" s="1">
        <f t="shared" si="33"/>
        <v>7308.3045328744265</v>
      </c>
      <c r="DJ18" s="1">
        <f t="shared" si="33"/>
        <v>7381.387578203171</v>
      </c>
      <c r="DK18" s="1">
        <f t="shared" si="33"/>
        <v>7455.2014539852025</v>
      </c>
      <c r="DL18" s="1">
        <f t="shared" si="33"/>
        <v>7529.7534685250548</v>
      </c>
      <c r="DM18" s="1">
        <f t="shared" si="33"/>
        <v>7605.0510032103057</v>
      </c>
      <c r="DN18" s="1">
        <f t="shared" si="33"/>
        <v>7681.1015132424091</v>
      </c>
      <c r="DO18" s="1">
        <f t="shared" si="33"/>
        <v>7757.9125283748335</v>
      </c>
      <c r="DP18" s="1">
        <f t="shared" si="33"/>
        <v>7835.4916536585815</v>
      </c>
      <c r="DQ18" s="1">
        <f t="shared" si="33"/>
        <v>7913.8465701951673</v>
      </c>
      <c r="DR18" s="1">
        <f t="shared" si="33"/>
        <v>7992.9850358971189</v>
      </c>
      <c r="DS18" s="1">
        <f t="shared" si="33"/>
        <v>8072.9148862560905</v>
      </c>
      <c r="DT18" s="1">
        <f t="shared" si="33"/>
        <v>8153.6440351186511</v>
      </c>
      <c r="DU18" s="1">
        <f t="shared" si="33"/>
        <v>8235.1804754698369</v>
      </c>
      <c r="DV18" s="1">
        <f t="shared" si="33"/>
        <v>8317.5322802245355</v>
      </c>
      <c r="DW18" s="1">
        <f t="shared" si="33"/>
        <v>8400.7076030267817</v>
      </c>
      <c r="DX18" s="1">
        <f t="shared" si="33"/>
        <v>8484.7146790570496</v>
      </c>
      <c r="DY18" s="1">
        <f t="shared" si="33"/>
        <v>8569.5618258476206</v>
      </c>
      <c r="DZ18" s="1">
        <f t="shared" si="33"/>
        <v>8655.257444106097</v>
      </c>
      <c r="EA18" s="1">
        <f t="shared" si="33"/>
        <v>8741.8100185471576</v>
      </c>
      <c r="EB18" s="1">
        <f t="shared" si="33"/>
        <v>8829.2281187326298</v>
      </c>
      <c r="EC18" s="1">
        <f t="shared" si="33"/>
        <v>8917.5203999199566</v>
      </c>
      <c r="ED18" s="1">
        <f t="shared" si="33"/>
        <v>9006.6956039191555</v>
      </c>
      <c r="EE18" s="1">
        <f t="shared" si="33"/>
        <v>9096.762559958348</v>
      </c>
      <c r="EF18" s="1">
        <f t="shared" si="33"/>
        <v>9187.7301855579317</v>
      </c>
      <c r="EG18" s="1">
        <f t="shared" si="33"/>
        <v>9279.607487413512</v>
      </c>
      <c r="EH18" s="1">
        <f t="shared" si="33"/>
        <v>9372.4035622876472</v>
      </c>
      <c r="EI18" s="1">
        <f t="shared" si="33"/>
        <v>9466.127597910523</v>
      </c>
      <c r="EJ18" s="1">
        <f t="shared" si="33"/>
        <v>9560.788873889629</v>
      </c>
      <c r="EK18" s="1">
        <f t="shared" si="33"/>
        <v>9656.3967626285248</v>
      </c>
      <c r="EL18" s="1">
        <f t="shared" si="33"/>
        <v>9752.9607302548102</v>
      </c>
      <c r="EM18" s="1">
        <f t="shared" si="33"/>
        <v>9850.4903375573576</v>
      </c>
      <c r="EN18" s="1">
        <f t="shared" si="33"/>
        <v>9948.9952409329308</v>
      </c>
      <c r="EO18" s="1">
        <f t="shared" si="33"/>
        <v>10048.48519334226</v>
      </c>
      <c r="EP18" s="1">
        <f t="shared" si="33"/>
        <v>10148.970045275682</v>
      </c>
      <c r="EQ18" s="1">
        <f t="shared" si="33"/>
        <v>10250.45974572844</v>
      </c>
      <c r="ER18" s="1">
        <f t="shared" si="33"/>
        <v>10352.964343185724</v>
      </c>
      <c r="ES18" s="1">
        <f t="shared" si="33"/>
        <v>10456.493986617581</v>
      </c>
      <c r="ET18" s="1">
        <f t="shared" si="33"/>
        <v>10561.058926483756</v>
      </c>
      <c r="EU18" s="1">
        <f t="shared" si="33"/>
        <v>10666.669515748594</v>
      </c>
      <c r="EV18" s="1">
        <f t="shared" si="33"/>
        <v>10773.33621090608</v>
      </c>
      <c r="EW18" s="1">
        <f t="shared" si="33"/>
        <v>10881.06957301514</v>
      </c>
      <c r="EX18" s="1">
        <f t="shared" si="33"/>
        <v>10989.880268745292</v>
      </c>
      <c r="EY18" s="1">
        <f t="shared" si="33"/>
        <v>11099.779071432744</v>
      </c>
      <c r="EZ18" s="1">
        <f t="shared" si="33"/>
        <v>11210.776862147071</v>
      </c>
      <c r="FA18" s="1">
        <f t="shared" si="33"/>
        <v>11322.884630768542</v>
      </c>
      <c r="FB18" s="1">
        <f t="shared" si="33"/>
        <v>11436.113477076227</v>
      </c>
      <c r="FC18" s="1">
        <f t="shared" si="33"/>
        <v>11550.47461184699</v>
      </c>
      <c r="FD18" s="1">
        <f t="shared" si="33"/>
        <v>11665.97935796546</v>
      </c>
      <c r="FE18" s="1">
        <f t="shared" si="33"/>
        <v>11782.639151545114</v>
      </c>
      <c r="FF18" s="1">
        <f t="shared" si="33"/>
        <v>11900.465543060565</v>
      </c>
      <c r="FG18" s="1">
        <f t="shared" si="33"/>
        <v>12019.470198491172</v>
      </c>
      <c r="FH18" s="1">
        <f t="shared" si="33"/>
        <v>12139.664900476084</v>
      </c>
      <c r="FI18" s="1">
        <f t="shared" si="33"/>
        <v>12261.061549480844</v>
      </c>
      <c r="FJ18" s="1">
        <f t="shared" si="33"/>
        <v>12383.672164975653</v>
      </c>
      <c r="FK18" s="1">
        <f t="shared" si="33"/>
        <v>12507.50888662541</v>
      </c>
      <c r="FL18" s="1">
        <f t="shared" si="33"/>
        <v>12632.583975491665</v>
      </c>
      <c r="FM18" s="1">
        <f t="shared" si="33"/>
        <v>12758.909815246581</v>
      </c>
      <c r="FN18" s="1">
        <f t="shared" si="33"/>
        <v>12886.498913399048</v>
      </c>
      <c r="FO18" s="1">
        <f t="shared" si="33"/>
        <v>13015.363902533038</v>
      </c>
      <c r="FP18" s="1">
        <f t="shared" si="33"/>
        <v>13145.517541558369</v>
      </c>
      <c r="FQ18" s="1">
        <f t="shared" si="33"/>
        <v>13276.972716973953</v>
      </c>
      <c r="FR18" s="1">
        <f>+FQ18*(1+$AO$25)</f>
        <v>13409.742444143692</v>
      </c>
      <c r="FS18" s="1">
        <f>+FR18*(1+$AO$25)</f>
        <v>13543.83986858513</v>
      </c>
      <c r="FT18" s="1">
        <f>+FS18*(1+$AO$25)</f>
        <v>13679.278267270982</v>
      </c>
      <c r="FU18" s="1">
        <f>+FT18*(1+$AO$25)</f>
        <v>13816.071049943692</v>
      </c>
      <c r="FV18" s="1">
        <f>+FU18*(1+$AO$25)</f>
        <v>13954.231760443128</v>
      </c>
      <c r="FW18" s="1">
        <f>+FV18*(1+$AO$25)</f>
        <v>14093.77407804756</v>
      </c>
      <c r="FX18" s="1">
        <f>+FW18*(1+$AO$25)</f>
        <v>14234.711818828035</v>
      </c>
      <c r="FY18" s="1">
        <f>+FX18*(1+$AO$25)</f>
        <v>14377.058937016314</v>
      </c>
      <c r="FZ18" s="1">
        <f>+FY18*(1+$AO$25)</f>
        <v>14520.829526386478</v>
      </c>
      <c r="GA18" s="1">
        <f>+FZ18*(1+$AO$25)</f>
        <v>14666.037821650343</v>
      </c>
      <c r="GB18" s="1">
        <f>+GA18*(1+$AO$25)</f>
        <v>14812.698199866847</v>
      </c>
      <c r="GC18" s="1">
        <f>+GB18*(1+$AO$25)</f>
        <v>14960.825181865515</v>
      </c>
      <c r="GD18" s="1">
        <f>+GC18*(1+$AO$25)</f>
        <v>15110.433433684171</v>
      </c>
      <c r="GE18" s="1">
        <f>+GD18*(1+$AO$25)</f>
        <v>15261.537768021013</v>
      </c>
      <c r="GF18" s="1">
        <f>+GE18*(1+$AO$25)</f>
        <v>15414.153145701224</v>
      </c>
      <c r="GG18" s="1">
        <f>+GF18*(1+$AO$25)</f>
        <v>15568.294677158237</v>
      </c>
      <c r="GH18" s="1">
        <f>+GG18*(1+$AO$25)</f>
        <v>15723.977623929821</v>
      </c>
      <c r="GI18" s="1">
        <f>+GH18*(1+$AO$25)</f>
        <v>15881.217400169118</v>
      </c>
      <c r="GJ18" s="1">
        <f>+GI18*(1+$AO$25)</f>
        <v>16040.029574170809</v>
      </c>
      <c r="GK18" s="1">
        <f>+GJ18*(1+$AO$25)</f>
        <v>16200.429869912517</v>
      </c>
      <c r="GL18" s="1">
        <f>+GK18*(1+$AO$25)</f>
        <v>16362.434168611642</v>
      </c>
      <c r="GM18" s="1">
        <f>+GL18*(1+$AO$25)</f>
        <v>16526.05851029776</v>
      </c>
      <c r="GN18" s="1">
        <f>+GM18*(1+$AO$25)</f>
        <v>16691.319095400737</v>
      </c>
      <c r="GO18" s="1">
        <f>+GN18*(1+$AO$25)</f>
        <v>16858.232286354745</v>
      </c>
      <c r="GP18" s="1">
        <f>+GO18*(1+$AO$25)</f>
        <v>17026.814609218294</v>
      </c>
      <c r="GQ18" s="1">
        <f>+GP18*(1+$AO$25)</f>
        <v>17197.082755310479</v>
      </c>
      <c r="GR18" s="1">
        <f>+GQ18*(1+$AO$25)</f>
        <v>17369.053582863584</v>
      </c>
      <c r="GS18" s="1">
        <f>+GR18*(1+$AO$25)</f>
        <v>17542.744118692219</v>
      </c>
      <c r="GT18" s="1">
        <f>+GS18*(1+$AO$25)</f>
        <v>17718.171559879142</v>
      </c>
      <c r="GU18" s="1">
        <f>+GT18*(1+$AO$25)</f>
        <v>17895.353275477933</v>
      </c>
      <c r="GV18" s="1">
        <f>+GU18*(1+$AO$25)</f>
        <v>18074.306808232712</v>
      </c>
      <c r="GW18" s="1">
        <f>+GV18*(1+$AO$25)</f>
        <v>18255.049876315039</v>
      </c>
      <c r="GX18" s="1">
        <f>+GW18*(1+$AO$25)</f>
        <v>18437.600375078189</v>
      </c>
      <c r="GY18" s="1">
        <f>+GX18*(1+$AO$25)</f>
        <v>18621.976378828971</v>
      </c>
      <c r="GZ18" s="1">
        <f>+GY18*(1+$AO$25)</f>
        <v>18808.19614261726</v>
      </c>
      <c r="HA18" s="1">
        <f>+GZ18*(1+$AO$25)</f>
        <v>18996.278104043435</v>
      </c>
      <c r="HB18" s="1">
        <f>+HA18*(1+$AO$25)</f>
        <v>19186.240885083869</v>
      </c>
      <c r="HC18" s="1">
        <f>+HB18*(1+$AO$25)</f>
        <v>19378.10329393471</v>
      </c>
      <c r="HD18" s="1">
        <f>+HC18*(1+$AO$25)</f>
        <v>19571.884326874057</v>
      </c>
      <c r="HE18" s="1">
        <f>+HD18*(1+$AO$25)</f>
        <v>19767.603170142796</v>
      </c>
      <c r="HF18" s="1">
        <f>+HE18*(1+$AO$25)</f>
        <v>19965.279201844223</v>
      </c>
      <c r="HG18" s="1">
        <f>+HF18*(1+$AO$25)</f>
        <v>20164.931993862665</v>
      </c>
      <c r="HH18" s="1">
        <f>+HG18*(1+$AO$25)</f>
        <v>20366.581313801293</v>
      </c>
      <c r="HI18" s="1">
        <f>+HH18*(1+$AO$25)</f>
        <v>20570.247126939306</v>
      </c>
      <c r="HJ18" s="1">
        <f>+HI18*(1+$AO$25)</f>
        <v>20775.949598208699</v>
      </c>
      <c r="HK18" s="1">
        <f>+HJ18*(1+$AO$25)</f>
        <v>20983.709094190788</v>
      </c>
      <c r="HL18" s="1">
        <f>+HK18*(1+$AO$25)</f>
        <v>21193.546185132695</v>
      </c>
      <c r="HM18" s="1">
        <f>+HL18*(1+$AO$25)</f>
        <v>21405.481646984023</v>
      </c>
      <c r="HN18" s="1">
        <f>+HM18*(1+$AO$25)</f>
        <v>21619.536463453864</v>
      </c>
      <c r="HO18" s="1">
        <f>+HN18*(1+$AO$25)</f>
        <v>21835.731828088403</v>
      </c>
      <c r="HP18" s="1">
        <f>+HO18*(1+$AO$25)</f>
        <v>22054.089146369286</v>
      </c>
      <c r="HQ18" s="1">
        <f>+HP18*(1+$AO$25)</f>
        <v>22274.63003783298</v>
      </c>
      <c r="HR18" s="1">
        <f>+HQ18*(1+$AO$25)</f>
        <v>22497.37633821131</v>
      </c>
      <c r="HS18" s="1">
        <f>+HR18*(1+$AO$25)</f>
        <v>22722.350101593423</v>
      </c>
      <c r="HT18" s="1">
        <f>+HS18*(1+$AO$25)</f>
        <v>22949.573602609358</v>
      </c>
    </row>
    <row r="19" spans="2:228">
      <c r="B19" s="1" t="s">
        <v>35</v>
      </c>
      <c r="C19" s="1">
        <v>130.98400000000001</v>
      </c>
      <c r="D19" s="1">
        <v>130.49</v>
      </c>
      <c r="E19" s="1">
        <v>130.18899999999999</v>
      </c>
      <c r="F19" s="1">
        <v>129.50800000000001</v>
      </c>
      <c r="G19" s="1">
        <v>128.541</v>
      </c>
      <c r="H19" s="1">
        <v>127.90600000000001</v>
      </c>
      <c r="I19" s="1">
        <v>127.82</v>
      </c>
      <c r="J19" s="1">
        <v>127.80200000000001</v>
      </c>
      <c r="K19" s="1">
        <v>127.621</v>
      </c>
      <c r="L19" s="1">
        <v>127.26300000000001</v>
      </c>
      <c r="M19" s="1">
        <v>126.77</v>
      </c>
      <c r="N19" s="1">
        <v>126.584</v>
      </c>
      <c r="O19" s="1">
        <f>+N19</f>
        <v>126.584</v>
      </c>
      <c r="P19" s="1">
        <f t="shared" ref="P19:R19" si="34">+O19</f>
        <v>126.584</v>
      </c>
      <c r="Q19" s="1">
        <f t="shared" si="34"/>
        <v>126.584</v>
      </c>
      <c r="R19" s="1">
        <f t="shared" si="34"/>
        <v>126.584</v>
      </c>
      <c r="X19" s="1">
        <v>130.95500000000001</v>
      </c>
      <c r="Y19" s="1">
        <v>130.87100000000001</v>
      </c>
      <c r="Z19" s="1">
        <f>+Z18/Z20</f>
        <v>130.27966136144607</v>
      </c>
      <c r="AA19" s="1">
        <f t="shared" ref="AA19:AB19" si="35">+AA18/AA20</f>
        <v>115.24982142789942</v>
      </c>
      <c r="AB19" s="1">
        <f t="shared" si="35"/>
        <v>186.80261350733676</v>
      </c>
      <c r="AC19" s="1">
        <f>+AC18/AC20</f>
        <v>126.58399999999999</v>
      </c>
      <c r="AD19" s="1">
        <f>+AC19</f>
        <v>126.58399999999999</v>
      </c>
      <c r="AE19" s="1">
        <f t="shared" ref="AE19:AL19" si="36">+AD19</f>
        <v>126.58399999999999</v>
      </c>
      <c r="AF19" s="1">
        <f t="shared" si="36"/>
        <v>126.58399999999999</v>
      </c>
      <c r="AG19" s="1">
        <f t="shared" si="36"/>
        <v>126.58399999999999</v>
      </c>
      <c r="AH19" s="1">
        <f t="shared" si="36"/>
        <v>126.58399999999999</v>
      </c>
      <c r="AI19" s="1">
        <f t="shared" si="36"/>
        <v>126.58399999999999</v>
      </c>
      <c r="AJ19" s="1">
        <f t="shared" si="36"/>
        <v>126.58399999999999</v>
      </c>
      <c r="AK19" s="1">
        <f t="shared" si="36"/>
        <v>126.58399999999999</v>
      </c>
      <c r="AL19" s="1">
        <f t="shared" si="36"/>
        <v>126.58399999999999</v>
      </c>
    </row>
    <row r="20" spans="2:228" s="2" customFormat="1">
      <c r="B20" s="2" t="s">
        <v>36</v>
      </c>
      <c r="C20" s="2">
        <f>+C18/C19</f>
        <v>3.4185014963659683</v>
      </c>
      <c r="D20" s="2">
        <f>+D18/D19</f>
        <v>1.6737834316805877</v>
      </c>
      <c r="E20" s="2">
        <f>+E18/E19</f>
        <v>1.6446089915430644</v>
      </c>
      <c r="F20" s="2">
        <f>+F18/F19</f>
        <v>3.3832736201624591</v>
      </c>
      <c r="G20" s="2">
        <f>+G18/G19</f>
        <v>1.4951883056767874</v>
      </c>
      <c r="H20" s="2">
        <f>+H18/H19</f>
        <v>2.2011164448892151</v>
      </c>
      <c r="I20" s="2">
        <f>+I18/I19</f>
        <v>2.0157956501329979</v>
      </c>
      <c r="J20" s="2">
        <f>+J18/J19</f>
        <v>1.6689723165521666</v>
      </c>
      <c r="K20" s="2">
        <f>+K18/K19</f>
        <v>2.2902422015185584</v>
      </c>
      <c r="L20" s="2">
        <f>+L18/L19</f>
        <v>2.6989934230687629</v>
      </c>
      <c r="M20" s="2">
        <f>+M18/M19</f>
        <v>2.5595014593358045</v>
      </c>
      <c r="N20" s="2">
        <f>+N18/N19</f>
        <v>5.2887252733362811</v>
      </c>
      <c r="O20" s="2">
        <f>+O18/O19</f>
        <v>2.6302043940678717</v>
      </c>
      <c r="P20" s="2">
        <f t="shared" ref="P20:R20" si="37">+P18/P19</f>
        <v>3.228932346740506</v>
      </c>
      <c r="Q20" s="2">
        <f t="shared" si="37"/>
        <v>2.8362108190601232</v>
      </c>
      <c r="R20" s="2">
        <f t="shared" si="37"/>
        <v>6.0187688698231536</v>
      </c>
      <c r="X20" s="2">
        <f>+X18/X19</f>
        <v>5.0870986216639293</v>
      </c>
      <c r="Y20" s="2">
        <f>+Y18/Y19</f>
        <v>6.7264023351238995</v>
      </c>
      <c r="Z20" s="1">
        <f t="shared" si="13"/>
        <v>10.12016753975208</v>
      </c>
      <c r="AA20" s="1">
        <f t="shared" ref="AA20" si="38">+SUM(D20:G20)</f>
        <v>8.1968543490628978</v>
      </c>
      <c r="AB20" s="1">
        <f t="shared" ref="AB20" si="39">+SUM(E20:H20)</f>
        <v>8.7241873622715254</v>
      </c>
      <c r="AC20" s="1">
        <f t="shared" si="20"/>
        <v>14.714116429691655</v>
      </c>
      <c r="AD20" s="2">
        <f>+AD18/AD19</f>
        <v>15.893429245843718</v>
      </c>
      <c r="AE20" s="2">
        <f t="shared" ref="AE20:AL20" si="40">+AE18/AE19</f>
        <v>16.685525432677611</v>
      </c>
      <c r="AF20" s="2">
        <f t="shared" si="40"/>
        <v>18.179819727975129</v>
      </c>
      <c r="AG20" s="2">
        <f t="shared" si="40"/>
        <v>19.684850963697727</v>
      </c>
      <c r="AH20" s="2">
        <f t="shared" si="40"/>
        <v>21.200696287894498</v>
      </c>
      <c r="AI20" s="2">
        <f t="shared" si="40"/>
        <v>22.727433402945831</v>
      </c>
      <c r="AJ20" s="2">
        <f t="shared" si="40"/>
        <v>24.265140569546311</v>
      </c>
      <c r="AK20" s="2">
        <f t="shared" si="40"/>
        <v>25.813896610716519</v>
      </c>
      <c r="AL20" s="2">
        <f t="shared" si="40"/>
        <v>27.373780915843383</v>
      </c>
    </row>
    <row r="22" spans="2:228">
      <c r="B22" s="4" t="s">
        <v>38</v>
      </c>
    </row>
    <row r="23" spans="2:228">
      <c r="B23" s="1" t="s">
        <v>47</v>
      </c>
      <c r="AB23" s="3">
        <f>+AB3/AA3-1</f>
        <v>0.11942772184454786</v>
      </c>
    </row>
    <row r="24" spans="2:228">
      <c r="B24" s="1" t="s">
        <v>49</v>
      </c>
      <c r="AB24" s="3">
        <f>+AB4/AA4-1</f>
        <v>0.67173457900479261</v>
      </c>
      <c r="AN24" s="1" t="s">
        <v>57</v>
      </c>
      <c r="AO24" s="3">
        <v>0.01</v>
      </c>
    </row>
    <row r="25" spans="2:228">
      <c r="B25" s="1" t="s">
        <v>48</v>
      </c>
      <c r="AB25" s="3">
        <f>+AB5/AA5-1</f>
        <v>0.42886788424153699</v>
      </c>
      <c r="AN25" s="1" t="s">
        <v>55</v>
      </c>
      <c r="AO25" s="3">
        <v>0.01</v>
      </c>
    </row>
    <row r="26" spans="2:228" s="3" customFormat="1">
      <c r="B26" s="3" t="s">
        <v>28</v>
      </c>
      <c r="G26" s="3">
        <f>+G11/C11-1</f>
        <v>0.31553937535926435</v>
      </c>
      <c r="H26" s="3">
        <f t="shared" ref="H26" si="41">+H11/D11-1</f>
        <v>0.28795313445717619</v>
      </c>
      <c r="I26" s="3">
        <f t="shared" ref="I26" si="42">+I11/E11-1</f>
        <v>0.28024139198205189</v>
      </c>
      <c r="J26" s="3">
        <f t="shared" ref="J26:L26" si="43">+J11/F11-1</f>
        <v>0.30187453648538165</v>
      </c>
      <c r="K26" s="3">
        <f t="shared" si="43"/>
        <v>0.2400606645457628</v>
      </c>
      <c r="L26" s="3">
        <f t="shared" si="43"/>
        <v>0.1824288882894225</v>
      </c>
      <c r="M26" s="3">
        <f>+M11/I11-1</f>
        <v>0.18704887583479679</v>
      </c>
      <c r="N26" s="3">
        <f>+N11/J11-1</f>
        <v>0.15630964002946768</v>
      </c>
      <c r="O26" s="3">
        <f>+O11/K11-1</f>
        <v>9.3317046449606034E-2</v>
      </c>
      <c r="P26" s="3">
        <f>+P11/L11-1</f>
        <v>0.12873511904761914</v>
      </c>
      <c r="Q26" s="3">
        <f>+Q11/M11-1</f>
        <v>0.13514577259475224</v>
      </c>
      <c r="R26" s="3">
        <f>+R11/N11-1</f>
        <v>0.12364275668073144</v>
      </c>
      <c r="Y26" s="3">
        <f t="shared" ref="Y26:AB26" si="44">+Y11/X11-1</f>
        <v>0.10619541748088102</v>
      </c>
      <c r="Z26" s="3">
        <f t="shared" si="44"/>
        <v>0.42135142742451581</v>
      </c>
      <c r="AA26" s="3">
        <f t="shared" si="44"/>
        <v>0.29631045020016411</v>
      </c>
      <c r="AB26" s="3">
        <f>+AB6/AA6-1</f>
        <v>0.18602510961691965</v>
      </c>
      <c r="AC26" s="3">
        <f>+AC11/AB11-1</f>
        <v>0.12114044673766311</v>
      </c>
      <c r="AD26" s="3">
        <f t="shared" ref="AD26:AO26" si="45">+AD11/AC11-1</f>
        <v>0.11214917825537296</v>
      </c>
      <c r="AE26" s="3">
        <f t="shared" si="45"/>
        <v>4.3287547967360229E-2</v>
      </c>
      <c r="AF26" s="3">
        <f t="shared" si="45"/>
        <v>8.4121976866456505E-2</v>
      </c>
      <c r="AG26" s="3">
        <f t="shared" si="45"/>
        <v>7.7594568380213502E-2</v>
      </c>
      <c r="AH26" s="3">
        <f t="shared" si="45"/>
        <v>7.2007200720071829E-2</v>
      </c>
      <c r="AI26" s="3">
        <f t="shared" si="45"/>
        <v>6.7170445004198331E-2</v>
      </c>
      <c r="AJ26" s="3">
        <f t="shared" si="45"/>
        <v>6.2942564909519882E-2</v>
      </c>
      <c r="AK26" s="3">
        <f t="shared" si="45"/>
        <v>5.9215396002960885E-2</v>
      </c>
      <c r="AL26" s="3">
        <f t="shared" si="45"/>
        <v>5.5904961565338862E-2</v>
      </c>
      <c r="AN26" s="3" t="s">
        <v>56</v>
      </c>
      <c r="AO26" s="11">
        <v>7.4999999999999997E-2</v>
      </c>
    </row>
    <row r="27" spans="2:228">
      <c r="B27" s="4" t="s">
        <v>37</v>
      </c>
      <c r="AN27" s="1" t="s">
        <v>58</v>
      </c>
      <c r="AO27" s="1">
        <f>NPV(AO26,AC18:HT18)</f>
        <v>43337.05932685997</v>
      </c>
    </row>
    <row r="28" spans="2:228">
      <c r="B28" s="1" t="s">
        <v>5</v>
      </c>
      <c r="C28" s="3">
        <f t="shared" ref="C28" si="46">+C12/C$11</f>
        <v>0.42899797385167943</v>
      </c>
      <c r="D28" s="3">
        <f t="shared" ref="D28:N28" si="47">+D12/D$11</f>
        <v>0.41908483143046621</v>
      </c>
      <c r="E28" s="3">
        <f t="shared" si="47"/>
        <v>0.42817085522065662</v>
      </c>
      <c r="F28" s="3">
        <f t="shared" si="47"/>
        <v>0.41939577655108023</v>
      </c>
      <c r="G28" s="3">
        <f t="shared" si="47"/>
        <v>0.46054356375076472</v>
      </c>
      <c r="H28" s="3">
        <f t="shared" si="47"/>
        <v>0.43506921696832673</v>
      </c>
      <c r="I28" s="3">
        <f t="shared" si="47"/>
        <v>0.4405416801973624</v>
      </c>
      <c r="J28" s="3">
        <f t="shared" si="47"/>
        <v>0.44887868627243005</v>
      </c>
      <c r="K28" s="3">
        <f t="shared" si="47"/>
        <v>0.42482526919339941</v>
      </c>
      <c r="L28" s="3">
        <f t="shared" si="47"/>
        <v>0.41221638039711839</v>
      </c>
      <c r="M28" s="3">
        <f t="shared" si="47"/>
        <v>0.42988216229066273</v>
      </c>
      <c r="N28" s="3">
        <f>+N12/N$11</f>
        <v>0.40612672978060305</v>
      </c>
      <c r="X28" s="3">
        <f>+X12/X$11</f>
        <v>0.44126146936543553</v>
      </c>
      <c r="Y28" s="3">
        <f>+Y12/Y$11</f>
        <v>0.44024108795357619</v>
      </c>
      <c r="Z28" s="3">
        <f t="shared" ref="Z28:AB28" si="48">+Z12/Z$11</f>
        <v>0.42324022710675752</v>
      </c>
      <c r="AA28" s="3">
        <f t="shared" si="48"/>
        <v>0.44610936070914337</v>
      </c>
      <c r="AB28" s="3">
        <f t="shared" si="48"/>
        <v>0.41685800119302097</v>
      </c>
      <c r="AC28" s="3">
        <f t="shared" ref="AC28:AF28" si="49">+AC12/AC$11</f>
        <v>0.41683895494055384</v>
      </c>
      <c r="AD28" s="3">
        <f t="shared" si="49"/>
        <v>0.41683895494055384</v>
      </c>
      <c r="AE28" s="3">
        <f t="shared" si="49"/>
        <v>0.41683895494055384</v>
      </c>
      <c r="AF28" s="3">
        <f t="shared" si="49"/>
        <v>0.41683895494055384</v>
      </c>
      <c r="AG28" s="3">
        <f t="shared" ref="AG28:AL28" si="50">+AG12/AG$11</f>
        <v>0.41683895494055384</v>
      </c>
      <c r="AH28" s="3">
        <f t="shared" si="50"/>
        <v>0.41683895494055384</v>
      </c>
      <c r="AI28" s="3">
        <f t="shared" si="50"/>
        <v>0.41683895494055384</v>
      </c>
      <c r="AJ28" s="3">
        <f t="shared" si="50"/>
        <v>0.41683895494055384</v>
      </c>
      <c r="AK28" s="3">
        <f t="shared" si="50"/>
        <v>0.41683895494055384</v>
      </c>
      <c r="AL28" s="3">
        <f t="shared" si="50"/>
        <v>0.41683895494055384</v>
      </c>
      <c r="AN28" s="1" t="s">
        <v>59</v>
      </c>
      <c r="AO28" s="1">
        <f>+main!H7-main!H8</f>
        <v>2243.971</v>
      </c>
    </row>
    <row r="29" spans="2:228">
      <c r="B29" s="1" t="s">
        <v>29</v>
      </c>
      <c r="C29" s="3">
        <f t="shared" ref="C29" si="51">+C13/C$11</f>
        <v>0.49561218624257525</v>
      </c>
      <c r="D29" s="3">
        <f t="shared" ref="D29:N29" si="52">+D13/D$11</f>
        <v>0.37316302431101783</v>
      </c>
      <c r="E29" s="3">
        <f t="shared" si="52"/>
        <v>0.37583846345302502</v>
      </c>
      <c r="F29" s="3">
        <f t="shared" si="52"/>
        <v>0.30151476225075891</v>
      </c>
      <c r="G29" s="3">
        <f t="shared" si="52"/>
        <v>0.37673686970200121</v>
      </c>
      <c r="H29" s="3">
        <f t="shared" si="52"/>
        <v>0.35446292085757963</v>
      </c>
      <c r="I29" s="3">
        <f t="shared" si="52"/>
        <v>0.36848513831467578</v>
      </c>
      <c r="J29" s="3">
        <f t="shared" si="52"/>
        <v>0.28973807271564928</v>
      </c>
      <c r="K29" s="3">
        <f t="shared" si="52"/>
        <v>0.37360855101379858</v>
      </c>
      <c r="L29" s="3">
        <f t="shared" si="52"/>
        <v>0.36999273481156908</v>
      </c>
      <c r="M29" s="3">
        <f t="shared" si="52"/>
        <v>0.38235555648307018</v>
      </c>
      <c r="N29" s="3">
        <f>+N13/N$11</f>
        <v>0.30873734791050395</v>
      </c>
      <c r="X29" s="3">
        <f>+X13/X$11</f>
        <v>0.33529724855853904</v>
      </c>
      <c r="Y29" s="3">
        <f>+Y13/Y$11</f>
        <v>0.36552640361082167</v>
      </c>
      <c r="Z29" s="3">
        <f t="shared" ref="Z29:AB29" si="53">+Z13/Z$11</f>
        <v>0.37340482883961096</v>
      </c>
      <c r="AA29" s="3">
        <f t="shared" si="53"/>
        <v>0.33998407993176272</v>
      </c>
      <c r="AB29" s="3">
        <f t="shared" si="53"/>
        <v>0.35316767017233514</v>
      </c>
      <c r="AC29" s="3">
        <f t="shared" ref="AC29:AF29" si="54">+AC13/AC$11</f>
        <v>0.35313884041777654</v>
      </c>
      <c r="AD29" s="3">
        <f t="shared" si="54"/>
        <v>0.35313884041777654</v>
      </c>
      <c r="AE29" s="3">
        <f t="shared" si="54"/>
        <v>0.35313884041777654</v>
      </c>
      <c r="AF29" s="3">
        <f t="shared" si="54"/>
        <v>0.35313884041777654</v>
      </c>
      <c r="AG29" s="3">
        <f t="shared" ref="AG29:AL29" si="55">+AG13/AG$11</f>
        <v>0.35313884041777654</v>
      </c>
      <c r="AH29" s="3">
        <f t="shared" si="55"/>
        <v>0.35313884041777654</v>
      </c>
      <c r="AI29" s="3">
        <f t="shared" si="55"/>
        <v>0.35313884041777654</v>
      </c>
      <c r="AJ29" s="3">
        <f t="shared" si="55"/>
        <v>0.35313884041777654</v>
      </c>
      <c r="AK29" s="3">
        <f t="shared" si="55"/>
        <v>0.35313884041777654</v>
      </c>
      <c r="AL29" s="3">
        <f t="shared" si="55"/>
        <v>0.35313884041777654</v>
      </c>
      <c r="AN29" s="10" t="s">
        <v>60</v>
      </c>
      <c r="AO29" s="10">
        <f>+SUM(AO27:AO28)</f>
        <v>45581.030326859967</v>
      </c>
    </row>
    <row r="30" spans="2:228">
      <c r="B30" s="1" t="s">
        <v>50</v>
      </c>
      <c r="C30" s="3">
        <f t="shared" ref="C30:N30" si="56">(C11-C12)/C11</f>
        <v>0.57100202614832063</v>
      </c>
      <c r="D30" s="3">
        <f t="shared" si="56"/>
        <v>0.58091516856953374</v>
      </c>
      <c r="E30" s="3">
        <f t="shared" si="56"/>
        <v>0.57182914477934332</v>
      </c>
      <c r="F30" s="3">
        <f t="shared" si="56"/>
        <v>0.58060422344891971</v>
      </c>
      <c r="G30" s="3">
        <f t="shared" si="56"/>
        <v>0.53945643624923534</v>
      </c>
      <c r="H30" s="3">
        <f t="shared" si="56"/>
        <v>0.56493078303167332</v>
      </c>
      <c r="I30" s="3">
        <f t="shared" si="56"/>
        <v>0.5594583198026376</v>
      </c>
      <c r="J30" s="3">
        <f t="shared" si="56"/>
        <v>0.55112131372756989</v>
      </c>
      <c r="K30" s="3">
        <f t="shared" si="56"/>
        <v>0.57517473080660053</v>
      </c>
      <c r="L30" s="3">
        <f t="shared" si="56"/>
        <v>0.58778361960288161</v>
      </c>
      <c r="M30" s="3">
        <f t="shared" si="56"/>
        <v>0.57011783770933722</v>
      </c>
      <c r="N30" s="3">
        <f>(N11-N12)/N11</f>
        <v>0.59387327021939695</v>
      </c>
      <c r="X30" s="3">
        <f t="shared" ref="X30:AB30" si="57">(X11-X12)/X11</f>
        <v>0.55873853063456436</v>
      </c>
      <c r="Y30" s="3">
        <f t="shared" si="57"/>
        <v>0.55975891204642381</v>
      </c>
      <c r="Z30" s="3">
        <f t="shared" si="57"/>
        <v>0.57675977289324243</v>
      </c>
      <c r="AA30" s="3">
        <f t="shared" si="57"/>
        <v>0.55389063929085669</v>
      </c>
      <c r="AB30" s="3">
        <f>(AB11-AB12)/AB11</f>
        <v>0.58314199880697903</v>
      </c>
      <c r="AC30" s="3">
        <f>(AC11-AC12)/AC11</f>
        <v>0.58316104505944621</v>
      </c>
      <c r="AD30" s="3">
        <f>(AD11-AD12)/AD11</f>
        <v>0.5831610450594461</v>
      </c>
      <c r="AE30" s="3">
        <f>(AE11-AE12)/AE11</f>
        <v>0.58316104505944621</v>
      </c>
      <c r="AF30" s="3">
        <f>(AF11-AF12)/AF11</f>
        <v>0.5831610450594461</v>
      </c>
      <c r="AG30" s="3">
        <f t="shared" ref="AG30:AL30" si="58">(AG11-AG12)/AG11</f>
        <v>0.5831610450594461</v>
      </c>
      <c r="AH30" s="3">
        <f t="shared" si="58"/>
        <v>0.5831610450594461</v>
      </c>
      <c r="AI30" s="3">
        <f t="shared" si="58"/>
        <v>0.58316104505944621</v>
      </c>
      <c r="AJ30" s="3">
        <f t="shared" si="58"/>
        <v>0.58316104505944621</v>
      </c>
      <c r="AK30" s="3">
        <f t="shared" si="58"/>
        <v>0.58316104505944621</v>
      </c>
      <c r="AL30" s="3">
        <f t="shared" si="58"/>
        <v>0.5831610450594461</v>
      </c>
      <c r="AN30" s="1" t="s">
        <v>81</v>
      </c>
      <c r="AO30" s="1">
        <f>+main!H5</f>
        <v>120.892132</v>
      </c>
    </row>
    <row r="31" spans="2:228">
      <c r="AN31" s="1" t="s">
        <v>82</v>
      </c>
      <c r="AO31" s="1">
        <f>+AO29/AO30</f>
        <v>377.03884920203052</v>
      </c>
    </row>
    <row r="32" spans="2:228" s="10" customFormat="1">
      <c r="B32" s="10" t="s">
        <v>59</v>
      </c>
      <c r="N32" s="10">
        <f>+N33</f>
        <v>2243.971</v>
      </c>
      <c r="O32" s="10">
        <f>+N32+O18</f>
        <v>2576.9127930186874</v>
      </c>
      <c r="P32" s="10">
        <f t="shared" ref="P32:R32" si="59">+O32+P18</f>
        <v>2985.6439651984874</v>
      </c>
      <c r="Q32" s="10">
        <f t="shared" si="59"/>
        <v>3344.6628755183942</v>
      </c>
      <c r="R32" s="10">
        <f t="shared" si="59"/>
        <v>4106.5427141360888</v>
      </c>
      <c r="AC32" s="10">
        <f>+R32</f>
        <v>4106.5427141360888</v>
      </c>
      <c r="AD32" s="10">
        <f>+AC32+AD18</f>
        <v>6118.3965617919694</v>
      </c>
      <c r="AE32" s="10">
        <f t="shared" ref="AE32:AL32" si="60">+AD32+AE18</f>
        <v>8230.5171131620318</v>
      </c>
      <c r="AF32" s="10">
        <f t="shared" si="60"/>
        <v>10531.791413608036</v>
      </c>
      <c r="AG32" s="10">
        <f t="shared" si="60"/>
        <v>13023.578587996748</v>
      </c>
      <c r="AH32" s="10">
        <f t="shared" si="60"/>
        <v>15707.247526903586</v>
      </c>
      <c r="AI32" s="10">
        <f t="shared" si="60"/>
        <v>18584.176956782081</v>
      </c>
      <c r="AJ32" s="10">
        <f t="shared" si="60"/>
        <v>21655.755510637529</v>
      </c>
      <c r="AK32" s="10">
        <f t="shared" si="60"/>
        <v>24923.38179920847</v>
      </c>
      <c r="AL32" s="10">
        <f t="shared" si="60"/>
        <v>28388.464482659587</v>
      </c>
      <c r="AN32" s="10" t="s">
        <v>83</v>
      </c>
      <c r="AO32" s="10">
        <f>+main!H4</f>
        <v>387.15</v>
      </c>
    </row>
    <row r="33" spans="2:41">
      <c r="B33" s="1" t="s">
        <v>54</v>
      </c>
      <c r="N33" s="1">
        <v>2243.971</v>
      </c>
      <c r="AN33" s="1" t="s">
        <v>84</v>
      </c>
      <c r="AO33" s="3">
        <f>+AO31/AO32-1</f>
        <v>-2.611688182350369E-2</v>
      </c>
    </row>
    <row r="34" spans="2:41">
      <c r="B34" s="1" t="s">
        <v>61</v>
      </c>
      <c r="N34" s="1">
        <v>1323.6020000000001</v>
      </c>
    </row>
    <row r="35" spans="2:41">
      <c r="B35" s="1" t="s">
        <v>62</v>
      </c>
      <c r="N35" s="1">
        <v>183.733</v>
      </c>
    </row>
    <row r="36" spans="2:41">
      <c r="B36" s="1" t="s">
        <v>63</v>
      </c>
      <c r="N36" s="1">
        <v>309.27100000000002</v>
      </c>
    </row>
    <row r="37" spans="2:41">
      <c r="B37" s="1" t="s">
        <v>64</v>
      </c>
      <c r="N37" s="1">
        <v>1545.8109999999999</v>
      </c>
    </row>
    <row r="38" spans="2:41">
      <c r="B38" s="1" t="s">
        <v>65</v>
      </c>
      <c r="N38" s="1">
        <v>1265.6099999999999</v>
      </c>
    </row>
    <row r="39" spans="2:41">
      <c r="B39" s="1" t="s">
        <v>66</v>
      </c>
      <c r="N39" s="1">
        <v>24.082999999999998</v>
      </c>
    </row>
    <row r="40" spans="2:41">
      <c r="B40" s="1" t="s">
        <v>67</v>
      </c>
      <c r="N40" s="1">
        <v>195.86</v>
      </c>
    </row>
    <row r="41" spans="2:41" s="10" customFormat="1">
      <c r="B41" s="10" t="s">
        <v>68</v>
      </c>
      <c r="N41" s="10">
        <f>+SUM(N33:N40)</f>
        <v>7091.9409999999998</v>
      </c>
    </row>
    <row r="43" spans="2:41">
      <c r="B43" s="1" t="s">
        <v>69</v>
      </c>
      <c r="N43" s="1">
        <v>348.44099999999997</v>
      </c>
    </row>
    <row r="44" spans="2:41">
      <c r="B44" s="1" t="s">
        <v>70</v>
      </c>
      <c r="N44" s="1">
        <v>348.55500000000001</v>
      </c>
    </row>
    <row r="45" spans="2:41">
      <c r="B45" s="1" t="s">
        <v>71</v>
      </c>
      <c r="N45" s="1">
        <v>326.11</v>
      </c>
    </row>
    <row r="46" spans="2:41">
      <c r="B46" s="1" t="s">
        <v>72</v>
      </c>
      <c r="N46" s="1">
        <v>249.27</v>
      </c>
    </row>
    <row r="47" spans="2:41">
      <c r="B47" s="1" t="s">
        <v>73</v>
      </c>
      <c r="N47" s="1">
        <v>12.098000000000001</v>
      </c>
    </row>
    <row r="48" spans="2:41">
      <c r="B48" s="1" t="s">
        <v>74</v>
      </c>
      <c r="N48" s="1">
        <v>306.47899999999998</v>
      </c>
    </row>
    <row r="49" spans="2:14">
      <c r="B49" s="1" t="s">
        <v>75</v>
      </c>
      <c r="N49" s="1">
        <v>40.308</v>
      </c>
    </row>
    <row r="50" spans="2:14">
      <c r="B50" s="1" t="s">
        <v>76</v>
      </c>
      <c r="N50" s="1">
        <v>1154.0119999999999</v>
      </c>
    </row>
    <row r="51" spans="2:14">
      <c r="B51" s="1" t="s">
        <v>77</v>
      </c>
      <c r="N51" s="1">
        <v>15.864000000000001</v>
      </c>
    </row>
    <row r="52" spans="2:14">
      <c r="B52" s="1" t="s">
        <v>67</v>
      </c>
      <c r="N52" s="1">
        <v>29.521999999999998</v>
      </c>
    </row>
    <row r="53" spans="2:14">
      <c r="B53" s="1" t="s">
        <v>78</v>
      </c>
      <c r="N53" s="1">
        <v>29.201000000000001</v>
      </c>
    </row>
    <row r="54" spans="2:14">
      <c r="B54" s="1" t="s">
        <v>79</v>
      </c>
      <c r="N54" s="1">
        <v>4232.0810000000001</v>
      </c>
    </row>
    <row r="55" spans="2:14" s="10" customFormat="1">
      <c r="B55" s="10" t="s">
        <v>80</v>
      </c>
      <c r="N55" s="10">
        <f>+SUM(N43:N54)</f>
        <v>7091.9410000000007</v>
      </c>
    </row>
    <row r="59" spans="2:14">
      <c r="B59" s="1" t="s">
        <v>85</v>
      </c>
      <c r="F59" s="1">
        <f>1389.108-SUM(C59:E59)</f>
        <v>1389.1079999999999</v>
      </c>
      <c r="G59" s="1">
        <f>+-243.256</f>
        <v>-243.256</v>
      </c>
      <c r="H59" s="1">
        <f>+-145.618</f>
        <v>-145.61799999999999</v>
      </c>
      <c r="I59" s="1">
        <f>+-79.801-SUM(G59:H59)</f>
        <v>309.07300000000004</v>
      </c>
      <c r="J59" s="1">
        <f>966.463-SUM(G59:I59)</f>
        <v>1046.2639999999999</v>
      </c>
      <c r="K59" s="1">
        <v>45.503</v>
      </c>
      <c r="L59" s="1">
        <f>522.213-K59</f>
        <v>476.71</v>
      </c>
      <c r="M59" s="1">
        <f>912.066-SUM(K59:L59)</f>
        <v>389.85300000000007</v>
      </c>
      <c r="N59" s="1">
        <f>2296.164-SUM(K59:M59)</f>
        <v>1384.0980000000002</v>
      </c>
    </row>
    <row r="60" spans="2:14">
      <c r="B60" s="1" t="s">
        <v>86</v>
      </c>
      <c r="F60" s="1">
        <f>+-394.502</f>
        <v>-394.50200000000001</v>
      </c>
      <c r="G60" s="1">
        <f>+-111.352</f>
        <v>-111.352</v>
      </c>
      <c r="H60" s="1">
        <f>+-256.07</f>
        <v>-256.07</v>
      </c>
      <c r="I60" s="1">
        <f>+-431.677</f>
        <v>-431.67700000000002</v>
      </c>
      <c r="J60" s="1">
        <f>+-638.657</f>
        <v>-638.65700000000004</v>
      </c>
      <c r="K60" s="1">
        <f>+-136.942</f>
        <v>-136.94200000000001</v>
      </c>
      <c r="L60" s="1">
        <f>+-282.453</f>
        <v>-282.45299999999997</v>
      </c>
      <c r="M60" s="1">
        <f>+-445.353</f>
        <v>-445.35300000000001</v>
      </c>
      <c r="N60" s="1">
        <f>+-651.865-SUM(K60:M60)</f>
        <v>212.88300000000004</v>
      </c>
    </row>
    <row r="61" spans="2:14" s="10" customFormat="1">
      <c r="B61" s="10" t="s">
        <v>87</v>
      </c>
      <c r="C61" s="10">
        <f t="shared" ref="C61:M61" si="61">+SUM(C59:C60)</f>
        <v>0</v>
      </c>
      <c r="D61" s="10">
        <f t="shared" si="61"/>
        <v>0</v>
      </c>
      <c r="E61" s="10">
        <f t="shared" si="61"/>
        <v>0</v>
      </c>
      <c r="F61" s="10">
        <f t="shared" si="61"/>
        <v>994.60599999999999</v>
      </c>
      <c r="G61" s="10">
        <f t="shared" si="61"/>
        <v>-354.608</v>
      </c>
      <c r="H61" s="10">
        <f t="shared" si="61"/>
        <v>-401.68799999999999</v>
      </c>
      <c r="I61" s="10">
        <f t="shared" si="61"/>
        <v>-122.60399999999998</v>
      </c>
      <c r="J61" s="10">
        <f t="shared" si="61"/>
        <v>407.60699999999986</v>
      </c>
      <c r="K61" s="10">
        <f t="shared" si="61"/>
        <v>-91.439000000000007</v>
      </c>
      <c r="L61" s="10">
        <f t="shared" si="61"/>
        <v>194.25700000000001</v>
      </c>
      <c r="M61" s="10">
        <f t="shared" si="61"/>
        <v>-55.499999999999943</v>
      </c>
      <c r="N61" s="10">
        <f>+SUM(N59:N60)</f>
        <v>1596.9810000000002</v>
      </c>
    </row>
    <row r="62" spans="2:14">
      <c r="B62" s="1" t="s">
        <v>34</v>
      </c>
      <c r="F62" s="1">
        <f t="shared" ref="F62:N62" si="62">+F18</f>
        <v>438.16099999999977</v>
      </c>
      <c r="G62" s="1">
        <f t="shared" si="62"/>
        <v>192.19299999999993</v>
      </c>
      <c r="H62" s="1">
        <f t="shared" si="62"/>
        <v>281.53599999999994</v>
      </c>
      <c r="I62" s="1">
        <f t="shared" si="62"/>
        <v>257.65899999999976</v>
      </c>
      <c r="J62" s="1">
        <f t="shared" si="62"/>
        <v>213.298</v>
      </c>
      <c r="K62" s="1">
        <f t="shared" si="62"/>
        <v>292.2829999999999</v>
      </c>
      <c r="L62" s="1">
        <f t="shared" si="62"/>
        <v>343.48199999999997</v>
      </c>
      <c r="M62" s="1">
        <f t="shared" si="62"/>
        <v>324.4679999999999</v>
      </c>
      <c r="N62" s="1">
        <f>+N18</f>
        <v>669.46799999999985</v>
      </c>
    </row>
    <row r="64" spans="2:14">
      <c r="B64" s="1" t="s">
        <v>88</v>
      </c>
      <c r="I64" s="1">
        <f>SUM(F61:I61)</f>
        <v>115.70600000000007</v>
      </c>
      <c r="J64" s="1">
        <f t="shared" ref="I64:M64" si="63">SUM(G61:J61)</f>
        <v>-471.29300000000023</v>
      </c>
      <c r="K64" s="1">
        <f t="shared" si="63"/>
        <v>-208.12400000000008</v>
      </c>
      <c r="L64" s="1">
        <f t="shared" si="63"/>
        <v>387.82099999999986</v>
      </c>
      <c r="M64" s="1">
        <f t="shared" si="63"/>
        <v>454.9249999999999</v>
      </c>
      <c r="N64" s="1">
        <f>SUM(K61:N61)</f>
        <v>1644.2990000000002</v>
      </c>
    </row>
    <row r="65" spans="2:14">
      <c r="B65" s="1" t="s">
        <v>89</v>
      </c>
      <c r="I65" s="1">
        <f t="shared" ref="I65:M65" si="64">SUM(F62:I62)</f>
        <v>1169.5489999999995</v>
      </c>
      <c r="J65" s="1">
        <f t="shared" si="64"/>
        <v>944.68599999999969</v>
      </c>
      <c r="K65" s="1">
        <f t="shared" si="64"/>
        <v>1044.7759999999996</v>
      </c>
      <c r="L65" s="1">
        <f t="shared" si="64"/>
        <v>1106.7219999999998</v>
      </c>
      <c r="M65" s="1">
        <f t="shared" si="64"/>
        <v>1173.5309999999997</v>
      </c>
      <c r="N65" s="1">
        <f>SUM(K62:N62)</f>
        <v>1629.7009999999996</v>
      </c>
    </row>
  </sheetData>
  <pageMargins left="0.7" right="0.7" top="0.75" bottom="0.75" header="0.3" footer="0.3"/>
  <ignoredErrors>
    <ignoredError sqref="C16 E16:J16 Z11:AB18 Z20" formulaRange="1"/>
    <ignoredError sqref="D16 Z19 AA19:AB19 AA20:AB20" formula="1" formulaRange="1"/>
    <ignoredError sqref="AD17:AL17 AC19 AA21:AC29 AC2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2024-03-27T16:36:17Z</dcterms:created>
  <dcterms:modified xsi:type="dcterms:W3CDTF">2024-03-27T17:55:21Z</dcterms:modified>
</cp:coreProperties>
</file>