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880EBB4C-B739-F548-9592-D4B3F7473DFE}" xr6:coauthVersionLast="47" xr6:coauthVersionMax="47" xr10:uidLastSave="{00000000-0000-0000-0000-000000000000}"/>
  <bookViews>
    <workbookView xWindow="3320" yWindow="500" windowWidth="47360" windowHeight="28040" xr2:uid="{F1545CBA-EC3E-6344-9C1D-FFBBCBF21B2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9" i="2" l="1"/>
  <c r="U28" i="2"/>
  <c r="U27" i="2"/>
  <c r="U26" i="2"/>
  <c r="Q7" i="2"/>
  <c r="U7" i="2" l="1"/>
  <c r="U30" i="2" s="1"/>
  <c r="V21" i="2"/>
  <c r="S61" i="2"/>
  <c r="S47" i="2"/>
  <c r="T61" i="2"/>
  <c r="T47" i="2"/>
  <c r="S36" i="2"/>
  <c r="T36" i="2"/>
  <c r="R61" i="2"/>
  <c r="R47" i="2"/>
  <c r="R36" i="2"/>
  <c r="AW38" i="2"/>
  <c r="U36" i="2"/>
  <c r="AI36" i="2" s="1"/>
  <c r="U61" i="2"/>
  <c r="U47" i="2"/>
  <c r="AW36" i="2"/>
  <c r="O32" i="2"/>
  <c r="M32" i="2"/>
  <c r="L32" i="2"/>
  <c r="K32" i="2"/>
  <c r="I32" i="2"/>
  <c r="H32" i="2"/>
  <c r="G32" i="2"/>
  <c r="O31" i="2"/>
  <c r="M31" i="2"/>
  <c r="L31" i="2"/>
  <c r="K31" i="2"/>
  <c r="I31" i="2"/>
  <c r="H31" i="2"/>
  <c r="G31" i="2"/>
  <c r="O30" i="2"/>
  <c r="M30" i="2"/>
  <c r="L30" i="2"/>
  <c r="K30" i="2"/>
  <c r="I30" i="2"/>
  <c r="H30" i="2"/>
  <c r="G30" i="2"/>
  <c r="F19" i="2"/>
  <c r="F16" i="2"/>
  <c r="F14" i="2"/>
  <c r="F13" i="2"/>
  <c r="F11" i="2"/>
  <c r="F9" i="2"/>
  <c r="F8" i="2"/>
  <c r="F10" i="2" s="1"/>
  <c r="F7" i="2"/>
  <c r="AE10" i="2"/>
  <c r="AE12" i="2" s="1"/>
  <c r="AE15" i="2" s="1"/>
  <c r="AF32" i="2"/>
  <c r="AF31" i="2"/>
  <c r="AF30" i="2"/>
  <c r="AG32" i="2"/>
  <c r="AG31" i="2"/>
  <c r="AG30" i="2"/>
  <c r="AF10" i="2"/>
  <c r="AF12" i="2" s="1"/>
  <c r="AF15" i="2" s="1"/>
  <c r="AF17" i="2" s="1"/>
  <c r="AF18" i="2" s="1"/>
  <c r="AF20" i="2" s="1"/>
  <c r="AF22" i="2" s="1"/>
  <c r="J19" i="2"/>
  <c r="J16" i="2"/>
  <c r="J14" i="2"/>
  <c r="J13" i="2"/>
  <c r="J11" i="2"/>
  <c r="J9" i="2"/>
  <c r="J32" i="2" s="1"/>
  <c r="J8" i="2"/>
  <c r="J7" i="2"/>
  <c r="C10" i="2"/>
  <c r="C12" i="2" s="1"/>
  <c r="C15" i="2" s="1"/>
  <c r="C17" i="2" s="1"/>
  <c r="C18" i="2" s="1"/>
  <c r="C20" i="2" s="1"/>
  <c r="C22" i="2" s="1"/>
  <c r="G10" i="2"/>
  <c r="G12" i="2" s="1"/>
  <c r="G15" i="2" s="1"/>
  <c r="G17" i="2" s="1"/>
  <c r="G18" i="2" s="1"/>
  <c r="G20" i="2" s="1"/>
  <c r="G22" i="2" s="1"/>
  <c r="D10" i="2"/>
  <c r="D12" i="2" s="1"/>
  <c r="D15" i="2" s="1"/>
  <c r="D17" i="2" s="1"/>
  <c r="D18" i="2" s="1"/>
  <c r="D20" i="2" s="1"/>
  <c r="D22" i="2" s="1"/>
  <c r="H10" i="2"/>
  <c r="H12" i="2" s="1"/>
  <c r="H15" i="2" s="1"/>
  <c r="H17" i="2" s="1"/>
  <c r="H18" i="2" s="1"/>
  <c r="H20" i="2" s="1"/>
  <c r="H22" i="2" s="1"/>
  <c r="E10" i="2"/>
  <c r="E12" i="2" s="1"/>
  <c r="E15" i="2" s="1"/>
  <c r="E17" i="2" s="1"/>
  <c r="E18" i="2" s="1"/>
  <c r="E20" i="2" s="1"/>
  <c r="E22" i="2" s="1"/>
  <c r="I10" i="2"/>
  <c r="I12" i="2" s="1"/>
  <c r="I15" i="2" s="1"/>
  <c r="I17" i="2" s="1"/>
  <c r="I18" i="2" s="1"/>
  <c r="I20" i="2" s="1"/>
  <c r="I22" i="2" s="1"/>
  <c r="Q32" i="2"/>
  <c r="P32" i="2"/>
  <c r="Q31" i="2"/>
  <c r="P31" i="2"/>
  <c r="Q30" i="2"/>
  <c r="P30" i="2"/>
  <c r="N19" i="2"/>
  <c r="N16" i="2"/>
  <c r="N14" i="2"/>
  <c r="N13" i="2"/>
  <c r="N11" i="2"/>
  <c r="N9" i="2"/>
  <c r="N8" i="2"/>
  <c r="N7" i="2"/>
  <c r="K10" i="2"/>
  <c r="K12" i="2" s="1"/>
  <c r="K15" i="2" s="1"/>
  <c r="K17" i="2" s="1"/>
  <c r="K18" i="2" s="1"/>
  <c r="K20" i="2" s="1"/>
  <c r="K22" i="2" s="1"/>
  <c r="L10" i="2"/>
  <c r="L12" i="2" s="1"/>
  <c r="L15" i="2" s="1"/>
  <c r="L17" i="2" s="1"/>
  <c r="L18" i="2" s="1"/>
  <c r="L20" i="2" s="1"/>
  <c r="L22" i="2" s="1"/>
  <c r="R19" i="2"/>
  <c r="R16" i="2"/>
  <c r="R14" i="2"/>
  <c r="R13" i="2"/>
  <c r="R11" i="2"/>
  <c r="R9" i="2"/>
  <c r="R8" i="2"/>
  <c r="R7" i="2"/>
  <c r="V7" i="2" s="1"/>
  <c r="M10" i="2"/>
  <c r="M12" i="2" s="1"/>
  <c r="M15" i="2" s="1"/>
  <c r="M17" i="2" s="1"/>
  <c r="M18" i="2" s="1"/>
  <c r="M20" i="2" s="1"/>
  <c r="M22" i="2" s="1"/>
  <c r="AH32" i="2"/>
  <c r="AH31" i="2"/>
  <c r="AH30" i="2"/>
  <c r="AI32" i="2"/>
  <c r="AI31" i="2"/>
  <c r="AI30" i="2"/>
  <c r="AI10" i="2"/>
  <c r="AI12" i="2" s="1"/>
  <c r="AI15" i="2" s="1"/>
  <c r="AI17" i="2" s="1"/>
  <c r="AI18" i="2" s="1"/>
  <c r="AI20" i="2" s="1"/>
  <c r="AI22" i="2" s="1"/>
  <c r="AH10" i="2"/>
  <c r="AH12" i="2" s="1"/>
  <c r="AH15" i="2" s="1"/>
  <c r="AH17" i="2" s="1"/>
  <c r="AH18" i="2" s="1"/>
  <c r="AH20" i="2" s="1"/>
  <c r="AH22" i="2" s="1"/>
  <c r="N22" i="2" s="1"/>
  <c r="AG10" i="2"/>
  <c r="AG12" i="2" s="1"/>
  <c r="AG15" i="2" s="1"/>
  <c r="AG17" i="2" s="1"/>
  <c r="AG18" i="2" s="1"/>
  <c r="AG20" i="2" s="1"/>
  <c r="S32" i="2"/>
  <c r="S31" i="2"/>
  <c r="S30" i="2"/>
  <c r="O10" i="2"/>
  <c r="O12" i="2" s="1"/>
  <c r="O15" i="2" s="1"/>
  <c r="O17" i="2" s="1"/>
  <c r="O18" i="2" s="1"/>
  <c r="O20" i="2" s="1"/>
  <c r="O22" i="2" s="1"/>
  <c r="S10" i="2"/>
  <c r="S12" i="2" s="1"/>
  <c r="S15" i="2" s="1"/>
  <c r="S17" i="2" s="1"/>
  <c r="S18" i="2" s="1"/>
  <c r="S20" i="2" s="1"/>
  <c r="S22" i="2" s="1"/>
  <c r="T32" i="2"/>
  <c r="T31" i="2"/>
  <c r="T30" i="2"/>
  <c r="P10" i="2"/>
  <c r="P12" i="2" s="1"/>
  <c r="P15" i="2" s="1"/>
  <c r="P17" i="2" s="1"/>
  <c r="P18" i="2" s="1"/>
  <c r="P20" i="2" s="1"/>
  <c r="P22" i="2" s="1"/>
  <c r="T10" i="2"/>
  <c r="T12" i="2" s="1"/>
  <c r="T15" i="2" s="1"/>
  <c r="T17" i="2" s="1"/>
  <c r="T18" i="2" s="1"/>
  <c r="T20" i="2" s="1"/>
  <c r="T22" i="2" s="1"/>
  <c r="U32" i="2"/>
  <c r="U31" i="2"/>
  <c r="Q10" i="2"/>
  <c r="Q12" i="2" s="1"/>
  <c r="Q15" i="2" s="1"/>
  <c r="Q17" i="2" s="1"/>
  <c r="Q18" i="2" s="1"/>
  <c r="Q20" i="2" s="1"/>
  <c r="Q22" i="2" s="1"/>
  <c r="U10" i="2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K8" i="1"/>
  <c r="K7" i="1"/>
  <c r="L7" i="1"/>
  <c r="L8" i="1" s="1"/>
  <c r="K6" i="1"/>
  <c r="AW34" i="2" l="1"/>
  <c r="K9" i="1"/>
  <c r="U12" i="2"/>
  <c r="U15" i="2" s="1"/>
  <c r="U17" i="2" s="1"/>
  <c r="U18" i="2" s="1"/>
  <c r="U20" i="2" s="1"/>
  <c r="U22" i="2" s="1"/>
  <c r="J30" i="2"/>
  <c r="AE33" i="2"/>
  <c r="F12" i="2"/>
  <c r="F15" i="2" s="1"/>
  <c r="F17" i="2" s="1"/>
  <c r="F18" i="2" s="1"/>
  <c r="F20" i="2" s="1"/>
  <c r="AG33" i="2"/>
  <c r="AF33" i="2"/>
  <c r="N30" i="2"/>
  <c r="V8" i="2"/>
  <c r="V31" i="2" s="1"/>
  <c r="V30" i="2"/>
  <c r="R22" i="2"/>
  <c r="R32" i="2"/>
  <c r="N10" i="2"/>
  <c r="N12" i="2" s="1"/>
  <c r="N15" i="2" s="1"/>
  <c r="N17" i="2" s="1"/>
  <c r="N18" i="2" s="1"/>
  <c r="N20" i="2" s="1"/>
  <c r="N21" i="2" s="1"/>
  <c r="V11" i="2"/>
  <c r="AJ11" i="2" s="1"/>
  <c r="V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V14" i="2"/>
  <c r="AJ14" i="2" s="1"/>
  <c r="V9" i="2"/>
  <c r="V16" i="2"/>
  <c r="AJ16" i="2" s="1"/>
  <c r="V19" i="2"/>
  <c r="AJ7" i="2"/>
  <c r="AK7" i="2" s="1"/>
  <c r="AL7" i="2" s="1"/>
  <c r="F22" i="2"/>
  <c r="N32" i="2"/>
  <c r="R31" i="2"/>
  <c r="J10" i="2"/>
  <c r="J12" i="2" s="1"/>
  <c r="J15" i="2" s="1"/>
  <c r="J17" i="2" s="1"/>
  <c r="J18" i="2" s="1"/>
  <c r="J20" i="2" s="1"/>
  <c r="R30" i="2"/>
  <c r="J31" i="2"/>
  <c r="R10" i="2"/>
  <c r="V10" i="2" s="1"/>
  <c r="AJ10" i="2" s="1"/>
  <c r="N31" i="2"/>
  <c r="AE17" i="2"/>
  <c r="AE18" i="2" s="1"/>
  <c r="AE20" i="2" s="1"/>
  <c r="AE22" i="2" s="1"/>
  <c r="AG22" i="2"/>
  <c r="J22" i="2" s="1"/>
  <c r="F21" i="2" l="1"/>
  <c r="AJ9" i="2"/>
  <c r="AJ32" i="2" s="1"/>
  <c r="V32" i="2"/>
  <c r="AJ8" i="2"/>
  <c r="AK8" i="2" s="1"/>
  <c r="AL8" i="2" s="1"/>
  <c r="AM8" i="2" s="1"/>
  <c r="AN8" i="2" s="1"/>
  <c r="AO8" i="2" s="1"/>
  <c r="AP8" i="2" s="1"/>
  <c r="AQ8" i="2" s="1"/>
  <c r="AR8" i="2" s="1"/>
  <c r="AS8" i="2" s="1"/>
  <c r="AM7" i="2"/>
  <c r="AN7" i="2" s="1"/>
  <c r="AO7" i="2" s="1"/>
  <c r="AP7" i="2" s="1"/>
  <c r="AQ7" i="2" s="1"/>
  <c r="AR7" i="2" s="1"/>
  <c r="AS7" i="2" s="1"/>
  <c r="J21" i="2"/>
  <c r="AJ30" i="2"/>
  <c r="R12" i="2"/>
  <c r="AK9" i="2" l="1"/>
  <c r="AK32" i="2" s="1"/>
  <c r="AJ31" i="2"/>
  <c r="V12" i="2"/>
  <c r="AJ12" i="2" s="1"/>
  <c r="R15" i="2"/>
  <c r="AK30" i="2"/>
  <c r="AK31" i="2"/>
  <c r="AK10" i="2" l="1"/>
  <c r="AK11" i="2" s="1"/>
  <c r="AK12" i="2" s="1"/>
  <c r="AL9" i="2"/>
  <c r="AM9" i="2" s="1"/>
  <c r="AN9" i="2" s="1"/>
  <c r="AO9" i="2" s="1"/>
  <c r="AP9" i="2" s="1"/>
  <c r="AQ9" i="2" s="1"/>
  <c r="AR9" i="2" s="1"/>
  <c r="AS9" i="2" s="1"/>
  <c r="AL32" i="2"/>
  <c r="AM32" i="2"/>
  <c r="AK14" i="2"/>
  <c r="AK15" i="2" s="1"/>
  <c r="AL31" i="2"/>
  <c r="AL10" i="2"/>
  <c r="AL30" i="2"/>
  <c r="R17" i="2"/>
  <c r="V15" i="2"/>
  <c r="AJ15" i="2" s="1"/>
  <c r="AN32" i="2"/>
  <c r="AK16" i="2" l="1"/>
  <c r="AK17" i="2" s="1"/>
  <c r="AK18" i="2" s="1"/>
  <c r="AK20" i="2" s="1"/>
  <c r="AM30" i="2"/>
  <c r="AM31" i="2"/>
  <c r="AM10" i="2"/>
  <c r="AL11" i="2"/>
  <c r="AL12" i="2" s="1"/>
  <c r="R18" i="2"/>
  <c r="V17" i="2"/>
  <c r="AJ17" i="2" s="1"/>
  <c r="AO32" i="2"/>
  <c r="AL14" i="2" l="1"/>
  <c r="AM11" i="2"/>
  <c r="AM12" i="2" s="1"/>
  <c r="AN31" i="2"/>
  <c r="AN10" i="2"/>
  <c r="V18" i="2"/>
  <c r="AJ18" i="2" s="1"/>
  <c r="R20" i="2"/>
  <c r="AN30" i="2"/>
  <c r="AP32" i="2"/>
  <c r="AN11" i="2" l="1"/>
  <c r="AN12" i="2" s="1"/>
  <c r="AO31" i="2"/>
  <c r="AO10" i="2"/>
  <c r="AO11" i="2" s="1"/>
  <c r="AM14" i="2"/>
  <c r="AN14" i="2" s="1"/>
  <c r="AO30" i="2"/>
  <c r="V20" i="2"/>
  <c r="R21" i="2"/>
  <c r="AQ32" i="2"/>
  <c r="AJ20" i="2" l="1"/>
  <c r="AJ36" i="2" s="1"/>
  <c r="AK36" i="2" s="1"/>
  <c r="V22" i="2"/>
  <c r="AJ22" i="2" s="1"/>
  <c r="AL15" i="2"/>
  <c r="AL16" i="2" s="1"/>
  <c r="AP31" i="2"/>
  <c r="AP10" i="2"/>
  <c r="AP11" i="2" s="1"/>
  <c r="AJ21" i="2"/>
  <c r="AK21" i="2" s="1"/>
  <c r="AO12" i="2"/>
  <c r="AP30" i="2"/>
  <c r="AR32" i="2"/>
  <c r="AO14" i="2" l="1"/>
  <c r="AL17" i="2"/>
  <c r="AL18" i="2" s="1"/>
  <c r="AL20" i="2" s="1"/>
  <c r="AL36" i="2" s="1"/>
  <c r="AL21" i="2"/>
  <c r="AK22" i="2"/>
  <c r="AQ31" i="2"/>
  <c r="AQ10" i="2"/>
  <c r="AP12" i="2"/>
  <c r="AQ30" i="2"/>
  <c r="AS32" i="2"/>
  <c r="AP14" i="2" l="1"/>
  <c r="AM15" i="2"/>
  <c r="AM16" i="2" s="1"/>
  <c r="AM17" i="2" s="1"/>
  <c r="AM18" i="2" s="1"/>
  <c r="AM20" i="2" s="1"/>
  <c r="AM36" i="2" s="1"/>
  <c r="AR31" i="2"/>
  <c r="AR10" i="2"/>
  <c r="AM21" i="2"/>
  <c r="AL22" i="2"/>
  <c r="AS30" i="2"/>
  <c r="AR30" i="2"/>
  <c r="AQ11" i="2"/>
  <c r="AQ12" i="2" s="1"/>
  <c r="AR11" i="2" l="1"/>
  <c r="AR12" i="2" s="1"/>
  <c r="AN15" i="2"/>
  <c r="AN16" i="2" s="1"/>
  <c r="AN17" i="2" s="1"/>
  <c r="AN18" i="2" s="1"/>
  <c r="AN20" i="2" s="1"/>
  <c r="AN36" i="2" s="1"/>
  <c r="AQ14" i="2"/>
  <c r="AN21" i="2"/>
  <c r="AM22" i="2"/>
  <c r="AS31" i="2"/>
  <c r="AS10" i="2"/>
  <c r="AR14" i="2" l="1"/>
  <c r="AO15" i="2"/>
  <c r="AO16" i="2" s="1"/>
  <c r="AO17" i="2" s="1"/>
  <c r="AO18" i="2" s="1"/>
  <c r="AO20" i="2" s="1"/>
  <c r="AO36" i="2" s="1"/>
  <c r="AO21" i="2"/>
  <c r="AN22" i="2"/>
  <c r="AS11" i="2"/>
  <c r="AS12" i="2" s="1"/>
  <c r="AP15" i="2" l="1"/>
  <c r="AP16" i="2" s="1"/>
  <c r="AP17" i="2" s="1"/>
  <c r="AP18" i="2" s="1"/>
  <c r="AP20" i="2" s="1"/>
  <c r="AP36" i="2" s="1"/>
  <c r="AS14" i="2"/>
  <c r="AP21" i="2"/>
  <c r="AO22" i="2"/>
  <c r="AQ15" i="2" l="1"/>
  <c r="AQ16" i="2" s="1"/>
  <c r="AQ17" i="2" s="1"/>
  <c r="AQ18" i="2" s="1"/>
  <c r="AQ20" i="2" s="1"/>
  <c r="AQ36" i="2" s="1"/>
  <c r="AQ21" i="2"/>
  <c r="AP22" i="2"/>
  <c r="AR15" i="2" l="1"/>
  <c r="AR16" i="2" s="1"/>
  <c r="AR17" i="2" s="1"/>
  <c r="AR18" i="2" s="1"/>
  <c r="AR20" i="2" s="1"/>
  <c r="AR36" i="2" s="1"/>
  <c r="AR21" i="2"/>
  <c r="AQ22" i="2"/>
  <c r="AS21" i="2" l="1"/>
  <c r="AR22" i="2"/>
  <c r="AS15" i="2" l="1"/>
  <c r="AS16" i="2" s="1"/>
  <c r="AS17" i="2" s="1"/>
  <c r="AS18" i="2" s="1"/>
  <c r="AS20" i="2" s="1"/>
  <c r="AS36" i="2" s="1"/>
  <c r="AT20" i="2" l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EW20" i="2" s="1"/>
  <c r="EX20" i="2" s="1"/>
  <c r="EY20" i="2" s="1"/>
  <c r="EZ20" i="2" s="1"/>
  <c r="FA20" i="2" s="1"/>
  <c r="FB20" i="2" s="1"/>
  <c r="FC20" i="2" s="1"/>
  <c r="FD20" i="2" s="1"/>
  <c r="FE20" i="2" s="1"/>
  <c r="FF20" i="2" s="1"/>
  <c r="FG20" i="2" s="1"/>
  <c r="FH20" i="2" s="1"/>
  <c r="FI20" i="2" s="1"/>
  <c r="FJ20" i="2" s="1"/>
  <c r="FK20" i="2" s="1"/>
  <c r="FL20" i="2" s="1"/>
  <c r="FM20" i="2" s="1"/>
  <c r="FN20" i="2" s="1"/>
  <c r="FO20" i="2" s="1"/>
  <c r="FP20" i="2" s="1"/>
  <c r="FQ20" i="2" s="1"/>
  <c r="FR20" i="2" s="1"/>
  <c r="FS20" i="2" s="1"/>
  <c r="FT20" i="2" s="1"/>
  <c r="FU20" i="2" s="1"/>
  <c r="FV20" i="2" s="1"/>
  <c r="FW20" i="2" s="1"/>
  <c r="FX20" i="2" s="1"/>
  <c r="FY20" i="2" s="1"/>
  <c r="FZ20" i="2" s="1"/>
  <c r="GA20" i="2" s="1"/>
  <c r="GB20" i="2" s="1"/>
  <c r="GC20" i="2" s="1"/>
  <c r="GD20" i="2" s="1"/>
  <c r="GE20" i="2" s="1"/>
  <c r="GF20" i="2" s="1"/>
  <c r="GG20" i="2" s="1"/>
  <c r="GH20" i="2" s="1"/>
  <c r="GI20" i="2" s="1"/>
  <c r="GJ20" i="2" s="1"/>
  <c r="GK20" i="2" s="1"/>
  <c r="GL20" i="2" s="1"/>
  <c r="GM20" i="2" s="1"/>
  <c r="GN20" i="2" s="1"/>
  <c r="GO20" i="2" s="1"/>
  <c r="GP20" i="2" s="1"/>
  <c r="GQ20" i="2" s="1"/>
  <c r="GR20" i="2" s="1"/>
  <c r="GS20" i="2" s="1"/>
  <c r="GT20" i="2" s="1"/>
  <c r="GU20" i="2" s="1"/>
  <c r="GV20" i="2" s="1"/>
  <c r="GW20" i="2" s="1"/>
  <c r="GX20" i="2" s="1"/>
  <c r="GY20" i="2" s="1"/>
  <c r="GZ20" i="2" s="1"/>
  <c r="HA20" i="2" s="1"/>
  <c r="HB20" i="2" s="1"/>
  <c r="HC20" i="2" s="1"/>
  <c r="HD20" i="2" s="1"/>
  <c r="HE20" i="2" s="1"/>
  <c r="HF20" i="2" s="1"/>
  <c r="HG20" i="2" s="1"/>
  <c r="HH20" i="2" s="1"/>
  <c r="HI20" i="2" s="1"/>
  <c r="HJ20" i="2" s="1"/>
  <c r="HK20" i="2" s="1"/>
  <c r="HL20" i="2" s="1"/>
  <c r="HM20" i="2" s="1"/>
  <c r="HN20" i="2" s="1"/>
  <c r="HO20" i="2" s="1"/>
  <c r="HP20" i="2" s="1"/>
  <c r="HQ20" i="2" s="1"/>
  <c r="HR20" i="2" s="1"/>
  <c r="HS20" i="2" s="1"/>
  <c r="HT20" i="2" s="1"/>
  <c r="HU20" i="2" s="1"/>
  <c r="HV20" i="2" s="1"/>
  <c r="HW20" i="2" s="1"/>
  <c r="HX20" i="2" s="1"/>
  <c r="HY20" i="2" s="1"/>
  <c r="HZ20" i="2" s="1"/>
  <c r="IA20" i="2" s="1"/>
  <c r="IB20" i="2" s="1"/>
  <c r="IC20" i="2" s="1"/>
  <c r="ID20" i="2" s="1"/>
  <c r="IE20" i="2" s="1"/>
  <c r="IF20" i="2" s="1"/>
  <c r="IG20" i="2" s="1"/>
  <c r="IH20" i="2" s="1"/>
  <c r="II20" i="2" s="1"/>
  <c r="IJ20" i="2" s="1"/>
  <c r="IK20" i="2" s="1"/>
  <c r="IL20" i="2" s="1"/>
  <c r="IM20" i="2" s="1"/>
  <c r="IN20" i="2" s="1"/>
  <c r="IO20" i="2" s="1"/>
  <c r="IP20" i="2" s="1"/>
  <c r="IQ20" i="2" s="1"/>
  <c r="IR20" i="2" s="1"/>
  <c r="IS20" i="2" s="1"/>
  <c r="IT20" i="2" s="1"/>
  <c r="IU20" i="2" s="1"/>
  <c r="IV20" i="2" s="1"/>
  <c r="IW20" i="2" s="1"/>
  <c r="IX20" i="2" s="1"/>
  <c r="IY20" i="2" s="1"/>
  <c r="IZ20" i="2" s="1"/>
  <c r="AS22" i="2"/>
  <c r="AW33" i="2" l="1"/>
  <c r="AW35" i="2" s="1"/>
  <c r="AW37" i="2" s="1"/>
  <c r="AW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tc={DEC92FE9-EC10-1B4D-AE5E-80D88853B909}</author>
  </authors>
  <commentList>
    <comment ref="AE15" authorId="0" shapeId="0" xr:uid="{DEC92FE9-EC10-1B4D-AE5E-80D88853B909}">
      <text>
        <t>[Threaded comment]
Your version of Excel allows you to read this threaded comment; however, any edits to it will get removed if the file is opened in a newer version of Excel. Learn more: https://go.microsoft.com/fwlink/?linkid=870924
Comment:
    Loss on leaving Venezuela biz</t>
      </text>
    </comment>
  </commentList>
</comments>
</file>

<file path=xl/sharedStrings.xml><?xml version="1.0" encoding="utf-8"?>
<sst xmlns="http://schemas.openxmlformats.org/spreadsheetml/2006/main" count="126" uniqueCount="114">
  <si>
    <t>P</t>
  </si>
  <si>
    <t>S</t>
  </si>
  <si>
    <t>MC</t>
  </si>
  <si>
    <t>C</t>
  </si>
  <si>
    <t>D</t>
  </si>
  <si>
    <t>EV</t>
  </si>
  <si>
    <t>Q323</t>
  </si>
  <si>
    <t>$M</t>
  </si>
  <si>
    <t>Q119</t>
  </si>
  <si>
    <t>Q419</t>
  </si>
  <si>
    <t>Q219</t>
  </si>
  <si>
    <t>Q319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</si>
  <si>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</si>
  <si>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</si>
  <si>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</si>
  <si>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</si>
  <si>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</si>
  <si>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</si>
  <si>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</si>
  <si>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</si>
  <si>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</si>
  <si>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</si>
  <si>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</si>
  <si>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Q222</t>
  </si>
  <si>
    <t>Revenues</t>
  </si>
  <si>
    <t>SG&amp;A</t>
  </si>
  <si>
    <t>TC + E</t>
  </si>
  <si>
    <t>Other op income</t>
  </si>
  <si>
    <t>Operating Income</t>
  </si>
  <si>
    <t>Interest expense</t>
  </si>
  <si>
    <t>EBT</t>
  </si>
  <si>
    <t>Taxes</t>
  </si>
  <si>
    <t>Net Income</t>
  </si>
  <si>
    <t>Interest and other income</t>
  </si>
  <si>
    <t>Income From Continuing Ops</t>
  </si>
  <si>
    <t>noncontrlling</t>
  </si>
  <si>
    <t xml:space="preserve">Brink's Net Income </t>
  </si>
  <si>
    <t>Diluted</t>
  </si>
  <si>
    <t>Eps</t>
  </si>
  <si>
    <t>Q123</t>
  </si>
  <si>
    <t>Q223</t>
  </si>
  <si>
    <t>Q423</t>
  </si>
  <si>
    <t>Growth Analysis</t>
  </si>
  <si>
    <t>Founded</t>
  </si>
  <si>
    <t>Founder</t>
  </si>
  <si>
    <t>CEO</t>
  </si>
  <si>
    <t>Mark Eubanks</t>
  </si>
  <si>
    <t xml:space="preserve">Terminal </t>
  </si>
  <si>
    <t>Discount</t>
  </si>
  <si>
    <t>NPV</t>
  </si>
  <si>
    <t>Net Cash</t>
  </si>
  <si>
    <t xml:space="preserve">Total Value </t>
  </si>
  <si>
    <t>Shares</t>
  </si>
  <si>
    <t xml:space="preserve">Estimate </t>
  </si>
  <si>
    <t>Total Liabilities + Equity</t>
  </si>
  <si>
    <t>Equity</t>
  </si>
  <si>
    <t>Borrowings</t>
  </si>
  <si>
    <t>Current debt</t>
  </si>
  <si>
    <t>A/P</t>
  </si>
  <si>
    <t>Accrued liabilities</t>
  </si>
  <si>
    <t>Restricted cash</t>
  </si>
  <si>
    <t>LTD</t>
  </si>
  <si>
    <t>Accrued pension costs</t>
  </si>
  <si>
    <t>Retirement benefits</t>
  </si>
  <si>
    <t>Lease Liabilities</t>
  </si>
  <si>
    <t>Deferred tax liabilities</t>
  </si>
  <si>
    <t>Other</t>
  </si>
  <si>
    <t>Cash</t>
  </si>
  <si>
    <t>A/R</t>
  </si>
  <si>
    <t>Prepaid expenses</t>
  </si>
  <si>
    <t>Right of use assets</t>
  </si>
  <si>
    <t>PPE</t>
  </si>
  <si>
    <t>Goodwill</t>
  </si>
  <si>
    <t>Other intangibles</t>
  </si>
  <si>
    <t>Deferred tax assets</t>
  </si>
  <si>
    <t xml:space="preserve">Total Assets </t>
  </si>
  <si>
    <t xml:space="preserve">Net Cash </t>
  </si>
  <si>
    <t>ROIC</t>
  </si>
  <si>
    <t>Current</t>
  </si>
  <si>
    <t>Upside</t>
  </si>
  <si>
    <t>North America</t>
  </si>
  <si>
    <t>Latin America</t>
  </si>
  <si>
    <t>Europe</t>
  </si>
  <si>
    <t>Rest of World</t>
  </si>
  <si>
    <t>About</t>
  </si>
  <si>
    <t>Leading global provider of cash/cash and valuables management, digital retail solutions, and ATM services</t>
  </si>
  <si>
    <t>Customers are financial institutions, retailers, gov't, mints, jewelers</t>
  </si>
  <si>
    <t>valuables management includes the transportation the transportation and storage of banknotes, previous metals, and other</t>
  </si>
  <si>
    <t>Vaulting services</t>
  </si>
  <si>
    <t>Other services</t>
  </si>
  <si>
    <t>Cash and Valuable Management</t>
  </si>
  <si>
    <t>Digital Retail Solutions &amp; ATM Managed Services</t>
  </si>
  <si>
    <t>Cash in transit services: transportation of cash between retail businesses, banks, credit unions, metals, other</t>
  </si>
  <si>
    <t>Basic ATM services: cash replenishment, treasury management, maintenance</t>
  </si>
  <si>
    <t>Brink's Global Services: transproting diamonds, jewelry, luxury goods, previous metals, securities, banknotes, currency, devices, art, pharmaceuticals</t>
  </si>
  <si>
    <t>Cash management services: counting, sorting, wrapping, cehcking condiiton of bills, maging, other</t>
  </si>
  <si>
    <t>Digital retail Solution</t>
  </si>
  <si>
    <t>ATM Managed Services</t>
  </si>
  <si>
    <t>Acquisitions</t>
  </si>
  <si>
    <t>NoteMachine @ $194M - U.K based on manages portfolio of ATMs</t>
  </si>
  <si>
    <t>PAI Midco, Inc @ $216M - largesdt privately held provider of ATM services in U.S.</t>
  </si>
  <si>
    <t>G4S</t>
  </si>
  <si>
    <t>HQ</t>
  </si>
  <si>
    <t>Richmond, Virgina</t>
  </si>
  <si>
    <t>Perry and Fidelia Brink</t>
  </si>
  <si>
    <t>Dunbar Armored</t>
  </si>
  <si>
    <t>Presses</t>
  </si>
  <si>
    <t>Q3'23</t>
  </si>
  <si>
    <t>Q2'23</t>
  </si>
  <si>
    <t>Q1'23</t>
  </si>
  <si>
    <t>Q4'22</t>
  </si>
  <si>
    <t>Q3'22</t>
  </si>
  <si>
    <t>Q2'22</t>
  </si>
  <si>
    <t>Q1'22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</si>
</sst>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0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2" fontId="0" fillId="0" borderId="0" xfId="0" applyNumberFormat="1"/>
    <xf numFmtId="3" fontId="0" fillId="2" borderId="0" xfId="0" applyNumberFormat="1" applyFill="1"/>
    <xf numFmtId="164" fontId="0" fillId="0" borderId="0" xfId="0" applyNumberFormat="1"/>
    <xf numFmtId="3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12700</xdr:colOff>
      <xdr:row>0</xdr:row>
      <xdr:rowOff>31750</xdr:rowOff>
    </xdr:from>
    <xdr:to>
      <xdr:col>21</xdr:col>
      <xdr:colOff>14941</xdr:colOff>
      <xdr:row>82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24AC00F-37DF-5617-7743-FE55B27AEBAC}"/>
            </a:ext>
          </a:extLst>
        </xdr:cNvPr>
        <xdr:cNvCxnSpPr/>
      </xdr:nvCxnSpPr>
      <xdr:spPr>
        <a:xfrm>
          <a:off x="10224994" y="31750"/>
          <a:ext cx="2241" cy="1225736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455706</xdr:colOff>
      <xdr:row>0</xdr:row>
      <xdr:rowOff>0</xdr:rowOff>
    </xdr:from>
    <xdr:to>
      <xdr:col>35</xdr:col>
      <xdr:colOff>12700</xdr:colOff>
      <xdr:row>84</xdr:row>
      <xdr:rowOff>7470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DB9300C-A388-C44E-BB28-92F73C7104D7}"/>
            </a:ext>
          </a:extLst>
        </xdr:cNvPr>
        <xdr:cNvCxnSpPr/>
      </xdr:nvCxnSpPr>
      <xdr:spPr>
        <a:xfrm flipH="1">
          <a:off x="16114059" y="0"/>
          <a:ext cx="27641" cy="124982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03499619-2FAD-4E40-B930-82650AF88B35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15" dT="2024-02-22T03:58:01.61" personId="{03499619-2FAD-4E40-B930-82650AF88B35}" id="{DEC92FE9-EC10-1B4D-AE5E-80D88853B909}">
    <text>Loss on leaving Venezuela biz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brinks.com/news-releases/news-release-details/brinks-announces-record-third-quarter-resul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6220-89A1-9A4D-B033-755736BF5BE0}">
  <dimension ref="A1:L29"/>
  <sheetViews>
    <sheetView tabSelected="1" zoomScale="140" zoomScaleNormal="140" workbookViewId="0">
      <selection activeCell="M6" sqref="M6"/>
    </sheetView>
  </sheetViews>
  <sheetFormatPr baseColWidth="10" defaultRowHeight="13"/>
  <cols>
    <col min="1" max="1" width="3.5" style="1" bestFit="1" customWidth="1"/>
    <col min="2" max="2" width="38.1640625" style="1" customWidth="1"/>
    <col min="3" max="9" width="10.83203125" style="1"/>
    <col min="10" max="10" width="3.6640625" style="1" bestFit="1" customWidth="1"/>
    <col min="11" max="11" width="5.6640625" style="1" bestFit="1" customWidth="1"/>
    <col min="12" max="12" width="5.5" style="1" bestFit="1" customWidth="1"/>
    <col min="13" max="16384" width="10.83203125" style="1"/>
  </cols>
  <sheetData>
    <row r="1" spans="1:12">
      <c r="A1" s="1" t="s">
        <v>7</v>
      </c>
    </row>
    <row r="2" spans="1:12">
      <c r="B2" s="1" t="s">
        <v>102</v>
      </c>
      <c r="C2" s="1" t="s">
        <v>103</v>
      </c>
    </row>
    <row r="3" spans="1:12">
      <c r="B3" s="1" t="s">
        <v>43</v>
      </c>
      <c r="C3" s="2">
        <v>1859</v>
      </c>
    </row>
    <row r="4" spans="1:12">
      <c r="B4" s="1" t="s">
        <v>44</v>
      </c>
      <c r="C4" s="1" t="s">
        <v>104</v>
      </c>
      <c r="J4" s="1" t="s">
        <v>0</v>
      </c>
      <c r="K4" s="1">
        <v>80.84</v>
      </c>
    </row>
    <row r="5" spans="1:12">
      <c r="B5" s="1" t="s">
        <v>45</v>
      </c>
      <c r="C5" s="1" t="s">
        <v>46</v>
      </c>
      <c r="J5" s="1" t="s">
        <v>1</v>
      </c>
      <c r="K5" s="1">
        <v>45.051141000000001</v>
      </c>
      <c r="L5" s="1" t="s">
        <v>6</v>
      </c>
    </row>
    <row r="6" spans="1:12">
      <c r="J6" s="1" t="s">
        <v>2</v>
      </c>
      <c r="K6" s="1">
        <f>+K4*K5</f>
        <v>3641.9342384400002</v>
      </c>
    </row>
    <row r="7" spans="1:12">
      <c r="J7" s="1" t="s">
        <v>3</v>
      </c>
      <c r="K7" s="1">
        <f>933.5+387</f>
        <v>1320.5</v>
      </c>
      <c r="L7" s="1" t="str">
        <f>+L5</f>
        <v>Q323</v>
      </c>
    </row>
    <row r="8" spans="1:12">
      <c r="B8" s="3" t="s">
        <v>98</v>
      </c>
      <c r="D8" s="3" t="s">
        <v>106</v>
      </c>
      <c r="J8" s="1" t="s">
        <v>4</v>
      </c>
      <c r="K8" s="1">
        <f>124.9+92+3202.2</f>
        <v>3419.1</v>
      </c>
      <c r="L8" s="1" t="str">
        <f>+L7</f>
        <v>Q323</v>
      </c>
    </row>
    <row r="9" spans="1:12">
      <c r="B9" s="1" t="s">
        <v>99</v>
      </c>
      <c r="D9" s="8" t="s">
        <v>107</v>
      </c>
      <c r="J9" s="1" t="s">
        <v>5</v>
      </c>
      <c r="K9" s="1">
        <f>+K6-K7+K8</f>
        <v>5740.5342384400001</v>
      </c>
    </row>
    <row r="10" spans="1:12">
      <c r="B10" s="1" t="s">
        <v>100</v>
      </c>
      <c r="D10" s="1" t="s">
        <v>108</v>
      </c>
    </row>
    <row r="11" spans="1:12">
      <c r="B11" s="1" t="s">
        <v>101</v>
      </c>
      <c r="D11" s="1" t="s">
        <v>109</v>
      </c>
    </row>
    <row r="12" spans="1:12">
      <c r="B12" s="1" t="s">
        <v>105</v>
      </c>
      <c r="D12" s="1" t="s">
        <v>110</v>
      </c>
    </row>
    <row r="13" spans="1:12">
      <c r="D13" s="1" t="s">
        <v>111</v>
      </c>
    </row>
    <row r="14" spans="1:12">
      <c r="B14" s="3" t="s">
        <v>84</v>
      </c>
      <c r="D14" s="1" t="s">
        <v>112</v>
      </c>
    </row>
    <row r="15" spans="1:12">
      <c r="B15" s="1" t="s">
        <v>85</v>
      </c>
      <c r="D15" s="1" t="s">
        <v>113</v>
      </c>
    </row>
    <row r="16" spans="1:12">
      <c r="B16" s="1" t="s">
        <v>86</v>
      </c>
    </row>
    <row r="17" spans="2:2">
      <c r="B17" s="1" t="s">
        <v>87</v>
      </c>
    </row>
    <row r="19" spans="2:2">
      <c r="B19" s="3" t="s">
        <v>90</v>
      </c>
    </row>
    <row r="20" spans="2:2">
      <c r="B20" s="1" t="s">
        <v>92</v>
      </c>
    </row>
    <row r="21" spans="2:2">
      <c r="B21" s="1" t="s">
        <v>93</v>
      </c>
    </row>
    <row r="22" spans="2:2">
      <c r="B22" s="1" t="s">
        <v>94</v>
      </c>
    </row>
    <row r="23" spans="2:2">
      <c r="B23" s="1" t="s">
        <v>95</v>
      </c>
    </row>
    <row r="24" spans="2:2">
      <c r="B24" s="1" t="s">
        <v>88</v>
      </c>
    </row>
    <row r="25" spans="2:2">
      <c r="B25" s="1" t="s">
        <v>89</v>
      </c>
    </row>
    <row r="27" spans="2:2">
      <c r="B27" s="3" t="s">
        <v>91</v>
      </c>
    </row>
    <row r="28" spans="2:2">
      <c r="B28" s="1" t="s">
        <v>96</v>
      </c>
    </row>
    <row r="29" spans="2:2">
      <c r="B29" s="1" t="s">
        <v>97</v>
      </c>
    </row>
  </sheetData>
  <hyperlinks>
    <hyperlink ref="D9" r:id="rId1" xr:uid="{3A1DF859-CBCF-114F-92DB-DE0A556663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096C-5F58-B543-AB30-0D5A7B2C30D9}">
  <dimension ref="A1:IZ61"/>
  <sheetViews>
    <sheetView zoomScale="170" zoomScaleNormal="17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R34" sqref="R34"/>
    </sheetView>
  </sheetViews>
  <sheetFormatPr baseColWidth="10" defaultRowHeight="13"/>
  <cols>
    <col min="1" max="1" width="3.5" style="1" bestFit="1" customWidth="1"/>
    <col min="2" max="2" width="24" style="1" bestFit="1" customWidth="1"/>
    <col min="3" max="9" width="5.5" style="1" bestFit="1" customWidth="1"/>
    <col min="10" max="10" width="5.6640625" style="1" bestFit="1" customWidth="1"/>
    <col min="11" max="11" width="5.5" style="1" bestFit="1" customWidth="1"/>
    <col min="12" max="20" width="5.6640625" style="1" bestFit="1" customWidth="1"/>
    <col min="21" max="21" width="5.6640625" style="1" customWidth="1"/>
    <col min="22" max="22" width="5.6640625" style="1" bestFit="1" customWidth="1"/>
    <col min="23" max="27" width="5.5" style="1" customWidth="1"/>
    <col min="28" max="30" width="5.1640625" style="1" bestFit="1" customWidth="1"/>
    <col min="31" max="34" width="5.6640625" style="1" bestFit="1" customWidth="1"/>
    <col min="35" max="40" width="6.1640625" style="1" bestFit="1" customWidth="1"/>
    <col min="41" max="45" width="5.6640625" style="1" bestFit="1" customWidth="1"/>
    <col min="46" max="47" width="4.1640625" style="1" bestFit="1" customWidth="1"/>
    <col min="48" max="48" width="10.5" style="1" bestFit="1" customWidth="1"/>
    <col min="49" max="49" width="6.1640625" style="1" bestFit="1" customWidth="1"/>
    <col min="50" max="260" width="4.1640625" style="1" bestFit="1" customWidth="1"/>
    <col min="261" max="16384" width="10.83203125" style="1"/>
  </cols>
  <sheetData>
    <row r="1" spans="1:45">
      <c r="A1" s="1" t="s">
        <v>7</v>
      </c>
    </row>
    <row r="2" spans="1:45" s="2" customFormat="1">
      <c r="A2" s="1"/>
      <c r="B2" s="1"/>
      <c r="C2" s="1" t="s">
        <v>8</v>
      </c>
      <c r="D2" s="1" t="s">
        <v>10</v>
      </c>
      <c r="E2" s="1" t="s">
        <v>11</v>
      </c>
      <c r="F2" s="1" t="s">
        <v>9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23</v>
      </c>
      <c r="Q2" s="1" t="s">
        <v>21</v>
      </c>
      <c r="R2" s="1" t="s">
        <v>22</v>
      </c>
      <c r="S2" s="1" t="s">
        <v>39</v>
      </c>
      <c r="T2" s="1" t="s">
        <v>40</v>
      </c>
      <c r="U2" s="2" t="s">
        <v>6</v>
      </c>
      <c r="V2" s="2" t="s">
        <v>41</v>
      </c>
      <c r="AB2" s="2">
        <v>2015</v>
      </c>
      <c r="AC2" s="2">
        <f t="shared" ref="AC2:AS2" si="0">+AB2+1</f>
        <v>2016</v>
      </c>
      <c r="AD2" s="2">
        <f t="shared" si="0"/>
        <v>2017</v>
      </c>
      <c r="AE2" s="2">
        <f t="shared" si="0"/>
        <v>2018</v>
      </c>
      <c r="AF2" s="2">
        <f t="shared" si="0"/>
        <v>2019</v>
      </c>
      <c r="AG2" s="2">
        <f t="shared" si="0"/>
        <v>2020</v>
      </c>
      <c r="AH2" s="2">
        <f t="shared" si="0"/>
        <v>2021</v>
      </c>
      <c r="AI2" s="2">
        <f t="shared" si="0"/>
        <v>2022</v>
      </c>
      <c r="AJ2" s="2">
        <f t="shared" si="0"/>
        <v>2023</v>
      </c>
      <c r="AK2" s="2">
        <f t="shared" si="0"/>
        <v>2024</v>
      </c>
      <c r="AL2" s="2">
        <f t="shared" si="0"/>
        <v>2025</v>
      </c>
      <c r="AM2" s="2">
        <f t="shared" si="0"/>
        <v>2026</v>
      </c>
      <c r="AN2" s="2">
        <f t="shared" si="0"/>
        <v>2027</v>
      </c>
      <c r="AO2" s="2">
        <f t="shared" si="0"/>
        <v>2028</v>
      </c>
      <c r="AP2" s="2">
        <f t="shared" si="0"/>
        <v>2029</v>
      </c>
      <c r="AQ2" s="2">
        <f t="shared" si="0"/>
        <v>2030</v>
      </c>
      <c r="AR2" s="2">
        <f t="shared" si="0"/>
        <v>2031</v>
      </c>
      <c r="AS2" s="2">
        <f t="shared" si="0"/>
        <v>2032</v>
      </c>
    </row>
    <row r="3" spans="1:45" s="2" customFormat="1">
      <c r="A3" s="1"/>
      <c r="B3" s="1" t="s">
        <v>80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>
        <v>400.6</v>
      </c>
      <c r="R3" s="1"/>
      <c r="S3" s="1"/>
      <c r="T3" s="1"/>
      <c r="U3" s="2">
        <v>398.1</v>
      </c>
    </row>
    <row r="4" spans="1:45" s="2" customFormat="1">
      <c r="A4" s="1"/>
      <c r="B4" s="1" t="s">
        <v>81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>
        <v>301.10000000000002</v>
      </c>
      <c r="R4" s="1"/>
      <c r="S4" s="1"/>
      <c r="T4" s="1"/>
      <c r="U4" s="2">
        <v>339.6</v>
      </c>
    </row>
    <row r="5" spans="1:45" s="2" customFormat="1">
      <c r="A5" s="1"/>
      <c r="B5" s="1" t="s">
        <v>82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>
        <v>220</v>
      </c>
      <c r="R5" s="1"/>
      <c r="S5" s="1"/>
      <c r="T5" s="1"/>
      <c r="U5" s="2">
        <v>287.8</v>
      </c>
    </row>
    <row r="6" spans="1:45" s="2" customFormat="1">
      <c r="A6" s="1"/>
      <c r="B6" s="1" t="s">
        <v>83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>
        <v>215</v>
      </c>
      <c r="R6" s="1"/>
      <c r="S6" s="1"/>
      <c r="T6" s="1"/>
      <c r="U6" s="2">
        <v>201.9</v>
      </c>
    </row>
    <row r="7" spans="1:45">
      <c r="B7" s="1" t="s">
        <v>24</v>
      </c>
      <c r="C7" s="1">
        <v>905</v>
      </c>
      <c r="D7" s="1">
        <v>914</v>
      </c>
      <c r="E7" s="1">
        <v>928.4</v>
      </c>
      <c r="F7" s="1">
        <f>+AF7-SUM(C7:E7)</f>
        <v>935.79999999999973</v>
      </c>
      <c r="G7" s="1">
        <v>872.8</v>
      </c>
      <c r="H7" s="1">
        <v>826</v>
      </c>
      <c r="I7" s="1">
        <v>970.5</v>
      </c>
      <c r="J7" s="1">
        <f>+AG7-SUM(G7:I7)</f>
        <v>1021.5999999999999</v>
      </c>
      <c r="K7" s="1">
        <v>977.7</v>
      </c>
      <c r="L7" s="1">
        <v>1048.8</v>
      </c>
      <c r="M7" s="1">
        <v>1075.5</v>
      </c>
      <c r="N7" s="1">
        <f>+AH7-SUM(K7:M7)</f>
        <v>1098.1999999999998</v>
      </c>
      <c r="O7" s="1">
        <v>1074</v>
      </c>
      <c r="P7" s="1">
        <v>1133.9000000000001</v>
      </c>
      <c r="Q7" s="1">
        <f>SUM(Q3:Q6)</f>
        <v>1136.7</v>
      </c>
      <c r="R7" s="1">
        <f>+AI7-SUM(O7:Q7)</f>
        <v>1190.8999999999996</v>
      </c>
      <c r="S7" s="1">
        <v>1185.4000000000001</v>
      </c>
      <c r="T7" s="1">
        <v>1216.2</v>
      </c>
      <c r="U7" s="1">
        <f>SUM(U3:U6)</f>
        <v>1227.4000000000001</v>
      </c>
      <c r="V7" s="1">
        <f>+R7*1.05</f>
        <v>1250.4449999999997</v>
      </c>
      <c r="AE7" s="1">
        <v>3488.9</v>
      </c>
      <c r="AF7" s="1">
        <v>3683.2</v>
      </c>
      <c r="AG7" s="1">
        <v>3690.9</v>
      </c>
      <c r="AH7" s="1">
        <v>4200.2</v>
      </c>
      <c r="AI7" s="1">
        <v>4535.5</v>
      </c>
      <c r="AJ7" s="1">
        <f>SUM(S7:V7)</f>
        <v>4879.4449999999997</v>
      </c>
      <c r="AK7" s="1">
        <f>+AJ7*1.06</f>
        <v>5172.2116999999998</v>
      </c>
      <c r="AL7" s="1">
        <f t="shared" ref="AL7:AS7" si="1">+AK7*1.06</f>
        <v>5482.5444020000004</v>
      </c>
      <c r="AM7" s="1">
        <f t="shared" si="1"/>
        <v>5811.4970661200005</v>
      </c>
      <c r="AN7" s="1">
        <f t="shared" si="1"/>
        <v>6160.1868900872005</v>
      </c>
      <c r="AO7" s="1">
        <f t="shared" si="1"/>
        <v>6529.7981034924333</v>
      </c>
      <c r="AP7" s="1">
        <f t="shared" si="1"/>
        <v>6921.58598970198</v>
      </c>
      <c r="AQ7" s="1">
        <f t="shared" si="1"/>
        <v>7336.881149084099</v>
      </c>
      <c r="AR7" s="1">
        <f t="shared" si="1"/>
        <v>7777.0940180291454</v>
      </c>
      <c r="AS7" s="1">
        <f t="shared" si="1"/>
        <v>8243.719659110895</v>
      </c>
    </row>
    <row r="8" spans="1:45">
      <c r="B8" s="1" t="s">
        <v>3</v>
      </c>
      <c r="C8" s="1">
        <v>702.7</v>
      </c>
      <c r="D8" s="1">
        <v>708.5</v>
      </c>
      <c r="E8" s="1">
        <v>714.4</v>
      </c>
      <c r="F8" s="1">
        <f>+AF8-SUM(C8:E8)</f>
        <v>706.5</v>
      </c>
      <c r="G8" s="1">
        <v>693.4</v>
      </c>
      <c r="H8" s="1">
        <v>683.9</v>
      </c>
      <c r="I8" s="1">
        <v>742.9</v>
      </c>
      <c r="J8" s="1">
        <f>+AG8-SUM(G8:I8)</f>
        <v>757.10000000000036</v>
      </c>
      <c r="K8" s="1">
        <v>758.8</v>
      </c>
      <c r="L8" s="1">
        <v>819.2</v>
      </c>
      <c r="M8" s="1">
        <v>837.6</v>
      </c>
      <c r="N8" s="1">
        <f>+AH8-SUM(K8:M8)</f>
        <v>820.20000000000027</v>
      </c>
      <c r="O8" s="1">
        <v>839.7</v>
      </c>
      <c r="P8" s="1">
        <v>867.5</v>
      </c>
      <c r="Q8" s="1">
        <v>880.7</v>
      </c>
      <c r="R8" s="1">
        <f>+AI8-SUM(O8:Q8)</f>
        <v>874</v>
      </c>
      <c r="S8" s="1">
        <v>920.3</v>
      </c>
      <c r="T8" s="1">
        <v>943.8</v>
      </c>
      <c r="U8" s="1">
        <v>921</v>
      </c>
      <c r="V8" s="1">
        <f>+V$7*(R8/R$7)</f>
        <v>917.7</v>
      </c>
      <c r="AE8" s="1">
        <v>2703.3</v>
      </c>
      <c r="AF8" s="1">
        <v>2832.1</v>
      </c>
      <c r="AG8" s="1">
        <v>2877.3</v>
      </c>
      <c r="AH8" s="1">
        <v>3235.8</v>
      </c>
      <c r="AI8" s="1">
        <v>3461.9</v>
      </c>
      <c r="AJ8" s="1">
        <f t="shared" ref="AJ8:AJ22" si="2">SUM(S8:V8)</f>
        <v>3702.8</v>
      </c>
      <c r="AK8" s="1">
        <f>+AJ8*1.054</f>
        <v>3902.7512000000002</v>
      </c>
      <c r="AL8" s="1">
        <f t="shared" ref="AL8:AS8" si="3">+AK8*1.054</f>
        <v>4113.4997648000008</v>
      </c>
      <c r="AM8" s="1">
        <f t="shared" si="3"/>
        <v>4335.6287520992009</v>
      </c>
      <c r="AN8" s="1">
        <f t="shared" si="3"/>
        <v>4569.7527047125577</v>
      </c>
      <c r="AO8" s="1">
        <f t="shared" si="3"/>
        <v>4816.5193507670365</v>
      </c>
      <c r="AP8" s="1">
        <f t="shared" si="3"/>
        <v>5076.6113957084563</v>
      </c>
      <c r="AQ8" s="1">
        <f t="shared" si="3"/>
        <v>5350.7484110767127</v>
      </c>
      <c r="AR8" s="1">
        <f t="shared" si="3"/>
        <v>5639.6888252748558</v>
      </c>
      <c r="AS8" s="1">
        <f t="shared" si="3"/>
        <v>5944.2320218396981</v>
      </c>
    </row>
    <row r="9" spans="1:45">
      <c r="B9" s="1" t="s">
        <v>25</v>
      </c>
      <c r="C9" s="1">
        <v>141.69999999999999</v>
      </c>
      <c r="D9" s="1">
        <v>154.6</v>
      </c>
      <c r="E9" s="1">
        <v>155</v>
      </c>
      <c r="F9" s="1">
        <f>+AF9-SUM(C9:E9)</f>
        <v>153.60000000000002</v>
      </c>
      <c r="G9" s="1">
        <v>148.1</v>
      </c>
      <c r="H9" s="1">
        <v>139.6</v>
      </c>
      <c r="I9" s="1">
        <v>141.4</v>
      </c>
      <c r="J9" s="1">
        <f>+AG9-SUM(G9:I9)</f>
        <v>155.39999999999998</v>
      </c>
      <c r="K9" s="1">
        <v>154.30000000000001</v>
      </c>
      <c r="L9" s="1">
        <v>155.80000000000001</v>
      </c>
      <c r="M9" s="1">
        <v>161.9</v>
      </c>
      <c r="N9" s="1">
        <f>+AH9-SUM(K9:M9)</f>
        <v>157.70000000000005</v>
      </c>
      <c r="O9" s="1">
        <v>171.6</v>
      </c>
      <c r="P9" s="1">
        <v>167.5</v>
      </c>
      <c r="Q9" s="1">
        <v>180.8</v>
      </c>
      <c r="R9" s="1">
        <f>+AI9-SUM(O9:Q9)</f>
        <v>167.09999999999991</v>
      </c>
      <c r="S9" s="1">
        <v>177</v>
      </c>
      <c r="T9" s="1">
        <v>170.6</v>
      </c>
      <c r="U9" s="1">
        <v>170</v>
      </c>
      <c r="V9" s="1">
        <f>+V$7*(R9/R$7)</f>
        <v>175.45499999999993</v>
      </c>
      <c r="AE9" s="1">
        <v>509.2</v>
      </c>
      <c r="AF9" s="1">
        <v>604.9</v>
      </c>
      <c r="AG9" s="1">
        <v>584.5</v>
      </c>
      <c r="AH9" s="1">
        <v>629.70000000000005</v>
      </c>
      <c r="AI9" s="1">
        <v>687</v>
      </c>
      <c r="AJ9" s="1">
        <f t="shared" si="2"/>
        <v>693.05499999999995</v>
      </c>
      <c r="AK9" s="1">
        <f>+AK7*(AJ9/AJ7)</f>
        <v>734.63830000000007</v>
      </c>
      <c r="AL9" s="1">
        <f t="shared" ref="AL9:AS9" si="4">+AL7*(AK9/AK7)</f>
        <v>778.71659800000009</v>
      </c>
      <c r="AM9" s="1">
        <f t="shared" si="4"/>
        <v>825.43959388000007</v>
      </c>
      <c r="AN9" s="1">
        <f t="shared" si="4"/>
        <v>874.96596951280014</v>
      </c>
      <c r="AO9" s="1">
        <f t="shared" si="4"/>
        <v>927.46392768356827</v>
      </c>
      <c r="AP9" s="1">
        <f t="shared" si="4"/>
        <v>983.11176334458241</v>
      </c>
      <c r="AQ9" s="1">
        <f t="shared" si="4"/>
        <v>1042.0984691452575</v>
      </c>
      <c r="AR9" s="1">
        <f t="shared" si="4"/>
        <v>1104.6243772939729</v>
      </c>
      <c r="AS9" s="1">
        <f t="shared" si="4"/>
        <v>1170.9018399316114</v>
      </c>
    </row>
    <row r="10" spans="1:45">
      <c r="B10" s="1" t="s">
        <v>26</v>
      </c>
      <c r="C10" s="1">
        <f t="shared" ref="C10:U10" si="5">+SUM(C8:C9)</f>
        <v>844.40000000000009</v>
      </c>
      <c r="D10" s="1">
        <f t="shared" si="5"/>
        <v>863.1</v>
      </c>
      <c r="E10" s="1">
        <f t="shared" si="5"/>
        <v>869.4</v>
      </c>
      <c r="F10" s="1">
        <f t="shared" si="5"/>
        <v>860.1</v>
      </c>
      <c r="G10" s="1">
        <f t="shared" si="5"/>
        <v>841.5</v>
      </c>
      <c r="H10" s="1">
        <f t="shared" si="5"/>
        <v>823.5</v>
      </c>
      <c r="I10" s="1">
        <f t="shared" si="5"/>
        <v>884.3</v>
      </c>
      <c r="J10" s="1">
        <f t="shared" si="5"/>
        <v>912.50000000000034</v>
      </c>
      <c r="K10" s="1">
        <f t="shared" si="5"/>
        <v>913.09999999999991</v>
      </c>
      <c r="L10" s="1">
        <f t="shared" si="5"/>
        <v>975</v>
      </c>
      <c r="M10" s="1">
        <f t="shared" si="5"/>
        <v>999.5</v>
      </c>
      <c r="N10" s="1">
        <f t="shared" si="5"/>
        <v>977.90000000000032</v>
      </c>
      <c r="O10" s="1">
        <f t="shared" si="5"/>
        <v>1011.3000000000001</v>
      </c>
      <c r="P10" s="1">
        <f t="shared" si="5"/>
        <v>1035</v>
      </c>
      <c r="Q10" s="1">
        <f t="shared" si="5"/>
        <v>1061.5</v>
      </c>
      <c r="R10" s="1">
        <f t="shared" si="5"/>
        <v>1041.0999999999999</v>
      </c>
      <c r="S10" s="1">
        <f t="shared" si="5"/>
        <v>1097.3</v>
      </c>
      <c r="T10" s="1">
        <f t="shared" si="5"/>
        <v>1114.3999999999999</v>
      </c>
      <c r="U10" s="1">
        <f t="shared" si="5"/>
        <v>1091</v>
      </c>
      <c r="V10" s="1">
        <f t="shared" ref="V10:V20" si="6">+R10</f>
        <v>1041.0999999999999</v>
      </c>
      <c r="AE10" s="1">
        <f>+SUM(AE8:AE9)</f>
        <v>3212.5</v>
      </c>
      <c r="AF10" s="1">
        <f>+SUM(AF8:AF9)</f>
        <v>3437</v>
      </c>
      <c r="AG10" s="1">
        <f>+SUM(AG8:AG9)</f>
        <v>3461.8</v>
      </c>
      <c r="AH10" s="1">
        <f>+SUM(AH8:AH9)</f>
        <v>3865.5</v>
      </c>
      <c r="AI10" s="1">
        <f>+SUM(AI8:AI9)</f>
        <v>4148.8999999999996</v>
      </c>
      <c r="AJ10" s="1">
        <f t="shared" si="2"/>
        <v>4343.7999999999993</v>
      </c>
      <c r="AK10" s="1">
        <f>+SUM(AK8:AK9)</f>
        <v>4637.3895000000002</v>
      </c>
      <c r="AL10" s="1">
        <f t="shared" ref="AL10:AS10" si="7">+SUM(AL8:AL9)</f>
        <v>4892.2163628000008</v>
      </c>
      <c r="AM10" s="1">
        <f t="shared" si="7"/>
        <v>5161.0683459792008</v>
      </c>
      <c r="AN10" s="1">
        <f t="shared" si="7"/>
        <v>5444.718674225358</v>
      </c>
      <c r="AO10" s="1">
        <f t="shared" si="7"/>
        <v>5743.9832784506052</v>
      </c>
      <c r="AP10" s="1">
        <f t="shared" si="7"/>
        <v>6059.7231590530391</v>
      </c>
      <c r="AQ10" s="1">
        <f t="shared" si="7"/>
        <v>6392.8468802219704</v>
      </c>
      <c r="AR10" s="1">
        <f t="shared" si="7"/>
        <v>6744.3132025688283</v>
      </c>
      <c r="AS10" s="1">
        <f t="shared" si="7"/>
        <v>7115.13386177131</v>
      </c>
    </row>
    <row r="11" spans="1:45">
      <c r="B11" s="1" t="s">
        <v>27</v>
      </c>
      <c r="C11" s="1">
        <v>-2.2000000000000002</v>
      </c>
      <c r="D11" s="1">
        <v>1.7</v>
      </c>
      <c r="E11" s="1">
        <v>-6.5</v>
      </c>
      <c r="F11" s="1">
        <f>+AF11-SUM(C11:E11)</f>
        <v>-2.4000000000000004</v>
      </c>
      <c r="G11" s="1">
        <v>-5.0999999999999996</v>
      </c>
      <c r="H11" s="1">
        <v>-3.5</v>
      </c>
      <c r="I11" s="1">
        <v>-9.8000000000000007</v>
      </c>
      <c r="J11" s="1">
        <f>+AG11-SUM(G11:I11)</f>
        <v>2.7999999999999989</v>
      </c>
      <c r="K11" s="1">
        <v>-2.9</v>
      </c>
      <c r="L11" s="1">
        <v>-0.5</v>
      </c>
      <c r="M11" s="1">
        <v>-1.8</v>
      </c>
      <c r="N11" s="1">
        <f>+AH11-SUM(K11:M11)</f>
        <v>25.2</v>
      </c>
      <c r="O11" s="1">
        <v>-0.3</v>
      </c>
      <c r="P11" s="1">
        <v>-2.4</v>
      </c>
      <c r="Q11" s="1">
        <v>-15.7</v>
      </c>
      <c r="R11" s="1">
        <f>+AI11-SUM(O11:Q11)</f>
        <v>-6.9000000000000021</v>
      </c>
      <c r="S11" s="1">
        <v>-8.3000000000000007</v>
      </c>
      <c r="T11" s="1">
        <v>3.8</v>
      </c>
      <c r="U11" s="1">
        <v>1.3</v>
      </c>
      <c r="V11" s="1">
        <f>+V$7*(R11/R$7)</f>
        <v>-7.2450000000000019</v>
      </c>
      <c r="AE11" s="1">
        <v>-1.7</v>
      </c>
      <c r="AF11" s="1">
        <v>-9.4</v>
      </c>
      <c r="AG11" s="1">
        <v>-15.6</v>
      </c>
      <c r="AH11" s="1">
        <v>20</v>
      </c>
      <c r="AI11" s="1">
        <v>-25.3</v>
      </c>
      <c r="AJ11" s="1">
        <f t="shared" si="2"/>
        <v>-10.445000000000004</v>
      </c>
      <c r="AK11" s="1">
        <f>+AK10*(AJ11/AJ10)</f>
        <v>-11.150958452852349</v>
      </c>
      <c r="AL11" s="1">
        <f t="shared" ref="AL11:AS11" si="8">+AL10*(AK11/AK10)</f>
        <v>-11.763709173867591</v>
      </c>
      <c r="AM11" s="1">
        <f t="shared" si="8"/>
        <v>-12.410184371691328</v>
      </c>
      <c r="AN11" s="1">
        <f t="shared" si="8"/>
        <v>-13.09224332434364</v>
      </c>
      <c r="AO11" s="1">
        <f t="shared" si="8"/>
        <v>-13.811848000234036</v>
      </c>
      <c r="AP11" s="1">
        <f t="shared" si="8"/>
        <v>-14.571068740805064</v>
      </c>
      <c r="AQ11" s="1">
        <f t="shared" si="8"/>
        <v>-15.372090258280428</v>
      </c>
      <c r="AR11" s="1">
        <f t="shared" si="8"/>
        <v>-16.217217966027775</v>
      </c>
      <c r="AS11" s="1">
        <f t="shared" si="8"/>
        <v>-17.108884660021499</v>
      </c>
    </row>
    <row r="12" spans="1:45">
      <c r="B12" s="1" t="s">
        <v>28</v>
      </c>
      <c r="C12" s="1">
        <f t="shared" ref="C12:U12" si="9">+C7-C10+C11</f>
        <v>58.399999999999906</v>
      </c>
      <c r="D12" s="1">
        <f t="shared" si="9"/>
        <v>52.59999999999998</v>
      </c>
      <c r="E12" s="1">
        <f t="shared" si="9"/>
        <v>52.5</v>
      </c>
      <c r="F12" s="1">
        <f t="shared" si="9"/>
        <v>73.299999999999699</v>
      </c>
      <c r="G12" s="1">
        <f t="shared" si="9"/>
        <v>26.199999999999953</v>
      </c>
      <c r="H12" s="1">
        <f t="shared" si="9"/>
        <v>-1</v>
      </c>
      <c r="I12" s="1">
        <f t="shared" si="9"/>
        <v>76.400000000000048</v>
      </c>
      <c r="J12" s="1">
        <f t="shared" si="9"/>
        <v>111.89999999999957</v>
      </c>
      <c r="K12" s="1">
        <f t="shared" si="9"/>
        <v>61.700000000000138</v>
      </c>
      <c r="L12" s="1">
        <f t="shared" si="9"/>
        <v>73.299999999999955</v>
      </c>
      <c r="M12" s="1">
        <f t="shared" si="9"/>
        <v>74.2</v>
      </c>
      <c r="N12" s="1">
        <f t="shared" si="9"/>
        <v>145.49999999999949</v>
      </c>
      <c r="O12" s="1">
        <f t="shared" si="9"/>
        <v>62.399999999999935</v>
      </c>
      <c r="P12" s="1">
        <f t="shared" si="9"/>
        <v>96.500000000000085</v>
      </c>
      <c r="Q12" s="1">
        <f t="shared" si="9"/>
        <v>59.500000000000043</v>
      </c>
      <c r="R12" s="1">
        <f t="shared" si="9"/>
        <v>142.89999999999972</v>
      </c>
      <c r="S12" s="1">
        <f t="shared" si="9"/>
        <v>79.800000000000139</v>
      </c>
      <c r="T12" s="1">
        <f t="shared" si="9"/>
        <v>105.60000000000018</v>
      </c>
      <c r="U12" s="1">
        <f t="shared" si="9"/>
        <v>137.7000000000001</v>
      </c>
      <c r="V12" s="1">
        <f t="shared" si="6"/>
        <v>142.89999999999972</v>
      </c>
      <c r="AE12" s="1">
        <f>+AE7-AE10+AE11</f>
        <v>274.7000000000001</v>
      </c>
      <c r="AF12" s="1">
        <f>+AF7-AF10+AF11</f>
        <v>236.79999999999981</v>
      </c>
      <c r="AG12" s="1">
        <f>+AG7-AG10+AG11</f>
        <v>213.49999999999991</v>
      </c>
      <c r="AH12" s="1">
        <f>+AH7-AH10+AH11</f>
        <v>354.69999999999982</v>
      </c>
      <c r="AI12" s="1">
        <f>+AI7-AI10+AI11</f>
        <v>361.30000000000035</v>
      </c>
      <c r="AJ12" s="1">
        <f t="shared" si="2"/>
        <v>466.00000000000011</v>
      </c>
      <c r="AK12" s="1">
        <f>+AK7-AK10+AK11</f>
        <v>523.67124154714725</v>
      </c>
      <c r="AL12" s="1">
        <f t="shared" ref="AL12:AS12" si="10">+AL7-AL10+AL11</f>
        <v>578.5643300261321</v>
      </c>
      <c r="AM12" s="1">
        <f t="shared" si="10"/>
        <v>638.01853576910833</v>
      </c>
      <c r="AN12" s="1">
        <f t="shared" si="10"/>
        <v>702.37597253749891</v>
      </c>
      <c r="AO12" s="1">
        <f t="shared" si="10"/>
        <v>772.00297704159402</v>
      </c>
      <c r="AP12" s="1">
        <f t="shared" si="10"/>
        <v>847.29176190813575</v>
      </c>
      <c r="AQ12" s="1">
        <f t="shared" si="10"/>
        <v>928.66217860384813</v>
      </c>
      <c r="AR12" s="1">
        <f t="shared" si="10"/>
        <v>1016.5635974942894</v>
      </c>
      <c r="AS12" s="1">
        <f t="shared" si="10"/>
        <v>1111.4769126795636</v>
      </c>
    </row>
    <row r="13" spans="1:45">
      <c r="B13" s="1" t="s">
        <v>29</v>
      </c>
      <c r="C13" s="1">
        <v>-23</v>
      </c>
      <c r="D13" s="1">
        <v>-22.7</v>
      </c>
      <c r="E13" s="1">
        <v>-22.9</v>
      </c>
      <c r="F13" s="1">
        <f>+AF13-SUM(C13:E13)</f>
        <v>-22</v>
      </c>
      <c r="G13" s="1">
        <v>-20</v>
      </c>
      <c r="H13" s="1">
        <v>-23.2</v>
      </c>
      <c r="I13" s="1">
        <v>-27.1</v>
      </c>
      <c r="J13" s="1">
        <f>+AG13-SUM(G13:I13)</f>
        <v>-26.199999999999989</v>
      </c>
      <c r="K13" s="1">
        <v>-27.2</v>
      </c>
      <c r="L13" s="1">
        <v>-28.2</v>
      </c>
      <c r="M13" s="1">
        <v>-27.6</v>
      </c>
      <c r="N13" s="1">
        <f>+AH13-SUM(K13:M13)</f>
        <v>-29.200000000000003</v>
      </c>
      <c r="O13" s="1">
        <v>-27.9</v>
      </c>
      <c r="P13" s="1">
        <v>-32.4</v>
      </c>
      <c r="Q13" s="1">
        <v>-34.700000000000003</v>
      </c>
      <c r="R13" s="1">
        <f>+AI13-SUM(O13:Q13)</f>
        <v>-43.800000000000011</v>
      </c>
      <c r="S13" s="1">
        <v>-46.6</v>
      </c>
      <c r="T13" s="1">
        <v>-51.1</v>
      </c>
      <c r="U13" s="1">
        <v>-53.8</v>
      </c>
      <c r="V13" s="1">
        <f>+V$7*(R13/R$7)</f>
        <v>-45.990000000000016</v>
      </c>
      <c r="AE13" s="1">
        <v>-66.7</v>
      </c>
      <c r="AF13" s="1">
        <v>-90.6</v>
      </c>
      <c r="AG13" s="1">
        <v>-96.5</v>
      </c>
      <c r="AH13" s="1">
        <v>-112.2</v>
      </c>
      <c r="AI13" s="1">
        <v>-138.80000000000001</v>
      </c>
      <c r="AJ13" s="6">
        <f>+SUM(S13:V13)</f>
        <v>-197.49</v>
      </c>
      <c r="AK13" s="6">
        <f>+AJ13</f>
        <v>-197.49</v>
      </c>
      <c r="AL13" s="6">
        <f t="shared" ref="AL13:AS13" si="11">+AK13</f>
        <v>-197.49</v>
      </c>
      <c r="AM13" s="6">
        <f t="shared" si="11"/>
        <v>-197.49</v>
      </c>
      <c r="AN13" s="6">
        <f t="shared" si="11"/>
        <v>-197.49</v>
      </c>
      <c r="AO13" s="6">
        <f t="shared" si="11"/>
        <v>-197.49</v>
      </c>
      <c r="AP13" s="6">
        <f t="shared" si="11"/>
        <v>-197.49</v>
      </c>
      <c r="AQ13" s="6">
        <f t="shared" si="11"/>
        <v>-197.49</v>
      </c>
      <c r="AR13" s="6">
        <f t="shared" si="11"/>
        <v>-197.49</v>
      </c>
      <c r="AS13" s="6">
        <f t="shared" si="11"/>
        <v>-197.49</v>
      </c>
    </row>
    <row r="14" spans="1:45">
      <c r="B14" s="1" t="s">
        <v>33</v>
      </c>
      <c r="C14" s="1">
        <v>-11.2</v>
      </c>
      <c r="D14" s="1">
        <v>-3.1</v>
      </c>
      <c r="E14" s="1">
        <v>-7.8</v>
      </c>
      <c r="F14" s="1">
        <f>+AF14-SUM(C14:E14)</f>
        <v>-30.600000000000005</v>
      </c>
      <c r="G14" s="1">
        <v>-15.6</v>
      </c>
      <c r="H14" s="1">
        <v>-3</v>
      </c>
      <c r="I14" s="1">
        <v>-12.8</v>
      </c>
      <c r="J14" s="1">
        <f>+AG14-SUM(G14:I14)</f>
        <v>-6.3000000000000007</v>
      </c>
      <c r="K14" s="1">
        <v>-5.5</v>
      </c>
      <c r="L14" s="1">
        <v>4.5999999999999996</v>
      </c>
      <c r="M14" s="1">
        <v>-0.7</v>
      </c>
      <c r="N14" s="1">
        <f>+AH14-SUM(K14:M14)</f>
        <v>-5.3999999999999995</v>
      </c>
      <c r="O14" s="1">
        <v>-1.3</v>
      </c>
      <c r="P14" s="1">
        <v>3.4</v>
      </c>
      <c r="Q14" s="1">
        <v>6.3</v>
      </c>
      <c r="R14" s="1">
        <f>+AI14-SUM(O14:Q14)</f>
        <v>-4.6999999999999984</v>
      </c>
      <c r="S14" s="1">
        <v>4.7</v>
      </c>
      <c r="T14" s="1">
        <v>4.0999999999999996</v>
      </c>
      <c r="U14" s="1">
        <v>2.9</v>
      </c>
      <c r="V14" s="1">
        <f>+V$7*(R14/R$7)</f>
        <v>-4.9349999999999987</v>
      </c>
      <c r="AE14" s="1">
        <v>-38.799999999999997</v>
      </c>
      <c r="AF14" s="1">
        <v>-52.7</v>
      </c>
      <c r="AG14" s="1">
        <v>-37.700000000000003</v>
      </c>
      <c r="AH14" s="1">
        <v>-7</v>
      </c>
      <c r="AI14" s="1">
        <v>3.7</v>
      </c>
      <c r="AJ14" s="1">
        <f t="shared" si="2"/>
        <v>6.7650000000000023</v>
      </c>
      <c r="AK14" s="1">
        <f>+AK$12*(AJ14/AJ$12)</f>
        <v>7.6022230666662045</v>
      </c>
      <c r="AL14" s="1">
        <f t="shared" ref="AL14:AS14" si="12">+AL$12*(AK14/AK$12)</f>
        <v>8.3991152202291506</v>
      </c>
      <c r="AM14" s="1">
        <f t="shared" si="12"/>
        <v>9.2622218765622701</v>
      </c>
      <c r="AN14" s="1">
        <f t="shared" si="12"/>
        <v>10.19650955840382</v>
      </c>
      <c r="AO14" s="1">
        <f t="shared" si="12"/>
        <v>11.207296437095243</v>
      </c>
      <c r="AP14" s="1">
        <f t="shared" si="12"/>
        <v>12.300276328988279</v>
      </c>
      <c r="AQ14" s="1">
        <f t="shared" si="12"/>
        <v>13.481544288100928</v>
      </c>
      <c r="AR14" s="1">
        <f t="shared" si="12"/>
        <v>14.757623899246497</v>
      </c>
      <c r="AS14" s="1">
        <f t="shared" si="12"/>
        <v>16.135496382569201</v>
      </c>
    </row>
    <row r="15" spans="1:45">
      <c r="B15" s="1" t="s">
        <v>30</v>
      </c>
      <c r="C15" s="1">
        <f t="shared" ref="C15:U15" si="13">+SUM(C12:C14)</f>
        <v>24.199999999999907</v>
      </c>
      <c r="D15" s="1">
        <f t="shared" si="13"/>
        <v>26.799999999999979</v>
      </c>
      <c r="E15" s="1">
        <f t="shared" si="13"/>
        <v>21.8</v>
      </c>
      <c r="F15" s="1">
        <f t="shared" si="13"/>
        <v>20.699999999999694</v>
      </c>
      <c r="G15" s="1">
        <f t="shared" si="13"/>
        <v>-9.4000000000000465</v>
      </c>
      <c r="H15" s="1">
        <f t="shared" si="13"/>
        <v>-27.2</v>
      </c>
      <c r="I15" s="1">
        <f t="shared" si="13"/>
        <v>36.500000000000043</v>
      </c>
      <c r="J15" s="1">
        <f t="shared" si="13"/>
        <v>79.399999999999579</v>
      </c>
      <c r="K15" s="1">
        <f t="shared" si="13"/>
        <v>29.000000000000142</v>
      </c>
      <c r="L15" s="1">
        <f t="shared" si="13"/>
        <v>49.699999999999953</v>
      </c>
      <c r="M15" s="1">
        <f t="shared" si="13"/>
        <v>45.9</v>
      </c>
      <c r="N15" s="1">
        <f t="shared" si="13"/>
        <v>110.89999999999948</v>
      </c>
      <c r="O15" s="1">
        <f t="shared" si="13"/>
        <v>33.199999999999939</v>
      </c>
      <c r="P15" s="1">
        <f t="shared" si="13"/>
        <v>67.500000000000085</v>
      </c>
      <c r="Q15" s="1">
        <f t="shared" si="13"/>
        <v>31.100000000000041</v>
      </c>
      <c r="R15" s="1">
        <f t="shared" si="13"/>
        <v>94.399999999999707</v>
      </c>
      <c r="S15" s="1">
        <f t="shared" si="13"/>
        <v>37.900000000000141</v>
      </c>
      <c r="T15" s="1">
        <f t="shared" si="13"/>
        <v>58.600000000000179</v>
      </c>
      <c r="U15" s="1">
        <f t="shared" si="13"/>
        <v>86.800000000000111</v>
      </c>
      <c r="V15" s="1">
        <f t="shared" si="6"/>
        <v>94.399999999999707</v>
      </c>
      <c r="AE15" s="1">
        <f>+SUM(AE12:AE14)-126.7</f>
        <v>42.500000000000099</v>
      </c>
      <c r="AF15" s="1">
        <f>+SUM(AF12:AF14)</f>
        <v>93.499999999999815</v>
      </c>
      <c r="AG15" s="1">
        <f>+SUM(AG12:AG14)</f>
        <v>79.299999999999912</v>
      </c>
      <c r="AH15" s="1">
        <f>+SUM(AH12:AH14)</f>
        <v>235.49999999999983</v>
      </c>
      <c r="AI15" s="1">
        <f>+SUM(AI12:AI14)</f>
        <v>226.20000000000033</v>
      </c>
      <c r="AJ15" s="1">
        <f t="shared" si="2"/>
        <v>277.7000000000001</v>
      </c>
      <c r="AK15" s="1">
        <f>+SUM(AK12:AK14)</f>
        <v>333.78346461381346</v>
      </c>
      <c r="AL15" s="1">
        <f t="shared" ref="AL15:AS15" si="14">+SUM(AL12:AL14)</f>
        <v>389.47344524636122</v>
      </c>
      <c r="AM15" s="1">
        <f t="shared" si="14"/>
        <v>449.79075764567057</v>
      </c>
      <c r="AN15" s="1">
        <f t="shared" si="14"/>
        <v>515.08248209590272</v>
      </c>
      <c r="AO15" s="1">
        <f t="shared" si="14"/>
        <v>585.72027347868925</v>
      </c>
      <c r="AP15" s="1">
        <f t="shared" si="14"/>
        <v>662.10203823712402</v>
      </c>
      <c r="AQ15" s="1">
        <f t="shared" si="14"/>
        <v>744.65372289194909</v>
      </c>
      <c r="AR15" s="1">
        <f t="shared" si="14"/>
        <v>833.83122139353588</v>
      </c>
      <c r="AS15" s="1">
        <f t="shared" si="14"/>
        <v>930.12240906213276</v>
      </c>
    </row>
    <row r="16" spans="1:45">
      <c r="B16" s="1" t="s">
        <v>31</v>
      </c>
      <c r="C16" s="1">
        <v>9.6999999999999993</v>
      </c>
      <c r="D16" s="1">
        <v>12.7</v>
      </c>
      <c r="E16" s="1">
        <v>14.7</v>
      </c>
      <c r="F16" s="1">
        <f>+AF16-SUM(C16:E16)</f>
        <v>23.900000000000006</v>
      </c>
      <c r="G16" s="1">
        <v>-12.2</v>
      </c>
      <c r="H16" s="1">
        <v>-43.2</v>
      </c>
      <c r="I16" s="1">
        <v>58.9</v>
      </c>
      <c r="J16" s="1">
        <f>+AG16-SUM(G16:I16)</f>
        <v>53.100000000000009</v>
      </c>
      <c r="K16" s="1">
        <v>13.6</v>
      </c>
      <c r="L16" s="1">
        <v>22.7</v>
      </c>
      <c r="M16" s="1">
        <v>22.9</v>
      </c>
      <c r="N16" s="1">
        <f>+AH16-SUM(K16:M16)</f>
        <v>61.1</v>
      </c>
      <c r="O16" s="1">
        <v>-41.1</v>
      </c>
      <c r="P16" s="1">
        <v>29.3</v>
      </c>
      <c r="Q16" s="1">
        <v>8.5</v>
      </c>
      <c r="R16" s="1">
        <f>+AI16-SUM(O16:Q16)</f>
        <v>44.7</v>
      </c>
      <c r="S16" s="1">
        <v>20.3</v>
      </c>
      <c r="T16" s="1">
        <v>23.4</v>
      </c>
      <c r="U16" s="1">
        <v>37.299999999999997</v>
      </c>
      <c r="V16" s="1">
        <f>+V$7*(R16/R$7)</f>
        <v>46.935000000000002</v>
      </c>
      <c r="AE16" s="1">
        <v>70</v>
      </c>
      <c r="AF16" s="1">
        <v>61</v>
      </c>
      <c r="AG16" s="1">
        <v>56.6</v>
      </c>
      <c r="AH16" s="1">
        <v>120.3</v>
      </c>
      <c r="AI16" s="1">
        <v>41.4</v>
      </c>
      <c r="AJ16" s="1">
        <f t="shared" si="2"/>
        <v>127.935</v>
      </c>
      <c r="AK16" s="1">
        <f>+AK$15*(AJ16/AJ$15)</f>
        <v>153.7723714273252</v>
      </c>
      <c r="AL16" s="1">
        <f>+AL$15*(AK16/AK$15)</f>
        <v>179.42846675402666</v>
      </c>
      <c r="AM16" s="1">
        <f t="shared" ref="AM16:AS16" si="15">+AM$15*(AL16/AL$15)</f>
        <v>207.21635066402175</v>
      </c>
      <c r="AN16" s="1">
        <f t="shared" si="15"/>
        <v>237.29592130694738</v>
      </c>
      <c r="AO16" s="1">
        <f t="shared" si="15"/>
        <v>269.83839822648929</v>
      </c>
      <c r="AP16" s="1">
        <f t="shared" si="15"/>
        <v>305.02709492929932</v>
      </c>
      <c r="AQ16" s="1">
        <f t="shared" si="15"/>
        <v>343.05824284544997</v>
      </c>
      <c r="AR16" s="1">
        <f t="shared" si="15"/>
        <v>384.14187003594509</v>
      </c>
      <c r="AS16" s="1">
        <f t="shared" si="15"/>
        <v>428.50273821881126</v>
      </c>
    </row>
    <row r="17" spans="2:260">
      <c r="B17" s="1" t="s">
        <v>34</v>
      </c>
      <c r="C17" s="1">
        <f t="shared" ref="C17:U17" si="16">+C15-C16</f>
        <v>14.499999999999908</v>
      </c>
      <c r="D17" s="1">
        <f t="shared" si="16"/>
        <v>14.09999999999998</v>
      </c>
      <c r="E17" s="1">
        <f t="shared" si="16"/>
        <v>7.1000000000000014</v>
      </c>
      <c r="F17" s="1">
        <f t="shared" si="16"/>
        <v>-3.2000000000003119</v>
      </c>
      <c r="G17" s="1">
        <f t="shared" si="16"/>
        <v>2.7999999999999527</v>
      </c>
      <c r="H17" s="1">
        <f t="shared" si="16"/>
        <v>16.000000000000004</v>
      </c>
      <c r="I17" s="1">
        <f t="shared" si="16"/>
        <v>-22.399999999999956</v>
      </c>
      <c r="J17" s="1">
        <f t="shared" si="16"/>
        <v>26.299999999999571</v>
      </c>
      <c r="K17" s="1">
        <f t="shared" si="16"/>
        <v>15.400000000000142</v>
      </c>
      <c r="L17" s="1">
        <f t="shared" si="16"/>
        <v>26.999999999999954</v>
      </c>
      <c r="M17" s="1">
        <f t="shared" si="16"/>
        <v>23</v>
      </c>
      <c r="N17" s="1">
        <f t="shared" si="16"/>
        <v>49.799999999999478</v>
      </c>
      <c r="O17" s="1">
        <f t="shared" si="16"/>
        <v>74.29999999999994</v>
      </c>
      <c r="P17" s="1">
        <f t="shared" si="16"/>
        <v>38.200000000000088</v>
      </c>
      <c r="Q17" s="1">
        <f t="shared" si="16"/>
        <v>22.600000000000041</v>
      </c>
      <c r="R17" s="1">
        <f t="shared" si="16"/>
        <v>49.699999999999704</v>
      </c>
      <c r="S17" s="1">
        <f t="shared" si="16"/>
        <v>17.60000000000014</v>
      </c>
      <c r="T17" s="1">
        <f t="shared" si="16"/>
        <v>35.20000000000018</v>
      </c>
      <c r="U17" s="1">
        <f t="shared" si="16"/>
        <v>49.500000000000114</v>
      </c>
      <c r="V17" s="1">
        <f t="shared" si="6"/>
        <v>49.699999999999704</v>
      </c>
      <c r="AE17" s="1">
        <f>+AE15-AE16</f>
        <v>-27.499999999999901</v>
      </c>
      <c r="AF17" s="1">
        <f>+AF15-AF16</f>
        <v>32.499999999999815</v>
      </c>
      <c r="AG17" s="1">
        <f>+AG15-AG16</f>
        <v>22.69999999999991</v>
      </c>
      <c r="AH17" s="1">
        <f>+AH15-AH16</f>
        <v>115.19999999999983</v>
      </c>
      <c r="AI17" s="1">
        <f>+AI15-AI16</f>
        <v>184.80000000000032</v>
      </c>
      <c r="AJ17" s="1">
        <f t="shared" si="2"/>
        <v>152.00000000000014</v>
      </c>
      <c r="AK17" s="1">
        <f>+AK15-AK16</f>
        <v>180.01109318648827</v>
      </c>
      <c r="AL17" s="1">
        <f t="shared" ref="AL17:AS17" si="17">+AL15-AL16</f>
        <v>210.04497849233456</v>
      </c>
      <c r="AM17" s="1">
        <f t="shared" si="17"/>
        <v>242.57440698164882</v>
      </c>
      <c r="AN17" s="1">
        <f t="shared" si="17"/>
        <v>277.78656078895534</v>
      </c>
      <c r="AO17" s="1">
        <f t="shared" si="17"/>
        <v>315.88187525219996</v>
      </c>
      <c r="AP17" s="1">
        <f t="shared" si="17"/>
        <v>357.0749433078247</v>
      </c>
      <c r="AQ17" s="1">
        <f t="shared" si="17"/>
        <v>401.59548004649912</v>
      </c>
      <c r="AR17" s="1">
        <f t="shared" si="17"/>
        <v>449.68935135759079</v>
      </c>
      <c r="AS17" s="1">
        <f t="shared" si="17"/>
        <v>501.6196708433215</v>
      </c>
    </row>
    <row r="18" spans="2:260">
      <c r="B18" s="1" t="s">
        <v>32</v>
      </c>
      <c r="C18" s="1">
        <f t="shared" ref="C18:U18" si="18">+SUM(C17:C17)</f>
        <v>14.499999999999908</v>
      </c>
      <c r="D18" s="1">
        <f t="shared" si="18"/>
        <v>14.09999999999998</v>
      </c>
      <c r="E18" s="1">
        <f t="shared" si="18"/>
        <v>7.1000000000000014</v>
      </c>
      <c r="F18" s="1">
        <f t="shared" si="18"/>
        <v>-3.2000000000003119</v>
      </c>
      <c r="G18" s="1">
        <f t="shared" si="18"/>
        <v>2.7999999999999527</v>
      </c>
      <c r="H18" s="1">
        <f t="shared" si="18"/>
        <v>16.000000000000004</v>
      </c>
      <c r="I18" s="1">
        <f t="shared" si="18"/>
        <v>-22.399999999999956</v>
      </c>
      <c r="J18" s="1">
        <f t="shared" si="18"/>
        <v>26.299999999999571</v>
      </c>
      <c r="K18" s="1">
        <f t="shared" si="18"/>
        <v>15.400000000000142</v>
      </c>
      <c r="L18" s="1">
        <f t="shared" si="18"/>
        <v>26.999999999999954</v>
      </c>
      <c r="M18" s="1">
        <f t="shared" si="18"/>
        <v>23</v>
      </c>
      <c r="N18" s="1">
        <f t="shared" si="18"/>
        <v>49.799999999999478</v>
      </c>
      <c r="O18" s="1">
        <f t="shared" si="18"/>
        <v>74.29999999999994</v>
      </c>
      <c r="P18" s="1">
        <f t="shared" si="18"/>
        <v>38.200000000000088</v>
      </c>
      <c r="Q18" s="1">
        <f t="shared" si="18"/>
        <v>22.600000000000041</v>
      </c>
      <c r="R18" s="1">
        <f t="shared" si="18"/>
        <v>49.699999999999704</v>
      </c>
      <c r="S18" s="1">
        <f t="shared" si="18"/>
        <v>17.60000000000014</v>
      </c>
      <c r="T18" s="1">
        <f t="shared" si="18"/>
        <v>35.20000000000018</v>
      </c>
      <c r="U18" s="1">
        <f t="shared" si="18"/>
        <v>49.500000000000114</v>
      </c>
      <c r="V18" s="1">
        <f t="shared" si="6"/>
        <v>49.699999999999704</v>
      </c>
      <c r="AE18" s="1">
        <f>+SUM(AE17:AE17)</f>
        <v>-27.499999999999901</v>
      </c>
      <c r="AF18" s="1">
        <f>+SUM(AF17:AF17)</f>
        <v>32.499999999999815</v>
      </c>
      <c r="AG18" s="1">
        <f>+SUM(AG17:AG17)</f>
        <v>22.69999999999991</v>
      </c>
      <c r="AH18" s="1">
        <f>+SUM(AH17:AH17)</f>
        <v>115.19999999999983</v>
      </c>
      <c r="AI18" s="1">
        <f>+SUM(AI17:AI17)</f>
        <v>184.80000000000032</v>
      </c>
      <c r="AJ18" s="1">
        <f t="shared" si="2"/>
        <v>152.00000000000014</v>
      </c>
      <c r="AK18" s="1">
        <f t="shared" ref="AK18:AS18" si="19">+SUM(AK17:AK17)</f>
        <v>180.01109318648827</v>
      </c>
      <c r="AL18" s="1">
        <f t="shared" si="19"/>
        <v>210.04497849233456</v>
      </c>
      <c r="AM18" s="1">
        <f t="shared" si="19"/>
        <v>242.57440698164882</v>
      </c>
      <c r="AN18" s="1">
        <f t="shared" si="19"/>
        <v>277.78656078895534</v>
      </c>
      <c r="AO18" s="1">
        <f t="shared" si="19"/>
        <v>315.88187525219996</v>
      </c>
      <c r="AP18" s="1">
        <f t="shared" si="19"/>
        <v>357.0749433078247</v>
      </c>
      <c r="AQ18" s="1">
        <f t="shared" si="19"/>
        <v>401.59548004649912</v>
      </c>
      <c r="AR18" s="1">
        <f t="shared" si="19"/>
        <v>449.68935135759079</v>
      </c>
      <c r="AS18" s="1">
        <f t="shared" si="19"/>
        <v>501.6196708433215</v>
      </c>
    </row>
    <row r="19" spans="2:260">
      <c r="B19" s="1" t="s">
        <v>35</v>
      </c>
      <c r="C19" s="1">
        <v>0.8</v>
      </c>
      <c r="D19" s="1">
        <v>1.5</v>
      </c>
      <c r="E19" s="1">
        <v>-0.4</v>
      </c>
      <c r="F19" s="1">
        <f>+AF19-SUM(C19:E19)</f>
        <v>2.3000000000000003</v>
      </c>
      <c r="G19" s="1">
        <v>1</v>
      </c>
      <c r="H19" s="1">
        <v>2.2999999999999998</v>
      </c>
      <c r="I19" s="1">
        <v>1.4</v>
      </c>
      <c r="J19" s="1">
        <f>+AG19-SUM(G19:I19)</f>
        <v>1.2000000000000011</v>
      </c>
      <c r="K19" s="1">
        <v>2.7</v>
      </c>
      <c r="L19" s="1">
        <v>3</v>
      </c>
      <c r="M19" s="1">
        <v>4</v>
      </c>
      <c r="N19" s="1">
        <f>+AH19-SUM(K19:M19)</f>
        <v>2.4000000000000004</v>
      </c>
      <c r="O19" s="1">
        <v>2.9</v>
      </c>
      <c r="P19" s="1">
        <v>3</v>
      </c>
      <c r="Q19" s="1">
        <v>3.4</v>
      </c>
      <c r="R19" s="1">
        <f>+AI19-SUM(O19:Q19)</f>
        <v>2</v>
      </c>
      <c r="S19" s="1">
        <v>3.3</v>
      </c>
      <c r="T19" s="1">
        <v>3</v>
      </c>
      <c r="U19" s="1">
        <v>3.8</v>
      </c>
      <c r="V19" s="1">
        <f>+V$7*(R19/R$7)</f>
        <v>2.1</v>
      </c>
      <c r="AE19" s="1">
        <v>5.8</v>
      </c>
      <c r="AF19" s="1">
        <v>4.2</v>
      </c>
      <c r="AG19" s="1">
        <v>5.9</v>
      </c>
      <c r="AH19" s="1">
        <v>12.1</v>
      </c>
      <c r="AI19" s="1">
        <v>11.3</v>
      </c>
    </row>
    <row r="20" spans="2:260" s="3" customFormat="1">
      <c r="B20" s="3" t="s">
        <v>36</v>
      </c>
      <c r="C20" s="3">
        <f t="shared" ref="C20:U20" si="20">+C18-C19</f>
        <v>13.699999999999907</v>
      </c>
      <c r="D20" s="3">
        <f t="shared" si="20"/>
        <v>12.59999999999998</v>
      </c>
      <c r="E20" s="3">
        <f t="shared" si="20"/>
        <v>7.5000000000000018</v>
      </c>
      <c r="F20" s="3">
        <f t="shared" si="20"/>
        <v>-5.5000000000003126</v>
      </c>
      <c r="G20" s="3">
        <f t="shared" si="20"/>
        <v>1.7999999999999527</v>
      </c>
      <c r="H20" s="3">
        <f t="shared" si="20"/>
        <v>13.700000000000003</v>
      </c>
      <c r="I20" s="3">
        <f t="shared" si="20"/>
        <v>-23.799999999999955</v>
      </c>
      <c r="J20" s="3">
        <f t="shared" si="20"/>
        <v>25.099999999999568</v>
      </c>
      <c r="K20" s="3">
        <f t="shared" si="20"/>
        <v>12.700000000000141</v>
      </c>
      <c r="L20" s="3">
        <f t="shared" si="20"/>
        <v>23.999999999999954</v>
      </c>
      <c r="M20" s="3">
        <f t="shared" si="20"/>
        <v>19</v>
      </c>
      <c r="N20" s="3">
        <f t="shared" si="20"/>
        <v>47.39999999999948</v>
      </c>
      <c r="O20" s="3">
        <f t="shared" si="20"/>
        <v>71.399999999999935</v>
      </c>
      <c r="P20" s="3">
        <f t="shared" si="20"/>
        <v>35.200000000000088</v>
      </c>
      <c r="Q20" s="3">
        <f t="shared" si="20"/>
        <v>19.200000000000042</v>
      </c>
      <c r="R20" s="3">
        <f t="shared" si="20"/>
        <v>47.699999999999704</v>
      </c>
      <c r="S20" s="3">
        <f t="shared" si="20"/>
        <v>14.300000000000139</v>
      </c>
      <c r="T20" s="3">
        <f t="shared" si="20"/>
        <v>32.20000000000018</v>
      </c>
      <c r="U20" s="3">
        <f t="shared" si="20"/>
        <v>45.700000000000117</v>
      </c>
      <c r="V20" s="1">
        <f t="shared" si="6"/>
        <v>47.699999999999704</v>
      </c>
      <c r="AE20" s="3">
        <f>+AE18-AE19</f>
        <v>-33.299999999999898</v>
      </c>
      <c r="AF20" s="3">
        <f>+AF18-AF19</f>
        <v>28.299999999999816</v>
      </c>
      <c r="AG20" s="3">
        <f>+AG18-AG19</f>
        <v>16.799999999999912</v>
      </c>
      <c r="AH20" s="3">
        <f>+AH18-AH19</f>
        <v>103.09999999999984</v>
      </c>
      <c r="AI20" s="3">
        <f>+AI18-AI19</f>
        <v>173.50000000000031</v>
      </c>
      <c r="AJ20" s="3">
        <f t="shared" si="2"/>
        <v>139.90000000000015</v>
      </c>
      <c r="AK20" s="3">
        <f>+AK18-AK19</f>
        <v>180.01109318648827</v>
      </c>
      <c r="AL20" s="3">
        <f t="shared" ref="AL20:AS20" si="21">+AL18-AL19</f>
        <v>210.04497849233456</v>
      </c>
      <c r="AM20" s="3">
        <f t="shared" si="21"/>
        <v>242.57440698164882</v>
      </c>
      <c r="AN20" s="3">
        <f t="shared" si="21"/>
        <v>277.78656078895534</v>
      </c>
      <c r="AO20" s="3">
        <f t="shared" si="21"/>
        <v>315.88187525219996</v>
      </c>
      <c r="AP20" s="3">
        <f t="shared" si="21"/>
        <v>357.0749433078247</v>
      </c>
      <c r="AQ20" s="3">
        <f t="shared" si="21"/>
        <v>401.59548004649912</v>
      </c>
      <c r="AR20" s="3">
        <f t="shared" si="21"/>
        <v>449.68935135759079</v>
      </c>
      <c r="AS20" s="3">
        <f t="shared" si="21"/>
        <v>501.6196708433215</v>
      </c>
      <c r="AT20" s="3">
        <f>+AS20*(1+$AW$31)</f>
        <v>506.6358675517547</v>
      </c>
      <c r="AU20" s="3">
        <f t="shared" ref="AU20:DF20" si="22">+AT20*(1+$AW$31)</f>
        <v>511.70222622727226</v>
      </c>
      <c r="AV20" s="3">
        <f t="shared" si="22"/>
        <v>516.81924848954498</v>
      </c>
      <c r="AW20" s="3">
        <f t="shared" si="22"/>
        <v>521.98744097444046</v>
      </c>
      <c r="AX20" s="3">
        <f t="shared" si="22"/>
        <v>527.20731538418488</v>
      </c>
      <c r="AY20" s="3">
        <f t="shared" si="22"/>
        <v>532.47938853802668</v>
      </c>
      <c r="AZ20" s="3">
        <f t="shared" si="22"/>
        <v>537.80418242340693</v>
      </c>
      <c r="BA20" s="3">
        <f t="shared" si="22"/>
        <v>543.18222424764099</v>
      </c>
      <c r="BB20" s="3">
        <f t="shared" si="22"/>
        <v>548.6140464901174</v>
      </c>
      <c r="BC20" s="3">
        <f t="shared" si="22"/>
        <v>554.10018695501856</v>
      </c>
      <c r="BD20" s="3">
        <f t="shared" si="22"/>
        <v>559.64118882456876</v>
      </c>
      <c r="BE20" s="3">
        <f t="shared" si="22"/>
        <v>565.23760071281447</v>
      </c>
      <c r="BF20" s="3">
        <f t="shared" si="22"/>
        <v>570.88997671994264</v>
      </c>
      <c r="BG20" s="3">
        <f t="shared" si="22"/>
        <v>576.59887648714209</v>
      </c>
      <c r="BH20" s="3">
        <f t="shared" si="22"/>
        <v>582.36486525201349</v>
      </c>
      <c r="BI20" s="3">
        <f t="shared" si="22"/>
        <v>588.18851390453358</v>
      </c>
      <c r="BJ20" s="3">
        <f t="shared" si="22"/>
        <v>594.07039904357896</v>
      </c>
      <c r="BK20" s="3">
        <f t="shared" si="22"/>
        <v>600.01110303401481</v>
      </c>
      <c r="BL20" s="3">
        <f t="shared" si="22"/>
        <v>606.01121406435493</v>
      </c>
      <c r="BM20" s="3">
        <f t="shared" si="22"/>
        <v>612.07132620499851</v>
      </c>
      <c r="BN20" s="3">
        <f t="shared" si="22"/>
        <v>618.19203946704852</v>
      </c>
      <c r="BO20" s="3">
        <f t="shared" si="22"/>
        <v>624.37395986171896</v>
      </c>
      <c r="BP20" s="3">
        <f t="shared" si="22"/>
        <v>630.6176994603361</v>
      </c>
      <c r="BQ20" s="3">
        <f t="shared" si="22"/>
        <v>636.92387645493943</v>
      </c>
      <c r="BR20" s="3">
        <f t="shared" si="22"/>
        <v>643.29311521948887</v>
      </c>
      <c r="BS20" s="3">
        <f t="shared" si="22"/>
        <v>649.72604637168376</v>
      </c>
      <c r="BT20" s="3">
        <f t="shared" si="22"/>
        <v>656.22330683540065</v>
      </c>
      <c r="BU20" s="3">
        <f t="shared" si="22"/>
        <v>662.78553990375462</v>
      </c>
      <c r="BV20" s="3">
        <f t="shared" si="22"/>
        <v>669.4133953027922</v>
      </c>
      <c r="BW20" s="3">
        <f t="shared" si="22"/>
        <v>676.10752925582017</v>
      </c>
      <c r="BX20" s="3">
        <f t="shared" si="22"/>
        <v>682.86860454837836</v>
      </c>
      <c r="BY20" s="3">
        <f t="shared" si="22"/>
        <v>689.69729059386214</v>
      </c>
      <c r="BZ20" s="3">
        <f t="shared" si="22"/>
        <v>696.59426349980072</v>
      </c>
      <c r="CA20" s="3">
        <f t="shared" si="22"/>
        <v>703.5602061347987</v>
      </c>
      <c r="CB20" s="3">
        <f t="shared" si="22"/>
        <v>710.59580819614666</v>
      </c>
      <c r="CC20" s="3">
        <f t="shared" si="22"/>
        <v>717.70176627810815</v>
      </c>
      <c r="CD20" s="3">
        <f t="shared" si="22"/>
        <v>724.87878394088921</v>
      </c>
      <c r="CE20" s="3">
        <f t="shared" si="22"/>
        <v>732.12757178029813</v>
      </c>
      <c r="CF20" s="3">
        <f t="shared" si="22"/>
        <v>739.44884749810114</v>
      </c>
      <c r="CG20" s="3">
        <f t="shared" si="22"/>
        <v>746.84333597308216</v>
      </c>
      <c r="CH20" s="3">
        <f t="shared" si="22"/>
        <v>754.31176933281301</v>
      </c>
      <c r="CI20" s="3">
        <f t="shared" si="22"/>
        <v>761.85488702614111</v>
      </c>
      <c r="CJ20" s="3">
        <f t="shared" si="22"/>
        <v>769.47343589640252</v>
      </c>
      <c r="CK20" s="3">
        <f t="shared" si="22"/>
        <v>777.16817025536659</v>
      </c>
      <c r="CL20" s="3">
        <f t="shared" si="22"/>
        <v>784.93985195792027</v>
      </c>
      <c r="CM20" s="3">
        <f t="shared" si="22"/>
        <v>792.78925047749942</v>
      </c>
      <c r="CN20" s="3">
        <f t="shared" si="22"/>
        <v>800.71714298227437</v>
      </c>
      <c r="CO20" s="3">
        <f t="shared" si="22"/>
        <v>808.7243144120971</v>
      </c>
      <c r="CP20" s="3">
        <f t="shared" si="22"/>
        <v>816.81155755621808</v>
      </c>
      <c r="CQ20" s="3">
        <f t="shared" si="22"/>
        <v>824.97967313178026</v>
      </c>
      <c r="CR20" s="3">
        <f t="shared" si="22"/>
        <v>833.22946986309807</v>
      </c>
      <c r="CS20" s="3">
        <f t="shared" si="22"/>
        <v>841.56176456172909</v>
      </c>
      <c r="CT20" s="3">
        <f t="shared" si="22"/>
        <v>849.97738220734641</v>
      </c>
      <c r="CU20" s="3">
        <f t="shared" si="22"/>
        <v>858.47715602941992</v>
      </c>
      <c r="CV20" s="3">
        <f t="shared" si="22"/>
        <v>867.06192758971417</v>
      </c>
      <c r="CW20" s="3">
        <f t="shared" si="22"/>
        <v>875.73254686561131</v>
      </c>
      <c r="CX20" s="3">
        <f t="shared" si="22"/>
        <v>884.48987233426749</v>
      </c>
      <c r="CY20" s="3">
        <f t="shared" si="22"/>
        <v>893.33477105761017</v>
      </c>
      <c r="CZ20" s="3">
        <f t="shared" si="22"/>
        <v>902.26811876818624</v>
      </c>
      <c r="DA20" s="3">
        <f t="shared" si="22"/>
        <v>911.29079995586812</v>
      </c>
      <c r="DB20" s="3">
        <f t="shared" si="22"/>
        <v>920.40370795542685</v>
      </c>
      <c r="DC20" s="3">
        <f t="shared" si="22"/>
        <v>929.60774503498112</v>
      </c>
      <c r="DD20" s="3">
        <f t="shared" si="22"/>
        <v>938.90382248533092</v>
      </c>
      <c r="DE20" s="3">
        <f t="shared" si="22"/>
        <v>948.29286071018419</v>
      </c>
      <c r="DF20" s="3">
        <f t="shared" si="22"/>
        <v>957.77578931728601</v>
      </c>
      <c r="DG20" s="3">
        <f t="shared" ref="DG20:FR20" si="23">+DF20*(1+$AW$31)</f>
        <v>967.35354721045883</v>
      </c>
      <c r="DH20" s="3">
        <f t="shared" si="23"/>
        <v>977.02708268256345</v>
      </c>
      <c r="DI20" s="3">
        <f t="shared" si="23"/>
        <v>986.79735350938904</v>
      </c>
      <c r="DJ20" s="3">
        <f t="shared" si="23"/>
        <v>996.66532704448298</v>
      </c>
      <c r="DK20" s="3">
        <f t="shared" si="23"/>
        <v>1006.6319803149278</v>
      </c>
      <c r="DL20" s="3">
        <f t="shared" si="23"/>
        <v>1016.6983001180771</v>
      </c>
      <c r="DM20" s="3">
        <f t="shared" si="23"/>
        <v>1026.8652831192578</v>
      </c>
      <c r="DN20" s="3">
        <f t="shared" si="23"/>
        <v>1037.1339359504505</v>
      </c>
      <c r="DO20" s="3">
        <f t="shared" si="23"/>
        <v>1047.5052753099549</v>
      </c>
      <c r="DP20" s="3">
        <f t="shared" si="23"/>
        <v>1057.9803280630545</v>
      </c>
      <c r="DQ20" s="3">
        <f t="shared" si="23"/>
        <v>1068.560131343685</v>
      </c>
      <c r="DR20" s="3">
        <f t="shared" si="23"/>
        <v>1079.2457326571218</v>
      </c>
      <c r="DS20" s="3">
        <f t="shared" si="23"/>
        <v>1090.038189983693</v>
      </c>
      <c r="DT20" s="3">
        <f t="shared" si="23"/>
        <v>1100.9385718835299</v>
      </c>
      <c r="DU20" s="3">
        <f t="shared" si="23"/>
        <v>1111.9479576023652</v>
      </c>
      <c r="DV20" s="3">
        <f t="shared" si="23"/>
        <v>1123.0674371783889</v>
      </c>
      <c r="DW20" s="3">
        <f t="shared" si="23"/>
        <v>1134.2981115501727</v>
      </c>
      <c r="DX20" s="3">
        <f t="shared" si="23"/>
        <v>1145.6410926656745</v>
      </c>
      <c r="DY20" s="3">
        <f t="shared" si="23"/>
        <v>1157.0975035923311</v>
      </c>
      <c r="DZ20" s="3">
        <f t="shared" si="23"/>
        <v>1168.6684786282544</v>
      </c>
      <c r="EA20" s="3">
        <f t="shared" si="23"/>
        <v>1180.3551634145369</v>
      </c>
      <c r="EB20" s="3">
        <f t="shared" si="23"/>
        <v>1192.1587150486823</v>
      </c>
      <c r="EC20" s="3">
        <f t="shared" si="23"/>
        <v>1204.0803021991692</v>
      </c>
      <c r="ED20" s="3">
        <f t="shared" si="23"/>
        <v>1216.1211052211609</v>
      </c>
      <c r="EE20" s="3">
        <f t="shared" si="23"/>
        <v>1228.2823162733725</v>
      </c>
      <c r="EF20" s="3">
        <f t="shared" si="23"/>
        <v>1240.5651394361064</v>
      </c>
      <c r="EG20" s="3">
        <f t="shared" si="23"/>
        <v>1252.9707908304674</v>
      </c>
      <c r="EH20" s="3">
        <f t="shared" si="23"/>
        <v>1265.5004987387722</v>
      </c>
      <c r="EI20" s="3">
        <f t="shared" si="23"/>
        <v>1278.1555037261598</v>
      </c>
      <c r="EJ20" s="3">
        <f t="shared" si="23"/>
        <v>1290.9370587634214</v>
      </c>
      <c r="EK20" s="3">
        <f t="shared" si="23"/>
        <v>1303.8464293510556</v>
      </c>
      <c r="EL20" s="3">
        <f t="shared" si="23"/>
        <v>1316.8848936445661</v>
      </c>
      <c r="EM20" s="3">
        <f t="shared" si="23"/>
        <v>1330.0537425810119</v>
      </c>
      <c r="EN20" s="3">
        <f t="shared" si="23"/>
        <v>1343.3542800068219</v>
      </c>
      <c r="EO20" s="3">
        <f t="shared" si="23"/>
        <v>1356.7878228068901</v>
      </c>
      <c r="EP20" s="3">
        <f t="shared" si="23"/>
        <v>1370.3557010349589</v>
      </c>
      <c r="EQ20" s="3">
        <f t="shared" si="23"/>
        <v>1384.0592580453085</v>
      </c>
      <c r="ER20" s="3">
        <f t="shared" si="23"/>
        <v>1397.8998506257617</v>
      </c>
      <c r="ES20" s="3">
        <f t="shared" si="23"/>
        <v>1411.8788491320192</v>
      </c>
      <c r="ET20" s="3">
        <f t="shared" si="23"/>
        <v>1425.9976376233394</v>
      </c>
      <c r="EU20" s="3">
        <f t="shared" si="23"/>
        <v>1440.2576139995729</v>
      </c>
      <c r="EV20" s="3">
        <f t="shared" si="23"/>
        <v>1454.6601901395686</v>
      </c>
      <c r="EW20" s="3">
        <f t="shared" si="23"/>
        <v>1469.2067920409643</v>
      </c>
      <c r="EX20" s="3">
        <f t="shared" si="23"/>
        <v>1483.898859961374</v>
      </c>
      <c r="EY20" s="3">
        <f t="shared" si="23"/>
        <v>1498.7378485609877</v>
      </c>
      <c r="EZ20" s="3">
        <f t="shared" si="23"/>
        <v>1513.7252270465976</v>
      </c>
      <c r="FA20" s="3">
        <f t="shared" si="23"/>
        <v>1528.8624793170636</v>
      </c>
      <c r="FB20" s="3">
        <f t="shared" si="23"/>
        <v>1544.1511041102342</v>
      </c>
      <c r="FC20" s="3">
        <f t="shared" si="23"/>
        <v>1559.5926151513365</v>
      </c>
      <c r="FD20" s="3">
        <f t="shared" si="23"/>
        <v>1575.1885413028499</v>
      </c>
      <c r="FE20" s="3">
        <f t="shared" si="23"/>
        <v>1590.9404267158784</v>
      </c>
      <c r="FF20" s="3">
        <f t="shared" si="23"/>
        <v>1606.8498309830372</v>
      </c>
      <c r="FG20" s="3">
        <f t="shared" si="23"/>
        <v>1622.9183292928676</v>
      </c>
      <c r="FH20" s="3">
        <f t="shared" si="23"/>
        <v>1639.1475125857962</v>
      </c>
      <c r="FI20" s="3">
        <f t="shared" si="23"/>
        <v>1655.5389877116543</v>
      </c>
      <c r="FJ20" s="3">
        <f t="shared" si="23"/>
        <v>1672.0943775887708</v>
      </c>
      <c r="FK20" s="3">
        <f t="shared" si="23"/>
        <v>1688.8153213646585</v>
      </c>
      <c r="FL20" s="3">
        <f t="shared" si="23"/>
        <v>1705.7034745783051</v>
      </c>
      <c r="FM20" s="3">
        <f t="shared" si="23"/>
        <v>1722.7605093240882</v>
      </c>
      <c r="FN20" s="3">
        <f t="shared" si="23"/>
        <v>1739.9881144173291</v>
      </c>
      <c r="FO20" s="3">
        <f t="shared" si="23"/>
        <v>1757.3879955615025</v>
      </c>
      <c r="FP20" s="3">
        <f t="shared" si="23"/>
        <v>1774.9618755171175</v>
      </c>
      <c r="FQ20" s="3">
        <f t="shared" si="23"/>
        <v>1792.7114942722887</v>
      </c>
      <c r="FR20" s="3">
        <f t="shared" si="23"/>
        <v>1810.6386092150117</v>
      </c>
      <c r="FS20" s="3">
        <f t="shared" ref="FS20:ID20" si="24">+FR20*(1+$AW$31)</f>
        <v>1828.7449953071618</v>
      </c>
      <c r="FT20" s="3">
        <f t="shared" si="24"/>
        <v>1847.0324452602335</v>
      </c>
      <c r="FU20" s="3">
        <f t="shared" si="24"/>
        <v>1865.502769712836</v>
      </c>
      <c r="FV20" s="3">
        <f t="shared" si="24"/>
        <v>1884.1577974099644</v>
      </c>
      <c r="FW20" s="3">
        <f t="shared" si="24"/>
        <v>1902.999375384064</v>
      </c>
      <c r="FX20" s="3">
        <f t="shared" si="24"/>
        <v>1922.0293691379047</v>
      </c>
      <c r="FY20" s="3">
        <f t="shared" si="24"/>
        <v>1941.2496628292838</v>
      </c>
      <c r="FZ20" s="3">
        <f t="shared" si="24"/>
        <v>1960.6621594575768</v>
      </c>
      <c r="GA20" s="3">
        <f t="shared" si="24"/>
        <v>1980.2687810521525</v>
      </c>
      <c r="GB20" s="3">
        <f t="shared" si="24"/>
        <v>2000.071468862674</v>
      </c>
      <c r="GC20" s="3">
        <f t="shared" si="24"/>
        <v>2020.0721835513007</v>
      </c>
      <c r="GD20" s="3">
        <f t="shared" si="24"/>
        <v>2040.2729053868136</v>
      </c>
      <c r="GE20" s="3">
        <f t="shared" si="24"/>
        <v>2060.6756344406817</v>
      </c>
      <c r="GF20" s="3">
        <f t="shared" si="24"/>
        <v>2081.2823907850884</v>
      </c>
      <c r="GG20" s="3">
        <f t="shared" si="24"/>
        <v>2102.0952146929394</v>
      </c>
      <c r="GH20" s="3">
        <f t="shared" si="24"/>
        <v>2123.116166839869</v>
      </c>
      <c r="GI20" s="3">
        <f t="shared" si="24"/>
        <v>2144.3473285082678</v>
      </c>
      <c r="GJ20" s="3">
        <f t="shared" si="24"/>
        <v>2165.7908017933505</v>
      </c>
      <c r="GK20" s="3">
        <f t="shared" si="24"/>
        <v>2187.4487098112841</v>
      </c>
      <c r="GL20" s="3">
        <f t="shared" si="24"/>
        <v>2209.3231969093968</v>
      </c>
      <c r="GM20" s="3">
        <f t="shared" si="24"/>
        <v>2231.4164288784909</v>
      </c>
      <c r="GN20" s="3">
        <f t="shared" si="24"/>
        <v>2253.7305931672759</v>
      </c>
      <c r="GO20" s="3">
        <f t="shared" si="24"/>
        <v>2276.2678990989484</v>
      </c>
      <c r="GP20" s="3">
        <f t="shared" si="24"/>
        <v>2299.030578089938</v>
      </c>
      <c r="GQ20" s="3">
        <f t="shared" si="24"/>
        <v>2322.0208838708372</v>
      </c>
      <c r="GR20" s="3">
        <f t="shared" si="24"/>
        <v>2345.2410927095457</v>
      </c>
      <c r="GS20" s="3">
        <f t="shared" si="24"/>
        <v>2368.6935036366413</v>
      </c>
      <c r="GT20" s="3">
        <f t="shared" si="24"/>
        <v>2392.3804386730076</v>
      </c>
      <c r="GU20" s="3">
        <f t="shared" si="24"/>
        <v>2416.3042430597375</v>
      </c>
      <c r="GV20" s="3">
        <f t="shared" si="24"/>
        <v>2440.4672854903347</v>
      </c>
      <c r="GW20" s="3">
        <f t="shared" si="24"/>
        <v>2464.871958345238</v>
      </c>
      <c r="GX20" s="3">
        <f t="shared" si="24"/>
        <v>2489.5206779286905</v>
      </c>
      <c r="GY20" s="3">
        <f t="shared" si="24"/>
        <v>2514.4158847079775</v>
      </c>
      <c r="GZ20" s="3">
        <f t="shared" si="24"/>
        <v>2539.5600435550573</v>
      </c>
      <c r="HA20" s="3">
        <f t="shared" si="24"/>
        <v>2564.9556439906078</v>
      </c>
      <c r="HB20" s="3">
        <f t="shared" si="24"/>
        <v>2590.6052004305138</v>
      </c>
      <c r="HC20" s="3">
        <f t="shared" si="24"/>
        <v>2616.5112524348192</v>
      </c>
      <c r="HD20" s="3">
        <f t="shared" si="24"/>
        <v>2642.6763649591676</v>
      </c>
      <c r="HE20" s="3">
        <f t="shared" si="24"/>
        <v>2669.1031286087591</v>
      </c>
      <c r="HF20" s="3">
        <f t="shared" si="24"/>
        <v>2695.7941598948469</v>
      </c>
      <c r="HG20" s="3">
        <f t="shared" si="24"/>
        <v>2722.7521014937952</v>
      </c>
      <c r="HH20" s="3">
        <f t="shared" si="24"/>
        <v>2749.979622508733</v>
      </c>
      <c r="HI20" s="3">
        <f t="shared" si="24"/>
        <v>2777.4794187338202</v>
      </c>
      <c r="HJ20" s="3">
        <f t="shared" si="24"/>
        <v>2805.2542129211583</v>
      </c>
      <c r="HK20" s="3">
        <f t="shared" si="24"/>
        <v>2833.3067550503702</v>
      </c>
      <c r="HL20" s="3">
        <f t="shared" si="24"/>
        <v>2861.6398226008737</v>
      </c>
      <c r="HM20" s="3">
        <f t="shared" si="24"/>
        <v>2890.2562208268823</v>
      </c>
      <c r="HN20" s="3">
        <f t="shared" si="24"/>
        <v>2919.1587830351514</v>
      </c>
      <c r="HO20" s="3">
        <f t="shared" si="24"/>
        <v>2948.350370865503</v>
      </c>
      <c r="HP20" s="3">
        <f t="shared" si="24"/>
        <v>2977.833874574158</v>
      </c>
      <c r="HQ20" s="3">
        <f t="shared" si="24"/>
        <v>3007.6122133198996</v>
      </c>
      <c r="HR20" s="3">
        <f t="shared" si="24"/>
        <v>3037.6883354530987</v>
      </c>
      <c r="HS20" s="3">
        <f t="shared" si="24"/>
        <v>3068.0652188076297</v>
      </c>
      <c r="HT20" s="3">
        <f t="shared" si="24"/>
        <v>3098.7458709957059</v>
      </c>
      <c r="HU20" s="3">
        <f t="shared" si="24"/>
        <v>3129.733329705663</v>
      </c>
      <c r="HV20" s="3">
        <f t="shared" si="24"/>
        <v>3161.0306630027198</v>
      </c>
      <c r="HW20" s="3">
        <f t="shared" si="24"/>
        <v>3192.6409696327469</v>
      </c>
      <c r="HX20" s="3">
        <f t="shared" si="24"/>
        <v>3224.5673793290744</v>
      </c>
      <c r="HY20" s="3">
        <f t="shared" si="24"/>
        <v>3256.8130531223651</v>
      </c>
      <c r="HZ20" s="3">
        <f t="shared" si="24"/>
        <v>3289.3811836535888</v>
      </c>
      <c r="IA20" s="3">
        <f t="shared" si="24"/>
        <v>3322.2749954901246</v>
      </c>
      <c r="IB20" s="3">
        <f t="shared" si="24"/>
        <v>3355.4977454450259</v>
      </c>
      <c r="IC20" s="3">
        <f t="shared" si="24"/>
        <v>3389.0527228994761</v>
      </c>
      <c r="ID20" s="3">
        <f t="shared" si="24"/>
        <v>3422.9432501284709</v>
      </c>
      <c r="IE20" s="3">
        <f t="shared" ref="IE20:IZ20" si="25">+ID20*(1+$AW$31)</f>
        <v>3457.1726826297559</v>
      </c>
      <c r="IF20" s="3">
        <f t="shared" si="25"/>
        <v>3491.7444094560533</v>
      </c>
      <c r="IG20" s="3">
        <f t="shared" si="25"/>
        <v>3526.6618535506141</v>
      </c>
      <c r="IH20" s="3">
        <f t="shared" si="25"/>
        <v>3561.9284720861201</v>
      </c>
      <c r="II20" s="3">
        <f t="shared" si="25"/>
        <v>3597.5477568069814</v>
      </c>
      <c r="IJ20" s="3">
        <f t="shared" si="25"/>
        <v>3633.5232343750513</v>
      </c>
      <c r="IK20" s="3">
        <f t="shared" si="25"/>
        <v>3669.858466718802</v>
      </c>
      <c r="IL20" s="3">
        <f t="shared" si="25"/>
        <v>3706.5570513859902</v>
      </c>
      <c r="IM20" s="3">
        <f t="shared" si="25"/>
        <v>3743.6226218998499</v>
      </c>
      <c r="IN20" s="3">
        <f t="shared" si="25"/>
        <v>3781.0588481188483</v>
      </c>
      <c r="IO20" s="3">
        <f t="shared" si="25"/>
        <v>3818.8694366000368</v>
      </c>
      <c r="IP20" s="3">
        <f t="shared" si="25"/>
        <v>3857.0581309660374</v>
      </c>
      <c r="IQ20" s="3">
        <f t="shared" si="25"/>
        <v>3895.628712275698</v>
      </c>
      <c r="IR20" s="3">
        <f t="shared" si="25"/>
        <v>3934.5849993984552</v>
      </c>
      <c r="IS20" s="3">
        <f t="shared" si="25"/>
        <v>3973.93084939244</v>
      </c>
      <c r="IT20" s="3">
        <f t="shared" si="25"/>
        <v>4013.6701578863644</v>
      </c>
      <c r="IU20" s="3">
        <f t="shared" si="25"/>
        <v>4053.8068594652282</v>
      </c>
      <c r="IV20" s="3">
        <f t="shared" si="25"/>
        <v>4094.3449280598807</v>
      </c>
      <c r="IW20" s="3">
        <f t="shared" si="25"/>
        <v>4135.2883773404792</v>
      </c>
      <c r="IX20" s="3">
        <f t="shared" si="25"/>
        <v>4176.641261113884</v>
      </c>
      <c r="IY20" s="3">
        <f t="shared" si="25"/>
        <v>4218.4076737250225</v>
      </c>
      <c r="IZ20" s="3">
        <f t="shared" si="25"/>
        <v>4260.591750462273</v>
      </c>
    </row>
    <row r="21" spans="2:260">
      <c r="B21" s="1" t="s">
        <v>37</v>
      </c>
      <c r="C21" s="1">
        <v>50.9</v>
      </c>
      <c r="D21" s="1">
        <v>50.9</v>
      </c>
      <c r="E21" s="1">
        <v>51.1</v>
      </c>
      <c r="F21" s="1">
        <f>+F20/F22</f>
        <v>50.157585638654396</v>
      </c>
      <c r="G21" s="1">
        <v>51.3</v>
      </c>
      <c r="H21" s="1">
        <v>51</v>
      </c>
      <c r="I21" s="1">
        <v>50.4</v>
      </c>
      <c r="J21" s="1">
        <f>+J20/J22</f>
        <v>50.27886608579896</v>
      </c>
      <c r="K21" s="1">
        <v>50.5</v>
      </c>
      <c r="L21" s="1">
        <v>50.5</v>
      </c>
      <c r="M21" s="1">
        <v>50.3</v>
      </c>
      <c r="N21" s="1">
        <f>+N20/N22</f>
        <v>49.715866488352219</v>
      </c>
      <c r="O21" s="1">
        <v>48.3</v>
      </c>
      <c r="P21" s="1">
        <v>47.8</v>
      </c>
      <c r="Q21" s="1">
        <v>47.5</v>
      </c>
      <c r="R21" s="1">
        <f>+R20/R22</f>
        <v>47.1887549782357</v>
      </c>
      <c r="S21" s="1">
        <v>47.4</v>
      </c>
      <c r="T21" s="1">
        <v>47.3</v>
      </c>
      <c r="U21" s="1">
        <v>47.1</v>
      </c>
      <c r="V21" s="1">
        <f>+U21</f>
        <v>47.1</v>
      </c>
      <c r="AE21" s="1">
        <v>50.9</v>
      </c>
      <c r="AF21" s="1">
        <v>51.1</v>
      </c>
      <c r="AG21" s="1">
        <v>50.8</v>
      </c>
      <c r="AH21" s="1">
        <v>50.1</v>
      </c>
      <c r="AI21" s="1">
        <v>47.8</v>
      </c>
      <c r="AJ21" s="1">
        <f>+AJ20/AJ22</f>
        <v>47.176432750490434</v>
      </c>
      <c r="AK21" s="1">
        <f>+AJ21</f>
        <v>47.176432750490434</v>
      </c>
      <c r="AL21" s="1">
        <f t="shared" ref="AL21:AS21" si="26">+AK21</f>
        <v>47.176432750490434</v>
      </c>
      <c r="AM21" s="1">
        <f t="shared" si="26"/>
        <v>47.176432750490434</v>
      </c>
      <c r="AN21" s="1">
        <f t="shared" si="26"/>
        <v>47.176432750490434</v>
      </c>
      <c r="AO21" s="1">
        <f t="shared" si="26"/>
        <v>47.176432750490434</v>
      </c>
      <c r="AP21" s="1">
        <f t="shared" si="26"/>
        <v>47.176432750490434</v>
      </c>
      <c r="AQ21" s="1">
        <f t="shared" si="26"/>
        <v>47.176432750490434</v>
      </c>
      <c r="AR21" s="1">
        <f t="shared" si="26"/>
        <v>47.176432750490434</v>
      </c>
      <c r="AS21" s="1">
        <f t="shared" si="26"/>
        <v>47.176432750490434</v>
      </c>
    </row>
    <row r="22" spans="2:260" s="5" customFormat="1">
      <c r="B22" s="5" t="s">
        <v>38</v>
      </c>
      <c r="C22" s="5">
        <f>+C20/C21</f>
        <v>0.26915520628683509</v>
      </c>
      <c r="D22" s="5">
        <f>+D20/D21</f>
        <v>0.24754420432220001</v>
      </c>
      <c r="E22" s="5">
        <f>+E20/E21</f>
        <v>0.14677103718199611</v>
      </c>
      <c r="F22" s="5">
        <f>+AF22-SUM(C22:E22)</f>
        <v>-0.109654400824303</v>
      </c>
      <c r="G22" s="5">
        <f>+G20/G21</f>
        <v>3.5087719298244696E-2</v>
      </c>
      <c r="H22" s="5">
        <f>+H20/H21</f>
        <v>0.2686274509803922</v>
      </c>
      <c r="I22" s="5">
        <f>+I20/I21</f>
        <v>-0.47222222222222132</v>
      </c>
      <c r="J22" s="5">
        <f>+AG22-SUM(G22:I22)</f>
        <v>0.49921571336090553</v>
      </c>
      <c r="K22" s="5">
        <f>+K20/K21</f>
        <v>0.25148514851485426</v>
      </c>
      <c r="L22" s="5">
        <f>+L20/L21</f>
        <v>0.47524752475247434</v>
      </c>
      <c r="M22" s="5">
        <f>+M20/M21</f>
        <v>0.37773359840954279</v>
      </c>
      <c r="N22" s="5">
        <f>+AH22-SUM(K22:M22)</f>
        <v>0.95341795986005162</v>
      </c>
      <c r="O22" s="5">
        <f>+O20/O21</f>
        <v>1.4782608695652162</v>
      </c>
      <c r="P22" s="5">
        <f>+P20/P21</f>
        <v>0.73640167364016929</v>
      </c>
      <c r="Q22" s="5">
        <f>+Q20/Q21</f>
        <v>0.40421052631579035</v>
      </c>
      <c r="R22" s="5">
        <f>+AI22-SUM(O22:Q22)</f>
        <v>1.0108340434495422</v>
      </c>
      <c r="S22" s="5">
        <f>+S20/S21</f>
        <v>0.30168776371308309</v>
      </c>
      <c r="T22" s="5">
        <f>+T20/T21</f>
        <v>0.68076109936575435</v>
      </c>
      <c r="U22" s="5">
        <f>+U20/U21</f>
        <v>0.97027600849257145</v>
      </c>
      <c r="V22" s="1">
        <f>+V20/V21</f>
        <v>1.0127388535031785</v>
      </c>
      <c r="AE22" s="5">
        <f>+AE20/AE21</f>
        <v>-0.65422396856581333</v>
      </c>
      <c r="AF22" s="5">
        <f>+AF20/AF21</f>
        <v>0.55381604696672826</v>
      </c>
      <c r="AG22" s="5">
        <f>+AG20/AG21</f>
        <v>0.33070866141732114</v>
      </c>
      <c r="AH22" s="5">
        <f>+AH20/AH21</f>
        <v>2.057884231536923</v>
      </c>
      <c r="AI22" s="5">
        <f>+AI20/AI21</f>
        <v>3.6297071129707179</v>
      </c>
      <c r="AJ22" s="5">
        <f t="shared" si="2"/>
        <v>2.9654637250745877</v>
      </c>
      <c r="AK22" s="5">
        <f>+AK20/AK21</f>
        <v>3.8156995493606267</v>
      </c>
      <c r="AL22" s="5">
        <f t="shared" ref="AL22:AS22" si="27">+AL20/AL21</f>
        <v>4.4523285514874162</v>
      </c>
      <c r="AM22" s="5">
        <f t="shared" si="27"/>
        <v>5.1418556435708265</v>
      </c>
      <c r="AN22" s="5">
        <f t="shared" si="27"/>
        <v>5.8882485298990215</v>
      </c>
      <c r="AO22" s="5">
        <f t="shared" si="27"/>
        <v>6.6957558432375563</v>
      </c>
      <c r="AP22" s="5">
        <f t="shared" si="27"/>
        <v>7.5689263153139237</v>
      </c>
      <c r="AQ22" s="5">
        <f t="shared" si="27"/>
        <v>8.5126292225290019</v>
      </c>
      <c r="AR22" s="5">
        <f t="shared" si="27"/>
        <v>9.5320761901590778</v>
      </c>
      <c r="AS22" s="5">
        <f t="shared" si="27"/>
        <v>10.632844443672074</v>
      </c>
    </row>
    <row r="24" spans="2:260"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2:260">
      <c r="B25" s="3" t="s">
        <v>42</v>
      </c>
    </row>
    <row r="26" spans="2:260">
      <c r="B26" s="1" t="s">
        <v>80</v>
      </c>
      <c r="U26" s="4">
        <f>+U3/Q3-1</f>
        <v>-6.2406390414377899E-3</v>
      </c>
    </row>
    <row r="27" spans="2:260">
      <c r="B27" s="1" t="s">
        <v>81</v>
      </c>
      <c r="U27" s="4">
        <f t="shared" ref="U27:U29" si="28">+U4/Q4-1</f>
        <v>0.12786449684490209</v>
      </c>
    </row>
    <row r="28" spans="2:260">
      <c r="B28" s="1" t="s">
        <v>82</v>
      </c>
      <c r="U28" s="4">
        <f t="shared" si="28"/>
        <v>0.30818181818181833</v>
      </c>
    </row>
    <row r="29" spans="2:260">
      <c r="B29" s="1" t="s">
        <v>83</v>
      </c>
      <c r="U29" s="4">
        <f t="shared" si="28"/>
        <v>-6.0930232558139563E-2</v>
      </c>
    </row>
    <row r="30" spans="2:260" s="4" customFormat="1">
      <c r="B30" s="4" t="s">
        <v>24</v>
      </c>
      <c r="G30" s="4">
        <f t="shared" ref="G30:V32" si="29">+G7/C7-1</f>
        <v>-3.5580110497237638E-2</v>
      </c>
      <c r="H30" s="4">
        <f t="shared" si="29"/>
        <v>-9.6280087527352287E-2</v>
      </c>
      <c r="I30" s="4">
        <f t="shared" si="29"/>
        <v>4.5346833261525221E-2</v>
      </c>
      <c r="J30" s="4">
        <f t="shared" si="29"/>
        <v>9.1686257747382038E-2</v>
      </c>
      <c r="K30" s="4">
        <f t="shared" si="29"/>
        <v>0.12018790100824939</v>
      </c>
      <c r="L30" s="4">
        <f t="shared" si="29"/>
        <v>0.26973365617433398</v>
      </c>
      <c r="M30" s="4">
        <f t="shared" si="29"/>
        <v>0.10819165378670781</v>
      </c>
      <c r="N30" s="4">
        <f t="shared" si="29"/>
        <v>7.4980422866092411E-2</v>
      </c>
      <c r="O30" s="4">
        <f t="shared" si="29"/>
        <v>9.8496471310217881E-2</v>
      </c>
      <c r="P30" s="4">
        <f t="shared" si="29"/>
        <v>8.1140350877193068E-2</v>
      </c>
      <c r="Q30" s="4">
        <f t="shared" si="29"/>
        <v>5.6903765690376584E-2</v>
      </c>
      <c r="R30" s="4">
        <f t="shared" si="29"/>
        <v>8.4410854124931545E-2</v>
      </c>
      <c r="S30" s="4">
        <f t="shared" si="29"/>
        <v>0.10372439478584727</v>
      </c>
      <c r="T30" s="4">
        <f t="shared" si="29"/>
        <v>7.2581356380633233E-2</v>
      </c>
      <c r="U30" s="4">
        <f t="shared" si="29"/>
        <v>7.9792381455089378E-2</v>
      </c>
      <c r="V30" s="4">
        <f t="shared" si="29"/>
        <v>5.0000000000000044E-2</v>
      </c>
      <c r="AF30" s="4">
        <f t="shared" ref="AF30:AS30" si="30">+AF7/AE7-1</f>
        <v>5.5690905442976169E-2</v>
      </c>
      <c r="AG30" s="4">
        <f t="shared" si="30"/>
        <v>2.0905734144223143E-3</v>
      </c>
      <c r="AH30" s="4">
        <f t="shared" si="30"/>
        <v>0.13798802460104564</v>
      </c>
      <c r="AI30" s="4">
        <f t="shared" si="30"/>
        <v>7.9829531927051223E-2</v>
      </c>
      <c r="AJ30" s="7">
        <f t="shared" si="30"/>
        <v>7.5833976408334225E-2</v>
      </c>
      <c r="AK30" s="7">
        <f t="shared" si="30"/>
        <v>6.0000000000000053E-2</v>
      </c>
      <c r="AL30" s="7">
        <f t="shared" si="30"/>
        <v>6.0000000000000053E-2</v>
      </c>
      <c r="AM30" s="7">
        <f t="shared" si="30"/>
        <v>6.0000000000000053E-2</v>
      </c>
      <c r="AN30" s="7">
        <f t="shared" si="30"/>
        <v>6.0000000000000053E-2</v>
      </c>
      <c r="AO30" s="7">
        <f t="shared" si="30"/>
        <v>6.0000000000000053E-2</v>
      </c>
      <c r="AP30" s="7">
        <f t="shared" si="30"/>
        <v>6.0000000000000053E-2</v>
      </c>
      <c r="AQ30" s="7">
        <f t="shared" si="30"/>
        <v>6.0000000000000053E-2</v>
      </c>
      <c r="AR30" s="7">
        <f t="shared" si="30"/>
        <v>6.0000000000000053E-2</v>
      </c>
      <c r="AS30" s="7">
        <f t="shared" si="30"/>
        <v>6.0000000000000053E-2</v>
      </c>
      <c r="AV30" s="4" t="s">
        <v>77</v>
      </c>
      <c r="AW30" s="4">
        <v>0.01</v>
      </c>
    </row>
    <row r="31" spans="2:260" s="4" customFormat="1">
      <c r="B31" s="4" t="s">
        <v>3</v>
      </c>
      <c r="G31" s="4">
        <f t="shared" si="29"/>
        <v>-1.3234666287178176E-2</v>
      </c>
      <c r="H31" s="4">
        <f t="shared" si="29"/>
        <v>-3.4721242060691604E-2</v>
      </c>
      <c r="I31" s="4">
        <f t="shared" si="29"/>
        <v>3.9893617021276695E-2</v>
      </c>
      <c r="J31" s="4">
        <f t="shared" si="29"/>
        <v>7.1620665251239002E-2</v>
      </c>
      <c r="K31" s="4">
        <f t="shared" si="29"/>
        <v>9.4317854052494932E-2</v>
      </c>
      <c r="L31" s="4">
        <f t="shared" si="29"/>
        <v>0.19783594092703627</v>
      </c>
      <c r="M31" s="4">
        <f t="shared" si="29"/>
        <v>0.12747341499528875</v>
      </c>
      <c r="N31" s="4">
        <f t="shared" si="29"/>
        <v>8.3344340245674164E-2</v>
      </c>
      <c r="O31" s="4">
        <f t="shared" si="29"/>
        <v>0.10661570901423323</v>
      </c>
      <c r="P31" s="4">
        <f t="shared" si="29"/>
        <v>5.89599609375E-2</v>
      </c>
      <c r="Q31" s="4">
        <f t="shared" si="29"/>
        <v>5.1456542502387848E-2</v>
      </c>
      <c r="R31" s="4">
        <f t="shared" si="29"/>
        <v>6.559375762009223E-2</v>
      </c>
      <c r="S31" s="4">
        <f t="shared" si="29"/>
        <v>9.5986661903060488E-2</v>
      </c>
      <c r="T31" s="4">
        <f t="shared" si="29"/>
        <v>8.7953890489913533E-2</v>
      </c>
      <c r="U31" s="4">
        <f t="shared" si="29"/>
        <v>4.5759055296922924E-2</v>
      </c>
      <c r="V31" s="4">
        <f t="shared" si="29"/>
        <v>5.0000000000000044E-2</v>
      </c>
      <c r="AF31" s="4">
        <f t="shared" ref="AF31:AS31" si="31">+AF8/AE8-1</f>
        <v>4.7645470351052266E-2</v>
      </c>
      <c r="AG31" s="4">
        <f t="shared" si="31"/>
        <v>1.595988842201912E-2</v>
      </c>
      <c r="AH31" s="4">
        <f t="shared" si="31"/>
        <v>0.12459597539359812</v>
      </c>
      <c r="AI31" s="4">
        <f t="shared" si="31"/>
        <v>6.9874528710056172E-2</v>
      </c>
      <c r="AJ31" s="7">
        <f t="shared" si="31"/>
        <v>6.9586065455385704E-2</v>
      </c>
      <c r="AK31" s="7">
        <f t="shared" si="31"/>
        <v>5.4000000000000048E-2</v>
      </c>
      <c r="AL31" s="7">
        <f t="shared" si="31"/>
        <v>5.4000000000000048E-2</v>
      </c>
      <c r="AM31" s="7">
        <f t="shared" si="31"/>
        <v>5.4000000000000048E-2</v>
      </c>
      <c r="AN31" s="7">
        <f t="shared" si="31"/>
        <v>5.4000000000000048E-2</v>
      </c>
      <c r="AO31" s="7">
        <f t="shared" si="31"/>
        <v>5.4000000000000048E-2</v>
      </c>
      <c r="AP31" s="7">
        <f t="shared" si="31"/>
        <v>5.4000000000000048E-2</v>
      </c>
      <c r="AQ31" s="7">
        <f t="shared" si="31"/>
        <v>5.4000000000000048E-2</v>
      </c>
      <c r="AR31" s="7">
        <f t="shared" si="31"/>
        <v>5.4000000000000048E-2</v>
      </c>
      <c r="AS31" s="7">
        <f t="shared" si="31"/>
        <v>5.4000000000000048E-2</v>
      </c>
      <c r="AV31" s="4" t="s">
        <v>47</v>
      </c>
      <c r="AW31" s="4">
        <v>0.01</v>
      </c>
    </row>
    <row r="32" spans="2:260" s="4" customFormat="1">
      <c r="B32" s="4" t="s">
        <v>25</v>
      </c>
      <c r="G32" s="4">
        <f t="shared" si="29"/>
        <v>4.5165843330980948E-2</v>
      </c>
      <c r="H32" s="4">
        <f t="shared" si="29"/>
        <v>-9.70245795601552E-2</v>
      </c>
      <c r="I32" s="4">
        <f t="shared" si="29"/>
        <v>-8.7741935483870881E-2</v>
      </c>
      <c r="J32" s="4">
        <f t="shared" si="29"/>
        <v>1.1718749999999778E-2</v>
      </c>
      <c r="K32" s="4">
        <f t="shared" si="29"/>
        <v>4.1863605671843551E-2</v>
      </c>
      <c r="L32" s="4">
        <f t="shared" si="29"/>
        <v>0.1160458452722064</v>
      </c>
      <c r="M32" s="4">
        <f t="shared" si="29"/>
        <v>0.14497878359264504</v>
      </c>
      <c r="N32" s="4">
        <f t="shared" si="29"/>
        <v>1.4800514800515252E-2</v>
      </c>
      <c r="O32" s="4">
        <f t="shared" si="29"/>
        <v>0.11211924821775754</v>
      </c>
      <c r="P32" s="4">
        <f t="shared" si="29"/>
        <v>7.5096277278562162E-2</v>
      </c>
      <c r="Q32" s="4">
        <f t="shared" si="29"/>
        <v>0.11673872760963566</v>
      </c>
      <c r="R32" s="4">
        <f t="shared" si="29"/>
        <v>5.9606848446416283E-2</v>
      </c>
      <c r="S32" s="4">
        <f t="shared" si="29"/>
        <v>3.1468531468531458E-2</v>
      </c>
      <c r="T32" s="4">
        <f t="shared" si="29"/>
        <v>1.8507462686567111E-2</v>
      </c>
      <c r="U32" s="4">
        <f t="shared" si="29"/>
        <v>-5.9734513274336321E-2</v>
      </c>
      <c r="V32" s="4">
        <f t="shared" si="29"/>
        <v>5.0000000000000044E-2</v>
      </c>
      <c r="AF32" s="4">
        <f t="shared" ref="AF32:AS32" si="32">+AF9/AE9-1</f>
        <v>0.18794186959937154</v>
      </c>
      <c r="AG32" s="4">
        <f t="shared" si="32"/>
        <v>-3.3724582575632267E-2</v>
      </c>
      <c r="AH32" s="4">
        <f t="shared" si="32"/>
        <v>7.7331052181351723E-2</v>
      </c>
      <c r="AI32" s="4">
        <f t="shared" si="32"/>
        <v>9.0995712243925553E-2</v>
      </c>
      <c r="AJ32" s="7">
        <f t="shared" si="32"/>
        <v>8.8136826783113964E-3</v>
      </c>
      <c r="AK32" s="7">
        <f t="shared" si="32"/>
        <v>6.0000000000000275E-2</v>
      </c>
      <c r="AL32" s="7">
        <f t="shared" si="32"/>
        <v>6.0000000000000053E-2</v>
      </c>
      <c r="AM32" s="7">
        <f t="shared" si="32"/>
        <v>6.0000000000000053E-2</v>
      </c>
      <c r="AN32" s="7">
        <f t="shared" si="32"/>
        <v>6.0000000000000053E-2</v>
      </c>
      <c r="AO32" s="7">
        <f t="shared" si="32"/>
        <v>6.0000000000000053E-2</v>
      </c>
      <c r="AP32" s="7">
        <f t="shared" si="32"/>
        <v>6.0000000000000053E-2</v>
      </c>
      <c r="AQ32" s="7">
        <f t="shared" si="32"/>
        <v>6.0000000000000053E-2</v>
      </c>
      <c r="AR32" s="7">
        <f t="shared" si="32"/>
        <v>6.0000000000000053E-2</v>
      </c>
      <c r="AS32" s="7">
        <f t="shared" si="32"/>
        <v>6.0000000000000275E-2</v>
      </c>
      <c r="AV32" s="4" t="s">
        <v>48</v>
      </c>
      <c r="AW32" s="4">
        <v>7.0000000000000007E-2</v>
      </c>
    </row>
    <row r="33" spans="2:49">
      <c r="P33" s="4"/>
      <c r="Q33" s="4"/>
      <c r="R33" s="4"/>
      <c r="S33" s="4"/>
      <c r="T33" s="4"/>
      <c r="U33" s="4"/>
      <c r="V33" s="4"/>
      <c r="AE33" s="4">
        <f>+AE12/AE7</f>
        <v>7.8735418040069963E-2</v>
      </c>
      <c r="AF33" s="4">
        <f>+AF12/AF7</f>
        <v>6.4291920069504724E-2</v>
      </c>
      <c r="AG33" s="4">
        <f>+AG12/AG7</f>
        <v>5.784497006150259E-2</v>
      </c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V33" s="1" t="s">
        <v>49</v>
      </c>
      <c r="AW33" s="1">
        <f>NPV(AW32,AJ20:IZ20)</f>
        <v>6301.1864885526929</v>
      </c>
    </row>
    <row r="34" spans="2:49">
      <c r="AV34" s="1" t="s">
        <v>50</v>
      </c>
      <c r="AW34" s="1">
        <f>+Main!K7-Main!K8</f>
        <v>-2098.6</v>
      </c>
    </row>
    <row r="35" spans="2:49">
      <c r="AV35" s="3" t="s">
        <v>51</v>
      </c>
      <c r="AW35" s="3">
        <f>+SUM(AW33:AW34)</f>
        <v>4202.5864885526935</v>
      </c>
    </row>
    <row r="36" spans="2:49" s="3" customFormat="1">
      <c r="B36" s="3" t="s">
        <v>76</v>
      </c>
      <c r="R36" s="3">
        <f>+SUM(R37:R38)-SUM(R49:R50,R54)</f>
        <v>-1992.2999999999997</v>
      </c>
      <c r="S36" s="3">
        <f t="shared" ref="S36:T36" si="33">+SUM(S37:S38)-SUM(S49:S50,S54)</f>
        <v>-2152.4999999999995</v>
      </c>
      <c r="T36" s="3">
        <f t="shared" si="33"/>
        <v>-2145</v>
      </c>
      <c r="U36" s="3">
        <f>+SUM(U37:U38)-SUM(U49:U50,U54)</f>
        <v>-2098.6</v>
      </c>
      <c r="AI36" s="3">
        <f>+U36</f>
        <v>-2098.6</v>
      </c>
      <c r="AJ36" s="3">
        <f t="shared" ref="AJ36:AS36" si="34">+AI36+AJ20</f>
        <v>-1958.6999999999998</v>
      </c>
      <c r="AK36" s="3">
        <f t="shared" si="34"/>
        <v>-1778.6889068135115</v>
      </c>
      <c r="AL36" s="3">
        <f t="shared" si="34"/>
        <v>-1568.6439283211769</v>
      </c>
      <c r="AM36" s="3">
        <f t="shared" si="34"/>
        <v>-1326.0695213395281</v>
      </c>
      <c r="AN36" s="3">
        <f t="shared" si="34"/>
        <v>-1048.2829605505729</v>
      </c>
      <c r="AO36" s="3">
        <f t="shared" si="34"/>
        <v>-732.40108529837289</v>
      </c>
      <c r="AP36" s="3">
        <f t="shared" si="34"/>
        <v>-375.32614199054819</v>
      </c>
      <c r="AQ36" s="3">
        <f t="shared" si="34"/>
        <v>26.269338055950925</v>
      </c>
      <c r="AR36" s="3">
        <f t="shared" si="34"/>
        <v>475.95868941354172</v>
      </c>
      <c r="AS36" s="3">
        <f t="shared" si="34"/>
        <v>977.57836025686322</v>
      </c>
      <c r="AV36" s="1" t="s">
        <v>52</v>
      </c>
      <c r="AW36" s="1">
        <f>+Main!K5</f>
        <v>45.051141000000001</v>
      </c>
    </row>
    <row r="37" spans="2:49">
      <c r="B37" s="1" t="s">
        <v>67</v>
      </c>
      <c r="R37" s="1">
        <v>972</v>
      </c>
      <c r="S37" s="1">
        <v>816.6</v>
      </c>
      <c r="T37" s="1">
        <v>890.1</v>
      </c>
      <c r="U37" s="1">
        <v>933.5</v>
      </c>
      <c r="AV37" s="1" t="s">
        <v>53</v>
      </c>
      <c r="AW37" s="1">
        <f>+AW35/AW36</f>
        <v>93.284795795797791</v>
      </c>
    </row>
    <row r="38" spans="2:49">
      <c r="B38" s="1" t="s">
        <v>60</v>
      </c>
      <c r="R38" s="1">
        <v>438.5</v>
      </c>
      <c r="S38" s="1">
        <v>401.8</v>
      </c>
      <c r="T38" s="1">
        <v>433.5</v>
      </c>
      <c r="U38" s="1">
        <v>387</v>
      </c>
      <c r="AV38" s="1" t="s">
        <v>78</v>
      </c>
      <c r="AW38" s="1">
        <f>+Main!K4</f>
        <v>80.84</v>
      </c>
    </row>
    <row r="39" spans="2:49">
      <c r="B39" s="1" t="s">
        <v>68</v>
      </c>
      <c r="R39" s="1">
        <v>862.2</v>
      </c>
      <c r="S39" s="1">
        <v>876.9</v>
      </c>
      <c r="T39" s="1">
        <v>851</v>
      </c>
      <c r="U39" s="1">
        <v>801.3</v>
      </c>
      <c r="AV39" s="1" t="s">
        <v>79</v>
      </c>
      <c r="AW39" s="4">
        <f>+AW37/AW38-1</f>
        <v>0.15394354027458923</v>
      </c>
    </row>
    <row r="40" spans="2:49">
      <c r="B40" s="1" t="s">
        <v>69</v>
      </c>
      <c r="R40" s="1">
        <v>324.7</v>
      </c>
      <c r="S40" s="1">
        <v>352.8</v>
      </c>
      <c r="T40" s="1">
        <v>342.7</v>
      </c>
      <c r="U40" s="1">
        <v>340.6</v>
      </c>
    </row>
    <row r="41" spans="2:49">
      <c r="B41" s="1" t="s">
        <v>70</v>
      </c>
      <c r="R41" s="1">
        <v>314.5</v>
      </c>
      <c r="S41" s="1">
        <v>322.3</v>
      </c>
      <c r="T41" s="1">
        <v>336.7</v>
      </c>
      <c r="U41" s="1">
        <v>338.7</v>
      </c>
    </row>
    <row r="42" spans="2:49">
      <c r="B42" s="1" t="s">
        <v>71</v>
      </c>
      <c r="R42" s="1">
        <v>935.3</v>
      </c>
      <c r="S42" s="1">
        <v>953.5</v>
      </c>
      <c r="T42" s="1">
        <v>990.2</v>
      </c>
      <c r="U42" s="1">
        <v>965.5</v>
      </c>
    </row>
    <row r="43" spans="2:49">
      <c r="B43" s="1" t="s">
        <v>72</v>
      </c>
      <c r="R43" s="1">
        <v>1450.9</v>
      </c>
      <c r="S43" s="1">
        <v>1459.2</v>
      </c>
      <c r="T43" s="1">
        <v>1467.7</v>
      </c>
      <c r="U43" s="1">
        <v>1448.1</v>
      </c>
    </row>
    <row r="44" spans="2:49">
      <c r="B44" s="1" t="s">
        <v>73</v>
      </c>
      <c r="R44" s="1">
        <v>535.5</v>
      </c>
      <c r="S44" s="1">
        <v>526.70000000000005</v>
      </c>
      <c r="T44" s="1">
        <v>516.20000000000005</v>
      </c>
      <c r="U44" s="1">
        <v>492.4</v>
      </c>
    </row>
    <row r="45" spans="2:49">
      <c r="B45" s="1" t="s">
        <v>74</v>
      </c>
      <c r="R45" s="1">
        <v>246.2</v>
      </c>
      <c r="S45" s="1">
        <v>249.2</v>
      </c>
      <c r="T45" s="1">
        <v>242.3</v>
      </c>
      <c r="U45" s="1">
        <v>241.9</v>
      </c>
    </row>
    <row r="46" spans="2:49">
      <c r="B46" s="1" t="s">
        <v>66</v>
      </c>
      <c r="R46" s="1">
        <v>286.2</v>
      </c>
      <c r="S46" s="1">
        <v>294.10000000000002</v>
      </c>
      <c r="T46" s="1">
        <v>341</v>
      </c>
      <c r="U46" s="1">
        <v>315.8</v>
      </c>
    </row>
    <row r="47" spans="2:49">
      <c r="B47" s="1" t="s">
        <v>75</v>
      </c>
      <c r="R47" s="1">
        <f>+SUM(R37:R46)</f>
        <v>6366</v>
      </c>
      <c r="S47" s="1">
        <f>+SUM(S37:S46)</f>
        <v>6253.1</v>
      </c>
      <c r="T47" s="1">
        <f>+SUM(T37:T46)</f>
        <v>6411.4</v>
      </c>
      <c r="U47" s="1">
        <f>+SUM(U37:U46)</f>
        <v>6264.7999999999993</v>
      </c>
    </row>
    <row r="49" spans="2:21">
      <c r="B49" s="1" t="s">
        <v>56</v>
      </c>
      <c r="R49" s="1">
        <v>47.2</v>
      </c>
      <c r="S49" s="1">
        <v>94.1</v>
      </c>
      <c r="T49" s="1">
        <v>127.5</v>
      </c>
      <c r="U49" s="1">
        <v>124.9</v>
      </c>
    </row>
    <row r="50" spans="2:21">
      <c r="B50" s="1" t="s">
        <v>57</v>
      </c>
      <c r="R50" s="1">
        <v>82.4</v>
      </c>
      <c r="S50" s="1">
        <v>86.6</v>
      </c>
      <c r="T50" s="1">
        <v>89.9</v>
      </c>
      <c r="U50" s="1">
        <v>92</v>
      </c>
    </row>
    <row r="51" spans="2:21">
      <c r="B51" s="1" t="s">
        <v>58</v>
      </c>
      <c r="R51" s="1">
        <v>296.5</v>
      </c>
      <c r="S51" s="1">
        <v>248.7</v>
      </c>
      <c r="T51" s="1">
        <v>231.5</v>
      </c>
      <c r="U51" s="1">
        <v>206.7</v>
      </c>
    </row>
    <row r="52" spans="2:21">
      <c r="B52" s="1" t="s">
        <v>59</v>
      </c>
      <c r="R52" s="1">
        <v>1019.4</v>
      </c>
      <c r="S52" s="1">
        <v>985.7</v>
      </c>
      <c r="T52" s="1">
        <v>949.4</v>
      </c>
      <c r="U52" s="1">
        <v>1016.7</v>
      </c>
    </row>
    <row r="53" spans="2:21">
      <c r="B53" s="1" t="s">
        <v>60</v>
      </c>
      <c r="R53" s="1">
        <v>229.3</v>
      </c>
      <c r="S53" s="1">
        <v>187.5</v>
      </c>
      <c r="T53" s="1">
        <v>221.2</v>
      </c>
      <c r="U53" s="1">
        <v>184.3</v>
      </c>
    </row>
    <row r="54" spans="2:21">
      <c r="B54" s="1" t="s">
        <v>61</v>
      </c>
      <c r="R54" s="1">
        <v>3273.2</v>
      </c>
      <c r="S54" s="1">
        <v>3190.2</v>
      </c>
      <c r="T54" s="1">
        <v>3251.2</v>
      </c>
      <c r="U54" s="1">
        <v>3202.2</v>
      </c>
    </row>
    <row r="55" spans="2:21">
      <c r="B55" s="1" t="s">
        <v>62</v>
      </c>
      <c r="R55" s="1">
        <v>131</v>
      </c>
      <c r="S55" s="1">
        <v>131.9</v>
      </c>
      <c r="T55" s="1">
        <v>134.1</v>
      </c>
      <c r="U55" s="1">
        <v>127.6</v>
      </c>
    </row>
    <row r="56" spans="2:21">
      <c r="B56" s="1" t="s">
        <v>63</v>
      </c>
      <c r="R56" s="1">
        <v>174.5</v>
      </c>
      <c r="S56" s="1">
        <v>169.5</v>
      </c>
      <c r="T56" s="1">
        <v>173.1</v>
      </c>
      <c r="U56" s="1">
        <v>170</v>
      </c>
    </row>
    <row r="57" spans="2:21">
      <c r="B57" s="1" t="s">
        <v>64</v>
      </c>
      <c r="R57" s="1">
        <v>249.9</v>
      </c>
      <c r="S57" s="1">
        <v>257.3</v>
      </c>
      <c r="T57" s="1">
        <v>269</v>
      </c>
      <c r="U57" s="1">
        <v>269.7</v>
      </c>
    </row>
    <row r="58" spans="2:21">
      <c r="B58" s="1" t="s">
        <v>65</v>
      </c>
      <c r="R58" s="1">
        <v>67.8</v>
      </c>
      <c r="S58" s="1">
        <v>63.2</v>
      </c>
      <c r="T58" s="1">
        <v>61.2</v>
      </c>
      <c r="U58" s="1">
        <v>59.6</v>
      </c>
    </row>
    <row r="59" spans="2:21">
      <c r="B59" s="1" t="s">
        <v>66</v>
      </c>
      <c r="R59" s="1">
        <v>224.6</v>
      </c>
      <c r="S59" s="1">
        <v>233.4</v>
      </c>
      <c r="T59" s="1">
        <v>239.1</v>
      </c>
      <c r="U59" s="1">
        <v>226.8</v>
      </c>
    </row>
    <row r="60" spans="2:21">
      <c r="B60" s="1" t="s">
        <v>55</v>
      </c>
      <c r="R60" s="1">
        <v>570.20000000000005</v>
      </c>
      <c r="S60" s="1">
        <v>605</v>
      </c>
      <c r="T60" s="1">
        <v>664.2</v>
      </c>
      <c r="U60" s="1">
        <v>584.29999999999995</v>
      </c>
    </row>
    <row r="61" spans="2:21">
      <c r="B61" s="1" t="s">
        <v>54</v>
      </c>
      <c r="R61" s="1">
        <f>+SUM(R49:R60)</f>
        <v>6366</v>
      </c>
      <c r="S61" s="1">
        <f>+SUM(S49:S60)</f>
        <v>6253.0999999999985</v>
      </c>
      <c r="T61" s="1">
        <f>+SUM(T49:T60)</f>
        <v>6411.4000000000005</v>
      </c>
      <c r="U61" s="1">
        <f>+SUM(U49:U60)</f>
        <v>6264.8000000000011</v>
      </c>
    </row>
  </sheetData>
  <pageMargins left="0.7" right="0.7" top="0.75" bottom="0.75" header="0.3" footer="0.3"/>
  <ignoredErrors>
    <ignoredError sqref="AG10:AI10 S23:AF23 C24:N24 C10:D17 S10:U17 W10:AF17 C18:D23 S18:U22 W18:AF22" formulaRange="1"/>
    <ignoredError sqref="G10:N10 G12:N12 G11:N11 G15:N15 G13:N13 G14:N14 G17:N17 G16:N16 G18:N18 G21:N21 G19:N19 F23:N23 G22:N22 G20:N20 E10:E17 O10:R17 E18:E23 O18:R23" formula="1" formulaRange="1"/>
    <ignoredError sqref="F10:F17 O24:R25 Q30:R30 AJ10:AJ12 AJ17 AJ13:AJ14 AJ15 AJ16 AJ21 AJ18 AJ22:AJ23 AK10:AS12 AK14:AS15 F18:F22 AK18:AS18 AK17:AS17 AM16:AS16 AJ20 AK20:AS2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2024-02-22T03:30:50Z</dcterms:created>
  <dcterms:modified xsi:type="dcterms:W3CDTF">2024-02-28T04:03:47Z</dcterms:modified>
</cp:coreProperties>
</file>