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121B2A38-B9F6-214D-8EF0-B54C2E125B57}" xr6:coauthVersionLast="47" xr6:coauthVersionMax="47" xr10:uidLastSave="{00000000-0000-0000-0000-000000000000}"/>
  <bookViews>
    <workbookView xWindow="13600" yWindow="1040" windowWidth="37080" windowHeight="27440" xr2:uid="{6D904A83-089B-B64C-BA83-931F47940392}"/>
  </bookViews>
  <sheets>
    <sheet name="Main" sheetId="2" r:id="rId1"/>
    <sheet name="Model" sheetId="1" r:id="rId2"/>
    <sheet name="Portfolio" sheetId="5" r:id="rId3"/>
    <sheet name="data analysis" sheetId="3" r:id="rId4"/>
    <sheet name="Stat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42" i="1" l="1"/>
  <c r="BG42" i="1" s="1"/>
  <c r="BH42" i="1" s="1"/>
  <c r="BI42" i="1" s="1"/>
  <c r="BJ42" i="1" s="1"/>
  <c r="BK42" i="1" s="1"/>
  <c r="BE42" i="1"/>
  <c r="AT53" i="1"/>
  <c r="AU53" i="1" s="1"/>
  <c r="AV53" i="1" s="1"/>
  <c r="AW53" i="1" s="1"/>
  <c r="AX53" i="1" s="1"/>
  <c r="AY53" i="1" s="1"/>
  <c r="AS53" i="1"/>
  <c r="AR53" i="1"/>
  <c r="AQ53" i="1"/>
  <c r="AP53" i="1"/>
  <c r="Z6" i="1"/>
  <c r="Y6" i="1"/>
  <c r="X6" i="1"/>
  <c r="W6" i="1"/>
  <c r="V6" i="1"/>
  <c r="U6" i="1"/>
  <c r="T6" i="1"/>
  <c r="S6" i="1"/>
  <c r="V3" i="1"/>
  <c r="Y3" i="1"/>
  <c r="Z3" i="1" s="1"/>
  <c r="Y50" i="1"/>
  <c r="X50" i="1"/>
  <c r="W50" i="1"/>
  <c r="U50" i="1"/>
  <c r="T50" i="1"/>
  <c r="S50" i="1"/>
  <c r="Q50" i="1"/>
  <c r="P50" i="1"/>
  <c r="O50" i="1"/>
  <c r="M50" i="1"/>
  <c r="L50" i="1"/>
  <c r="K50" i="1"/>
  <c r="I50" i="1"/>
  <c r="H50" i="1"/>
  <c r="G50" i="1"/>
  <c r="Y49" i="1"/>
  <c r="X49" i="1"/>
  <c r="W49" i="1"/>
  <c r="U49" i="1"/>
  <c r="T49" i="1"/>
  <c r="S49" i="1"/>
  <c r="Q49" i="1"/>
  <c r="P49" i="1"/>
  <c r="O49" i="1"/>
  <c r="M49" i="1"/>
  <c r="L49" i="1"/>
  <c r="K49" i="1"/>
  <c r="I49" i="1"/>
  <c r="H49" i="1"/>
  <c r="G49" i="1"/>
  <c r="Y47" i="1"/>
  <c r="X47" i="1"/>
  <c r="W47" i="1"/>
  <c r="U47" i="1"/>
  <c r="T47" i="1"/>
  <c r="S47" i="1"/>
  <c r="Q47" i="1"/>
  <c r="P47" i="1"/>
  <c r="O47" i="1"/>
  <c r="M47" i="1"/>
  <c r="L47" i="1"/>
  <c r="K47" i="1"/>
  <c r="I47" i="1"/>
  <c r="H47" i="1"/>
  <c r="G47" i="1"/>
  <c r="Y46" i="1"/>
  <c r="X46" i="1"/>
  <c r="W46" i="1"/>
  <c r="U46" i="1"/>
  <c r="T46" i="1"/>
  <c r="S46" i="1"/>
  <c r="Q46" i="1"/>
  <c r="P46" i="1"/>
  <c r="O46" i="1"/>
  <c r="M46" i="1"/>
  <c r="L46" i="1"/>
  <c r="K46" i="1"/>
  <c r="I46" i="1"/>
  <c r="H46" i="1"/>
  <c r="G46" i="1"/>
  <c r="Y45" i="1"/>
  <c r="X45" i="1"/>
  <c r="W45" i="1"/>
  <c r="U45" i="1"/>
  <c r="T45" i="1"/>
  <c r="S45" i="1"/>
  <c r="Q45" i="1"/>
  <c r="P45" i="1"/>
  <c r="O45" i="1"/>
  <c r="M45" i="1"/>
  <c r="L45" i="1"/>
  <c r="K45" i="1"/>
  <c r="I45" i="1"/>
  <c r="H45" i="1"/>
  <c r="G45" i="1"/>
  <c r="Y43" i="1"/>
  <c r="X43" i="1"/>
  <c r="W43" i="1"/>
  <c r="U43" i="1"/>
  <c r="T43" i="1"/>
  <c r="S43" i="1"/>
  <c r="Q43" i="1"/>
  <c r="P43" i="1"/>
  <c r="O43" i="1"/>
  <c r="M43" i="1"/>
  <c r="L43" i="1"/>
  <c r="K43" i="1"/>
  <c r="I43" i="1"/>
  <c r="H43" i="1"/>
  <c r="G43" i="1"/>
  <c r="Y42" i="1"/>
  <c r="X42" i="1"/>
  <c r="W42" i="1"/>
  <c r="U42" i="1"/>
  <c r="T42" i="1"/>
  <c r="S42" i="1"/>
  <c r="Q42" i="1"/>
  <c r="P42" i="1"/>
  <c r="O42" i="1"/>
  <c r="M42" i="1"/>
  <c r="L42" i="1"/>
  <c r="K42" i="1"/>
  <c r="I42" i="1"/>
  <c r="H42" i="1"/>
  <c r="G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Y40" i="1"/>
  <c r="X40" i="1"/>
  <c r="W40" i="1"/>
  <c r="U40" i="1"/>
  <c r="T40" i="1"/>
  <c r="S40" i="1"/>
  <c r="Q40" i="1"/>
  <c r="P40" i="1"/>
  <c r="O40" i="1"/>
  <c r="M40" i="1"/>
  <c r="L40" i="1"/>
  <c r="K40" i="1"/>
  <c r="I40" i="1"/>
  <c r="H40" i="1"/>
  <c r="G40" i="1"/>
  <c r="R94" i="1"/>
  <c r="R96" i="1" s="1"/>
  <c r="Q94" i="1"/>
  <c r="W91" i="1"/>
  <c r="W82" i="1"/>
  <c r="W68" i="1"/>
  <c r="W64" i="1" s="1"/>
  <c r="V91" i="1"/>
  <c r="V82" i="1"/>
  <c r="V68" i="1"/>
  <c r="V75" i="1" s="1"/>
  <c r="X91" i="1"/>
  <c r="X82" i="1"/>
  <c r="X68" i="1"/>
  <c r="X75" i="1" s="1"/>
  <c r="Z91" i="1"/>
  <c r="Z82" i="1"/>
  <c r="Z68" i="1"/>
  <c r="Z75" i="1" s="1"/>
  <c r="Y91" i="1"/>
  <c r="Y82" i="1"/>
  <c r="Y68" i="1"/>
  <c r="Y75" i="1" s="1"/>
  <c r="Z35" i="1"/>
  <c r="Z32" i="1"/>
  <c r="Z31" i="1"/>
  <c r="Z30" i="1"/>
  <c r="Z29" i="1"/>
  <c r="Z25" i="1"/>
  <c r="Z24" i="1"/>
  <c r="Z23" i="1"/>
  <c r="Z19" i="1"/>
  <c r="Z18" i="1"/>
  <c r="Z16" i="1"/>
  <c r="Z15" i="1"/>
  <c r="Z14" i="1"/>
  <c r="Z12" i="1"/>
  <c r="Z11" i="1"/>
  <c r="Z10" i="1"/>
  <c r="Z9" i="1"/>
  <c r="V35" i="1"/>
  <c r="V32" i="1"/>
  <c r="V31" i="1"/>
  <c r="V30" i="1"/>
  <c r="V29" i="1"/>
  <c r="V25" i="1"/>
  <c r="V24" i="1"/>
  <c r="V23" i="1"/>
  <c r="V19" i="1"/>
  <c r="V18" i="1"/>
  <c r="V16" i="1"/>
  <c r="V15" i="1"/>
  <c r="V14" i="1"/>
  <c r="V12" i="1"/>
  <c r="V11" i="1"/>
  <c r="V10" i="1"/>
  <c r="V9" i="1"/>
  <c r="W28" i="1"/>
  <c r="W33" i="1" s="1"/>
  <c r="W26" i="1"/>
  <c r="W20" i="1"/>
  <c r="W17" i="1"/>
  <c r="W13" i="1"/>
  <c r="X28" i="1"/>
  <c r="X33" i="1" s="1"/>
  <c r="X26" i="1"/>
  <c r="X20" i="1"/>
  <c r="X17" i="1"/>
  <c r="X13" i="1"/>
  <c r="D33" i="1"/>
  <c r="C33" i="1"/>
  <c r="Y28" i="1"/>
  <c r="Y33" i="1" s="1"/>
  <c r="Y26" i="1"/>
  <c r="Y20" i="1"/>
  <c r="Y17" i="1"/>
  <c r="Y13" i="1"/>
  <c r="AO28" i="1"/>
  <c r="AO33" i="1" s="1"/>
  <c r="AO26" i="1"/>
  <c r="AO20" i="1"/>
  <c r="AO17" i="1"/>
  <c r="AO13" i="1"/>
  <c r="AN28" i="1"/>
  <c r="AN33" i="1" s="1"/>
  <c r="AN26" i="1"/>
  <c r="AN20" i="1"/>
  <c r="AN17" i="1"/>
  <c r="AN13" i="1"/>
  <c r="F8" i="2"/>
  <c r="U13" i="1"/>
  <c r="U17" i="1"/>
  <c r="U20" i="1"/>
  <c r="U26" i="1"/>
  <c r="U28" i="1"/>
  <c r="U33" i="1" s="1"/>
  <c r="U68" i="1"/>
  <c r="U75" i="1" s="1"/>
  <c r="U82" i="1"/>
  <c r="U91" i="1"/>
  <c r="U95" i="1"/>
  <c r="U96" i="1"/>
  <c r="U129" i="1"/>
  <c r="S96" i="1"/>
  <c r="T96" i="1"/>
  <c r="P95" i="1"/>
  <c r="O95" i="1"/>
  <c r="S95" i="1"/>
  <c r="S91" i="1"/>
  <c r="S82" i="1"/>
  <c r="S68" i="1"/>
  <c r="S75" i="1" s="1"/>
  <c r="T95" i="1"/>
  <c r="T91" i="1"/>
  <c r="T82" i="1"/>
  <c r="T68" i="1"/>
  <c r="T75" i="1" s="1"/>
  <c r="T130" i="1"/>
  <c r="U130" i="1" s="1"/>
  <c r="T128" i="1"/>
  <c r="U128" i="1" s="1"/>
  <c r="T124" i="1"/>
  <c r="U124" i="1" s="1"/>
  <c r="T123" i="1"/>
  <c r="U123" i="1" s="1"/>
  <c r="T122" i="1"/>
  <c r="U122" i="1" s="1"/>
  <c r="T116" i="1"/>
  <c r="U116" i="1" s="1"/>
  <c r="T113" i="1"/>
  <c r="U113" i="1" s="1"/>
  <c r="T107" i="1"/>
  <c r="U107" i="1" s="1"/>
  <c r="T106" i="1"/>
  <c r="U106" i="1" s="1"/>
  <c r="T105" i="1"/>
  <c r="U105" i="1" s="1"/>
  <c r="T104" i="1"/>
  <c r="U104" i="1" s="1"/>
  <c r="T103" i="1"/>
  <c r="U103" i="1" s="1"/>
  <c r="T132" i="1"/>
  <c r="U132" i="1" s="1"/>
  <c r="T118" i="1"/>
  <c r="U118" i="1" s="1"/>
  <c r="T117" i="1"/>
  <c r="U117" i="1" s="1"/>
  <c r="T110" i="1"/>
  <c r="U110" i="1" s="1"/>
  <c r="T109" i="1"/>
  <c r="U109" i="1" s="1"/>
  <c r="T108" i="1"/>
  <c r="U108" i="1" s="1"/>
  <c r="T102" i="1"/>
  <c r="U102" i="1" s="1"/>
  <c r="T101" i="1"/>
  <c r="U101" i="1" s="1"/>
  <c r="R90" i="1"/>
  <c r="Q90" i="1"/>
  <c r="P90" i="1"/>
  <c r="O90" i="1"/>
  <c r="N90" i="1"/>
  <c r="Y48" i="1" l="1"/>
  <c r="Y44" i="1"/>
  <c r="Z47" i="1"/>
  <c r="Y51" i="1"/>
  <c r="Z50" i="1"/>
  <c r="Z45" i="1"/>
  <c r="Z46" i="1"/>
  <c r="Z49" i="1"/>
  <c r="Y64" i="1"/>
  <c r="Z43" i="1"/>
  <c r="Z42" i="1"/>
  <c r="Y21" i="1"/>
  <c r="Y22" i="1" s="1"/>
  <c r="V99" i="1"/>
  <c r="Z40" i="1"/>
  <c r="Z20" i="1"/>
  <c r="Z41" i="1"/>
  <c r="Z26" i="1"/>
  <c r="Y99" i="1"/>
  <c r="X99" i="1"/>
  <c r="Z13" i="1"/>
  <c r="Y92" i="1"/>
  <c r="Z17" i="1"/>
  <c r="Z99" i="1"/>
  <c r="Z28" i="1"/>
  <c r="Z33" i="1" s="1"/>
  <c r="Z64" i="1"/>
  <c r="W92" i="1"/>
  <c r="W75" i="1"/>
  <c r="W99" i="1" s="1"/>
  <c r="V92" i="1"/>
  <c r="V64" i="1"/>
  <c r="X92" i="1"/>
  <c r="X64" i="1"/>
  <c r="Z92" i="1"/>
  <c r="W21" i="1"/>
  <c r="X21" i="1"/>
  <c r="X22" i="1" s="1"/>
  <c r="AO21" i="1"/>
  <c r="AO22" i="1" s="1"/>
  <c r="AN21" i="1"/>
  <c r="AN22" i="1" s="1"/>
  <c r="U99" i="1"/>
  <c r="U92" i="1"/>
  <c r="T99" i="1"/>
  <c r="U21" i="1"/>
  <c r="U111" i="1"/>
  <c r="U135" i="1" s="1"/>
  <c r="U136" i="1" s="1"/>
  <c r="U64" i="1"/>
  <c r="S64" i="1"/>
  <c r="T64" i="1"/>
  <c r="S99" i="1"/>
  <c r="S92" i="1"/>
  <c r="T92" i="1"/>
  <c r="S120" i="1"/>
  <c r="S131" i="1"/>
  <c r="T111" i="1"/>
  <c r="T114" i="1"/>
  <c r="U114" i="1" s="1"/>
  <c r="T115" i="1"/>
  <c r="U115" i="1" s="1"/>
  <c r="T125" i="1"/>
  <c r="S111" i="1"/>
  <c r="S135" i="1" s="1"/>
  <c r="S136" i="1" s="1"/>
  <c r="Y52" i="1" l="1"/>
  <c r="U22" i="1"/>
  <c r="W22" i="1"/>
  <c r="W27" i="1" s="1"/>
  <c r="W34" i="1" s="1"/>
  <c r="W36" i="1" s="1"/>
  <c r="Z21" i="1"/>
  <c r="Z22" i="1" s="1"/>
  <c r="Y27" i="1"/>
  <c r="Y34" i="1" s="1"/>
  <c r="Y36" i="1" s="1"/>
  <c r="Y38" i="1" s="1"/>
  <c r="Y53" i="1"/>
  <c r="U27" i="1"/>
  <c r="U34" i="1" s="1"/>
  <c r="U36" i="1" s="1"/>
  <c r="U137" i="1" s="1"/>
  <c r="X27" i="1"/>
  <c r="X34" i="1" s="1"/>
  <c r="X36" i="1" s="1"/>
  <c r="X38" i="1" s="1"/>
  <c r="AO27" i="1"/>
  <c r="AO34" i="1" s="1"/>
  <c r="AO36" i="1" s="1"/>
  <c r="AO53" i="1"/>
  <c r="AN27" i="1"/>
  <c r="AN34" i="1" s="1"/>
  <c r="AN36" i="1" s="1"/>
  <c r="U120" i="1"/>
  <c r="T131" i="1"/>
  <c r="U125" i="1"/>
  <c r="U131" i="1" s="1"/>
  <c r="T120" i="1"/>
  <c r="S133" i="1"/>
  <c r="T135" i="1"/>
  <c r="T136" i="1" s="1"/>
  <c r="S28" i="1"/>
  <c r="S26" i="1"/>
  <c r="S20" i="1"/>
  <c r="S17" i="1"/>
  <c r="S13" i="1"/>
  <c r="T28" i="1"/>
  <c r="T33" i="1" s="1"/>
  <c r="T26" i="1"/>
  <c r="T20" i="1"/>
  <c r="T17" i="1"/>
  <c r="T13" i="1"/>
  <c r="O131" i="1"/>
  <c r="O120" i="1"/>
  <c r="O110" i="1"/>
  <c r="O111" i="1" s="1"/>
  <c r="P129" i="1"/>
  <c r="Q129" i="1" s="1"/>
  <c r="R129" i="1" s="1"/>
  <c r="P126" i="1"/>
  <c r="Q126" i="1" s="1"/>
  <c r="R126" i="1" s="1"/>
  <c r="P127" i="1"/>
  <c r="Q127" i="1" s="1"/>
  <c r="R127" i="1" s="1"/>
  <c r="P125" i="1"/>
  <c r="Q125" i="1" s="1"/>
  <c r="R125" i="1" s="1"/>
  <c r="P124" i="1"/>
  <c r="Q124" i="1" s="1"/>
  <c r="R124" i="1" s="1"/>
  <c r="P123" i="1"/>
  <c r="Q123" i="1" s="1"/>
  <c r="P132" i="1"/>
  <c r="Q132" i="1" s="1"/>
  <c r="R132" i="1" s="1"/>
  <c r="P130" i="1"/>
  <c r="P128" i="1"/>
  <c r="P122" i="1"/>
  <c r="P119" i="1"/>
  <c r="Q119" i="1" s="1"/>
  <c r="R119" i="1" s="1"/>
  <c r="P118" i="1"/>
  <c r="R118" i="1" s="1"/>
  <c r="P117" i="1"/>
  <c r="Q117" i="1" s="1"/>
  <c r="R117" i="1" s="1"/>
  <c r="P116" i="1"/>
  <c r="P115" i="1"/>
  <c r="Q115" i="1" s="1"/>
  <c r="R115" i="1" s="1"/>
  <c r="P114" i="1"/>
  <c r="Q114" i="1" s="1"/>
  <c r="R114" i="1" s="1"/>
  <c r="P113" i="1"/>
  <c r="Q113" i="1" s="1"/>
  <c r="R113" i="1" s="1"/>
  <c r="P107" i="1"/>
  <c r="Q107" i="1" s="1"/>
  <c r="R107" i="1" s="1"/>
  <c r="P106" i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2" i="1"/>
  <c r="Q102" i="1" s="1"/>
  <c r="P101" i="1"/>
  <c r="Q101" i="1" s="1"/>
  <c r="O91" i="1"/>
  <c r="O82" i="1"/>
  <c r="O68" i="1"/>
  <c r="P91" i="1"/>
  <c r="P82" i="1"/>
  <c r="P68" i="1"/>
  <c r="Q91" i="1"/>
  <c r="Q82" i="1"/>
  <c r="Q68" i="1"/>
  <c r="N91" i="1"/>
  <c r="N82" i="1"/>
  <c r="N68" i="1"/>
  <c r="F35" i="1"/>
  <c r="F32" i="1"/>
  <c r="F31" i="1"/>
  <c r="F30" i="1"/>
  <c r="F29" i="1"/>
  <c r="F28" i="1"/>
  <c r="F25" i="1"/>
  <c r="F24" i="1"/>
  <c r="F23" i="1"/>
  <c r="F19" i="1"/>
  <c r="F18" i="1"/>
  <c r="F16" i="1"/>
  <c r="F15" i="1"/>
  <c r="F14" i="1"/>
  <c r="F12" i="1"/>
  <c r="F11" i="1"/>
  <c r="F10" i="1"/>
  <c r="F9" i="1"/>
  <c r="AF33" i="1"/>
  <c r="AF26" i="1"/>
  <c r="AF20" i="1"/>
  <c r="AF17" i="1"/>
  <c r="AF13" i="1"/>
  <c r="AG33" i="1"/>
  <c r="AG26" i="1"/>
  <c r="AG20" i="1"/>
  <c r="AG17" i="1"/>
  <c r="AG13" i="1"/>
  <c r="AH33" i="1"/>
  <c r="AH26" i="1"/>
  <c r="AH20" i="1"/>
  <c r="AH17" i="1"/>
  <c r="AH13" i="1"/>
  <c r="AI33" i="1"/>
  <c r="AI26" i="1"/>
  <c r="AI20" i="1"/>
  <c r="AI17" i="1"/>
  <c r="AI13" i="1"/>
  <c r="AJ33" i="1"/>
  <c r="AJ26" i="1"/>
  <c r="AJ20" i="1"/>
  <c r="AJ17" i="1"/>
  <c r="AJ13" i="1"/>
  <c r="C26" i="1"/>
  <c r="C20" i="1"/>
  <c r="C17" i="1"/>
  <c r="C13" i="1"/>
  <c r="D26" i="1"/>
  <c r="D20" i="1"/>
  <c r="D17" i="1"/>
  <c r="D13" i="1"/>
  <c r="E33" i="1"/>
  <c r="E26" i="1"/>
  <c r="E20" i="1"/>
  <c r="E17" i="1"/>
  <c r="E13" i="1"/>
  <c r="J35" i="1"/>
  <c r="J32" i="1"/>
  <c r="J31" i="1"/>
  <c r="J30" i="1"/>
  <c r="J29" i="1"/>
  <c r="J28" i="1"/>
  <c r="J25" i="1"/>
  <c r="J24" i="1"/>
  <c r="J23" i="1"/>
  <c r="J19" i="1"/>
  <c r="J50" i="1" s="1"/>
  <c r="J18" i="1"/>
  <c r="J49" i="1" s="1"/>
  <c r="J16" i="1"/>
  <c r="J47" i="1" s="1"/>
  <c r="J15" i="1"/>
  <c r="J46" i="1" s="1"/>
  <c r="J14" i="1"/>
  <c r="J45" i="1" s="1"/>
  <c r="J12" i="1"/>
  <c r="J43" i="1" s="1"/>
  <c r="J11" i="1"/>
  <c r="J42" i="1" s="1"/>
  <c r="J10" i="1"/>
  <c r="J41" i="1" s="1"/>
  <c r="J9" i="1"/>
  <c r="G33" i="1"/>
  <c r="G26" i="1"/>
  <c r="G20" i="1"/>
  <c r="G51" i="1" s="1"/>
  <c r="G17" i="1"/>
  <c r="G48" i="1" s="1"/>
  <c r="G13" i="1"/>
  <c r="G44" i="1" s="1"/>
  <c r="H33" i="1"/>
  <c r="H26" i="1"/>
  <c r="H20" i="1"/>
  <c r="H17" i="1"/>
  <c r="H48" i="1" s="1"/>
  <c r="H13" i="1"/>
  <c r="H44" i="1" s="1"/>
  <c r="I33" i="1"/>
  <c r="I26" i="1"/>
  <c r="I20" i="1"/>
  <c r="I17" i="1"/>
  <c r="I13" i="1"/>
  <c r="I44" i="1" s="1"/>
  <c r="H51" i="1" l="1"/>
  <c r="D21" i="1"/>
  <c r="I51" i="1"/>
  <c r="X51" i="1"/>
  <c r="W44" i="1"/>
  <c r="W48" i="1"/>
  <c r="W51" i="1"/>
  <c r="X44" i="1"/>
  <c r="I48" i="1"/>
  <c r="X48" i="1"/>
  <c r="Z27" i="1"/>
  <c r="Z34" i="1" s="1"/>
  <c r="Z36" i="1" s="1"/>
  <c r="Z98" i="1" s="1"/>
  <c r="U38" i="1"/>
  <c r="J40" i="1"/>
  <c r="S33" i="1"/>
  <c r="V28" i="1"/>
  <c r="AN38" i="1"/>
  <c r="AO38" i="1"/>
  <c r="W38" i="1"/>
  <c r="U133" i="1"/>
  <c r="T133" i="1"/>
  <c r="P75" i="1"/>
  <c r="P99" i="1" s="1"/>
  <c r="P64" i="1"/>
  <c r="O75" i="1"/>
  <c r="O99" i="1" s="1"/>
  <c r="O64" i="1"/>
  <c r="Q75" i="1"/>
  <c r="Q99" i="1" s="1"/>
  <c r="Q64" i="1"/>
  <c r="N75" i="1"/>
  <c r="N99" i="1" s="1"/>
  <c r="N64" i="1"/>
  <c r="S21" i="1"/>
  <c r="S22" i="1" s="1"/>
  <c r="W53" i="1" s="1"/>
  <c r="T21" i="1"/>
  <c r="P110" i="1"/>
  <c r="Q110" i="1" s="1"/>
  <c r="Q111" i="1" s="1"/>
  <c r="Q135" i="1" s="1"/>
  <c r="Q136" i="1" s="1"/>
  <c r="Q128" i="1"/>
  <c r="R128" i="1" s="1"/>
  <c r="R102" i="1"/>
  <c r="O133" i="1"/>
  <c r="O135" i="1"/>
  <c r="C21" i="1"/>
  <c r="C22" i="1" s="1"/>
  <c r="C27" i="1" s="1"/>
  <c r="C34" i="1" s="1"/>
  <c r="C36" i="1" s="1"/>
  <c r="C38" i="1" s="1"/>
  <c r="F33" i="1"/>
  <c r="Q130" i="1"/>
  <c r="P131" i="1"/>
  <c r="Q122" i="1"/>
  <c r="R122" i="1" s="1"/>
  <c r="P120" i="1"/>
  <c r="Q116" i="1"/>
  <c r="R116" i="1" s="1"/>
  <c r="R120" i="1" s="1"/>
  <c r="F20" i="1"/>
  <c r="R123" i="1"/>
  <c r="R101" i="1"/>
  <c r="F17" i="1"/>
  <c r="F13" i="1"/>
  <c r="F26" i="1"/>
  <c r="AH21" i="1"/>
  <c r="AH22" i="1" s="1"/>
  <c r="O92" i="1"/>
  <c r="P92" i="1"/>
  <c r="Q92" i="1"/>
  <c r="N92" i="1"/>
  <c r="AF21" i="1"/>
  <c r="AF22" i="1" s="1"/>
  <c r="AF27" i="1" s="1"/>
  <c r="AF34" i="1" s="1"/>
  <c r="AF36" i="1" s="1"/>
  <c r="AF38" i="1" s="1"/>
  <c r="AG21" i="1"/>
  <c r="AG22" i="1" s="1"/>
  <c r="AI21" i="1"/>
  <c r="AI22" i="1" s="1"/>
  <c r="AJ21" i="1"/>
  <c r="D22" i="1"/>
  <c r="D27" i="1" s="1"/>
  <c r="D34" i="1" s="1"/>
  <c r="D36" i="1" s="1"/>
  <c r="D38" i="1" s="1"/>
  <c r="E21" i="1"/>
  <c r="E22" i="1" s="1"/>
  <c r="E27" i="1" s="1"/>
  <c r="E34" i="1" s="1"/>
  <c r="E36" i="1" s="1"/>
  <c r="E38" i="1" s="1"/>
  <c r="G21" i="1"/>
  <c r="H21" i="1"/>
  <c r="I21" i="1"/>
  <c r="W52" i="1" l="1"/>
  <c r="I22" i="1"/>
  <c r="I27" i="1" s="1"/>
  <c r="I34" i="1" s="1"/>
  <c r="I36" i="1" s="1"/>
  <c r="I38" i="1" s="1"/>
  <c r="I52" i="1"/>
  <c r="G22" i="1"/>
  <c r="G53" i="1" s="1"/>
  <c r="G52" i="1"/>
  <c r="H22" i="1"/>
  <c r="H53" i="1" s="1"/>
  <c r="H52" i="1"/>
  <c r="T22" i="1"/>
  <c r="X53" i="1" s="1"/>
  <c r="X52" i="1"/>
  <c r="Z38" i="1"/>
  <c r="Z37" i="1" s="1"/>
  <c r="I53" i="1"/>
  <c r="O136" i="1"/>
  <c r="R110" i="1"/>
  <c r="P111" i="1"/>
  <c r="P135" i="1" s="1"/>
  <c r="S27" i="1"/>
  <c r="Q120" i="1"/>
  <c r="Q131" i="1"/>
  <c r="R130" i="1"/>
  <c r="R131" i="1" s="1"/>
  <c r="AI27" i="1"/>
  <c r="AI34" i="1" s="1"/>
  <c r="AI36" i="1" s="1"/>
  <c r="AI38" i="1" s="1"/>
  <c r="AI53" i="1"/>
  <c r="AJ22" i="1"/>
  <c r="F21" i="1"/>
  <c r="AH27" i="1"/>
  <c r="AH34" i="1" s="1"/>
  <c r="AH36" i="1" s="1"/>
  <c r="AH38" i="1" s="1"/>
  <c r="AH53" i="1"/>
  <c r="AG27" i="1"/>
  <c r="AG34" i="1" s="1"/>
  <c r="AG36" i="1" s="1"/>
  <c r="AG38" i="1" s="1"/>
  <c r="AG53" i="1"/>
  <c r="R91" i="1"/>
  <c r="R82" i="1"/>
  <c r="R68" i="1"/>
  <c r="BD48" i="1"/>
  <c r="BD46" i="1"/>
  <c r="N35" i="1"/>
  <c r="N32" i="1"/>
  <c r="N31" i="1"/>
  <c r="N30" i="1"/>
  <c r="N29" i="1"/>
  <c r="N28" i="1"/>
  <c r="N25" i="1"/>
  <c r="N24" i="1"/>
  <c r="N23" i="1"/>
  <c r="N19" i="1"/>
  <c r="N50" i="1" s="1"/>
  <c r="N18" i="1"/>
  <c r="N49" i="1" s="1"/>
  <c r="N16" i="1"/>
  <c r="N47" i="1" s="1"/>
  <c r="N15" i="1"/>
  <c r="N46" i="1" s="1"/>
  <c r="N14" i="1"/>
  <c r="N45" i="1" s="1"/>
  <c r="N12" i="1"/>
  <c r="N43" i="1" s="1"/>
  <c r="N11" i="1"/>
  <c r="N42" i="1" s="1"/>
  <c r="N10" i="1"/>
  <c r="N41" i="1" s="1"/>
  <c r="N9" i="1"/>
  <c r="N40" i="1" s="1"/>
  <c r="R35" i="1"/>
  <c r="R32" i="1"/>
  <c r="R31" i="1"/>
  <c r="R30" i="1"/>
  <c r="R29" i="1"/>
  <c r="R28" i="1"/>
  <c r="R25" i="1"/>
  <c r="R24" i="1"/>
  <c r="R23" i="1"/>
  <c r="R19" i="1"/>
  <c r="R18" i="1"/>
  <c r="R16" i="1"/>
  <c r="R15" i="1"/>
  <c r="R14" i="1"/>
  <c r="R12" i="1"/>
  <c r="R11" i="1"/>
  <c r="R10" i="1"/>
  <c r="R9" i="1"/>
  <c r="K33" i="1"/>
  <c r="K26" i="1"/>
  <c r="K20" i="1"/>
  <c r="K51" i="1" s="1"/>
  <c r="K17" i="1"/>
  <c r="K48" i="1" s="1"/>
  <c r="K13" i="1"/>
  <c r="K44" i="1" s="1"/>
  <c r="O33" i="1"/>
  <c r="O26" i="1"/>
  <c r="O20" i="1"/>
  <c r="O17" i="1"/>
  <c r="O13" i="1"/>
  <c r="L33" i="1"/>
  <c r="L26" i="1"/>
  <c r="L20" i="1"/>
  <c r="L51" i="1" s="1"/>
  <c r="L17" i="1"/>
  <c r="L48" i="1" s="1"/>
  <c r="L13" i="1"/>
  <c r="L44" i="1" s="1"/>
  <c r="P33" i="1"/>
  <c r="P26" i="1"/>
  <c r="P20" i="1"/>
  <c r="P17" i="1"/>
  <c r="P13" i="1"/>
  <c r="M33" i="1"/>
  <c r="M26" i="1"/>
  <c r="M20" i="1"/>
  <c r="M51" i="1" s="1"/>
  <c r="M17" i="1"/>
  <c r="M48" i="1" s="1"/>
  <c r="M13" i="1"/>
  <c r="M44" i="1" s="1"/>
  <c r="Q33" i="1"/>
  <c r="Q26" i="1"/>
  <c r="Q20" i="1"/>
  <c r="Q17" i="1"/>
  <c r="Q13" i="1"/>
  <c r="AK33" i="1"/>
  <c r="J33" i="1" s="1"/>
  <c r="AK26" i="1"/>
  <c r="J26" i="1" s="1"/>
  <c r="AK20" i="1"/>
  <c r="J20" i="1" s="1"/>
  <c r="J51" i="1" s="1"/>
  <c r="AK17" i="1"/>
  <c r="J17" i="1" s="1"/>
  <c r="J48" i="1" s="1"/>
  <c r="AK13" i="1"/>
  <c r="J13" i="1" s="1"/>
  <c r="J44" i="1" s="1"/>
  <c r="AL33" i="1"/>
  <c r="AL26" i="1"/>
  <c r="AL20" i="1"/>
  <c r="AL17" i="1"/>
  <c r="AL13" i="1"/>
  <c r="AM33" i="1"/>
  <c r="AM26" i="1"/>
  <c r="AM20" i="1"/>
  <c r="AM17" i="1"/>
  <c r="AM13" i="1"/>
  <c r="AH2" i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G7" i="2"/>
  <c r="G8" i="2" s="1"/>
  <c r="BD44" i="1"/>
  <c r="F6" i="2"/>
  <c r="F9" i="2" s="1"/>
  <c r="BD51" i="1" l="1"/>
  <c r="BD52" i="1"/>
  <c r="H27" i="1"/>
  <c r="H34" i="1" s="1"/>
  <c r="H36" i="1" s="1"/>
  <c r="H38" i="1" s="1"/>
  <c r="G27" i="1"/>
  <c r="G34" i="1" s="1"/>
  <c r="G36" i="1" s="1"/>
  <c r="G38" i="1" s="1"/>
  <c r="T27" i="1"/>
  <c r="T34" i="1" s="1"/>
  <c r="T36" i="1" s="1"/>
  <c r="P44" i="1"/>
  <c r="T44" i="1"/>
  <c r="R45" i="1"/>
  <c r="V45" i="1"/>
  <c r="R47" i="1"/>
  <c r="V47" i="1"/>
  <c r="Q51" i="1"/>
  <c r="U51" i="1"/>
  <c r="P48" i="1"/>
  <c r="T48" i="1"/>
  <c r="R46" i="1"/>
  <c r="V46" i="1"/>
  <c r="P51" i="1"/>
  <c r="T51" i="1"/>
  <c r="O44" i="1"/>
  <c r="S44" i="1"/>
  <c r="O48" i="1"/>
  <c r="S48" i="1"/>
  <c r="R49" i="1"/>
  <c r="V49" i="1"/>
  <c r="O51" i="1"/>
  <c r="S51" i="1"/>
  <c r="R50" i="1"/>
  <c r="V50" i="1"/>
  <c r="Q44" i="1"/>
  <c r="U44" i="1"/>
  <c r="Q48" i="1"/>
  <c r="U48" i="1"/>
  <c r="R40" i="1"/>
  <c r="V40" i="1"/>
  <c r="R41" i="1"/>
  <c r="V41" i="1"/>
  <c r="R42" i="1"/>
  <c r="V42" i="1"/>
  <c r="V43" i="1"/>
  <c r="R43" i="1"/>
  <c r="R75" i="1"/>
  <c r="R99" i="1" s="1"/>
  <c r="R64" i="1"/>
  <c r="R111" i="1"/>
  <c r="R135" i="1" s="1"/>
  <c r="S140" i="1" s="1"/>
  <c r="P136" i="1"/>
  <c r="T38" i="1"/>
  <c r="T137" i="1"/>
  <c r="S34" i="1"/>
  <c r="V13" i="1"/>
  <c r="Z5" i="1" s="1"/>
  <c r="P133" i="1"/>
  <c r="Q133" i="1"/>
  <c r="R92" i="1"/>
  <c r="N26" i="1"/>
  <c r="R13" i="1"/>
  <c r="AJ27" i="1"/>
  <c r="F22" i="1"/>
  <c r="AJ53" i="1"/>
  <c r="AM21" i="1"/>
  <c r="AM22" i="1" s="1"/>
  <c r="N33" i="1"/>
  <c r="N13" i="1"/>
  <c r="N44" i="1" s="1"/>
  <c r="R33" i="1"/>
  <c r="N17" i="1"/>
  <c r="N48" i="1" s="1"/>
  <c r="N20" i="1"/>
  <c r="N51" i="1" s="1"/>
  <c r="R26" i="1"/>
  <c r="R17" i="1"/>
  <c r="R48" i="1" s="1"/>
  <c r="R20" i="1"/>
  <c r="R51" i="1" s="1"/>
  <c r="K21" i="1"/>
  <c r="O21" i="1"/>
  <c r="L21" i="1"/>
  <c r="P21" i="1"/>
  <c r="M21" i="1"/>
  <c r="Q21" i="1"/>
  <c r="AK21" i="1"/>
  <c r="J21" i="1" s="1"/>
  <c r="J52" i="1" s="1"/>
  <c r="AL21" i="1"/>
  <c r="AL22" i="1" s="1"/>
  <c r="R44" i="1" l="1"/>
  <c r="Q22" i="1"/>
  <c r="U53" i="1" s="1"/>
  <c r="Q52" i="1"/>
  <c r="U52" i="1"/>
  <c r="V44" i="1"/>
  <c r="Z44" i="1"/>
  <c r="M22" i="1"/>
  <c r="M53" i="1" s="1"/>
  <c r="M52" i="1"/>
  <c r="P22" i="1"/>
  <c r="T53" i="1" s="1"/>
  <c r="P52" i="1"/>
  <c r="T52" i="1"/>
  <c r="L22" i="1"/>
  <c r="L53" i="1" s="1"/>
  <c r="L52" i="1"/>
  <c r="O52" i="1"/>
  <c r="S52" i="1"/>
  <c r="K22" i="1"/>
  <c r="K53" i="1" s="1"/>
  <c r="K52" i="1"/>
  <c r="R140" i="1"/>
  <c r="R133" i="1"/>
  <c r="AM53" i="1"/>
  <c r="AN53" i="1"/>
  <c r="R136" i="1"/>
  <c r="U141" i="1" s="1"/>
  <c r="U140" i="1"/>
  <c r="Q53" i="1"/>
  <c r="T140" i="1"/>
  <c r="S36" i="1"/>
  <c r="AK22" i="1"/>
  <c r="AK53" i="1" s="1"/>
  <c r="R21" i="1"/>
  <c r="L27" i="1"/>
  <c r="L34" i="1" s="1"/>
  <c r="L36" i="1" s="1"/>
  <c r="O22" i="1"/>
  <c r="AJ34" i="1"/>
  <c r="F27" i="1"/>
  <c r="AL27" i="1"/>
  <c r="N21" i="1"/>
  <c r="N52" i="1" s="1"/>
  <c r="AM27" i="1"/>
  <c r="Q27" i="1" l="1"/>
  <c r="Q34" i="1" s="1"/>
  <c r="Q36" i="1" s="1"/>
  <c r="M27" i="1"/>
  <c r="M34" i="1" s="1"/>
  <c r="M36" i="1" s="1"/>
  <c r="P53" i="1"/>
  <c r="N22" i="1"/>
  <c r="K27" i="1"/>
  <c r="K34" i="1" s="1"/>
  <c r="K36" i="1" s="1"/>
  <c r="R52" i="1"/>
  <c r="P27" i="1"/>
  <c r="P34" i="1" s="1"/>
  <c r="P36" i="1" s="1"/>
  <c r="P38" i="1" s="1"/>
  <c r="S137" i="1"/>
  <c r="AL53" i="1"/>
  <c r="AK27" i="1"/>
  <c r="AK34" i="1" s="1"/>
  <c r="O53" i="1"/>
  <c r="S53" i="1"/>
  <c r="T141" i="1"/>
  <c r="R141" i="1"/>
  <c r="S141" i="1"/>
  <c r="S38" i="1"/>
  <c r="V38" i="1" s="1"/>
  <c r="V17" i="1"/>
  <c r="R22" i="1"/>
  <c r="J22" i="1"/>
  <c r="J53" i="1" s="1"/>
  <c r="Q38" i="1"/>
  <c r="Q137" i="1"/>
  <c r="L38" i="1"/>
  <c r="K38" i="1"/>
  <c r="M38" i="1"/>
  <c r="O27" i="1"/>
  <c r="O34" i="1" s="1"/>
  <c r="O36" i="1" s="1"/>
  <c r="O137" i="1" s="1"/>
  <c r="AJ36" i="1"/>
  <c r="F34" i="1"/>
  <c r="AM34" i="1"/>
  <c r="AL34" i="1"/>
  <c r="N27" i="1"/>
  <c r="R53" i="1" l="1"/>
  <c r="V48" i="1"/>
  <c r="Z48" i="1"/>
  <c r="P137" i="1"/>
  <c r="J27" i="1"/>
  <c r="N53" i="1"/>
  <c r="O38" i="1"/>
  <c r="R27" i="1"/>
  <c r="AJ38" i="1"/>
  <c r="F38" i="1" s="1"/>
  <c r="F36" i="1"/>
  <c r="R34" i="1"/>
  <c r="AM36" i="1"/>
  <c r="AK36" i="1"/>
  <c r="J34" i="1"/>
  <c r="AL36" i="1"/>
  <c r="N34" i="1"/>
  <c r="F37" i="1" l="1"/>
  <c r="V20" i="1"/>
  <c r="AK38" i="1"/>
  <c r="J38" i="1" s="1"/>
  <c r="J36" i="1"/>
  <c r="AL38" i="1"/>
  <c r="N38" i="1" s="1"/>
  <c r="N36" i="1"/>
  <c r="R36" i="1"/>
  <c r="U98" i="1" s="1"/>
  <c r="AM38" i="1"/>
  <c r="R38" i="1" s="1"/>
  <c r="V21" i="1" l="1"/>
  <c r="V51" i="1"/>
  <c r="Z51" i="1"/>
  <c r="T98" i="1"/>
  <c r="S98" i="1"/>
  <c r="R137" i="1"/>
  <c r="U142" i="1" s="1"/>
  <c r="J37" i="1"/>
  <c r="R37" i="1"/>
  <c r="R98" i="1"/>
  <c r="N37" i="1"/>
  <c r="Q98" i="1"/>
  <c r="O98" i="1"/>
  <c r="N98" i="1"/>
  <c r="P98" i="1"/>
  <c r="V22" i="1" l="1"/>
  <c r="V52" i="1"/>
  <c r="Z52" i="1"/>
  <c r="T142" i="1"/>
  <c r="S142" i="1"/>
  <c r="R142" i="1"/>
  <c r="V53" i="1" l="1"/>
  <c r="Z53" i="1"/>
  <c r="AP22" i="1"/>
  <c r="AQ22" i="1" s="1"/>
  <c r="AR22" i="1" s="1"/>
  <c r="AS22" i="1" s="1"/>
  <c r="AT22" i="1" s="1"/>
  <c r="AU22" i="1" s="1"/>
  <c r="AV22" i="1" s="1"/>
  <c r="AW22" i="1" s="1"/>
  <c r="AX22" i="1" s="1"/>
  <c r="V26" i="1"/>
  <c r="V27" i="1" s="1"/>
  <c r="AY22" i="1" l="1"/>
  <c r="V33" i="1" l="1"/>
  <c r="V34" i="1" l="1"/>
  <c r="V36" i="1" l="1"/>
  <c r="V37" i="1" l="1"/>
  <c r="Y98" i="1"/>
  <c r="X98" i="1"/>
  <c r="W98" i="1"/>
  <c r="V98" i="1"/>
  <c r="AP37" i="1"/>
  <c r="AQ37" i="1" l="1"/>
  <c r="AR37" i="1" l="1"/>
  <c r="AS37" i="1" l="1"/>
  <c r="AT37" i="1" l="1"/>
  <c r="AU37" i="1" l="1"/>
  <c r="AV37" i="1" l="1"/>
  <c r="AW37" i="1" l="1"/>
  <c r="AX37" i="1" s="1"/>
  <c r="AY37" i="1" s="1"/>
  <c r="AP24" i="1" l="1"/>
  <c r="AQ24" i="1" l="1"/>
  <c r="AP25" i="1"/>
  <c r="AQ25" i="1" s="1"/>
  <c r="AP23" i="1" l="1"/>
  <c r="AR24" i="1"/>
  <c r="AR25" i="1"/>
  <c r="AS24" i="1" l="1"/>
  <c r="AS25" i="1"/>
  <c r="AP26" i="1"/>
  <c r="AP27" i="1" s="1"/>
  <c r="AQ23" i="1"/>
  <c r="AQ26" i="1" l="1"/>
  <c r="AQ27" i="1" s="1"/>
  <c r="AR23" i="1"/>
  <c r="AP28" i="1"/>
  <c r="AP31" i="1"/>
  <c r="AP30" i="1"/>
  <c r="AP29" i="1"/>
  <c r="AP32" i="1"/>
  <c r="AT25" i="1"/>
  <c r="AT24" i="1"/>
  <c r="AU25" i="1" l="1"/>
  <c r="AU24" i="1"/>
  <c r="AP33" i="1"/>
  <c r="AP34" i="1" s="1"/>
  <c r="AR26" i="1"/>
  <c r="AR27" i="1" s="1"/>
  <c r="AS23" i="1"/>
  <c r="AQ29" i="1"/>
  <c r="AQ30" i="1"/>
  <c r="AQ31" i="1"/>
  <c r="AQ32" i="1"/>
  <c r="AQ28" i="1"/>
  <c r="AQ33" i="1" l="1"/>
  <c r="AQ34" i="1" s="1"/>
  <c r="AQ35" i="1" s="1"/>
  <c r="AQ36" i="1" s="1"/>
  <c r="AQ38" i="1" s="1"/>
  <c r="AR28" i="1"/>
  <c r="AR32" i="1"/>
  <c r="AR29" i="1"/>
  <c r="AR31" i="1"/>
  <c r="AR30" i="1"/>
  <c r="AS26" i="1"/>
  <c r="AS27" i="1" s="1"/>
  <c r="AT23" i="1"/>
  <c r="AV24" i="1"/>
  <c r="AV25" i="1"/>
  <c r="AP35" i="1"/>
  <c r="AP36" i="1" s="1"/>
  <c r="BD53" i="1" s="1"/>
  <c r="AW25" i="1" l="1"/>
  <c r="AX25" i="1" s="1"/>
  <c r="AY25" i="1" s="1"/>
  <c r="AW24" i="1"/>
  <c r="AX24" i="1" s="1"/>
  <c r="AY24" i="1" s="1"/>
  <c r="AP38" i="1"/>
  <c r="AR33" i="1"/>
  <c r="AR34" i="1" s="1"/>
  <c r="AT26" i="1"/>
  <c r="AT27" i="1" s="1"/>
  <c r="AU23" i="1"/>
  <c r="AS29" i="1"/>
  <c r="AS28" i="1"/>
  <c r="AS32" i="1"/>
  <c r="AS30" i="1"/>
  <c r="AS31" i="1"/>
  <c r="AS33" i="1" l="1"/>
  <c r="AS34" i="1" s="1"/>
  <c r="AU26" i="1"/>
  <c r="AU27" i="1" s="1"/>
  <c r="AV23" i="1"/>
  <c r="AT30" i="1"/>
  <c r="AT28" i="1"/>
  <c r="AT32" i="1"/>
  <c r="AT29" i="1"/>
  <c r="AT31" i="1"/>
  <c r="AR35" i="1"/>
  <c r="AR36" i="1" s="1"/>
  <c r="AR38" i="1" l="1"/>
  <c r="AT33" i="1"/>
  <c r="AT34" i="1" s="1"/>
  <c r="AV26" i="1"/>
  <c r="AV27" i="1" s="1"/>
  <c r="AW23" i="1"/>
  <c r="AX23" i="1" s="1"/>
  <c r="AU29" i="1"/>
  <c r="AU30" i="1"/>
  <c r="AU28" i="1"/>
  <c r="AU32" i="1"/>
  <c r="AU31" i="1"/>
  <c r="AS35" i="1"/>
  <c r="AS36" i="1" s="1"/>
  <c r="AX26" i="1" l="1"/>
  <c r="AX27" i="1" s="1"/>
  <c r="AY23" i="1"/>
  <c r="AY26" i="1" s="1"/>
  <c r="AY27" i="1" s="1"/>
  <c r="AS38" i="1"/>
  <c r="AU33" i="1"/>
  <c r="AU34" i="1" s="1"/>
  <c r="AW26" i="1"/>
  <c r="AW27" i="1" s="1"/>
  <c r="AV29" i="1"/>
  <c r="AV30" i="1"/>
  <c r="AV31" i="1"/>
  <c r="AV28" i="1"/>
  <c r="AV32" i="1"/>
  <c r="AT35" i="1"/>
  <c r="AT36" i="1"/>
  <c r="AT38" i="1" l="1"/>
  <c r="AV33" i="1"/>
  <c r="AV34" i="1" s="1"/>
  <c r="AV35" i="1" s="1"/>
  <c r="AV36" i="1" s="1"/>
  <c r="AV38" i="1" s="1"/>
  <c r="AW30" i="1"/>
  <c r="AX30" i="1" s="1"/>
  <c r="AY30" i="1" s="1"/>
  <c r="AW29" i="1"/>
  <c r="AX29" i="1" s="1"/>
  <c r="AY29" i="1" s="1"/>
  <c r="AW31" i="1"/>
  <c r="AX31" i="1" s="1"/>
  <c r="AY31" i="1" s="1"/>
  <c r="AW28" i="1"/>
  <c r="AX28" i="1" s="1"/>
  <c r="AW32" i="1"/>
  <c r="AX32" i="1" s="1"/>
  <c r="AY32" i="1" s="1"/>
  <c r="AU35" i="1"/>
  <c r="AU36" i="1" s="1"/>
  <c r="AX33" i="1" l="1"/>
  <c r="AX34" i="1" s="1"/>
  <c r="AX35" i="1" s="1"/>
  <c r="AX36" i="1" s="1"/>
  <c r="AX38" i="1" s="1"/>
  <c r="AY28" i="1"/>
  <c r="AY33" i="1" s="1"/>
  <c r="AY34" i="1" s="1"/>
  <c r="AY35" i="1" s="1"/>
  <c r="AY36" i="1" s="1"/>
  <c r="AU38" i="1"/>
  <c r="AW33" i="1"/>
  <c r="AW34" i="1" s="1"/>
  <c r="AY38" i="1" l="1"/>
  <c r="AZ36" i="1"/>
  <c r="BA36" i="1" s="1"/>
  <c r="AW35" i="1"/>
  <c r="AW36" i="1" s="1"/>
  <c r="AW38" i="1" l="1"/>
  <c r="BB36" i="1"/>
  <c r="BC36" i="1" l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BK43" i="1" s="1"/>
  <c r="BK45" i="1" s="1"/>
  <c r="BK47" i="1" s="1"/>
  <c r="BG43" i="1" l="1"/>
  <c r="BG45" i="1" s="1"/>
  <c r="BG47" i="1" s="1"/>
  <c r="BH43" i="1"/>
  <c r="BH45" i="1" s="1"/>
  <c r="BH47" i="1" s="1"/>
  <c r="BF43" i="1"/>
  <c r="BF45" i="1" s="1"/>
  <c r="BF47" i="1" s="1"/>
  <c r="BI43" i="1"/>
  <c r="BI45" i="1" s="1"/>
  <c r="BI47" i="1" s="1"/>
  <c r="BE43" i="1"/>
  <c r="BE45" i="1" s="1"/>
  <c r="BE47" i="1" s="1"/>
  <c r="BJ43" i="1"/>
  <c r="BJ45" i="1" s="1"/>
  <c r="BJ47" i="1" s="1"/>
  <c r="BD43" i="1"/>
  <c r="BD45" i="1" s="1"/>
  <c r="BD47" i="1" l="1"/>
  <c r="BD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  <author>tc={03F985FA-EDDD-C441-895E-FF9836C03AAE}</author>
  </authors>
  <commentList>
    <comment ref="P3" authorId="0" shapeId="0" xr:uid="{ECD74276-A9C4-1445-AECE-B0EB6F2C19E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everytime i buy something I can gain rewards (points/cash back) -- then why ever buy an item in cash?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you hold a card where you can recieve a return (points, etc) when it's used, and you instead use cash --- should it be considered an intrinsic negative return on your monthly spending?</t>
        </r>
      </text>
    </comment>
    <comment ref="U4" authorId="0" shapeId="0" xr:uid="{50DC359C-CF82-B240-9E22-2FDAD52C599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unemployement + LFPR
</t>
        </r>
      </text>
    </comment>
    <comment ref="C9" authorId="0" shapeId="0" xr:uid="{980D71CE-F35E-DC40-9DC6-F9C759B16D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Manages relationships with merchants </t>
        </r>
      </text>
    </comment>
    <comment ref="B13" authorId="0" shapeId="0" xr:uid="{A87B3BAA-03EC-5E4E-9929-698E30690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Largest partner.  Runs through 2029</t>
        </r>
      </text>
    </comment>
    <comment ref="Q13" authorId="0" shapeId="0" xr:uid="{FE98EAD5-C64E-D644-BEEF-0C3F85F3725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Grew 2.6% in q3'22. in q2'22 GDP shrunk 0.6%</t>
        </r>
      </text>
    </comment>
    <comment ref="B41" authorId="1" shapeId="0" xr:uid="{03F985FA-EDDD-C441-895E-FF9836C03A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DIVIDEND INCREASE +17%</t>
      </text>
    </comment>
    <comment ref="B42" authorId="0" shapeId="0" xr:uid="{6579A9B3-51E5-AE45-A7E1-F4529997FDE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Growth Areas</t>
        </r>
        <r>
          <rPr>
            <sz val="10"/>
            <color rgb="FF000000"/>
            <rFont val="Tahoma"/>
            <family val="2"/>
          </rPr>
          <t xml:space="preserve">: Goods &amp; Services + Travel &amp; Entertainment
</t>
        </r>
        <r>
          <rPr>
            <sz val="10"/>
            <color rgb="FF000000"/>
            <rFont val="Tahoma"/>
            <family val="2"/>
          </rPr>
          <t xml:space="preserve">- Demand for travel exceeded expectations w/ spending up ~57% y/y and T&amp;E volumes exceeding pre-pandemic levels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Added 3.3m cards &amp; saw acquisitions of U.S. Consumer Platinum &amp; Gold Cards &amp; Biz platinum cards hitting record highs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Mill &amp; Gen Z comprised more than ~60% of card acq in q3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  <author>tc={DE5FA18A-BF94-8147-B5FA-173D6E8575C9}</author>
    <author>tc={A6362C8A-F4B0-384C-85A7-657FEB6D55A3}</author>
    <author>Brannon, Jameel A.</author>
  </authors>
  <commentList>
    <comment ref="B9" authorId="0" shapeId="0" xr:uid="{C7A0398F-FDC9-A94E-9A79-1E63B696279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fees collected from merchants when people buy with Amex</t>
        </r>
      </text>
    </comment>
    <comment ref="AO9" authorId="1" shapeId="0" xr:uid="{DE5FA18A-BF94-8147-B5FA-173D6E8575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increase in billed business </t>
      </text>
    </comment>
    <comment ref="B10" authorId="0" shapeId="0" xr:uid="{79FD84C0-B79D-7742-A1EF-1725F25AEDC3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earned on card membership fees</t>
        </r>
      </text>
    </comment>
    <comment ref="AO10" authorId="2" shapeId="0" xr:uid="{A6362C8A-F4B0-384C-85A7-657FEB6D55A3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in our premium card portfolios</t>
      </text>
    </comment>
    <comment ref="B14" authorId="0" shapeId="0" xr:uid="{196C9CFB-3AB7-7741-82D4-D3287B93D02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earned on outstanding loans</t>
        </r>
      </text>
    </comment>
    <comment ref="U26" authorId="3" shapeId="0" xr:uid="{D6C3FD29-8B6F-234D-8469-82DEA4CA43B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growth in card member loans &amp; changes in macro fcst</t>
        </r>
      </text>
    </comment>
    <comment ref="U33" authorId="3" shapeId="0" xr:uid="{FAA4FABE-2E9E-9A4B-83D0-110509AFCC81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engagement costs, 10% increase in network volumes and higher usage of travel related benefits</t>
        </r>
      </text>
    </comment>
    <comment ref="B40" authorId="0" shapeId="0" xr:uid="{71911D47-126D-2E47-BA9E-FBF9A02381CB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fees collected from merchants when people buy with Amex</t>
        </r>
      </text>
    </comment>
    <comment ref="B41" authorId="0" shapeId="0" xr:uid="{0058D8BF-F896-5540-9639-5B4B14FC344C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earned on card membership fees</t>
        </r>
      </text>
    </comment>
    <comment ref="B45" authorId="0" shapeId="0" xr:uid="{71A42CA7-ABF7-6F43-9751-DBA28FEDE694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interest earned on outstanding loans</t>
        </r>
      </text>
    </comment>
    <comment ref="R70" authorId="3" shapeId="0" xr:uid="{FB32C15A-0E51-3944-92FB-FA8CCF0D2AB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3305 for credit losses</t>
        </r>
      </text>
    </comment>
    <comment ref="S70" authorId="3" shapeId="0" xr:uid="{86660EF7-791E-E744-889A-765068B3462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2981 CL</t>
        </r>
      </text>
    </comment>
    <comment ref="T70" authorId="3" shapeId="0" xr:uid="{ADD0885B-CA81-1047-8745-336627AF9F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2997 for reserves</t>
        </r>
      </text>
    </comment>
    <comment ref="U70" authorId="3" shapeId="0" xr:uid="{46D8199B-631E-A145-9D94-F65C701AC3A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3319 for credit losses</t>
        </r>
      </text>
    </comment>
  </commentList>
</comments>
</file>

<file path=xl/sharedStrings.xml><?xml version="1.0" encoding="utf-8"?>
<sst xmlns="http://schemas.openxmlformats.org/spreadsheetml/2006/main" count="229" uniqueCount="207">
  <si>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</si>
  <si>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</si>
  <si>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</si>
  <si>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</si>
  <si>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</si>
  <si>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</si>
  <si>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</si>
  <si>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</si>
  <si>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</si>
  <si>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</si>
  <si>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</si>
  <si>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</si>
  <si>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</t>
  </si>
  <si>
    <t>Shares</t>
  </si>
  <si>
    <t>MC</t>
  </si>
  <si>
    <t xml:space="preserve">Cash </t>
  </si>
  <si>
    <t>Debt</t>
  </si>
  <si>
    <t>EV</t>
  </si>
  <si>
    <t xml:space="preserve">Discount </t>
  </si>
  <si>
    <t>Net card fees</t>
  </si>
  <si>
    <t>Other fees +c</t>
  </si>
  <si>
    <t xml:space="preserve">Total Non Interest Revenue </t>
  </si>
  <si>
    <t>Interest on loans</t>
  </si>
  <si>
    <t>Interest and dividends on securities</t>
  </si>
  <si>
    <t>Deposits with banks &amp; other</t>
  </si>
  <si>
    <t xml:space="preserve">Total Interest Income </t>
  </si>
  <si>
    <t>Deposits</t>
  </si>
  <si>
    <t>Long Term Dent</t>
  </si>
  <si>
    <t>Total Interest Expense</t>
  </si>
  <si>
    <t xml:space="preserve">Net Interest Income </t>
  </si>
  <si>
    <t xml:space="preserve">Total Revenue Net of Interest </t>
  </si>
  <si>
    <t>Card Member Recievables</t>
  </si>
  <si>
    <t>Card member loans</t>
  </si>
  <si>
    <t>Total Provisions for credit losses</t>
  </si>
  <si>
    <t>Marketing &amp; biz dev</t>
  </si>
  <si>
    <t>Card member rewards</t>
  </si>
  <si>
    <t>Card Memebr Services</t>
  </si>
  <si>
    <t>Salaries &amp; employee benefits</t>
  </si>
  <si>
    <t>Other, net</t>
  </si>
  <si>
    <t>Total Expenses</t>
  </si>
  <si>
    <t xml:space="preserve">Pretax Income </t>
  </si>
  <si>
    <t>Taxes</t>
  </si>
  <si>
    <t xml:space="preserve">Net Income </t>
  </si>
  <si>
    <t>Diluted</t>
  </si>
  <si>
    <t>Eps</t>
  </si>
  <si>
    <t>Maturity</t>
  </si>
  <si>
    <t>Discount</t>
  </si>
  <si>
    <t>NPV</t>
  </si>
  <si>
    <t xml:space="preserve">Estimate </t>
  </si>
  <si>
    <t xml:space="preserve">Net Cash </t>
  </si>
  <si>
    <t>Total NPV</t>
  </si>
  <si>
    <t>Current</t>
  </si>
  <si>
    <t>Delta</t>
  </si>
  <si>
    <t>Equity</t>
  </si>
  <si>
    <t>TL + E</t>
  </si>
  <si>
    <t>Interest bearing deposits</t>
  </si>
  <si>
    <t>Short term investments</t>
  </si>
  <si>
    <t>Total Cash + Investments</t>
  </si>
  <si>
    <t>Card member recievables</t>
  </si>
  <si>
    <t>Other loans</t>
  </si>
  <si>
    <t>Investment Securities</t>
  </si>
  <si>
    <t>Premises and equipment</t>
  </si>
  <si>
    <t>Other Assets</t>
  </si>
  <si>
    <t xml:space="preserve">Total Assets </t>
  </si>
  <si>
    <t>Customer deposits</t>
  </si>
  <si>
    <t>Accounts payable</t>
  </si>
  <si>
    <t>Short term borrowings</t>
  </si>
  <si>
    <t xml:space="preserve">Long Term Debt </t>
  </si>
  <si>
    <t>Other Liabilities</t>
  </si>
  <si>
    <t xml:space="preserve">Total Liabilities </t>
  </si>
  <si>
    <t>Preferred shares</t>
  </si>
  <si>
    <t>Common shares</t>
  </si>
  <si>
    <t>Additional paid in capita</t>
  </si>
  <si>
    <t>Retained earnings</t>
  </si>
  <si>
    <t>Net unrealized debt securities</t>
  </si>
  <si>
    <t>Fx</t>
  </si>
  <si>
    <t>Net urnealized pension</t>
  </si>
  <si>
    <t>Q118</t>
  </si>
  <si>
    <t>Q218</t>
  </si>
  <si>
    <t>Q318</t>
  </si>
  <si>
    <t>Q418</t>
  </si>
  <si>
    <t>ROE</t>
  </si>
  <si>
    <t xml:space="preserve">Total Revenue Net of Interest expense </t>
  </si>
  <si>
    <t>TA - TL</t>
  </si>
  <si>
    <t>Provisions for credit loss</t>
  </si>
  <si>
    <t>D&amp;A</t>
  </si>
  <si>
    <t>SBC</t>
  </si>
  <si>
    <t>Deferred taxes</t>
  </si>
  <si>
    <t xml:space="preserve">Other non cash </t>
  </si>
  <si>
    <t>Other assets</t>
  </si>
  <si>
    <t>A/P</t>
  </si>
  <si>
    <t>CFFO</t>
  </si>
  <si>
    <t>Sale of securities</t>
  </si>
  <si>
    <t>Maturities and redemptions</t>
  </si>
  <si>
    <t>Purchase of investments</t>
  </si>
  <si>
    <t>Net increase in card member loans</t>
  </si>
  <si>
    <t>Capex</t>
  </si>
  <si>
    <t>Acquisitions/dispositions</t>
  </si>
  <si>
    <t>Other investing activities</t>
  </si>
  <si>
    <t>CFFI</t>
  </si>
  <si>
    <t>Customer Deposits</t>
  </si>
  <si>
    <t xml:space="preserve">Proceeds from long term debt </t>
  </si>
  <si>
    <t xml:space="preserve">Payments of long term debt </t>
  </si>
  <si>
    <t>Issuance of Amex preferred</t>
  </si>
  <si>
    <t xml:space="preserve">Redemption of Amex preferred </t>
  </si>
  <si>
    <t>Issuance of Amex common</t>
  </si>
  <si>
    <t xml:space="preserve">Dividends paid </t>
  </si>
  <si>
    <t>CFFF</t>
  </si>
  <si>
    <t xml:space="preserve">Effects of Currency </t>
  </si>
  <si>
    <t xml:space="preserve">Net Increase in Cash </t>
  </si>
  <si>
    <t xml:space="preserve">Buybacks </t>
  </si>
  <si>
    <t>CFFO - Capex - SBC</t>
  </si>
  <si>
    <t>Q322</t>
  </si>
  <si>
    <t>Q122</t>
  </si>
  <si>
    <t>Q222</t>
  </si>
  <si>
    <t>Acc. Comp loss</t>
  </si>
  <si>
    <t>Originations of loans held for sale</t>
  </si>
  <si>
    <t>Proceeds from loan sales</t>
  </si>
  <si>
    <t>CFFO - Capex - SBC - D&amp;A</t>
  </si>
  <si>
    <t>Net Income</t>
  </si>
  <si>
    <t>4Q CFFO - Capex - SBC</t>
  </si>
  <si>
    <t>4Q CFFO - Capex - SBC - D&amp;A</t>
  </si>
  <si>
    <t>4Q Net Income</t>
  </si>
  <si>
    <t>Revenue y/y</t>
  </si>
  <si>
    <t>PR</t>
  </si>
  <si>
    <t>Q3'22</t>
  </si>
  <si>
    <t>Founded</t>
  </si>
  <si>
    <t>Segments</t>
  </si>
  <si>
    <t>Global Consumer Services Group (GCSG)</t>
  </si>
  <si>
    <t>Global Commercial Services (GCS)</t>
  </si>
  <si>
    <t>Global Merchant and Network Services (GMNS)</t>
  </si>
  <si>
    <t>Card issuing</t>
  </si>
  <si>
    <t>Merchant</t>
  </si>
  <si>
    <t>Partnerships</t>
  </si>
  <si>
    <t>Delta Air Lines</t>
  </si>
  <si>
    <t>Marriot International</t>
  </si>
  <si>
    <t>Hilton Worldwide Holdings</t>
  </si>
  <si>
    <t>British Airways</t>
  </si>
  <si>
    <t>Card Member Loans w/o credit loss rsv</t>
  </si>
  <si>
    <t>Credit Loss Reserve</t>
  </si>
  <si>
    <t>Member Loan growth y/y</t>
  </si>
  <si>
    <t>Products</t>
  </si>
  <si>
    <t>The Platinum Card</t>
  </si>
  <si>
    <t>Amex Gold Card</t>
  </si>
  <si>
    <t>Blue Cash Preferred Card</t>
  </si>
  <si>
    <t>Blue Cash Everyday Card</t>
  </si>
  <si>
    <t>Delta Skymiles Gold Card</t>
  </si>
  <si>
    <t>Delta SkyMiles Platinum Card</t>
  </si>
  <si>
    <t>Cash Magnet Card</t>
  </si>
  <si>
    <t>Marriot Bonvoy Bevy Card</t>
  </si>
  <si>
    <t>Marriot Bonvoy Brilliant Card</t>
  </si>
  <si>
    <t>Hilton Honors Card</t>
  </si>
  <si>
    <t>Hilton Honors Surpass Card</t>
  </si>
  <si>
    <t>Delta SkyMiles Reserve Card</t>
  </si>
  <si>
    <t>Green Card</t>
  </si>
  <si>
    <t>Hilton Honors Aspire Card</t>
  </si>
  <si>
    <t>Amex EverDay Card</t>
  </si>
  <si>
    <t>Delta SkyMiles Blue Card</t>
  </si>
  <si>
    <t>Everyday Preferred Card</t>
  </si>
  <si>
    <t>Serve from Amex</t>
  </si>
  <si>
    <t>Q2'22</t>
  </si>
  <si>
    <t>Q1'22</t>
  </si>
  <si>
    <t>Q4'21</t>
  </si>
  <si>
    <t>Q3'21</t>
  </si>
  <si>
    <t>Q2'21</t>
  </si>
  <si>
    <t>Q1'21</t>
  </si>
  <si>
    <t>Q4'20</t>
  </si>
  <si>
    <t>Q3'20</t>
  </si>
  <si>
    <t>Q2'20</t>
  </si>
  <si>
    <t>Q1'20</t>
  </si>
  <si>
    <t xml:space="preserve">CEO </t>
  </si>
  <si>
    <t>EV/E 22</t>
  </si>
  <si>
    <t>EV/E 23</t>
  </si>
  <si>
    <t>Catalyst</t>
  </si>
  <si>
    <t>Cons</t>
  </si>
  <si>
    <t>Massive layoffs</t>
  </si>
  <si>
    <t>Inflation --&gt; Taking up descretionary income</t>
  </si>
  <si>
    <t xml:space="preserve">Recession </t>
  </si>
  <si>
    <t xml:space="preserve">Unemployment </t>
  </si>
  <si>
    <t xml:space="preserve">GDP </t>
  </si>
  <si>
    <t>Fed Balance Sheet</t>
  </si>
  <si>
    <t xml:space="preserve">Brand strength </t>
  </si>
  <si>
    <t>News</t>
  </si>
  <si>
    <t>About</t>
  </si>
  <si>
    <t xml:space="preserve">Card approval </t>
  </si>
  <si>
    <t>Tiktok Shopsmall accelarator</t>
  </si>
  <si>
    <t>Issa Rae travel itin.</t>
  </si>
  <si>
    <t>(212) 640-5574</t>
  </si>
  <si>
    <t>IR@aexp.com</t>
  </si>
  <si>
    <t>Investor Relations</t>
  </si>
  <si>
    <t xml:space="preserve">Square partnership </t>
  </si>
  <si>
    <t xml:space="preserve">TikTok leverage </t>
  </si>
  <si>
    <t>Q123</t>
  </si>
  <si>
    <t>Q223</t>
  </si>
  <si>
    <t>Q323</t>
  </si>
  <si>
    <t>Q423</t>
  </si>
  <si>
    <t>EV/E 24</t>
  </si>
  <si>
    <t>Q422</t>
  </si>
  <si>
    <t>Long Term Rent</t>
  </si>
  <si>
    <t>Oustanding Cards (m)</t>
  </si>
  <si>
    <t>$m</t>
  </si>
  <si>
    <t>Network volume (billions)</t>
  </si>
  <si>
    <t xml:space="preserve">Correlation </t>
  </si>
  <si>
    <t xml:space="preserve">Multiple </t>
  </si>
  <si>
    <t>Q4'23</t>
  </si>
  <si>
    <t>STEPHEN SQUERI</t>
  </si>
  <si>
    <t xml:space="preserve">Summer Travel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</si>
</sst>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\x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b/>
      <sz val="10"/>
      <color rgb="FF0432FF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432FF"/>
      <name val="ArialMT"/>
      <family val="2"/>
    </font>
    <font>
      <sz val="16"/>
      <color rgb="FFFFFFFF"/>
      <name val="Helvetica Neue"/>
      <family val="2"/>
    </font>
    <font>
      <b/>
      <sz val="10"/>
      <name val="ArialMT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9" fontId="2" fillId="0" borderId="0" xfId="0" applyNumberFormat="1" applyFont="1" applyAlignment="1">
      <alignment horizontal="left"/>
    </xf>
    <xf numFmtId="38" fontId="0" fillId="0" borderId="0" xfId="0" applyNumberFormat="1" applyAlignment="1">
      <alignment horizontal="left"/>
    </xf>
    <xf numFmtId="9" fontId="3" fillId="2" borderId="0" xfId="0" applyNumberFormat="1" applyFont="1" applyFill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3"/>
    <xf numFmtId="0" fontId="2" fillId="0" borderId="0" xfId="0" applyFont="1"/>
    <xf numFmtId="9" fontId="0" fillId="0" borderId="0" xfId="2" applyFont="1" applyAlignment="1">
      <alignment horizontal="left"/>
    </xf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166" fontId="8" fillId="2" borderId="9" xfId="0" applyNumberFormat="1" applyFont="1" applyFill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left"/>
    </xf>
    <xf numFmtId="3" fontId="2" fillId="0" borderId="9" xfId="0" applyNumberFormat="1" applyFont="1" applyBorder="1" applyAlignment="1">
      <alignment horizontal="left"/>
    </xf>
    <xf numFmtId="9" fontId="2" fillId="0" borderId="9" xfId="0" applyNumberFormat="1" applyFont="1" applyBorder="1" applyAlignment="1">
      <alignment horizontal="left"/>
    </xf>
    <xf numFmtId="167" fontId="0" fillId="0" borderId="9" xfId="0" applyNumberFormat="1" applyBorder="1" applyAlignment="1">
      <alignment horizontal="left"/>
    </xf>
    <xf numFmtId="3" fontId="2" fillId="0" borderId="10" xfId="0" applyNumberFormat="1" applyFont="1" applyBorder="1" applyAlignment="1">
      <alignment horizontal="left"/>
    </xf>
    <xf numFmtId="9" fontId="0" fillId="0" borderId="11" xfId="0" applyNumberFormat="1" applyBorder="1" applyAlignment="1">
      <alignment horizontal="left"/>
    </xf>
    <xf numFmtId="3" fontId="0" fillId="0" borderId="11" xfId="0" applyNumberFormat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2" fillId="0" borderId="13" xfId="0" applyNumberFormat="1" applyFont="1" applyBorder="1" applyAlignment="1">
      <alignment horizontal="left"/>
    </xf>
    <xf numFmtId="3" fontId="0" fillId="0" borderId="14" xfId="0" applyNumberFormat="1" applyBorder="1" applyAlignment="1">
      <alignment horizontal="left"/>
    </xf>
    <xf numFmtId="3" fontId="0" fillId="0" borderId="13" xfId="0" applyNumberFormat="1" applyBorder="1" applyAlignment="1">
      <alignment horizontal="left"/>
    </xf>
    <xf numFmtId="3" fontId="0" fillId="0" borderId="15" xfId="0" applyNumberFormat="1" applyBorder="1" applyAlignment="1">
      <alignment horizontal="left"/>
    </xf>
    <xf numFmtId="167" fontId="0" fillId="0" borderId="16" xfId="0" applyNumberFormat="1" applyBorder="1" applyAlignment="1">
      <alignment horizontal="left"/>
    </xf>
    <xf numFmtId="3" fontId="0" fillId="0" borderId="16" xfId="0" applyNumberFormat="1" applyBorder="1" applyAlignment="1">
      <alignment horizontal="left"/>
    </xf>
    <xf numFmtId="3" fontId="0" fillId="0" borderId="17" xfId="0" applyNumberFormat="1" applyBorder="1" applyAlignment="1">
      <alignment horizontal="left"/>
    </xf>
    <xf numFmtId="3" fontId="2" fillId="2" borderId="14" xfId="0" applyNumberFormat="1" applyFont="1" applyFill="1" applyBorder="1" applyAlignment="1">
      <alignment horizontal="left"/>
    </xf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/>
    <xf numFmtId="164" fontId="0" fillId="0" borderId="0" xfId="1" applyNumberFormat="1" applyFont="1" applyBorder="1"/>
    <xf numFmtId="0" fontId="0" fillId="0" borderId="5" xfId="0" applyBorder="1" applyAlignment="1">
      <alignment horizontal="left"/>
    </xf>
    <xf numFmtId="0" fontId="0" fillId="0" borderId="6" xfId="0" applyBorder="1"/>
    <xf numFmtId="164" fontId="0" fillId="0" borderId="7" xfId="1" applyNumberFormat="1" applyFont="1" applyBorder="1"/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14" fontId="5" fillId="0" borderId="0" xfId="3" applyNumberFormat="1"/>
    <xf numFmtId="14" fontId="5" fillId="0" borderId="0" xfId="3" applyNumberFormat="1" applyAlignment="1">
      <alignment horizontal="left"/>
    </xf>
    <xf numFmtId="166" fontId="0" fillId="0" borderId="0" xfId="0" applyNumberForma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9" fillId="0" borderId="0" xfId="0" applyFont="1"/>
    <xf numFmtId="0" fontId="2" fillId="0" borderId="1" xfId="0" applyFont="1" applyBorder="1"/>
    <xf numFmtId="0" fontId="2" fillId="0" borderId="18" xfId="0" applyFont="1" applyBorder="1"/>
    <xf numFmtId="0" fontId="0" fillId="0" borderId="19" xfId="0" applyBorder="1"/>
    <xf numFmtId="0" fontId="5" fillId="0" borderId="19" xfId="3" applyBorder="1"/>
    <xf numFmtId="0" fontId="0" fillId="0" borderId="20" xfId="0" applyBorder="1"/>
    <xf numFmtId="2" fontId="0" fillId="0" borderId="0" xfId="0" applyNumberFormat="1" applyAlignment="1">
      <alignment horizontal="left"/>
    </xf>
    <xf numFmtId="9" fontId="10" fillId="2" borderId="0" xfId="0" applyNumberFormat="1" applyFont="1" applyFill="1" applyAlignment="1">
      <alignment horizontal="left"/>
    </xf>
    <xf numFmtId="9" fontId="2" fillId="0" borderId="0" xfId="0" applyNumberFormat="1" applyFont="1" applyFill="1" applyAlignment="1">
      <alignment horizontal="left"/>
    </xf>
    <xf numFmtId="9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518582</xdr:colOff>
      <xdr:row>0</xdr:row>
      <xdr:rowOff>0</xdr:rowOff>
    </xdr:from>
    <xdr:to>
      <xdr:col>41</xdr:col>
      <xdr:colOff>11288</xdr:colOff>
      <xdr:row>168</xdr:row>
      <xdr:rowOff>71966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627AB0-DE38-CB47-91BA-A7DA33085262}"/>
            </a:ext>
          </a:extLst>
        </xdr:cNvPr>
        <xdr:cNvCxnSpPr/>
      </xdr:nvCxnSpPr>
      <xdr:spPr>
        <a:xfrm flipH="1">
          <a:off x="25671638" y="0"/>
          <a:ext cx="14817" cy="2311541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4233</xdr:colOff>
      <xdr:row>0</xdr:row>
      <xdr:rowOff>0</xdr:rowOff>
    </xdr:from>
    <xdr:to>
      <xdr:col>26</xdr:col>
      <xdr:colOff>51405</xdr:colOff>
      <xdr:row>167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4642F5-C759-3A67-50B7-389E1DF525DE}"/>
            </a:ext>
          </a:extLst>
        </xdr:cNvPr>
        <xdr:cNvCxnSpPr/>
      </xdr:nvCxnSpPr>
      <xdr:spPr>
        <a:xfrm>
          <a:off x="16251162" y="0"/>
          <a:ext cx="47172" cy="2315028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AB8E953-3420-F147-8BAB-EDB6B2043DCC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4-03-22T13:47:21.18" personId="{2AB8E953-3420-F147-8BAB-EDB6B2043DCC}" id="{03F985FA-EDDD-C441-895E-FF9836C03AAE}">
    <text>DIVIDEND INCREASE +17%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O9" dT="2024-03-22T13:35:16.12" personId="{2AB8E953-3420-F147-8BAB-EDB6B2043DCC}" id="{DE5FA18A-BF94-8147-B5FA-173D6E8575C9}">
    <text xml:space="preserve">increase in billed business </text>
  </threadedComment>
  <threadedComment ref="AO10" dT="2024-03-22T13:35:36.98" personId="{2AB8E953-3420-F147-8BAB-EDB6B2043DCC}" id="{A6362C8A-F4B0-384C-85A7-657FEB6D55A3}">
    <text>growth in our premium card portfolios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6.q4cdn.com/747928648/files/doc_financials/2021/q1/Q1'21-Earnings-Press-Release.pdf" TargetMode="External"/><Relationship Id="rId13" Type="http://schemas.openxmlformats.org/officeDocument/2006/relationships/hyperlink" Target="https://www.bea.gov/news/2022/gross-domestic-product-third-quarter-2022-advance-estimate" TargetMode="External"/><Relationship Id="rId18" Type="http://schemas.openxmlformats.org/officeDocument/2006/relationships/hyperlink" Target="mailto:IR@aexp.com" TargetMode="External"/><Relationship Id="rId3" Type="http://schemas.openxmlformats.org/officeDocument/2006/relationships/hyperlink" Target="https://s26.q4cdn.com/747928648/files/doc_financials/2022/q2/Q2-2022-Earnings-Press-Release.pdf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s26.q4cdn.com/747928648/files/doc_financials/2021/q2/Q2-2021-Earnings-Press-Release.pdf" TargetMode="External"/><Relationship Id="rId12" Type="http://schemas.openxmlformats.org/officeDocument/2006/relationships/hyperlink" Target="https://s26.q4cdn.com/747928648/files/doc_financials/2020/q1/35e6b081-08c3-5d8b-1dd9-296266e4df4b.pdf" TargetMode="External"/><Relationship Id="rId17" Type="http://schemas.openxmlformats.org/officeDocument/2006/relationships/hyperlink" Target="https://about.americanexpress.com/newsroom/press-releases/news-details/2022/Find-Out-if-You-Are-Approved-for-an-American-Express-Personal-Card-Before-Impacting-Your-Credit-Score/default.aspx" TargetMode="External"/><Relationship Id="rId2" Type="http://schemas.openxmlformats.org/officeDocument/2006/relationships/hyperlink" Target="https://www.americanexpress.com/us/credit-cards/?inav=menu_cards_pc_viewallcards&amp;category=all" TargetMode="External"/><Relationship Id="rId16" Type="http://schemas.openxmlformats.org/officeDocument/2006/relationships/hyperlink" Target="https://about.americanexpress.com/newsroom/press-releases/news-details/2022/American-Express-and-TikTok-Launch-the-ShopSmall-Accelerator-to-Help-Small-Businesses-Reach-New-Audiences-on-Small-Business-Saturday/default.aspx" TargetMode="External"/><Relationship Id="rId20" Type="http://schemas.openxmlformats.org/officeDocument/2006/relationships/hyperlink" Target="https://s26.q4cdn.com/747928648/files/doc_financials/2023/Q4-2023-Earnings-Press-Release.pdf" TargetMode="External"/><Relationship Id="rId1" Type="http://schemas.openxmlformats.org/officeDocument/2006/relationships/hyperlink" Target="https://s26.q4cdn.com/747928648/files/doc_financials/2022/q3/Q3-2022-Earnings-Press-Release.pdf" TargetMode="External"/><Relationship Id="rId6" Type="http://schemas.openxmlformats.org/officeDocument/2006/relationships/hyperlink" Target="https://s26.q4cdn.com/747928648/files/doc_financials/2021/q3/Q3-2021-Earnings-Press-Release.pdf" TargetMode="External"/><Relationship Id="rId11" Type="http://schemas.openxmlformats.org/officeDocument/2006/relationships/hyperlink" Target="https://s26.q4cdn.com/747928648/files/doc_financials/2020/q2/b3b30ef1-1f50-eaa7-1c0f-f0f02f584bec.pdf" TargetMode="External"/><Relationship Id="rId5" Type="http://schemas.openxmlformats.org/officeDocument/2006/relationships/hyperlink" Target="https://s26.q4cdn.com/747928648/files/doc_financials/2021/q4/Q4-2021-Earnings-Press-Release.pdf" TargetMode="External"/><Relationship Id="rId15" Type="http://schemas.openxmlformats.org/officeDocument/2006/relationships/hyperlink" Target="https://www.federalreserve.gov/releases/h41/" TargetMode="External"/><Relationship Id="rId23" Type="http://schemas.microsoft.com/office/2017/10/relationships/threadedComment" Target="../threadedComments/threadedComment1.xml"/><Relationship Id="rId10" Type="http://schemas.openxmlformats.org/officeDocument/2006/relationships/hyperlink" Target="https://s26.q4cdn.com/747928648/files/doc_financials/2020/q3/ddbcde07-119d-cbba-73ae-9e2d558450ee.pdf" TargetMode="External"/><Relationship Id="rId19" Type="http://schemas.openxmlformats.org/officeDocument/2006/relationships/hyperlink" Target="https://about.americanexpress.com/newsroom/press-releases/news-details/2022/American-Express-and-Square-Partner-to-Create-First-Credit-Card-for-Square-Sellers/default.aspx" TargetMode="External"/><Relationship Id="rId4" Type="http://schemas.openxmlformats.org/officeDocument/2006/relationships/hyperlink" Target="https://s26.q4cdn.com/747928648/files/doc_financials/2022/q1/Q1-2022-Earnings-Press-Release.pdf" TargetMode="External"/><Relationship Id="rId9" Type="http://schemas.openxmlformats.org/officeDocument/2006/relationships/hyperlink" Target="https://s26.q4cdn.com/747928648/files/doc_financials/2020/q4/Q4'20-Earnings-Press-Release.pdf" TargetMode="External"/><Relationship Id="rId14" Type="http://schemas.openxmlformats.org/officeDocument/2006/relationships/hyperlink" Target="https://www.federalreserve.gov/releases/h41/20221110/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450D-0D90-A549-B47E-BDB7BA4F058F}">
  <dimension ref="B1:U52"/>
  <sheetViews>
    <sheetView showGridLines="0" tabSelected="1" zoomScale="140" zoomScaleNormal="140" workbookViewId="0">
      <selection activeCell="F5" sqref="F5"/>
    </sheetView>
  </sheetViews>
  <sheetFormatPr baseColWidth="10" defaultRowHeight="13"/>
  <cols>
    <col min="2" max="2" width="38.33203125" bestFit="1" customWidth="1"/>
    <col min="3" max="3" width="16.33203125" style="14" bestFit="1" customWidth="1"/>
    <col min="5" max="5" width="6.6640625" bestFit="1" customWidth="1"/>
    <col min="6" max="6" width="8.6640625" bestFit="1" customWidth="1"/>
    <col min="7" max="7" width="5.5" style="14" bestFit="1" customWidth="1"/>
    <col min="8" max="8" width="8.1640625" bestFit="1" customWidth="1"/>
    <col min="9" max="9" width="8.6640625" style="1" bestFit="1" customWidth="1"/>
    <col min="10" max="10" width="7" style="2" customWidth="1"/>
  </cols>
  <sheetData>
    <row r="1" spans="2:21" ht="20">
      <c r="B1" s="52" t="s">
        <v>187</v>
      </c>
    </row>
    <row r="2" spans="2:21">
      <c r="B2" t="s">
        <v>189</v>
      </c>
      <c r="C2" s="11" t="s">
        <v>188</v>
      </c>
      <c r="E2" s="12"/>
    </row>
    <row r="3" spans="2:21">
      <c r="B3" t="s">
        <v>126</v>
      </c>
      <c r="C3" s="14">
        <v>1850</v>
      </c>
      <c r="H3" s="49"/>
      <c r="P3" s="12" t="s">
        <v>173</v>
      </c>
      <c r="Q3" s="14"/>
      <c r="S3" s="1"/>
      <c r="T3" s="2"/>
      <c r="U3" s="12" t="s">
        <v>174</v>
      </c>
    </row>
    <row r="4" spans="2:21">
      <c r="B4" t="s">
        <v>170</v>
      </c>
      <c r="C4" s="14" t="s">
        <v>205</v>
      </c>
      <c r="E4" s="35" t="s">
        <v>12</v>
      </c>
      <c r="F4" s="36">
        <v>229.43</v>
      </c>
      <c r="G4" s="37"/>
      <c r="P4" t="s">
        <v>206</v>
      </c>
      <c r="Q4" s="14"/>
      <c r="S4" s="1"/>
      <c r="T4" s="2"/>
      <c r="U4" s="45" t="s">
        <v>175</v>
      </c>
    </row>
    <row r="5" spans="2:21">
      <c r="E5" s="38" t="s">
        <v>13</v>
      </c>
      <c r="F5" s="39">
        <v>723.86978699999997</v>
      </c>
      <c r="G5" s="40" t="s">
        <v>195</v>
      </c>
      <c r="J5" s="12"/>
      <c r="L5" s="12"/>
      <c r="M5" s="44"/>
      <c r="P5" t="s">
        <v>181</v>
      </c>
      <c r="Q5" s="14"/>
      <c r="S5" s="1"/>
      <c r="T5" s="2"/>
      <c r="U5" t="s">
        <v>176</v>
      </c>
    </row>
    <row r="6" spans="2:21">
      <c r="B6" s="53" t="s">
        <v>127</v>
      </c>
      <c r="C6" s="37"/>
      <c r="E6" s="38" t="s">
        <v>14</v>
      </c>
      <c r="F6" s="39">
        <f>+F4*F5</f>
        <v>166077.44523141001</v>
      </c>
      <c r="G6" s="40"/>
      <c r="P6" t="s">
        <v>191</v>
      </c>
      <c r="Q6" s="14"/>
      <c r="S6" s="1"/>
      <c r="T6" s="2"/>
      <c r="U6" t="s">
        <v>177</v>
      </c>
    </row>
    <row r="7" spans="2:21">
      <c r="B7" s="38" t="s">
        <v>128</v>
      </c>
      <c r="C7" s="40" t="s">
        <v>131</v>
      </c>
      <c r="E7" s="38" t="s">
        <v>15</v>
      </c>
      <c r="F7" s="39">
        <v>46596</v>
      </c>
      <c r="G7" s="40" t="str">
        <f>+G5</f>
        <v>Q423</v>
      </c>
      <c r="Q7" s="14"/>
      <c r="S7" s="1"/>
      <c r="T7" s="2"/>
      <c r="U7" t="s">
        <v>178</v>
      </c>
    </row>
    <row r="8" spans="2:21">
      <c r="B8" s="38" t="s">
        <v>129</v>
      </c>
      <c r="C8" s="40" t="s">
        <v>131</v>
      </c>
      <c r="E8" s="38" t="s">
        <v>16</v>
      </c>
      <c r="F8" s="39">
        <f>1293+47866</f>
        <v>49159</v>
      </c>
      <c r="G8" s="40" t="str">
        <f>+G7</f>
        <v>Q423</v>
      </c>
    </row>
    <row r="9" spans="2:21">
      <c r="B9" s="41" t="s">
        <v>130</v>
      </c>
      <c r="C9" s="43" t="s">
        <v>132</v>
      </c>
      <c r="E9" s="41" t="s">
        <v>17</v>
      </c>
      <c r="F9" s="42">
        <f>+F6-F7+F8</f>
        <v>168640.44523141001</v>
      </c>
      <c r="G9" s="43"/>
    </row>
    <row r="12" spans="2:21">
      <c r="B12" s="54" t="s">
        <v>133</v>
      </c>
      <c r="Q12" s="12" t="s">
        <v>179</v>
      </c>
      <c r="R12" s="14"/>
      <c r="S12" s="11" t="s">
        <v>180</v>
      </c>
      <c r="T12" s="1"/>
      <c r="U12" s="2"/>
    </row>
    <row r="13" spans="2:21">
      <c r="B13" s="55" t="s">
        <v>134</v>
      </c>
      <c r="Q13" s="47">
        <v>44861</v>
      </c>
      <c r="R13" s="14"/>
      <c r="S13" s="48">
        <v>44875</v>
      </c>
      <c r="T13" s="1"/>
      <c r="U13" s="2"/>
    </row>
    <row r="14" spans="2:21">
      <c r="B14" s="55" t="s">
        <v>135</v>
      </c>
      <c r="Q14" s="46">
        <v>44895</v>
      </c>
      <c r="R14" s="14"/>
      <c r="T14" s="1"/>
      <c r="U14" s="2"/>
    </row>
    <row r="15" spans="2:21">
      <c r="B15" s="55" t="s">
        <v>136</v>
      </c>
    </row>
    <row r="16" spans="2:21">
      <c r="B16" s="55" t="s">
        <v>137</v>
      </c>
    </row>
    <row r="17" spans="2:2">
      <c r="B17" s="55"/>
    </row>
    <row r="18" spans="2:2">
      <c r="B18" s="56" t="s">
        <v>141</v>
      </c>
    </row>
    <row r="19" spans="2:2">
      <c r="B19" s="55" t="s">
        <v>142</v>
      </c>
    </row>
    <row r="20" spans="2:2">
      <c r="B20" s="55" t="s">
        <v>143</v>
      </c>
    </row>
    <row r="21" spans="2:2">
      <c r="B21" s="55" t="s">
        <v>144</v>
      </c>
    </row>
    <row r="22" spans="2:2">
      <c r="B22" s="55" t="s">
        <v>145</v>
      </c>
    </row>
    <row r="23" spans="2:2">
      <c r="B23" s="55" t="s">
        <v>146</v>
      </c>
    </row>
    <row r="24" spans="2:2">
      <c r="B24" s="55" t="s">
        <v>147</v>
      </c>
    </row>
    <row r="25" spans="2:2">
      <c r="B25" s="55" t="s">
        <v>148</v>
      </c>
    </row>
    <row r="26" spans="2:2">
      <c r="B26" s="55" t="s">
        <v>149</v>
      </c>
    </row>
    <row r="27" spans="2:2">
      <c r="B27" s="55" t="s">
        <v>150</v>
      </c>
    </row>
    <row r="28" spans="2:2">
      <c r="B28" s="55" t="s">
        <v>151</v>
      </c>
    </row>
    <row r="29" spans="2:2">
      <c r="B29" s="55" t="s">
        <v>152</v>
      </c>
    </row>
    <row r="30" spans="2:2">
      <c r="B30" s="55" t="s">
        <v>153</v>
      </c>
    </row>
    <row r="31" spans="2:2">
      <c r="B31" s="55" t="s">
        <v>154</v>
      </c>
    </row>
    <row r="32" spans="2:2">
      <c r="B32" s="55" t="s">
        <v>155</v>
      </c>
    </row>
    <row r="33" spans="2:4">
      <c r="B33" s="55" t="s">
        <v>156</v>
      </c>
    </row>
    <row r="34" spans="2:4">
      <c r="B34" s="55" t="s">
        <v>157</v>
      </c>
    </row>
    <row r="35" spans="2:4">
      <c r="B35" s="55" t="s">
        <v>158</v>
      </c>
    </row>
    <row r="36" spans="2:4">
      <c r="B36" s="57" t="s">
        <v>159</v>
      </c>
    </row>
    <row r="40" spans="2:4">
      <c r="B40" s="50" t="s">
        <v>124</v>
      </c>
      <c r="C40" s="50" t="s">
        <v>182</v>
      </c>
      <c r="D40" s="12" t="s">
        <v>183</v>
      </c>
    </row>
    <row r="41" spans="2:4">
      <c r="B41" s="11" t="s">
        <v>204</v>
      </c>
      <c r="C41" s="48">
        <v>44886</v>
      </c>
      <c r="D41" t="s">
        <v>184</v>
      </c>
    </row>
    <row r="42" spans="2:4">
      <c r="B42" s="15" t="s">
        <v>125</v>
      </c>
      <c r="C42" s="51">
        <v>8357</v>
      </c>
      <c r="D42" t="s">
        <v>186</v>
      </c>
    </row>
    <row r="43" spans="2:4">
      <c r="B43" s="15" t="s">
        <v>160</v>
      </c>
      <c r="C43" s="48">
        <v>44881</v>
      </c>
      <c r="D43" t="s">
        <v>190</v>
      </c>
    </row>
    <row r="44" spans="2:4">
      <c r="B44" s="15" t="s">
        <v>161</v>
      </c>
      <c r="C44" s="48">
        <v>44879</v>
      </c>
      <c r="D44" t="s">
        <v>185</v>
      </c>
    </row>
    <row r="45" spans="2:4">
      <c r="B45" s="15" t="s">
        <v>162</v>
      </c>
    </row>
    <row r="46" spans="2:4">
      <c r="B46" s="15" t="s">
        <v>163</v>
      </c>
    </row>
    <row r="47" spans="2:4">
      <c r="B47" s="15" t="s">
        <v>164</v>
      </c>
    </row>
    <row r="48" spans="2:4">
      <c r="B48" s="15" t="s">
        <v>165</v>
      </c>
    </row>
    <row r="49" spans="2:2">
      <c r="B49" s="15" t="s">
        <v>166</v>
      </c>
    </row>
    <row r="50" spans="2:2">
      <c r="B50" s="15" t="s">
        <v>167</v>
      </c>
    </row>
    <row r="51" spans="2:2">
      <c r="B51" s="15" t="s">
        <v>168</v>
      </c>
    </row>
    <row r="52" spans="2:2">
      <c r="B52" s="15" t="s">
        <v>169</v>
      </c>
    </row>
  </sheetData>
  <hyperlinks>
    <hyperlink ref="B42" r:id="rId1" xr:uid="{171640F0-8FD3-2842-88A7-24DA1723E42C}"/>
    <hyperlink ref="B18" r:id="rId2" xr:uid="{3FBC2DFE-C0F5-904D-8262-4E0BB9E36678}"/>
    <hyperlink ref="B43" r:id="rId3" xr:uid="{890EB15E-03D9-F741-8AF5-386D7F6CE0F9}"/>
    <hyperlink ref="B44" r:id="rId4" xr:uid="{011DFE7C-C822-2948-9455-36F31C9F5833}"/>
    <hyperlink ref="B45" r:id="rId5" xr:uid="{A0165DB0-1CDD-F54D-A1FB-304E6D1F05BF}"/>
    <hyperlink ref="B46" r:id="rId6" xr:uid="{FAB4906F-2605-C946-A800-E23102EC884C}"/>
    <hyperlink ref="B47" r:id="rId7" xr:uid="{532BBFF9-5766-1B46-87B6-255285C911D8}"/>
    <hyperlink ref="B48" r:id="rId8" xr:uid="{2D0044A2-D2BA-A745-90D9-07DACC79BD7C}"/>
    <hyperlink ref="B49" r:id="rId9" display="Q4'19" xr:uid="{73D0BF1E-429B-AA47-B247-E73EFF7025AE}"/>
    <hyperlink ref="B50" r:id="rId10" xr:uid="{BE8186D6-9485-5E4F-957C-1B472DCFA6E1}"/>
    <hyperlink ref="B51" r:id="rId11" xr:uid="{285FA3F0-F602-5348-B259-9DA29BBF2B53}"/>
    <hyperlink ref="B52" r:id="rId12" xr:uid="{FAC94E8F-F76B-1042-9291-5BC48C55B6B4}"/>
    <hyperlink ref="Q13" r:id="rId13" display="https://www.bea.gov/news/2022/gross-domestic-product-third-quarter-2022-advance-estimate" xr:uid="{51A6DF85-DD92-E34B-9E07-03740C18E937}"/>
    <hyperlink ref="S13" r:id="rId14" display="https://www.federalreserve.gov/releases/h41/20221110/" xr:uid="{8AB4336E-7D16-3E4A-A4F4-ABEEA1CB4B2A}"/>
    <hyperlink ref="S12" r:id="rId15" xr:uid="{0D0D0CD9-12A6-F846-AE22-538597E9B57B}"/>
    <hyperlink ref="C44" r:id="rId16" display="https://about.americanexpress.com/newsroom/press-releases/news-details/2022/American-Express-and-TikTok-Launch-the-ShopSmall-Accelerator-to-Help-Small-Businesses-Reach-New-Audiences-on-Small-Business-Saturday/default.aspx" xr:uid="{64520E79-0F3D-3E4B-A121-F4D3BD104B09}"/>
    <hyperlink ref="C41" r:id="rId17" display="https://about.americanexpress.com/newsroom/press-releases/news-details/2022/Find-Out-if-You-Are-Approved-for-an-American-Express-Personal-Card-Before-Impacting-Your-Credit-Score/default.aspx" xr:uid="{1A361CD2-4615-584E-94A0-14240A5787C0}"/>
    <hyperlink ref="C2" r:id="rId18" display="mailto:IR@aexp.com" xr:uid="{3ADB44AB-1B2F-EB43-B12F-5181B0870974}"/>
    <hyperlink ref="C43" r:id="rId19" display="https://about.americanexpress.com/newsroom/press-releases/news-details/2022/American-Express-and-Square-Partner-to-Create-First-Credit-Card-for-Square-Sellers/default.aspx" xr:uid="{56574A95-188A-9447-B320-5A661FCE6275}"/>
    <hyperlink ref="B41" r:id="rId20" xr:uid="{D30901C9-BA51-354C-A861-F668BF9614B7}"/>
  </hyperlinks>
  <pageMargins left="0.7" right="0.7" top="0.75" bottom="0.75" header="0.3" footer="0.3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2F29-3D1E-DF44-822A-F1331C631B30}">
  <dimension ref="A1:FB142"/>
  <sheetViews>
    <sheetView zoomScale="120" zoomScaleNormal="12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AW17" sqref="AW17"/>
    </sheetView>
  </sheetViews>
  <sheetFormatPr baseColWidth="10" defaultRowHeight="13"/>
  <cols>
    <col min="1" max="1" width="6.1640625" style="3" customWidth="1"/>
    <col min="2" max="2" width="33.33203125" style="3" bestFit="1" customWidth="1"/>
    <col min="3" max="3" width="5.83203125" style="3" bestFit="1" customWidth="1"/>
    <col min="4" max="11" width="6.83203125" style="3" bestFit="1" customWidth="1"/>
    <col min="12" max="13" width="6.6640625" style="3" bestFit="1" customWidth="1"/>
    <col min="14" max="18" width="7.83203125" style="3" bestFit="1" customWidth="1"/>
    <col min="19" max="25" width="7.6640625" style="3" customWidth="1"/>
    <col min="26" max="26" width="7.6640625" style="3" bestFit="1" customWidth="1"/>
    <col min="27" max="31" width="7.6640625" style="3" customWidth="1"/>
    <col min="32" max="32" width="6.6640625" style="3" bestFit="1" customWidth="1"/>
    <col min="33" max="38" width="6.83203125" style="3" bestFit="1" customWidth="1"/>
    <col min="39" max="45" width="6.6640625" style="3" bestFit="1" customWidth="1"/>
    <col min="46" max="46" width="6.6640625" style="3" customWidth="1"/>
    <col min="47" max="48" width="6.6640625" style="3" bestFit="1" customWidth="1"/>
    <col min="49" max="51" width="7.6640625" style="3" bestFit="1" customWidth="1"/>
    <col min="52" max="52" width="9" style="3" bestFit="1" customWidth="1"/>
    <col min="53" max="54" width="7.83203125" style="3" bestFit="1" customWidth="1"/>
    <col min="55" max="55" width="9.1640625" style="3" bestFit="1" customWidth="1"/>
    <col min="56" max="63" width="7.6640625" style="3" bestFit="1" customWidth="1"/>
    <col min="64" max="158" width="6.6640625" style="3" bestFit="1" customWidth="1"/>
    <col min="159" max="16384" width="10.83203125" style="3"/>
  </cols>
  <sheetData>
    <row r="1" spans="1:51">
      <c r="A1" s="3" t="s">
        <v>200</v>
      </c>
    </row>
    <row r="2" spans="1:51">
      <c r="C2" s="3" t="s">
        <v>77</v>
      </c>
      <c r="D2" s="3" t="s">
        <v>78</v>
      </c>
      <c r="E2" s="3" t="s">
        <v>79</v>
      </c>
      <c r="F2" s="3" t="s">
        <v>80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10</v>
      </c>
      <c r="R2" s="3" t="s">
        <v>11</v>
      </c>
      <c r="S2" s="3" t="s">
        <v>113</v>
      </c>
      <c r="T2" s="3" t="s">
        <v>114</v>
      </c>
      <c r="U2" s="3" t="s">
        <v>112</v>
      </c>
      <c r="V2" s="3" t="s">
        <v>197</v>
      </c>
      <c r="W2" s="3" t="s">
        <v>192</v>
      </c>
      <c r="X2" s="3" t="s">
        <v>193</v>
      </c>
      <c r="Y2" s="3" t="s">
        <v>194</v>
      </c>
      <c r="Z2" s="3" t="s">
        <v>195</v>
      </c>
      <c r="AF2" s="4">
        <v>2014</v>
      </c>
      <c r="AG2" s="4">
        <v>2015</v>
      </c>
      <c r="AH2" s="4">
        <f>+AG2+1</f>
        <v>2016</v>
      </c>
      <c r="AI2" s="4">
        <f t="shared" ref="AI2:AY2" si="0">+AH2+1</f>
        <v>2017</v>
      </c>
      <c r="AJ2" s="4">
        <f t="shared" si="0"/>
        <v>2018</v>
      </c>
      <c r="AK2" s="4">
        <f t="shared" si="0"/>
        <v>2019</v>
      </c>
      <c r="AL2" s="4">
        <f t="shared" si="0"/>
        <v>2020</v>
      </c>
      <c r="AM2" s="4">
        <f t="shared" si="0"/>
        <v>2021</v>
      </c>
      <c r="AN2" s="4">
        <f t="shared" si="0"/>
        <v>2022</v>
      </c>
      <c r="AO2" s="4">
        <f t="shared" si="0"/>
        <v>2023</v>
      </c>
      <c r="AP2" s="4">
        <f t="shared" si="0"/>
        <v>2024</v>
      </c>
      <c r="AQ2" s="4">
        <f t="shared" si="0"/>
        <v>2025</v>
      </c>
      <c r="AR2" s="4">
        <f t="shared" si="0"/>
        <v>2026</v>
      </c>
      <c r="AS2" s="4">
        <f t="shared" si="0"/>
        <v>2027</v>
      </c>
      <c r="AT2" s="4">
        <f t="shared" si="0"/>
        <v>2028</v>
      </c>
      <c r="AU2" s="4">
        <f t="shared" si="0"/>
        <v>2029</v>
      </c>
      <c r="AV2" s="4">
        <f t="shared" si="0"/>
        <v>2030</v>
      </c>
      <c r="AW2" s="4">
        <f t="shared" si="0"/>
        <v>2031</v>
      </c>
      <c r="AX2" s="4">
        <f t="shared" si="0"/>
        <v>2032</v>
      </c>
      <c r="AY2" s="4">
        <f t="shared" si="0"/>
        <v>2033</v>
      </c>
    </row>
    <row r="3" spans="1:51">
      <c r="B3" s="3" t="s">
        <v>201</v>
      </c>
      <c r="S3" s="3">
        <v>350.3</v>
      </c>
      <c r="T3" s="3">
        <v>394.8</v>
      </c>
      <c r="U3" s="3">
        <v>394.4</v>
      </c>
      <c r="V3" s="3">
        <f>+AN3-SUM(S3:U3)</f>
        <v>413.29999999999995</v>
      </c>
      <c r="W3" s="3">
        <v>398.9</v>
      </c>
      <c r="X3" s="3">
        <v>426.6</v>
      </c>
      <c r="Y3" s="3">
        <f>420.2</f>
        <v>420.2</v>
      </c>
      <c r="Z3" s="3">
        <f>+AO3-SUM(W3:Y3)</f>
        <v>434.39999999999986</v>
      </c>
      <c r="AF3" s="4"/>
      <c r="AG3" s="4"/>
      <c r="AH3" s="4"/>
      <c r="AI3" s="4"/>
      <c r="AJ3" s="4"/>
      <c r="AK3" s="4"/>
      <c r="AL3" s="4"/>
      <c r="AM3" s="4">
        <v>1284.2</v>
      </c>
      <c r="AN3" s="4">
        <v>1552.8</v>
      </c>
      <c r="AO3" s="4">
        <v>1680.1</v>
      </c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>
      <c r="B4" s="3" t="s">
        <v>199</v>
      </c>
      <c r="AF4" s="4"/>
      <c r="AG4" s="4"/>
      <c r="AH4" s="4"/>
      <c r="AI4" s="4"/>
      <c r="AJ4" s="4"/>
      <c r="AK4" s="4"/>
      <c r="AL4" s="4"/>
      <c r="AM4" s="4">
        <v>121.7</v>
      </c>
      <c r="AN4" s="4">
        <v>133.30000000000001</v>
      </c>
      <c r="AO4" s="4">
        <v>141.19999999999999</v>
      </c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>
      <c r="B5" s="3" t="s">
        <v>202</v>
      </c>
      <c r="Z5" s="6">
        <f>CORREL(S3:Z3,S13:Z13)</f>
        <v>0.99072226337721081</v>
      </c>
      <c r="AF5" s="4"/>
      <c r="AG5" s="4"/>
      <c r="AH5" s="4"/>
      <c r="AI5" s="4"/>
      <c r="AJ5" s="4"/>
      <c r="AK5" s="4"/>
      <c r="AL5" s="4"/>
      <c r="AM5" s="4"/>
      <c r="AN5" s="4"/>
      <c r="AO5" s="6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>
      <c r="B6" s="3" t="s">
        <v>203</v>
      </c>
      <c r="S6" s="63">
        <f>+S14/S3</f>
        <v>7.0596631458749641</v>
      </c>
      <c r="T6" s="63">
        <f t="shared" ref="T6:Z6" si="1">+T14/T3</f>
        <v>6.8566362715298883</v>
      </c>
      <c r="U6" s="63">
        <f t="shared" si="1"/>
        <v>8.0223123732251533</v>
      </c>
      <c r="V6" s="63">
        <f t="shared" si="1"/>
        <v>8.7660295185095585</v>
      </c>
      <c r="W6" s="63">
        <f t="shared" si="1"/>
        <v>9.874655302080722</v>
      </c>
      <c r="X6" s="63">
        <f t="shared" si="1"/>
        <v>9.8757618377871541</v>
      </c>
      <c r="Y6" s="63">
        <f t="shared" si="1"/>
        <v>11.030461684911947</v>
      </c>
      <c r="Z6" s="63">
        <f t="shared" si="1"/>
        <v>11.302946593001845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>
      <c r="B9" s="3" t="s">
        <v>18</v>
      </c>
      <c r="C9" s="3">
        <v>5889</v>
      </c>
      <c r="D9" s="3">
        <v>6194</v>
      </c>
      <c r="E9" s="3">
        <v>6181</v>
      </c>
      <c r="F9" s="3">
        <f>+AJ9-SUM(C9:E9)</f>
        <v>6457</v>
      </c>
      <c r="G9" s="3">
        <v>6195</v>
      </c>
      <c r="H9" s="3">
        <v>6577</v>
      </c>
      <c r="I9" s="3">
        <v>6566</v>
      </c>
      <c r="J9" s="3">
        <f>+AK9-SUM(G9:I9)</f>
        <v>6829</v>
      </c>
      <c r="K9" s="3">
        <v>5838</v>
      </c>
      <c r="L9" s="3">
        <v>4015</v>
      </c>
      <c r="M9" s="3">
        <v>4999</v>
      </c>
      <c r="N9" s="3">
        <f>+AL9-SUM(K9:M9)</f>
        <v>5549</v>
      </c>
      <c r="O9" s="3">
        <v>5242</v>
      </c>
      <c r="P9" s="3">
        <v>6327</v>
      </c>
      <c r="Q9" s="3">
        <v>6676</v>
      </c>
      <c r="R9" s="3">
        <f>+AM9-SUM(O9:Q9)</f>
        <v>7482</v>
      </c>
      <c r="S9" s="3">
        <v>6853</v>
      </c>
      <c r="T9" s="3">
        <v>7873</v>
      </c>
      <c r="U9" s="3">
        <v>7848</v>
      </c>
      <c r="V9" s="3">
        <f>+AN9-SUM(S9:U9)</f>
        <v>8165</v>
      </c>
      <c r="W9" s="3">
        <v>7947</v>
      </c>
      <c r="X9" s="3">
        <v>8481</v>
      </c>
      <c r="Y9" s="3">
        <v>8408</v>
      </c>
      <c r="Z9" s="3">
        <f>+AO9-SUM(W9:Y9)</f>
        <v>8580</v>
      </c>
      <c r="AF9" s="3">
        <v>19389</v>
      </c>
      <c r="AG9" s="3">
        <v>19297</v>
      </c>
      <c r="AH9" s="3">
        <v>22377</v>
      </c>
      <c r="AI9" s="3">
        <v>22890</v>
      </c>
      <c r="AJ9" s="3">
        <v>24721</v>
      </c>
      <c r="AK9" s="3">
        <v>26167</v>
      </c>
      <c r="AL9" s="3">
        <v>20401</v>
      </c>
      <c r="AM9" s="3">
        <v>25727</v>
      </c>
      <c r="AN9" s="3">
        <v>30739</v>
      </c>
      <c r="AO9" s="3">
        <v>33416</v>
      </c>
    </row>
    <row r="10" spans="1:51">
      <c r="B10" s="3" t="s">
        <v>19</v>
      </c>
      <c r="C10" s="3">
        <v>830</v>
      </c>
      <c r="D10" s="3">
        <v>844</v>
      </c>
      <c r="E10" s="3">
        <v>870</v>
      </c>
      <c r="F10" s="3">
        <f>+AJ10-SUM(C10:E10)</f>
        <v>897</v>
      </c>
      <c r="G10" s="3">
        <v>944</v>
      </c>
      <c r="H10" s="3">
        <v>988</v>
      </c>
      <c r="I10" s="3">
        <v>1033</v>
      </c>
      <c r="J10" s="3">
        <f>+AK10-SUM(G10:I10)</f>
        <v>1077</v>
      </c>
      <c r="K10" s="3">
        <v>1110</v>
      </c>
      <c r="L10" s="3">
        <v>1141</v>
      </c>
      <c r="M10" s="3">
        <v>1191</v>
      </c>
      <c r="N10" s="3">
        <f>+AL10-SUM(K10:M10)</f>
        <v>1222</v>
      </c>
      <c r="O10" s="3">
        <v>1253</v>
      </c>
      <c r="P10" s="3">
        <v>1286</v>
      </c>
      <c r="Q10" s="3">
        <v>1312</v>
      </c>
      <c r="R10" s="3">
        <f>+AM10-SUM(O10:Q10)</f>
        <v>1344</v>
      </c>
      <c r="S10" s="3">
        <v>1423</v>
      </c>
      <c r="T10" s="3">
        <v>1481</v>
      </c>
      <c r="U10" s="3">
        <v>1541</v>
      </c>
      <c r="V10" s="3">
        <f>+AN10-SUM(S10:U10)</f>
        <v>1625</v>
      </c>
      <c r="W10" s="3">
        <v>1713</v>
      </c>
      <c r="X10" s="3">
        <v>1789</v>
      </c>
      <c r="Y10" s="3">
        <v>1846</v>
      </c>
      <c r="Z10" s="3">
        <f>+AO10-SUM(W10:Y10)</f>
        <v>1907</v>
      </c>
      <c r="AF10" s="3">
        <v>2712</v>
      </c>
      <c r="AG10" s="3">
        <v>2700</v>
      </c>
      <c r="AH10" s="3">
        <v>2886</v>
      </c>
      <c r="AI10" s="3">
        <v>3090</v>
      </c>
      <c r="AJ10" s="3">
        <v>3441</v>
      </c>
      <c r="AK10" s="3">
        <v>4042</v>
      </c>
      <c r="AL10" s="3">
        <v>4664</v>
      </c>
      <c r="AM10" s="3">
        <v>5195</v>
      </c>
      <c r="AN10" s="3">
        <v>6070</v>
      </c>
      <c r="AO10" s="3">
        <v>7255</v>
      </c>
    </row>
    <row r="11" spans="1:51">
      <c r="B11" s="3" t="s">
        <v>20</v>
      </c>
      <c r="C11" s="3">
        <v>781</v>
      </c>
      <c r="D11" s="3">
        <v>786</v>
      </c>
      <c r="E11" s="3">
        <v>798</v>
      </c>
      <c r="F11" s="3">
        <f>+AJ11-SUM(C11:E11)</f>
        <v>788</v>
      </c>
      <c r="G11" s="3">
        <v>803</v>
      </c>
      <c r="H11" s="3">
        <v>837</v>
      </c>
      <c r="I11" s="3">
        <v>825</v>
      </c>
      <c r="J11" s="3">
        <f>+AK11-SUM(G11:I11)</f>
        <v>832</v>
      </c>
      <c r="K11" s="3">
        <v>720</v>
      </c>
      <c r="L11" s="3">
        <v>449</v>
      </c>
      <c r="M11" s="3">
        <v>478</v>
      </c>
      <c r="N11" s="3">
        <f>+AL11-SUM(K11:M11)</f>
        <v>516</v>
      </c>
      <c r="O11" s="3">
        <v>520</v>
      </c>
      <c r="P11" s="3">
        <v>560</v>
      </c>
      <c r="Q11" s="3">
        <v>632</v>
      </c>
      <c r="R11" s="3">
        <f>+AM11-SUM(O11:Q11)</f>
        <v>680</v>
      </c>
      <c r="S11" s="3">
        <v>906</v>
      </c>
      <c r="T11" s="3">
        <v>1265</v>
      </c>
      <c r="U11" s="3">
        <v>1169</v>
      </c>
      <c r="V11" s="3">
        <f>+AN11-SUM(S11:U11)</f>
        <v>1181</v>
      </c>
      <c r="W11" s="3">
        <v>1218</v>
      </c>
      <c r="X11" s="3">
        <v>1232</v>
      </c>
      <c r="Y11" s="3">
        <v>1261</v>
      </c>
      <c r="Z11" s="3">
        <f>+AO11-SUM(W11:Y11)</f>
        <v>1294</v>
      </c>
      <c r="AF11" s="3">
        <v>3626</v>
      </c>
      <c r="AG11" s="3">
        <v>2866</v>
      </c>
      <c r="AH11" s="3">
        <v>2718</v>
      </c>
      <c r="AI11" s="3">
        <v>2990</v>
      </c>
      <c r="AJ11" s="3">
        <v>3153</v>
      </c>
      <c r="AK11" s="3">
        <v>3297</v>
      </c>
      <c r="AL11" s="3">
        <v>2163</v>
      </c>
      <c r="AM11" s="3">
        <v>2392</v>
      </c>
      <c r="AN11" s="3">
        <v>4521</v>
      </c>
      <c r="AO11" s="3">
        <v>5005</v>
      </c>
    </row>
    <row r="12" spans="1:51">
      <c r="B12" s="3" t="s">
        <v>20</v>
      </c>
      <c r="C12" s="3">
        <v>377</v>
      </c>
      <c r="D12" s="3">
        <v>349</v>
      </c>
      <c r="E12" s="3">
        <v>334</v>
      </c>
      <c r="F12" s="3">
        <f>+AJ12-SUM(C12:E12)</f>
        <v>300</v>
      </c>
      <c r="G12" s="3">
        <v>363</v>
      </c>
      <c r="H12" s="3">
        <v>362</v>
      </c>
      <c r="I12" s="3">
        <v>362</v>
      </c>
      <c r="J12" s="3">
        <f>+AK12-SUM(G12:I12)</f>
        <v>343</v>
      </c>
      <c r="K12" s="3">
        <v>312</v>
      </c>
      <c r="L12" s="3">
        <v>186</v>
      </c>
      <c r="M12" s="3">
        <v>209</v>
      </c>
      <c r="N12" s="3">
        <f>+AL12-SUM(K12:M12)</f>
        <v>167</v>
      </c>
      <c r="O12" s="3">
        <v>219</v>
      </c>
      <c r="P12" s="3">
        <v>252</v>
      </c>
      <c r="Q12" s="3">
        <v>314</v>
      </c>
      <c r="R12" s="3">
        <f>+AM12-SUM(O12:Q12)</f>
        <v>531</v>
      </c>
      <c r="S12" s="3">
        <v>372</v>
      </c>
      <c r="T12" s="3">
        <v>416</v>
      </c>
      <c r="U12" s="3">
        <v>420</v>
      </c>
      <c r="V12" s="3">
        <f>+AN12-SUM(S12:U12)</f>
        <v>429</v>
      </c>
      <c r="W12" s="3">
        <v>420</v>
      </c>
      <c r="X12" s="3">
        <v>447</v>
      </c>
      <c r="Y12" s="3">
        <v>424</v>
      </c>
      <c r="Z12" s="3">
        <f>+AO12-SUM(W12:Y12)</f>
        <v>414</v>
      </c>
      <c r="AF12" s="3">
        <v>2989</v>
      </c>
      <c r="AG12" s="3">
        <v>2033</v>
      </c>
      <c r="AH12" s="3">
        <v>1678</v>
      </c>
      <c r="AI12" s="3">
        <v>1457</v>
      </c>
      <c r="AJ12" s="3">
        <v>1360</v>
      </c>
      <c r="AK12" s="3">
        <v>1430</v>
      </c>
      <c r="AL12" s="3">
        <v>874</v>
      </c>
      <c r="AM12" s="3">
        <v>1316</v>
      </c>
      <c r="AN12" s="3">
        <v>1637</v>
      </c>
      <c r="AO12" s="3">
        <v>1705</v>
      </c>
    </row>
    <row r="13" spans="1:51" s="5" customFormat="1">
      <c r="B13" s="5" t="s">
        <v>21</v>
      </c>
      <c r="C13" s="5">
        <f>+SUM(C9:C12)</f>
        <v>7877</v>
      </c>
      <c r="D13" s="5">
        <f>+SUM(D9:D12)</f>
        <v>8173</v>
      </c>
      <c r="E13" s="5">
        <f>+SUM(E9:E12)</f>
        <v>8183</v>
      </c>
      <c r="F13" s="5">
        <f>+AJ13-SUM(C13:E13)</f>
        <v>8442</v>
      </c>
      <c r="G13" s="5">
        <f>+SUM(G9:G12)</f>
        <v>8305</v>
      </c>
      <c r="H13" s="5">
        <f>+SUM(H9:H12)</f>
        <v>8764</v>
      </c>
      <c r="I13" s="5">
        <f>+SUM(I9:I12)</f>
        <v>8786</v>
      </c>
      <c r="J13" s="5">
        <f>+AK13-SUM(G13:I13)</f>
        <v>9081</v>
      </c>
      <c r="K13" s="5">
        <f>+SUM(K9:K12)</f>
        <v>7980</v>
      </c>
      <c r="L13" s="5">
        <f>+SUM(L9:L12)</f>
        <v>5791</v>
      </c>
      <c r="M13" s="5">
        <f>+SUM(M9:M12)</f>
        <v>6877</v>
      </c>
      <c r="N13" s="5">
        <f>+AL13-SUM(K13:M13)</f>
        <v>7454</v>
      </c>
      <c r="O13" s="5">
        <f>+SUM(O9:O12)</f>
        <v>7234</v>
      </c>
      <c r="P13" s="5">
        <f>+SUM(P9:P12)</f>
        <v>8425</v>
      </c>
      <c r="Q13" s="5">
        <f>+SUM(Q9:Q12)</f>
        <v>8934</v>
      </c>
      <c r="R13" s="5">
        <f>+AM13-SUM(O13:Q13)</f>
        <v>10037</v>
      </c>
      <c r="S13" s="5">
        <f>+SUM(S9:S12)</f>
        <v>9554</v>
      </c>
      <c r="T13" s="5">
        <f>+SUM(T9:T12)</f>
        <v>11035</v>
      </c>
      <c r="U13" s="5">
        <f>+SUM(U9:U12)</f>
        <v>10978</v>
      </c>
      <c r="V13" s="5">
        <f>+SUM(V9:V12)</f>
        <v>11400</v>
      </c>
      <c r="W13" s="5">
        <f>+SUM(W9:W12)</f>
        <v>11298</v>
      </c>
      <c r="X13" s="5">
        <f>+SUM(X9:X12)</f>
        <v>11949</v>
      </c>
      <c r="Y13" s="5">
        <f>+SUM(Y9:Y12)</f>
        <v>11939</v>
      </c>
      <c r="Z13" s="5">
        <f>+SUM(Z9:Z12)</f>
        <v>12195</v>
      </c>
      <c r="AF13" s="5">
        <f t="shared" ref="AF13:AM13" si="2">+SUM(AF9:AF12)</f>
        <v>28716</v>
      </c>
      <c r="AG13" s="5">
        <f t="shared" si="2"/>
        <v>26896</v>
      </c>
      <c r="AH13" s="5">
        <f t="shared" si="2"/>
        <v>29659</v>
      </c>
      <c r="AI13" s="5">
        <f t="shared" si="2"/>
        <v>30427</v>
      </c>
      <c r="AJ13" s="5">
        <f t="shared" si="2"/>
        <v>32675</v>
      </c>
      <c r="AK13" s="5">
        <f t="shared" si="2"/>
        <v>34936</v>
      </c>
      <c r="AL13" s="5">
        <f t="shared" si="2"/>
        <v>28102</v>
      </c>
      <c r="AM13" s="5">
        <f t="shared" si="2"/>
        <v>34630</v>
      </c>
      <c r="AN13" s="5">
        <f t="shared" ref="AN13:AO13" si="3">+SUM(AN9:AN12)</f>
        <v>42967</v>
      </c>
      <c r="AO13" s="5">
        <f t="shared" si="3"/>
        <v>47381</v>
      </c>
    </row>
    <row r="14" spans="1:51">
      <c r="B14" s="3" t="s">
        <v>22</v>
      </c>
      <c r="C14" s="3">
        <v>2326</v>
      </c>
      <c r="D14" s="3">
        <v>2387</v>
      </c>
      <c r="E14" s="3">
        <v>2554</v>
      </c>
      <c r="F14" s="3">
        <f>+AJ14-SUM(C14:E14)</f>
        <v>2674</v>
      </c>
      <c r="G14" s="3">
        <v>2725</v>
      </c>
      <c r="H14" s="3">
        <v>2764</v>
      </c>
      <c r="I14" s="3">
        <v>2885</v>
      </c>
      <c r="J14" s="3">
        <f>+AK14-SUM(G14:I14)</f>
        <v>2934</v>
      </c>
      <c r="K14" s="3">
        <v>2909</v>
      </c>
      <c r="L14" s="3">
        <v>2368</v>
      </c>
      <c r="M14" s="3">
        <v>2266</v>
      </c>
      <c r="N14" s="3">
        <f>+AL14-SUM(K14:M14)</f>
        <v>2236</v>
      </c>
      <c r="O14" s="3">
        <v>2144</v>
      </c>
      <c r="P14" s="3">
        <v>2094</v>
      </c>
      <c r="Q14" s="3">
        <v>2256</v>
      </c>
      <c r="R14" s="3">
        <f>+AM14-SUM(O14:Q14)</f>
        <v>2356</v>
      </c>
      <c r="S14" s="3">
        <v>2473</v>
      </c>
      <c r="T14" s="3">
        <v>2707</v>
      </c>
      <c r="U14" s="3">
        <v>3164</v>
      </c>
      <c r="V14" s="3">
        <f>+AN14-SUM(S14:U14)</f>
        <v>3623</v>
      </c>
      <c r="W14" s="3">
        <v>3939</v>
      </c>
      <c r="X14" s="3">
        <v>4213</v>
      </c>
      <c r="Y14" s="3">
        <v>4635</v>
      </c>
      <c r="Z14" s="3">
        <f>+AO14-SUM(W14:Y14)</f>
        <v>4910</v>
      </c>
      <c r="AF14" s="3">
        <v>6929</v>
      </c>
      <c r="AG14" s="3">
        <v>7309</v>
      </c>
      <c r="AH14" s="3">
        <v>7214</v>
      </c>
      <c r="AI14" s="3">
        <v>8148</v>
      </c>
      <c r="AJ14" s="3">
        <v>9941</v>
      </c>
      <c r="AK14" s="3">
        <v>11308</v>
      </c>
      <c r="AL14" s="3">
        <v>9779</v>
      </c>
      <c r="AM14" s="3">
        <v>8850</v>
      </c>
      <c r="AN14" s="3">
        <v>11967</v>
      </c>
      <c r="AO14" s="3">
        <v>17697</v>
      </c>
    </row>
    <row r="15" spans="1:51">
      <c r="B15" s="3" t="s">
        <v>23</v>
      </c>
      <c r="C15" s="3">
        <v>21</v>
      </c>
      <c r="D15" s="3">
        <v>27</v>
      </c>
      <c r="E15" s="3">
        <v>35</v>
      </c>
      <c r="F15" s="3">
        <f>+AJ15-SUM(C15:E15)</f>
        <v>35</v>
      </c>
      <c r="G15" s="3">
        <v>33</v>
      </c>
      <c r="H15" s="3">
        <v>52</v>
      </c>
      <c r="I15" s="3">
        <v>53</v>
      </c>
      <c r="J15" s="3">
        <f>+AK15-SUM(G15:I15)</f>
        <v>50</v>
      </c>
      <c r="K15" s="3">
        <v>38</v>
      </c>
      <c r="L15" s="3">
        <v>27</v>
      </c>
      <c r="M15" s="3">
        <v>33</v>
      </c>
      <c r="N15" s="3">
        <f>+AL15-SUM(K15:M15)</f>
        <v>29</v>
      </c>
      <c r="O15" s="3">
        <v>24</v>
      </c>
      <c r="P15" s="3">
        <v>24</v>
      </c>
      <c r="Q15" s="3">
        <v>18</v>
      </c>
      <c r="R15" s="3">
        <f>+AM15-SUM(O15:Q15)</f>
        <v>17</v>
      </c>
      <c r="S15" s="3">
        <v>13</v>
      </c>
      <c r="T15" s="3">
        <v>22</v>
      </c>
      <c r="U15" s="3">
        <v>27</v>
      </c>
      <c r="V15" s="3">
        <f>+AN15-SUM(S15:U15)</f>
        <v>34</v>
      </c>
      <c r="W15" s="3">
        <v>30</v>
      </c>
      <c r="X15" s="3">
        <v>34</v>
      </c>
      <c r="Y15" s="3">
        <v>33</v>
      </c>
      <c r="Z15" s="3">
        <f>+AO15-SUM(W15:Y15)</f>
        <v>31</v>
      </c>
      <c r="AF15" s="3">
        <v>179</v>
      </c>
      <c r="AG15" s="3">
        <v>157</v>
      </c>
      <c r="AH15" s="3">
        <v>131</v>
      </c>
      <c r="AI15" s="3">
        <v>89</v>
      </c>
      <c r="AJ15" s="3">
        <v>118</v>
      </c>
      <c r="AK15" s="3">
        <v>188</v>
      </c>
      <c r="AL15" s="3">
        <v>127</v>
      </c>
      <c r="AM15" s="3">
        <v>83</v>
      </c>
      <c r="AN15" s="3">
        <v>96</v>
      </c>
      <c r="AO15" s="3">
        <v>128</v>
      </c>
    </row>
    <row r="16" spans="1:51">
      <c r="B16" s="3" t="s">
        <v>24</v>
      </c>
      <c r="C16" s="3">
        <v>115</v>
      </c>
      <c r="D16" s="3">
        <v>126</v>
      </c>
      <c r="E16" s="3">
        <v>149</v>
      </c>
      <c r="F16" s="3">
        <f>+AJ16-SUM(C16:E16)</f>
        <v>157</v>
      </c>
      <c r="G16" s="3">
        <v>196</v>
      </c>
      <c r="H16" s="3">
        <v>149</v>
      </c>
      <c r="I16" s="3">
        <v>142</v>
      </c>
      <c r="J16" s="3">
        <f>+AK16-SUM(G16:I16)</f>
        <v>101</v>
      </c>
      <c r="K16" s="3">
        <v>99</v>
      </c>
      <c r="L16" s="3">
        <v>31</v>
      </c>
      <c r="M16" s="3">
        <v>25</v>
      </c>
      <c r="N16" s="3">
        <f>+AL16-SUM(K16:M16)</f>
        <v>22</v>
      </c>
      <c r="O16" s="3">
        <v>24</v>
      </c>
      <c r="P16" s="3">
        <v>22</v>
      </c>
      <c r="Q16" s="3">
        <v>27</v>
      </c>
      <c r="R16" s="3">
        <f>+AM16-SUM(O16:Q16)</f>
        <v>27</v>
      </c>
      <c r="S16" s="3">
        <v>34</v>
      </c>
      <c r="T16" s="3">
        <v>70</v>
      </c>
      <c r="U16" s="3">
        <v>183</v>
      </c>
      <c r="V16" s="3">
        <f>+AN16-SUM(S16:U16)</f>
        <v>308</v>
      </c>
      <c r="W16" s="3">
        <v>447</v>
      </c>
      <c r="X16" s="3">
        <v>528</v>
      </c>
      <c r="Y16" s="3">
        <v>572</v>
      </c>
      <c r="Z16" s="3">
        <f>+AO16-SUM(W16:Y16)</f>
        <v>611</v>
      </c>
      <c r="AF16" s="3">
        <v>71</v>
      </c>
      <c r="AG16" s="3">
        <v>79</v>
      </c>
      <c r="AH16" s="3">
        <v>139</v>
      </c>
      <c r="AI16" s="3">
        <v>326</v>
      </c>
      <c r="AJ16" s="3">
        <v>547</v>
      </c>
      <c r="AK16" s="3">
        <v>588</v>
      </c>
      <c r="AL16" s="3">
        <v>177</v>
      </c>
      <c r="AM16" s="3">
        <v>100</v>
      </c>
      <c r="AN16" s="3">
        <v>595</v>
      </c>
      <c r="AO16" s="3">
        <v>2158</v>
      </c>
    </row>
    <row r="17" spans="2:51" s="5" customFormat="1">
      <c r="B17" s="5" t="s">
        <v>25</v>
      </c>
      <c r="C17" s="5">
        <f>+SUM(C14:C16)</f>
        <v>2462</v>
      </c>
      <c r="D17" s="5">
        <f>+SUM(D14:D16)</f>
        <v>2540</v>
      </c>
      <c r="E17" s="5">
        <f>+SUM(E14:E16)</f>
        <v>2738</v>
      </c>
      <c r="F17" s="5">
        <f>+AJ17-SUM(C17:E17)</f>
        <v>2866</v>
      </c>
      <c r="G17" s="5">
        <f>+SUM(G14:G16)</f>
        <v>2954</v>
      </c>
      <c r="H17" s="5">
        <f>+SUM(H14:H16)</f>
        <v>2965</v>
      </c>
      <c r="I17" s="5">
        <f>+SUM(I14:I16)</f>
        <v>3080</v>
      </c>
      <c r="J17" s="5">
        <f>+AK17-SUM(G17:I17)</f>
        <v>3085</v>
      </c>
      <c r="K17" s="5">
        <f>+SUM(K14:K16)</f>
        <v>3046</v>
      </c>
      <c r="L17" s="5">
        <f>+SUM(L14:L16)</f>
        <v>2426</v>
      </c>
      <c r="M17" s="5">
        <f>+SUM(M14:M16)</f>
        <v>2324</v>
      </c>
      <c r="N17" s="5">
        <f>+AL17-SUM(K17:M17)</f>
        <v>2287</v>
      </c>
      <c r="O17" s="5">
        <f>+SUM(O14:O16)</f>
        <v>2192</v>
      </c>
      <c r="P17" s="5">
        <f>+SUM(P14:P16)</f>
        <v>2140</v>
      </c>
      <c r="Q17" s="5">
        <f>+SUM(Q14:Q16)</f>
        <v>2301</v>
      </c>
      <c r="R17" s="5">
        <f>+AM17-SUM(O17:Q17)</f>
        <v>2400</v>
      </c>
      <c r="S17" s="5">
        <f>+SUM(S14:S16)</f>
        <v>2520</v>
      </c>
      <c r="T17" s="5">
        <f>+SUM(T14:T16)</f>
        <v>2799</v>
      </c>
      <c r="U17" s="5">
        <f>+SUM(U14:U16)</f>
        <v>3374</v>
      </c>
      <c r="V17" s="5">
        <f>+SUM(V14:V16)</f>
        <v>3965</v>
      </c>
      <c r="W17" s="5">
        <f>+SUM(W14:W16)</f>
        <v>4416</v>
      </c>
      <c r="X17" s="5">
        <f>+SUM(X14:X16)</f>
        <v>4775</v>
      </c>
      <c r="Y17" s="5">
        <f>+SUM(Y14:Y16)</f>
        <v>5240</v>
      </c>
      <c r="Z17" s="5">
        <f>+SUM(Z14:Z16)</f>
        <v>5552</v>
      </c>
      <c r="AF17" s="5">
        <f t="shared" ref="AF17:AM17" si="4">+SUM(AF14:AF16)</f>
        <v>7179</v>
      </c>
      <c r="AG17" s="5">
        <f t="shared" si="4"/>
        <v>7545</v>
      </c>
      <c r="AH17" s="5">
        <f t="shared" si="4"/>
        <v>7484</v>
      </c>
      <c r="AI17" s="5">
        <f t="shared" si="4"/>
        <v>8563</v>
      </c>
      <c r="AJ17" s="5">
        <f t="shared" si="4"/>
        <v>10606</v>
      </c>
      <c r="AK17" s="5">
        <f t="shared" si="4"/>
        <v>12084</v>
      </c>
      <c r="AL17" s="5">
        <f t="shared" si="4"/>
        <v>10083</v>
      </c>
      <c r="AM17" s="5">
        <f t="shared" si="4"/>
        <v>9033</v>
      </c>
      <c r="AN17" s="5">
        <f t="shared" ref="AN17:AO17" si="5">+SUM(AN14:AN16)</f>
        <v>12658</v>
      </c>
      <c r="AO17" s="5">
        <f t="shared" si="5"/>
        <v>19983</v>
      </c>
    </row>
    <row r="18" spans="2:51">
      <c r="B18" s="3" t="s">
        <v>26</v>
      </c>
      <c r="C18" s="3">
        <v>270</v>
      </c>
      <c r="D18" s="3">
        <v>300</v>
      </c>
      <c r="E18" s="3">
        <v>340</v>
      </c>
      <c r="F18" s="3">
        <f>+AJ18-SUM(C18:E18)</f>
        <v>377</v>
      </c>
      <c r="G18" s="3">
        <v>399</v>
      </c>
      <c r="H18" s="3">
        <v>406</v>
      </c>
      <c r="I18" s="3">
        <v>401</v>
      </c>
      <c r="J18" s="3">
        <f>+AK18-SUM(G18:I18)</f>
        <v>353</v>
      </c>
      <c r="K18" s="3">
        <v>326</v>
      </c>
      <c r="L18" s="3">
        <v>260</v>
      </c>
      <c r="M18" s="3">
        <v>202</v>
      </c>
      <c r="N18" s="3">
        <f>+AL18-SUM(K18:M18)</f>
        <v>155</v>
      </c>
      <c r="O18" s="3">
        <v>134</v>
      </c>
      <c r="P18" s="3">
        <v>113</v>
      </c>
      <c r="Q18" s="3">
        <v>109</v>
      </c>
      <c r="R18" s="3">
        <f>+AM18-SUM(O18:Q18)</f>
        <v>102</v>
      </c>
      <c r="S18" s="3">
        <v>122</v>
      </c>
      <c r="T18" s="3">
        <v>187</v>
      </c>
      <c r="U18" s="3">
        <v>440</v>
      </c>
      <c r="V18" s="3">
        <f>+AN18-SUM(S18:U18)</f>
        <v>778</v>
      </c>
      <c r="W18" s="3">
        <v>994</v>
      </c>
      <c r="X18" s="3">
        <v>1196</v>
      </c>
      <c r="Y18" s="3">
        <v>1290</v>
      </c>
      <c r="Z18" s="3">
        <f>+AO18-SUM(W18:Y18)</f>
        <v>1385</v>
      </c>
      <c r="AF18" s="3">
        <v>373</v>
      </c>
      <c r="AG18" s="3">
        <v>475</v>
      </c>
      <c r="AH18" s="3">
        <v>598</v>
      </c>
      <c r="AI18" s="3">
        <v>779</v>
      </c>
      <c r="AJ18" s="3">
        <v>1287</v>
      </c>
      <c r="AK18" s="3">
        <v>1559</v>
      </c>
      <c r="AL18" s="3">
        <v>943</v>
      </c>
      <c r="AM18" s="3">
        <v>458</v>
      </c>
      <c r="AN18" s="3">
        <v>1527</v>
      </c>
      <c r="AO18" s="3">
        <v>4865</v>
      </c>
    </row>
    <row r="19" spans="2:51">
      <c r="B19" s="3" t="s">
        <v>198</v>
      </c>
      <c r="C19" s="3">
        <v>351</v>
      </c>
      <c r="D19" s="3">
        <v>411</v>
      </c>
      <c r="E19" s="3">
        <v>437</v>
      </c>
      <c r="F19" s="3">
        <f>+AJ19-SUM(C19:E19)</f>
        <v>457</v>
      </c>
      <c r="G19" s="3">
        <v>496</v>
      </c>
      <c r="H19" s="3">
        <v>485</v>
      </c>
      <c r="I19" s="3">
        <v>476</v>
      </c>
      <c r="J19" s="3">
        <f>+AK19-SUM(G19:I19)</f>
        <v>448</v>
      </c>
      <c r="K19" s="3">
        <v>390</v>
      </c>
      <c r="L19" s="3">
        <v>282</v>
      </c>
      <c r="M19" s="3">
        <v>248</v>
      </c>
      <c r="N19" s="3">
        <f>+AL19-SUM(K19:M19)</f>
        <v>235</v>
      </c>
      <c r="O19" s="3">
        <v>228</v>
      </c>
      <c r="P19" s="3">
        <v>209</v>
      </c>
      <c r="Q19" s="3">
        <v>198</v>
      </c>
      <c r="R19" s="3">
        <f>+AM19-SUM(O19:Q19)</f>
        <v>190</v>
      </c>
      <c r="S19" s="3">
        <v>199</v>
      </c>
      <c r="T19" s="3">
        <v>252</v>
      </c>
      <c r="U19" s="3">
        <v>356</v>
      </c>
      <c r="V19" s="3">
        <f>+AN19-SUM(S19:U19)</f>
        <v>429</v>
      </c>
      <c r="W19" s="3">
        <v>439</v>
      </c>
      <c r="X19" s="3">
        <v>474</v>
      </c>
      <c r="Y19" s="3">
        <v>508</v>
      </c>
      <c r="Z19" s="3">
        <f>+AO19-SUM(W19:Y19)</f>
        <v>563</v>
      </c>
      <c r="AF19" s="3">
        <v>1334</v>
      </c>
      <c r="AG19" s="3">
        <v>1148</v>
      </c>
      <c r="AH19" s="3">
        <v>1107</v>
      </c>
      <c r="AI19" s="3">
        <v>1333</v>
      </c>
      <c r="AJ19" s="3">
        <v>1656</v>
      </c>
      <c r="AK19" s="3">
        <v>1905</v>
      </c>
      <c r="AL19" s="3">
        <v>1155</v>
      </c>
      <c r="AM19" s="3">
        <v>825</v>
      </c>
      <c r="AN19" s="3">
        <v>1236</v>
      </c>
      <c r="AO19" s="3">
        <v>1984</v>
      </c>
    </row>
    <row r="20" spans="2:51">
      <c r="B20" s="3" t="s">
        <v>28</v>
      </c>
      <c r="C20" s="3">
        <f>+SUM(C18:C19)</f>
        <v>621</v>
      </c>
      <c r="D20" s="3">
        <f>+SUM(D18:D19)</f>
        <v>711</v>
      </c>
      <c r="E20" s="3">
        <f>+SUM(E18:E19)</f>
        <v>777</v>
      </c>
      <c r="F20" s="3">
        <f>+AJ20-SUM(C20:E20)</f>
        <v>834</v>
      </c>
      <c r="G20" s="3">
        <f>+SUM(G18:G19)</f>
        <v>895</v>
      </c>
      <c r="H20" s="3">
        <f>+SUM(H18:H19)</f>
        <v>891</v>
      </c>
      <c r="I20" s="3">
        <f>+SUM(I18:I19)</f>
        <v>877</v>
      </c>
      <c r="J20" s="3">
        <f>+AK20-SUM(G20:I20)</f>
        <v>801</v>
      </c>
      <c r="K20" s="3">
        <f>+SUM(K18:K19)</f>
        <v>716</v>
      </c>
      <c r="L20" s="3">
        <f>+SUM(L18:L19)</f>
        <v>542</v>
      </c>
      <c r="M20" s="3">
        <f>+SUM(M18:M19)</f>
        <v>450</v>
      </c>
      <c r="N20" s="3">
        <f>+AL20-SUM(K20:M20)</f>
        <v>390</v>
      </c>
      <c r="O20" s="3">
        <f>+SUM(O18:O19)</f>
        <v>362</v>
      </c>
      <c r="P20" s="3">
        <f>+SUM(P18:P19)</f>
        <v>322</v>
      </c>
      <c r="Q20" s="3">
        <f>+SUM(Q18:Q19)</f>
        <v>307</v>
      </c>
      <c r="R20" s="3">
        <f>+AM20-SUM(O20:Q20)</f>
        <v>292</v>
      </c>
      <c r="S20" s="3">
        <f>+SUM(S18:S19)</f>
        <v>321</v>
      </c>
      <c r="T20" s="3">
        <f>+SUM(T18:T19)</f>
        <v>439</v>
      </c>
      <c r="U20" s="3">
        <f>+SUM(U18:U19)</f>
        <v>796</v>
      </c>
      <c r="V20" s="3">
        <f>+SUM(V18:V19)</f>
        <v>1207</v>
      </c>
      <c r="W20" s="3">
        <f>+SUM(W18:W19)</f>
        <v>1433</v>
      </c>
      <c r="X20" s="3">
        <f>+SUM(X18:X19)</f>
        <v>1670</v>
      </c>
      <c r="Y20" s="3">
        <f>+SUM(Y18:Y19)</f>
        <v>1798</v>
      </c>
      <c r="Z20" s="3">
        <f>+SUM(Z18:Z19)</f>
        <v>1948</v>
      </c>
      <c r="AF20" s="3">
        <f t="shared" ref="AF20:AM20" si="6">+SUM(AF18:AF19)</f>
        <v>1707</v>
      </c>
      <c r="AG20" s="3">
        <f t="shared" si="6"/>
        <v>1623</v>
      </c>
      <c r="AH20" s="3">
        <f t="shared" si="6"/>
        <v>1705</v>
      </c>
      <c r="AI20" s="3">
        <f t="shared" si="6"/>
        <v>2112</v>
      </c>
      <c r="AJ20" s="3">
        <f t="shared" si="6"/>
        <v>2943</v>
      </c>
      <c r="AK20" s="3">
        <f t="shared" si="6"/>
        <v>3464</v>
      </c>
      <c r="AL20" s="3">
        <f t="shared" si="6"/>
        <v>2098</v>
      </c>
      <c r="AM20" s="3">
        <f t="shared" si="6"/>
        <v>1283</v>
      </c>
      <c r="AN20" s="3">
        <f t="shared" ref="AN20:AO20" si="7">+SUM(AN18:AN19)</f>
        <v>2763</v>
      </c>
      <c r="AO20" s="3">
        <f t="shared" si="7"/>
        <v>6849</v>
      </c>
    </row>
    <row r="21" spans="2:51" s="5" customFormat="1">
      <c r="B21" s="5" t="s">
        <v>29</v>
      </c>
      <c r="C21" s="5">
        <f>+C17-C20</f>
        <v>1841</v>
      </c>
      <c r="D21" s="5">
        <f>+D17-D20</f>
        <v>1829</v>
      </c>
      <c r="E21" s="5">
        <f>+E17-E20</f>
        <v>1961</v>
      </c>
      <c r="F21" s="5">
        <f>+AJ21-SUM(C21:E21)</f>
        <v>2032</v>
      </c>
      <c r="G21" s="5">
        <f>+G17-G20</f>
        <v>2059</v>
      </c>
      <c r="H21" s="5">
        <f>+H17-H20</f>
        <v>2074</v>
      </c>
      <c r="I21" s="5">
        <f>+I17-I20</f>
        <v>2203</v>
      </c>
      <c r="J21" s="5">
        <f>+AK21-SUM(G21:I21)</f>
        <v>2284</v>
      </c>
      <c r="K21" s="5">
        <f>+K17-K20</f>
        <v>2330</v>
      </c>
      <c r="L21" s="5">
        <f>+L17-L20</f>
        <v>1884</v>
      </c>
      <c r="M21" s="5">
        <f>+M17-M20</f>
        <v>1874</v>
      </c>
      <c r="N21" s="5">
        <f>+AL21-SUM(K21:M21)</f>
        <v>1897</v>
      </c>
      <c r="O21" s="5">
        <f>+O17-O20</f>
        <v>1830</v>
      </c>
      <c r="P21" s="5">
        <f>+P17-P20</f>
        <v>1818</v>
      </c>
      <c r="Q21" s="5">
        <f>+Q17-Q20</f>
        <v>1994</v>
      </c>
      <c r="R21" s="5">
        <f>+AM21-SUM(O21:Q21)</f>
        <v>2108</v>
      </c>
      <c r="S21" s="5">
        <f>+S17-S20</f>
        <v>2199</v>
      </c>
      <c r="T21" s="5">
        <f>+T17-T20</f>
        <v>2360</v>
      </c>
      <c r="U21" s="5">
        <f>+U17-U20</f>
        <v>2578</v>
      </c>
      <c r="V21" s="5">
        <f>+V17-V20</f>
        <v>2758</v>
      </c>
      <c r="W21" s="5">
        <f>+W17-W20</f>
        <v>2983</v>
      </c>
      <c r="X21" s="5">
        <f>+X17-X20</f>
        <v>3105</v>
      </c>
      <c r="Y21" s="5">
        <f>+Y17-Y20</f>
        <v>3442</v>
      </c>
      <c r="Z21" s="5">
        <f>+Z17-Z20</f>
        <v>3604</v>
      </c>
      <c r="AF21" s="5">
        <f t="shared" ref="AF21:AM21" si="8">+AF17-AF20</f>
        <v>5472</v>
      </c>
      <c r="AG21" s="5">
        <f t="shared" si="8"/>
        <v>5922</v>
      </c>
      <c r="AH21" s="5">
        <f t="shared" si="8"/>
        <v>5779</v>
      </c>
      <c r="AI21" s="5">
        <f t="shared" si="8"/>
        <v>6451</v>
      </c>
      <c r="AJ21" s="5">
        <f t="shared" si="8"/>
        <v>7663</v>
      </c>
      <c r="AK21" s="5">
        <f t="shared" si="8"/>
        <v>8620</v>
      </c>
      <c r="AL21" s="5">
        <f t="shared" si="8"/>
        <v>7985</v>
      </c>
      <c r="AM21" s="5">
        <f t="shared" si="8"/>
        <v>7750</v>
      </c>
      <c r="AN21" s="5">
        <f t="shared" ref="AN21:AO21" si="9">+AN17-AN20</f>
        <v>9895</v>
      </c>
      <c r="AO21" s="5">
        <f t="shared" si="9"/>
        <v>13134</v>
      </c>
    </row>
    <row r="22" spans="2:51" s="5" customFormat="1">
      <c r="B22" s="5" t="s">
        <v>30</v>
      </c>
      <c r="C22" s="5">
        <f>+C13+C21</f>
        <v>9718</v>
      </c>
      <c r="D22" s="5">
        <f>+D13+D21</f>
        <v>10002</v>
      </c>
      <c r="E22" s="5">
        <f>+E13+E21</f>
        <v>10144</v>
      </c>
      <c r="F22" s="5">
        <f>+AJ22-SUM(C22:E22)</f>
        <v>10474</v>
      </c>
      <c r="G22" s="5">
        <f>+G13+G21</f>
        <v>10364</v>
      </c>
      <c r="H22" s="5">
        <f>+H13+H21</f>
        <v>10838</v>
      </c>
      <c r="I22" s="5">
        <f>+I13+I21</f>
        <v>10989</v>
      </c>
      <c r="J22" s="5">
        <f>+AK22-SUM(G22:I22)</f>
        <v>11365</v>
      </c>
      <c r="K22" s="5">
        <f>+K13+K21</f>
        <v>10310</v>
      </c>
      <c r="L22" s="5">
        <f>+L13+L21</f>
        <v>7675</v>
      </c>
      <c r="M22" s="5">
        <f>+M13+M21</f>
        <v>8751</v>
      </c>
      <c r="N22" s="5">
        <f>+AL22-SUM(K22:M22)</f>
        <v>9351</v>
      </c>
      <c r="O22" s="5">
        <f>+O13+O21</f>
        <v>9064</v>
      </c>
      <c r="P22" s="5">
        <f>+P13+P21</f>
        <v>10243</v>
      </c>
      <c r="Q22" s="5">
        <f>+Q13+Q21</f>
        <v>10928</v>
      </c>
      <c r="R22" s="5">
        <f>+AM22-SUM(O22:Q22)</f>
        <v>12145</v>
      </c>
      <c r="S22" s="5">
        <f>+S13+S21</f>
        <v>11753</v>
      </c>
      <c r="T22" s="5">
        <f>+T13+T21</f>
        <v>13395</v>
      </c>
      <c r="U22" s="5">
        <f>+U13+U21</f>
        <v>13556</v>
      </c>
      <c r="V22" s="5">
        <f>+V13+V21</f>
        <v>14158</v>
      </c>
      <c r="W22" s="5">
        <f>+W13+W21</f>
        <v>14281</v>
      </c>
      <c r="X22" s="5">
        <f>+X13+X21</f>
        <v>15054</v>
      </c>
      <c r="Y22" s="5">
        <f>+Y13+Y21</f>
        <v>15381</v>
      </c>
      <c r="Z22" s="5">
        <f>+Z13+Z21</f>
        <v>15799</v>
      </c>
      <c r="AF22" s="5">
        <f t="shared" ref="AF22:AM22" si="10">+AF13+AF21</f>
        <v>34188</v>
      </c>
      <c r="AG22" s="5">
        <f t="shared" si="10"/>
        <v>32818</v>
      </c>
      <c r="AH22" s="5">
        <f t="shared" si="10"/>
        <v>35438</v>
      </c>
      <c r="AI22" s="5">
        <f t="shared" si="10"/>
        <v>36878</v>
      </c>
      <c r="AJ22" s="5">
        <f t="shared" si="10"/>
        <v>40338</v>
      </c>
      <c r="AK22" s="5">
        <f t="shared" si="10"/>
        <v>43556</v>
      </c>
      <c r="AL22" s="5">
        <f t="shared" si="10"/>
        <v>36087</v>
      </c>
      <c r="AM22" s="5">
        <f t="shared" si="10"/>
        <v>42380</v>
      </c>
      <c r="AN22" s="5">
        <f>+AN13+AN21</f>
        <v>52862</v>
      </c>
      <c r="AO22" s="5">
        <f>+AO13+AO21</f>
        <v>60515</v>
      </c>
      <c r="AP22" s="5">
        <f>+AO22*(1+AP53)</f>
        <v>64878.84005544438</v>
      </c>
      <c r="AQ22" s="5">
        <f>+AP22*(1+AQ53)</f>
        <v>69557.364074030149</v>
      </c>
      <c r="AR22" s="5">
        <f>+AQ22*(1+AR53)</f>
        <v>74573.26445405792</v>
      </c>
      <c r="AS22" s="5">
        <f>+AR22*(1+AS53)</f>
        <v>79950.86998144559</v>
      </c>
      <c r="AT22" s="5">
        <f>+AS22*(1+AT53)</f>
        <v>85716.263832435565</v>
      </c>
      <c r="AU22" s="5">
        <f>+AT22*(1+AU53)</f>
        <v>91897.410085678901</v>
      </c>
      <c r="AV22" s="5">
        <f>+AU22*(1+AV53)</f>
        <v>98524.289357322035</v>
      </c>
      <c r="AW22" s="5">
        <f>+AV22*(1+AW53)</f>
        <v>105629.04421697129</v>
      </c>
      <c r="AX22" s="5">
        <f>+AW22*(1+AX53)</f>
        <v>113246.13508985116</v>
      </c>
      <c r="AY22" s="5">
        <f>+AX22*(1+AY53)</f>
        <v>121412.50740133357</v>
      </c>
    </row>
    <row r="23" spans="2:51">
      <c r="B23" s="3" t="s">
        <v>31</v>
      </c>
      <c r="C23" s="3">
        <v>242</v>
      </c>
      <c r="D23" s="3">
        <v>245</v>
      </c>
      <c r="E23" s="3">
        <v>214</v>
      </c>
      <c r="F23" s="3">
        <f>+AJ23-SUM(C23:E23)</f>
        <v>236</v>
      </c>
      <c r="G23" s="3">
        <v>253</v>
      </c>
      <c r="H23" s="3">
        <v>224</v>
      </c>
      <c r="I23" s="3">
        <v>238</v>
      </c>
      <c r="J23" s="3">
        <f>+AK23-SUM(G23:I23)</f>
        <v>248</v>
      </c>
      <c r="K23" s="3">
        <v>597</v>
      </c>
      <c r="L23" s="3">
        <v>355</v>
      </c>
      <c r="M23" s="3">
        <v>117</v>
      </c>
      <c r="N23" s="3">
        <f>+AL23-SUM(K23:M23)</f>
        <v>-54</v>
      </c>
      <c r="O23" s="3">
        <v>-10</v>
      </c>
      <c r="P23" s="3">
        <v>-125</v>
      </c>
      <c r="Q23" s="3">
        <v>-12</v>
      </c>
      <c r="R23" s="3">
        <f>+AM23-SUM(O23:Q23)</f>
        <v>74</v>
      </c>
      <c r="S23" s="3">
        <v>80</v>
      </c>
      <c r="T23" s="3">
        <v>138</v>
      </c>
      <c r="U23" s="3">
        <v>165</v>
      </c>
      <c r="V23" s="3">
        <f>+AN23-SUM(S23:U23)</f>
        <v>244</v>
      </c>
      <c r="W23" s="3">
        <v>222</v>
      </c>
      <c r="X23" s="3">
        <v>230</v>
      </c>
      <c r="Y23" s="3">
        <v>206</v>
      </c>
      <c r="Z23" s="3">
        <f>+AO23-SUM(W23:Y23)</f>
        <v>222</v>
      </c>
      <c r="AF23" s="3">
        <v>792</v>
      </c>
      <c r="AG23" s="3">
        <v>737</v>
      </c>
      <c r="AH23" s="3">
        <v>696</v>
      </c>
      <c r="AI23" s="3">
        <v>795</v>
      </c>
      <c r="AJ23" s="3">
        <v>937</v>
      </c>
      <c r="AK23" s="3">
        <v>963</v>
      </c>
      <c r="AL23" s="3">
        <v>1015</v>
      </c>
      <c r="AM23" s="3">
        <v>-73</v>
      </c>
      <c r="AN23" s="3">
        <v>627</v>
      </c>
      <c r="AO23" s="3">
        <v>880</v>
      </c>
      <c r="AP23" s="3">
        <f t="shared" ref="AP23:AY23" si="11">+AP22*(AO23/AO22)</f>
        <v>943.45830370637123</v>
      </c>
      <c r="AQ23" s="3">
        <f t="shared" si="11"/>
        <v>1011.4926941278449</v>
      </c>
      <c r="AR23" s="3">
        <f t="shared" si="11"/>
        <v>1084.4331606968681</v>
      </c>
      <c r="AS23" s="3">
        <f t="shared" si="11"/>
        <v>1162.6334889477339</v>
      </c>
      <c r="AT23" s="3">
        <f t="shared" si="11"/>
        <v>1246.4729764941469</v>
      </c>
      <c r="AU23" s="3">
        <f t="shared" si="11"/>
        <v>1336.3582727488629</v>
      </c>
      <c r="AV23" s="3">
        <f t="shared" si="11"/>
        <v>1432.7253513086573</v>
      </c>
      <c r="AW23" s="3">
        <f t="shared" si="11"/>
        <v>1536.0416245713418</v>
      </c>
      <c r="AX23" s="3">
        <f t="shared" si="11"/>
        <v>1646.8082108414283</v>
      </c>
      <c r="AY23" s="3">
        <f t="shared" si="11"/>
        <v>1765.5623649206568</v>
      </c>
    </row>
    <row r="24" spans="2:51">
      <c r="B24" s="3" t="s">
        <v>32</v>
      </c>
      <c r="C24" s="3">
        <v>499</v>
      </c>
      <c r="D24" s="3">
        <v>528</v>
      </c>
      <c r="E24" s="3">
        <v>560</v>
      </c>
      <c r="F24" s="3">
        <f>+AJ24-SUM(C24:E24)</f>
        <v>679</v>
      </c>
      <c r="G24" s="3">
        <v>525</v>
      </c>
      <c r="H24" s="3">
        <v>603</v>
      </c>
      <c r="I24" s="3">
        <v>604</v>
      </c>
      <c r="J24" s="3">
        <f>+AK24-SUM(G24:I24)</f>
        <v>730</v>
      </c>
      <c r="K24" s="3">
        <v>1876</v>
      </c>
      <c r="L24" s="3">
        <v>969</v>
      </c>
      <c r="M24" s="3">
        <v>571</v>
      </c>
      <c r="N24" s="3">
        <f>+AL24-SUM(K24:M24)</f>
        <v>37</v>
      </c>
      <c r="O24" s="3">
        <v>-573</v>
      </c>
      <c r="P24" s="3">
        <v>-396</v>
      </c>
      <c r="Q24" s="3">
        <v>-177</v>
      </c>
      <c r="R24" s="3">
        <f>+AM24-SUM(O24:Q24)</f>
        <v>-9</v>
      </c>
      <c r="S24" s="3">
        <v>-111</v>
      </c>
      <c r="T24" s="3">
        <v>272</v>
      </c>
      <c r="U24" s="3">
        <v>596</v>
      </c>
      <c r="V24" s="3">
        <f>+AN24-SUM(S24:U24)</f>
        <v>757</v>
      </c>
      <c r="W24" s="3">
        <v>786</v>
      </c>
      <c r="X24" s="3">
        <v>923</v>
      </c>
      <c r="Y24" s="3">
        <v>982</v>
      </c>
      <c r="Z24" s="3">
        <f>+AO24-SUM(W24:Y24)</f>
        <v>1148</v>
      </c>
      <c r="AF24" s="3">
        <v>1138</v>
      </c>
      <c r="AG24" s="3">
        <v>1190</v>
      </c>
      <c r="AH24" s="3">
        <v>1235</v>
      </c>
      <c r="AI24" s="3">
        <v>1868</v>
      </c>
      <c r="AJ24" s="3">
        <v>2266</v>
      </c>
      <c r="AK24" s="3">
        <v>2462</v>
      </c>
      <c r="AL24" s="3">
        <v>3453</v>
      </c>
      <c r="AM24" s="3">
        <v>-1155</v>
      </c>
      <c r="AN24" s="3">
        <v>1514</v>
      </c>
      <c r="AO24" s="3">
        <v>3839</v>
      </c>
      <c r="AP24" s="3">
        <f t="shared" ref="AP24:AY24" si="12">+AP22*(AO24/AO22)</f>
        <v>4115.8368499190437</v>
      </c>
      <c r="AQ24" s="3">
        <f t="shared" si="12"/>
        <v>4412.6368781327228</v>
      </c>
      <c r="AR24" s="3">
        <f t="shared" si="12"/>
        <v>4730.8396635400868</v>
      </c>
      <c r="AS24" s="3">
        <f t="shared" si="12"/>
        <v>5071.9885955344889</v>
      </c>
      <c r="AT24" s="3">
        <f t="shared" si="12"/>
        <v>5437.7383599557152</v>
      </c>
      <c r="AU24" s="3">
        <f t="shared" si="12"/>
        <v>5829.8629648669139</v>
      </c>
      <c r="AV24" s="3">
        <f t="shared" si="12"/>
        <v>6250.2643450840169</v>
      </c>
      <c r="AW24" s="3">
        <f t="shared" si="12"/>
        <v>6700.9815871924775</v>
      </c>
      <c r="AX24" s="3">
        <f t="shared" si="12"/>
        <v>7184.2008197957293</v>
      </c>
      <c r="AY24" s="3">
        <f t="shared" si="12"/>
        <v>7702.2658169663646</v>
      </c>
    </row>
    <row r="25" spans="2:51">
      <c r="B25" s="3" t="s">
        <v>20</v>
      </c>
      <c r="C25" s="3">
        <v>34</v>
      </c>
      <c r="D25" s="3">
        <v>33</v>
      </c>
      <c r="E25" s="3">
        <v>43</v>
      </c>
      <c r="F25" s="3">
        <f>+AJ25-SUM(C25:E25)</f>
        <v>39</v>
      </c>
      <c r="G25" s="3">
        <v>31</v>
      </c>
      <c r="H25" s="3">
        <v>34</v>
      </c>
      <c r="I25" s="3">
        <v>37</v>
      </c>
      <c r="J25" s="3">
        <f>+AK25-SUM(G25:I25)</f>
        <v>46</v>
      </c>
      <c r="K25" s="3">
        <v>148</v>
      </c>
      <c r="L25" s="3">
        <v>231</v>
      </c>
      <c r="M25" s="3">
        <v>-23</v>
      </c>
      <c r="N25" s="3">
        <f>+AL25-SUM(K25:M25)</f>
        <v>-94</v>
      </c>
      <c r="O25" s="3">
        <v>-92</v>
      </c>
      <c r="P25" s="3">
        <v>-85</v>
      </c>
      <c r="Q25" s="3">
        <v>-2</v>
      </c>
      <c r="R25" s="3">
        <f>+AM25-SUM(O25:Q25)</f>
        <v>-12</v>
      </c>
      <c r="S25" s="3">
        <v>-2</v>
      </c>
      <c r="T25" s="3">
        <v>0</v>
      </c>
      <c r="U25" s="3">
        <v>17</v>
      </c>
      <c r="V25" s="3">
        <f>+AN25-SUM(S25:U25)</f>
        <v>26</v>
      </c>
      <c r="W25" s="3">
        <v>47</v>
      </c>
      <c r="X25" s="3">
        <v>45</v>
      </c>
      <c r="Y25" s="3">
        <v>45</v>
      </c>
      <c r="Z25" s="3">
        <f>+AO25-SUM(W25:Y25)</f>
        <v>67</v>
      </c>
      <c r="AF25" s="3">
        <v>114</v>
      </c>
      <c r="AG25" s="3">
        <v>61</v>
      </c>
      <c r="AH25" s="3">
        <v>96</v>
      </c>
      <c r="AI25" s="3">
        <v>97</v>
      </c>
      <c r="AJ25" s="3">
        <v>149</v>
      </c>
      <c r="AK25" s="3">
        <v>148</v>
      </c>
      <c r="AL25" s="3">
        <v>262</v>
      </c>
      <c r="AM25" s="3">
        <v>-191</v>
      </c>
      <c r="AN25" s="3">
        <v>41</v>
      </c>
      <c r="AO25" s="3">
        <v>204</v>
      </c>
      <c r="AP25" s="3">
        <f t="shared" ref="AP25:AY25" si="13">+AP22*(AO25/AO22)</f>
        <v>218.71078858647695</v>
      </c>
      <c r="AQ25" s="3">
        <f t="shared" si="13"/>
        <v>234.4823972750913</v>
      </c>
      <c r="AR25" s="3">
        <f t="shared" si="13"/>
        <v>251.39132361609214</v>
      </c>
      <c r="AS25" s="3">
        <f t="shared" si="13"/>
        <v>269.51958152879286</v>
      </c>
      <c r="AT25" s="3">
        <f t="shared" si="13"/>
        <v>288.95509909637042</v>
      </c>
      <c r="AU25" s="3">
        <f t="shared" si="13"/>
        <v>309.79214504632733</v>
      </c>
      <c r="AV25" s="3">
        <f t="shared" si="13"/>
        <v>332.13178598518874</v>
      </c>
      <c r="AW25" s="3">
        <f t="shared" si="13"/>
        <v>356.08237660517466</v>
      </c>
      <c r="AX25" s="3">
        <f t="shared" si="13"/>
        <v>381.76008524051292</v>
      </c>
      <c r="AY25" s="3">
        <f t="shared" si="13"/>
        <v>409.28945732251589</v>
      </c>
    </row>
    <row r="26" spans="2:51" s="8" customFormat="1">
      <c r="B26" s="8" t="s">
        <v>33</v>
      </c>
      <c r="C26" s="8">
        <f>+SUM(C23:C25)</f>
        <v>775</v>
      </c>
      <c r="D26" s="8">
        <f>+SUM(D23:D25)</f>
        <v>806</v>
      </c>
      <c r="E26" s="8">
        <f>+SUM(E23:E25)</f>
        <v>817</v>
      </c>
      <c r="F26" s="8">
        <f>+AJ26-SUM(C26:E26)</f>
        <v>954</v>
      </c>
      <c r="G26" s="8">
        <f>+SUM(G23:G25)</f>
        <v>809</v>
      </c>
      <c r="H26" s="8">
        <f>+SUM(H23:H25)</f>
        <v>861</v>
      </c>
      <c r="I26" s="8">
        <f>+SUM(I23:I25)</f>
        <v>879</v>
      </c>
      <c r="J26" s="8">
        <f>+AK26-SUM(G26:I26)</f>
        <v>1024</v>
      </c>
      <c r="K26" s="8">
        <f>+SUM(K23:K25)</f>
        <v>2621</v>
      </c>
      <c r="L26" s="8">
        <f>+SUM(L23:L25)</f>
        <v>1555</v>
      </c>
      <c r="M26" s="8">
        <f>+SUM(M23:M25)</f>
        <v>665</v>
      </c>
      <c r="N26" s="8">
        <f>+AL26-SUM(K26:M26)</f>
        <v>-111</v>
      </c>
      <c r="O26" s="8">
        <f>+SUM(O23:O25)</f>
        <v>-675</v>
      </c>
      <c r="P26" s="8">
        <f>+SUM(P23:P25)</f>
        <v>-606</v>
      </c>
      <c r="Q26" s="8">
        <f>+SUM(Q23:Q25)</f>
        <v>-191</v>
      </c>
      <c r="R26" s="8">
        <f>+AM26-SUM(O26:Q26)</f>
        <v>53</v>
      </c>
      <c r="S26" s="8">
        <f>+SUM(S23:S25)</f>
        <v>-33</v>
      </c>
      <c r="T26" s="8">
        <f>+SUM(T23:T25)</f>
        <v>410</v>
      </c>
      <c r="U26" s="8">
        <f>+SUM(U23:U25)</f>
        <v>778</v>
      </c>
      <c r="V26" s="8">
        <f>+SUM(V23:V25)</f>
        <v>1027</v>
      </c>
      <c r="W26" s="8">
        <f>+SUM(W23:W25)</f>
        <v>1055</v>
      </c>
      <c r="X26" s="8">
        <f>+SUM(X23:X25)</f>
        <v>1198</v>
      </c>
      <c r="Y26" s="8">
        <f>+SUM(Y23:Y25)</f>
        <v>1233</v>
      </c>
      <c r="Z26" s="8">
        <f>+SUM(Z23:Z25)</f>
        <v>1437</v>
      </c>
      <c r="AF26" s="3">
        <f t="shared" ref="AF26:AM26" si="14">+SUM(AF23:AF25)</f>
        <v>2044</v>
      </c>
      <c r="AG26" s="8">
        <f t="shared" si="14"/>
        <v>1988</v>
      </c>
      <c r="AH26" s="8">
        <f t="shared" si="14"/>
        <v>2027</v>
      </c>
      <c r="AI26" s="8">
        <f t="shared" si="14"/>
        <v>2760</v>
      </c>
      <c r="AJ26" s="8">
        <f t="shared" si="14"/>
        <v>3352</v>
      </c>
      <c r="AK26" s="8">
        <f t="shared" si="14"/>
        <v>3573</v>
      </c>
      <c r="AL26" s="8">
        <f t="shared" si="14"/>
        <v>4730</v>
      </c>
      <c r="AM26" s="8">
        <f t="shared" si="14"/>
        <v>-1419</v>
      </c>
      <c r="AN26" s="8">
        <f t="shared" ref="AN26:AO26" si="15">+SUM(AN23:AN25)</f>
        <v>2182</v>
      </c>
      <c r="AO26" s="8">
        <f t="shared" si="15"/>
        <v>4923</v>
      </c>
      <c r="AP26" s="8">
        <f t="shared" ref="AP26:AW26" si="16">+SUM(AP23:AP25)</f>
        <v>5278.005942211892</v>
      </c>
      <c r="AQ26" s="8">
        <f t="shared" si="16"/>
        <v>5658.6119695356583</v>
      </c>
      <c r="AR26" s="8">
        <f t="shared" si="16"/>
        <v>6066.6641478530473</v>
      </c>
      <c r="AS26" s="8">
        <f t="shared" si="16"/>
        <v>6504.1416660110153</v>
      </c>
      <c r="AT26" s="8">
        <f t="shared" si="16"/>
        <v>6973.1664355462326</v>
      </c>
      <c r="AU26" s="8">
        <f t="shared" si="16"/>
        <v>7476.013382662104</v>
      </c>
      <c r="AV26" s="8">
        <f t="shared" si="16"/>
        <v>8015.1214823778628</v>
      </c>
      <c r="AW26" s="8">
        <f t="shared" si="16"/>
        <v>8593.1055883689933</v>
      </c>
      <c r="AX26" s="8">
        <f t="shared" ref="AX26:AY26" si="17">+SUM(AX23:AX25)</f>
        <v>9212.7691158776688</v>
      </c>
      <c r="AY26" s="8">
        <f t="shared" si="17"/>
        <v>9877.1176392095385</v>
      </c>
    </row>
    <row r="27" spans="2:51" s="5" customFormat="1">
      <c r="B27" s="5" t="s">
        <v>82</v>
      </c>
      <c r="C27" s="5">
        <f>+C22-C26</f>
        <v>8943</v>
      </c>
      <c r="D27" s="5">
        <f>+D22-D26</f>
        <v>9196</v>
      </c>
      <c r="E27" s="5">
        <f>+E22-E26</f>
        <v>9327</v>
      </c>
      <c r="F27" s="5">
        <f>+AJ27-SUM(C27:E27)</f>
        <v>9520</v>
      </c>
      <c r="G27" s="5">
        <f>+G22-G26</f>
        <v>9555</v>
      </c>
      <c r="H27" s="5">
        <f>+H22-H26</f>
        <v>9977</v>
      </c>
      <c r="I27" s="5">
        <f>+I22-I26</f>
        <v>10110</v>
      </c>
      <c r="J27" s="5">
        <f>+AK27-SUM(G27:I27)</f>
        <v>10341</v>
      </c>
      <c r="K27" s="5">
        <f>+K22-K26</f>
        <v>7689</v>
      </c>
      <c r="L27" s="5">
        <f>+L22-L26</f>
        <v>6120</v>
      </c>
      <c r="M27" s="5">
        <f>+M22-M26</f>
        <v>8086</v>
      </c>
      <c r="N27" s="5">
        <f>+AL27-SUM(K27:M27)</f>
        <v>9462</v>
      </c>
      <c r="O27" s="5">
        <f>+O22-O26</f>
        <v>9739</v>
      </c>
      <c r="P27" s="5">
        <f>+P22-P26</f>
        <v>10849</v>
      </c>
      <c r="Q27" s="5">
        <f>+Q22-Q26</f>
        <v>11119</v>
      </c>
      <c r="R27" s="5">
        <f>+AM27-SUM(O27:Q27)</f>
        <v>12092</v>
      </c>
      <c r="S27" s="5">
        <f>+S22-S26</f>
        <v>11786</v>
      </c>
      <c r="T27" s="5">
        <f>+T22-T26</f>
        <v>12985</v>
      </c>
      <c r="U27" s="5">
        <f>+U22-U26</f>
        <v>12778</v>
      </c>
      <c r="V27" s="5">
        <f>+V22-V26</f>
        <v>13131</v>
      </c>
      <c r="W27" s="5">
        <f>+W22-W26</f>
        <v>13226</v>
      </c>
      <c r="X27" s="5">
        <f>+X22-X26</f>
        <v>13856</v>
      </c>
      <c r="Y27" s="5">
        <f>+Y22-Y26</f>
        <v>14148</v>
      </c>
      <c r="Z27" s="5">
        <f>+Z22-Z26</f>
        <v>14362</v>
      </c>
      <c r="AF27" s="5">
        <f t="shared" ref="AF27:AM27" si="18">+AF22-AF26</f>
        <v>32144</v>
      </c>
      <c r="AG27" s="5">
        <f t="shared" si="18"/>
        <v>30830</v>
      </c>
      <c r="AH27" s="5">
        <f t="shared" si="18"/>
        <v>33411</v>
      </c>
      <c r="AI27" s="5">
        <f t="shared" si="18"/>
        <v>34118</v>
      </c>
      <c r="AJ27" s="5">
        <f t="shared" si="18"/>
        <v>36986</v>
      </c>
      <c r="AK27" s="5">
        <f t="shared" si="18"/>
        <v>39983</v>
      </c>
      <c r="AL27" s="5">
        <f t="shared" si="18"/>
        <v>31357</v>
      </c>
      <c r="AM27" s="5">
        <f t="shared" si="18"/>
        <v>43799</v>
      </c>
      <c r="AN27" s="5">
        <f t="shared" ref="AN27:AO27" si="19">+AN22-AN26</f>
        <v>50680</v>
      </c>
      <c r="AO27" s="5">
        <f t="shared" si="19"/>
        <v>55592</v>
      </c>
      <c r="AP27" s="5">
        <f t="shared" ref="AP27:AW27" si="20">+AP22-AP26</f>
        <v>59600.834113232486</v>
      </c>
      <c r="AQ27" s="5">
        <f t="shared" si="20"/>
        <v>63898.752104494488</v>
      </c>
      <c r="AR27" s="5">
        <f t="shared" si="20"/>
        <v>68506.600306204869</v>
      </c>
      <c r="AS27" s="5">
        <f t="shared" si="20"/>
        <v>73446.728315434579</v>
      </c>
      <c r="AT27" s="5">
        <f t="shared" si="20"/>
        <v>78743.097396889338</v>
      </c>
      <c r="AU27" s="5">
        <f t="shared" si="20"/>
        <v>84421.396703016799</v>
      </c>
      <c r="AV27" s="5">
        <f t="shared" si="20"/>
        <v>90509.167874944178</v>
      </c>
      <c r="AW27" s="5">
        <f t="shared" si="20"/>
        <v>97035.938628602293</v>
      </c>
      <c r="AX27" s="5">
        <f t="shared" ref="AX27:AY27" si="21">+AX22-AX26</f>
        <v>104033.36597397349</v>
      </c>
      <c r="AY27" s="5">
        <f t="shared" si="21"/>
        <v>111535.38976212403</v>
      </c>
    </row>
    <row r="28" spans="2:51">
      <c r="B28" s="3" t="s">
        <v>34</v>
      </c>
      <c r="C28" s="3">
        <v>1345</v>
      </c>
      <c r="D28" s="3">
        <v>1663</v>
      </c>
      <c r="E28" s="3">
        <v>1642</v>
      </c>
      <c r="F28" s="3">
        <f>+AJ28-SUM(C28:E28)</f>
        <v>1827</v>
      </c>
      <c r="G28" s="3">
        <v>1575</v>
      </c>
      <c r="H28" s="3">
        <v>1776</v>
      </c>
      <c r="I28" s="3">
        <v>1821</v>
      </c>
      <c r="J28" s="3">
        <f>+AK28-SUM(G28:I28)</f>
        <v>1953</v>
      </c>
      <c r="K28" s="3">
        <v>1705</v>
      </c>
      <c r="L28" s="3">
        <v>1362</v>
      </c>
      <c r="M28" s="3">
        <v>1822</v>
      </c>
      <c r="N28" s="3">
        <f>+AL28-SUM(K28:M28)</f>
        <v>1858</v>
      </c>
      <c r="O28" s="3">
        <v>1766</v>
      </c>
      <c r="P28" s="3">
        <v>2219</v>
      </c>
      <c r="Q28" s="3">
        <v>2355</v>
      </c>
      <c r="R28" s="3">
        <f>+AM28-SUM(O28:Q28)</f>
        <v>2713</v>
      </c>
      <c r="S28" s="3">
        <f>1043+1224</f>
        <v>2267</v>
      </c>
      <c r="T28" s="3">
        <f>1404+1502</f>
        <v>2906</v>
      </c>
      <c r="U28" s="3">
        <f>1194+1458</f>
        <v>2652</v>
      </c>
      <c r="V28" s="3">
        <f>+AN28-SUM(S28:U28)</f>
        <v>2576</v>
      </c>
      <c r="W28" s="3">
        <f>1393+1341</f>
        <v>2734</v>
      </c>
      <c r="X28" s="3">
        <f>1388+1408</f>
        <v>2796</v>
      </c>
      <c r="Y28" s="3">
        <f>1236+1393</f>
        <v>2629</v>
      </c>
      <c r="Z28" s="3">
        <f>+AO28-SUM(W28:Y28)</f>
        <v>2711</v>
      </c>
      <c r="AF28" s="3">
        <v>3216</v>
      </c>
      <c r="AG28" s="3">
        <v>3109</v>
      </c>
      <c r="AH28" s="3">
        <v>6249</v>
      </c>
      <c r="AI28" s="3">
        <v>5722</v>
      </c>
      <c r="AJ28" s="3">
        <v>6477</v>
      </c>
      <c r="AK28" s="3">
        <v>7125</v>
      </c>
      <c r="AL28" s="3">
        <v>6747</v>
      </c>
      <c r="AM28" s="3">
        <v>9053</v>
      </c>
      <c r="AN28" s="3">
        <f>4943+5458</f>
        <v>10401</v>
      </c>
      <c r="AO28" s="3">
        <f>5657+5213</f>
        <v>10870</v>
      </c>
      <c r="AP28" s="3">
        <f>+AP27*(AO28/AO27)</f>
        <v>11653.854274191199</v>
      </c>
      <c r="AQ28" s="3">
        <f>+AQ27*(AP28/AP27)</f>
        <v>12494.233619510993</v>
      </c>
      <c r="AR28" s="3">
        <f>+AR27*(AQ28/AQ27)</f>
        <v>13395.214155426085</v>
      </c>
      <c r="AS28" s="3">
        <f>+AS27*(AR28/AR27)</f>
        <v>14361.165937343034</v>
      </c>
      <c r="AT28" s="3">
        <f>+AT27*(AS28/AS27)</f>
        <v>15396.774152831111</v>
      </c>
      <c r="AU28" s="3">
        <f>+AU27*(AT28/AT27)</f>
        <v>16507.061846341068</v>
      </c>
      <c r="AV28" s="3">
        <f>+AV27*(AU28/AU27)</f>
        <v>17697.414282642167</v>
      </c>
      <c r="AW28" s="3">
        <f>+AW27*(AV28/AV27)</f>
        <v>18973.605067148277</v>
      </c>
      <c r="AX28" s="3">
        <f>+AX27*(AW28/AW27)</f>
        <v>20341.824149825366</v>
      </c>
      <c r="AY28" s="3">
        <f>+AY27*(AX28/AX27)</f>
        <v>21808.707848508566</v>
      </c>
    </row>
    <row r="29" spans="2:51">
      <c r="B29" s="3" t="s">
        <v>35</v>
      </c>
      <c r="C29" s="3">
        <v>2347</v>
      </c>
      <c r="D29" s="3">
        <v>2433</v>
      </c>
      <c r="E29" s="3">
        <v>2400</v>
      </c>
      <c r="F29" s="3">
        <f>+AJ29-SUM(C29:E29)</f>
        <v>2516</v>
      </c>
      <c r="G29" s="3">
        <v>2451</v>
      </c>
      <c r="H29" s="3">
        <v>2652</v>
      </c>
      <c r="I29" s="3">
        <v>2614</v>
      </c>
      <c r="J29" s="3">
        <f>+AK29-SUM(G29:I29)</f>
        <v>2722</v>
      </c>
      <c r="K29" s="3">
        <v>2392</v>
      </c>
      <c r="L29" s="3">
        <v>1349</v>
      </c>
      <c r="M29" s="3">
        <v>2004</v>
      </c>
      <c r="N29" s="3">
        <f>+AL29-SUM(K29:M29)</f>
        <v>2296</v>
      </c>
      <c r="O29" s="3">
        <v>2243</v>
      </c>
      <c r="P29" s="3">
        <v>2712</v>
      </c>
      <c r="Q29" s="3">
        <v>3020</v>
      </c>
      <c r="R29" s="3">
        <f>+AM29-SUM(O29:Q29)</f>
        <v>3032</v>
      </c>
      <c r="S29" s="3">
        <v>3111</v>
      </c>
      <c r="T29" s="3">
        <v>3591</v>
      </c>
      <c r="U29" s="3">
        <v>3571</v>
      </c>
      <c r="V29" s="3">
        <f>+AN29-SUM(S29:U29)</f>
        <v>3729</v>
      </c>
      <c r="W29" s="3">
        <v>3766</v>
      </c>
      <c r="X29" s="3">
        <v>3956</v>
      </c>
      <c r="Y29" s="3">
        <v>3794</v>
      </c>
      <c r="Z29" s="3">
        <f>+AO29-SUM(W29:Y29)</f>
        <v>3851</v>
      </c>
      <c r="AF29" s="3">
        <v>6931</v>
      </c>
      <c r="AG29" s="3">
        <v>6996</v>
      </c>
      <c r="AH29" s="3">
        <v>7819</v>
      </c>
      <c r="AI29" s="3">
        <v>8687</v>
      </c>
      <c r="AJ29" s="3">
        <v>9696</v>
      </c>
      <c r="AK29" s="3">
        <v>10439</v>
      </c>
      <c r="AL29" s="3">
        <v>8041</v>
      </c>
      <c r="AM29" s="3">
        <v>11007</v>
      </c>
      <c r="AN29" s="3">
        <v>14002</v>
      </c>
      <c r="AO29" s="3">
        <v>15367</v>
      </c>
      <c r="AP29" s="3">
        <f>+AP27*(AO29/AO27)</f>
        <v>16475.140628472505</v>
      </c>
      <c r="AQ29" s="3">
        <f>+AQ27*(AP29/AP27)</f>
        <v>17663.191171207487</v>
      </c>
      <c r="AR29" s="3">
        <f>+AR27*(AQ29/AQ27)</f>
        <v>18936.914068669055</v>
      </c>
      <c r="AS29" s="3">
        <f>+AS27*(AR29/AR27)</f>
        <v>20302.487300749803</v>
      </c>
      <c r="AT29" s="3">
        <f>+AT27*(AS29/AS27)</f>
        <v>21766.534352029041</v>
      </c>
      <c r="AU29" s="3">
        <f>+AU27*(AT29/AT27)</f>
        <v>23336.156337877015</v>
      </c>
      <c r="AV29" s="3">
        <f>+AV27*(AU29/AU27)</f>
        <v>25018.966447227427</v>
      </c>
      <c r="AW29" s="3">
        <f>+AW27*(AV29/AV27)</f>
        <v>26823.126869077048</v>
      </c>
      <c r="AX29" s="3">
        <f>+AX27*(AW29/AW27)</f>
        <v>28757.388381818433</v>
      </c>
      <c r="AY29" s="3">
        <f>+AY27*(AX29/AX27)</f>
        <v>30831.132797426966</v>
      </c>
    </row>
    <row r="30" spans="2:51">
      <c r="B30" s="3" t="s">
        <v>36</v>
      </c>
      <c r="C30" s="3">
        <v>409</v>
      </c>
      <c r="D30" s="3">
        <v>416</v>
      </c>
      <c r="E30" s="3">
        <v>457</v>
      </c>
      <c r="F30" s="3">
        <f>+AJ30-SUM(C30:E30)</f>
        <v>495</v>
      </c>
      <c r="G30" s="3">
        <v>550</v>
      </c>
      <c r="H30" s="3">
        <v>563</v>
      </c>
      <c r="I30" s="3">
        <v>558</v>
      </c>
      <c r="J30" s="3">
        <f>+AK30-SUM(G30:I30)</f>
        <v>552</v>
      </c>
      <c r="K30" s="3">
        <v>456</v>
      </c>
      <c r="L30" s="3">
        <v>208</v>
      </c>
      <c r="M30" s="3">
        <v>259</v>
      </c>
      <c r="N30" s="3">
        <f>+AL30-SUM(K30:M30)</f>
        <v>307</v>
      </c>
      <c r="O30" s="3">
        <v>317</v>
      </c>
      <c r="P30" s="3">
        <v>432</v>
      </c>
      <c r="Q30" s="3">
        <v>579</v>
      </c>
      <c r="R30" s="3">
        <f>+AM30-SUM(O30:Q30)</f>
        <v>665</v>
      </c>
      <c r="S30" s="3">
        <v>626</v>
      </c>
      <c r="T30" s="3">
        <v>678</v>
      </c>
      <c r="U30" s="3">
        <v>774</v>
      </c>
      <c r="V30" s="3">
        <f>+AN30-SUM(S30:U30)</f>
        <v>881</v>
      </c>
      <c r="W30" s="3">
        <v>983</v>
      </c>
      <c r="X30" s="3">
        <v>949</v>
      </c>
      <c r="Y30" s="3">
        <v>973</v>
      </c>
      <c r="Z30" s="3">
        <f>+AO30-SUM(W30:Y30)</f>
        <v>1063</v>
      </c>
      <c r="AF30" s="3">
        <v>822</v>
      </c>
      <c r="AG30" s="3">
        <v>1018</v>
      </c>
      <c r="AH30" s="3">
        <v>1100</v>
      </c>
      <c r="AI30" s="3">
        <v>1392</v>
      </c>
      <c r="AJ30" s="3">
        <v>1777</v>
      </c>
      <c r="AK30" s="3">
        <v>2223</v>
      </c>
      <c r="AL30" s="3">
        <v>1230</v>
      </c>
      <c r="AM30" s="3">
        <v>1993</v>
      </c>
      <c r="AN30" s="3">
        <v>2959</v>
      </c>
      <c r="AO30" s="3">
        <v>3968</v>
      </c>
      <c r="AP30" s="3">
        <f>+AP27*(AO30/AO27)</f>
        <v>4254.1392603487284</v>
      </c>
      <c r="AQ30" s="3">
        <f>+AQ27*(AP30/AP27)</f>
        <v>4560.9125117037365</v>
      </c>
      <c r="AR30" s="3">
        <f>+AR27*(AQ30/AQ27)</f>
        <v>4889.8077064149684</v>
      </c>
      <c r="AS30" s="3">
        <f>+AS27*(AR30/AR27)</f>
        <v>5242.4200956188733</v>
      </c>
      <c r="AT30" s="3">
        <f>+AT27*(AS30/AS27)</f>
        <v>5620.4599667372449</v>
      </c>
      <c r="AU30" s="3">
        <f>+AU27*(AT30/AT27)</f>
        <v>6025.7609389403269</v>
      </c>
      <c r="AV30" s="3">
        <f>+AV27*(AU30/AU27)</f>
        <v>6460.2888568099461</v>
      </c>
      <c r="AW30" s="3">
        <f>+AW27*(AV30/AV27)</f>
        <v>6926.1513253398671</v>
      </c>
      <c r="AX30" s="3">
        <f>+AX27*(AW30/AW27)</f>
        <v>7425.6079325213486</v>
      </c>
      <c r="AY30" s="3">
        <f>+AY27*(AX30/AX27)</f>
        <v>7961.0812090967793</v>
      </c>
    </row>
    <row r="31" spans="2:51">
      <c r="B31" s="3" t="s">
        <v>37</v>
      </c>
      <c r="C31" s="3">
        <v>1326</v>
      </c>
      <c r="D31" s="3">
        <v>1280</v>
      </c>
      <c r="E31" s="3">
        <v>1350</v>
      </c>
      <c r="F31" s="3">
        <f>+AJ31-SUM(C31:E31)</f>
        <v>1294</v>
      </c>
      <c r="G31" s="3">
        <v>1422</v>
      </c>
      <c r="H31" s="3">
        <v>1367</v>
      </c>
      <c r="I31" s="3">
        <v>1499</v>
      </c>
      <c r="J31" s="3">
        <f>+AK31-SUM(G31:I31)</f>
        <v>1623</v>
      </c>
      <c r="K31" s="3">
        <v>1395</v>
      </c>
      <c r="L31" s="3">
        <v>1349</v>
      </c>
      <c r="M31" s="3">
        <v>1408</v>
      </c>
      <c r="N31" s="3">
        <f>+AL31-SUM(K31:M31)</f>
        <v>1566</v>
      </c>
      <c r="O31" s="3">
        <v>1550</v>
      </c>
      <c r="P31" s="3">
        <v>1539</v>
      </c>
      <c r="Q31" s="3">
        <v>1497</v>
      </c>
      <c r="R31" s="3">
        <f>+AM31-SUM(O31:Q31)</f>
        <v>1654</v>
      </c>
      <c r="S31" s="3">
        <v>1654</v>
      </c>
      <c r="T31" s="3">
        <v>1816</v>
      </c>
      <c r="U31" s="3">
        <v>1748</v>
      </c>
      <c r="V31" s="3">
        <f>+AN31-SUM(S31:U31)</f>
        <v>2034</v>
      </c>
      <c r="W31" s="3">
        <v>2014</v>
      </c>
      <c r="X31" s="3">
        <v>1875</v>
      </c>
      <c r="Y31" s="3">
        <v>2047</v>
      </c>
      <c r="Z31" s="3">
        <f>+AO31-SUM(W31:Y31)</f>
        <v>2131</v>
      </c>
      <c r="AF31" s="3">
        <v>6095</v>
      </c>
      <c r="AG31" s="3">
        <v>4976</v>
      </c>
      <c r="AH31" s="3">
        <v>5259</v>
      </c>
      <c r="AI31" s="3">
        <v>5258</v>
      </c>
      <c r="AJ31" s="3">
        <v>5250</v>
      </c>
      <c r="AK31" s="3">
        <v>5911</v>
      </c>
      <c r="AL31" s="3">
        <v>5718</v>
      </c>
      <c r="AM31" s="3">
        <v>6240</v>
      </c>
      <c r="AN31" s="3">
        <v>7252</v>
      </c>
      <c r="AO31" s="3">
        <v>8067</v>
      </c>
      <c r="AP31" s="3">
        <f>+AP27*(AO31/AO27)</f>
        <v>8648.7251545446543</v>
      </c>
      <c r="AQ31" s="3">
        <f>+AQ27*(AP31/AP27)</f>
        <v>9272.3995040105947</v>
      </c>
      <c r="AR31" s="3">
        <f>+AR27*(AQ31/AQ27)</f>
        <v>9941.0480765245829</v>
      </c>
      <c r="AS31" s="3">
        <f>+AS27*(AR31/AR27)</f>
        <v>10657.914040160646</v>
      </c>
      <c r="AT31" s="3">
        <f>+AT27*(AS31/AS27)</f>
        <v>11426.474433384412</v>
      </c>
      <c r="AU31" s="3">
        <f>+AU27*(AT31/AT27)</f>
        <v>12250.457029846675</v>
      </c>
      <c r="AV31" s="3">
        <f>+AV27*(AU31/AU27)</f>
        <v>13133.858419326065</v>
      </c>
      <c r="AW31" s="3">
        <f>+AW27*(AV31/AV27)</f>
        <v>14080.96339251933</v>
      </c>
      <c r="AX31" s="3">
        <f>+AX27*(AW31/AW27)</f>
        <v>15096.365723702043</v>
      </c>
      <c r="AY31" s="3">
        <f>+AY27*(AX31/AX27)</f>
        <v>16184.990452062426</v>
      </c>
    </row>
    <row r="32" spans="2:51">
      <c r="B32" s="3" t="s">
        <v>38</v>
      </c>
      <c r="C32" s="3">
        <v>1434</v>
      </c>
      <c r="D32" s="3">
        <v>1313</v>
      </c>
      <c r="E32" s="3">
        <v>1360</v>
      </c>
      <c r="F32" s="3">
        <f>+AJ32-SUM(C32:E32)</f>
        <v>1557</v>
      </c>
      <c r="G32" s="3">
        <v>1599</v>
      </c>
      <c r="H32" s="3">
        <v>1400</v>
      </c>
      <c r="I32" s="3">
        <v>1352</v>
      </c>
      <c r="J32" s="3">
        <f>+AK32-SUM(G32:I32)</f>
        <v>1505</v>
      </c>
      <c r="K32" s="3">
        <v>1289</v>
      </c>
      <c r="L32" s="3">
        <v>1230</v>
      </c>
      <c r="M32" s="3">
        <v>1229</v>
      </c>
      <c r="N32" s="3">
        <f>+AL32-SUM(K32:M32)</f>
        <v>1577</v>
      </c>
      <c r="O32" s="3">
        <v>870</v>
      </c>
      <c r="P32" s="3">
        <v>1007</v>
      </c>
      <c r="Q32" s="3">
        <v>1218</v>
      </c>
      <c r="R32" s="3">
        <f>+AM32-SUM(O32:Q32)</f>
        <v>1722</v>
      </c>
      <c r="S32" s="3">
        <v>1398</v>
      </c>
      <c r="T32" s="3">
        <v>1451</v>
      </c>
      <c r="U32" s="3">
        <v>1574</v>
      </c>
      <c r="V32" s="3">
        <f>+AN32-SUM(S32:U32)</f>
        <v>2058</v>
      </c>
      <c r="W32" s="3">
        <v>1562</v>
      </c>
      <c r="X32" s="3">
        <v>1546</v>
      </c>
      <c r="Y32" s="3">
        <v>1605</v>
      </c>
      <c r="Z32" s="3">
        <f>+AO32-SUM(W32:Y32)</f>
        <v>2094</v>
      </c>
      <c r="AF32" s="3">
        <v>6089</v>
      </c>
      <c r="AG32" s="3">
        <v>6793</v>
      </c>
      <c r="AH32" s="3">
        <v>4942</v>
      </c>
      <c r="AI32" s="3">
        <v>5634</v>
      </c>
      <c r="AJ32" s="3">
        <v>5664</v>
      </c>
      <c r="AK32" s="3">
        <v>5856</v>
      </c>
      <c r="AL32" s="3">
        <v>5325</v>
      </c>
      <c r="AM32" s="3">
        <v>4817</v>
      </c>
      <c r="AN32" s="3">
        <v>6481</v>
      </c>
      <c r="AO32" s="3">
        <v>6807</v>
      </c>
      <c r="AP32" s="3">
        <f>+AP27*(AO32/AO27)</f>
        <v>7297.8644015105328</v>
      </c>
      <c r="AQ32" s="3">
        <f>+AQ27*(AP32/AP27)</f>
        <v>7824.1258737820908</v>
      </c>
      <c r="AR32" s="3">
        <f>+AR27*(AQ32/AQ27)</f>
        <v>8388.3369600722508</v>
      </c>
      <c r="AS32" s="3">
        <f>+AS27*(AR32/AR27)</f>
        <v>8993.2342718945747</v>
      </c>
      <c r="AT32" s="3">
        <f>+AT27*(AS32/AS27)</f>
        <v>9641.7517624950669</v>
      </c>
      <c r="AU32" s="3">
        <f>+AU27*(AT32/AT27)</f>
        <v>10337.034957501715</v>
      </c>
      <c r="AV32" s="3">
        <f>+AV27*(AU32/AU27)</f>
        <v>11082.456211770488</v>
      </c>
      <c r="AW32" s="3">
        <f>+AW27*(AV32/AV27)</f>
        <v>11881.631066428547</v>
      </c>
      <c r="AX32" s="3">
        <f>+AX27*(AW32/AW27)</f>
        <v>12738.435785451817</v>
      </c>
      <c r="AY32" s="3">
        <f>+AY27*(AX32/AX27)</f>
        <v>13657.026156835122</v>
      </c>
    </row>
    <row r="33" spans="2:158">
      <c r="B33" s="3" t="s">
        <v>39</v>
      </c>
      <c r="C33" s="3">
        <f>+SUM(C28:C32)</f>
        <v>6861</v>
      </c>
      <c r="D33" s="3">
        <f>+SUM(D28:D32)</f>
        <v>7105</v>
      </c>
      <c r="E33" s="3">
        <f>+SUM(E28:E32)</f>
        <v>7209</v>
      </c>
      <c r="F33" s="3">
        <f>+AJ33-SUM(C33:E33)</f>
        <v>7689</v>
      </c>
      <c r="G33" s="3">
        <f>+SUM(G28:G32)</f>
        <v>7597</v>
      </c>
      <c r="H33" s="3">
        <f>+SUM(H28:H32)</f>
        <v>7758</v>
      </c>
      <c r="I33" s="3">
        <f>+SUM(I28:I32)</f>
        <v>7844</v>
      </c>
      <c r="J33" s="3">
        <f>+AK33-SUM(G33:I33)</f>
        <v>8355</v>
      </c>
      <c r="K33" s="3">
        <f>+SUM(K28:K32)</f>
        <v>7237</v>
      </c>
      <c r="L33" s="3">
        <f>+SUM(L28:L32)</f>
        <v>5498</v>
      </c>
      <c r="M33" s="3">
        <f>+SUM(M28:M32)</f>
        <v>6722</v>
      </c>
      <c r="N33" s="3">
        <f>+AL33-SUM(K33:M33)</f>
        <v>7604</v>
      </c>
      <c r="O33" s="3">
        <f>+SUM(O28:O32)</f>
        <v>6746</v>
      </c>
      <c r="P33" s="3">
        <f>+SUM(P28:P32)</f>
        <v>7909</v>
      </c>
      <c r="Q33" s="3">
        <f>+SUM(Q28:Q32)</f>
        <v>8669</v>
      </c>
      <c r="R33" s="3">
        <f>+AM33-SUM(O33:Q33)</f>
        <v>9786</v>
      </c>
      <c r="S33" s="3">
        <f>+SUM(S28:S32)</f>
        <v>9056</v>
      </c>
      <c r="T33" s="3">
        <f>+SUM(T28:T32)</f>
        <v>10442</v>
      </c>
      <c r="U33" s="3">
        <f>+SUM(U28:U32)</f>
        <v>10319</v>
      </c>
      <c r="V33" s="3">
        <f>+SUM(V28:V32)</f>
        <v>11278</v>
      </c>
      <c r="W33" s="3">
        <f>+SUM(W28:W32)</f>
        <v>11059</v>
      </c>
      <c r="X33" s="3">
        <f>+SUM(X28:X32)</f>
        <v>11122</v>
      </c>
      <c r="Y33" s="3">
        <f>+SUM(Y28:Y32)</f>
        <v>11048</v>
      </c>
      <c r="Z33" s="3">
        <f>+SUM(Z28:Z32)</f>
        <v>11850</v>
      </c>
      <c r="AF33" s="3">
        <f>+SUM(AF28:AF32)</f>
        <v>23153</v>
      </c>
      <c r="AG33" s="3">
        <f>+SUM(AG28:AG32)</f>
        <v>22892</v>
      </c>
      <c r="AH33" s="3">
        <f>+SUM(AH28:AH32)</f>
        <v>25369</v>
      </c>
      <c r="AI33" s="3">
        <f>+SUM(AI28:AI32)</f>
        <v>26693</v>
      </c>
      <c r="AJ33" s="3">
        <f>+SUM(AJ28:AJ32)</f>
        <v>28864</v>
      </c>
      <c r="AK33" s="3">
        <f>+SUM(AK28:AK32)</f>
        <v>31554</v>
      </c>
      <c r="AL33" s="3">
        <f>+SUM(AL28:AL32)</f>
        <v>27061</v>
      </c>
      <c r="AM33" s="3">
        <f>+SUM(AM28:AM32)</f>
        <v>33110</v>
      </c>
      <c r="AN33" s="3">
        <f>+SUM(AN28:AN32)</f>
        <v>41095</v>
      </c>
      <c r="AO33" s="3">
        <f>+SUM(AO28:AO32)</f>
        <v>45079</v>
      </c>
      <c r="AP33" s="3">
        <f>+SUM(AP28:AP32)</f>
        <v>48329.723719067617</v>
      </c>
      <c r="AQ33" s="3">
        <f>+SUM(AQ28:AQ32)</f>
        <v>51814.862680214901</v>
      </c>
      <c r="AR33" s="3">
        <f>+SUM(AR28:AR32)</f>
        <v>55551.320967106942</v>
      </c>
      <c r="AS33" s="3">
        <f>+SUM(AS28:AS32)</f>
        <v>59557.221645766927</v>
      </c>
      <c r="AT33" s="3">
        <f>+SUM(AT28:AT32)</f>
        <v>63851.994667476873</v>
      </c>
      <c r="AU33" s="3">
        <f>+SUM(AU28:AU32)</f>
        <v>68456.471110506813</v>
      </c>
      <c r="AV33" s="3">
        <f>+SUM(AV28:AV32)</f>
        <v>73392.984217776087</v>
      </c>
      <c r="AW33" s="3">
        <f>+SUM(AW28:AW32)</f>
        <v>78685.477720513067</v>
      </c>
      <c r="AX33" s="3">
        <f>+SUM(AX28:AX32)</f>
        <v>84359.621973319008</v>
      </c>
      <c r="AY33" s="3">
        <f>+SUM(AY28:AY32)</f>
        <v>90442.938463929866</v>
      </c>
    </row>
    <row r="34" spans="2:158" s="5" customFormat="1">
      <c r="B34" s="5" t="s">
        <v>40</v>
      </c>
      <c r="C34" s="5">
        <f>+C27-C33</f>
        <v>2082</v>
      </c>
      <c r="D34" s="5">
        <f>+D27-D33</f>
        <v>2091</v>
      </c>
      <c r="E34" s="5">
        <f>+E27-E33</f>
        <v>2118</v>
      </c>
      <c r="F34" s="5">
        <f>+AJ34-SUM(C34:E34)</f>
        <v>1831</v>
      </c>
      <c r="G34" s="5">
        <f>+G27-G33</f>
        <v>1958</v>
      </c>
      <c r="H34" s="5">
        <f>+H27-H33</f>
        <v>2219</v>
      </c>
      <c r="I34" s="5">
        <f>+I27-I33</f>
        <v>2266</v>
      </c>
      <c r="J34" s="5">
        <f>+AK34-SUM(G34:I34)</f>
        <v>1986</v>
      </c>
      <c r="K34" s="5">
        <f>+K27-K33</f>
        <v>452</v>
      </c>
      <c r="L34" s="5">
        <f>+L27-L33</f>
        <v>622</v>
      </c>
      <c r="M34" s="5">
        <f>+M27-M33</f>
        <v>1364</v>
      </c>
      <c r="N34" s="5">
        <f>+AL34-SUM(K34:M34)</f>
        <v>1858</v>
      </c>
      <c r="O34" s="5">
        <f>+O27-O33</f>
        <v>2993</v>
      </c>
      <c r="P34" s="5">
        <f>+P27-P33</f>
        <v>2940</v>
      </c>
      <c r="Q34" s="5">
        <f>+Q27-Q33</f>
        <v>2450</v>
      </c>
      <c r="R34" s="5">
        <f>+AM34-SUM(O34:Q34)</f>
        <v>2306</v>
      </c>
      <c r="S34" s="5">
        <f>+S27-S33</f>
        <v>2730</v>
      </c>
      <c r="T34" s="5">
        <f>+T27-T33</f>
        <v>2543</v>
      </c>
      <c r="U34" s="5">
        <f>+U27-U33</f>
        <v>2459</v>
      </c>
      <c r="V34" s="5">
        <f>+V27-V33</f>
        <v>1853</v>
      </c>
      <c r="W34" s="5">
        <f>+W27-W33</f>
        <v>2167</v>
      </c>
      <c r="X34" s="5">
        <f>+X27-X33</f>
        <v>2734</v>
      </c>
      <c r="Y34" s="5">
        <f>+Y27-Y33</f>
        <v>3100</v>
      </c>
      <c r="Z34" s="5">
        <f>+Z27-Z33</f>
        <v>2512</v>
      </c>
      <c r="AF34" s="5">
        <f>+AF27-AF33</f>
        <v>8991</v>
      </c>
      <c r="AG34" s="5">
        <f>+AG27-AG33</f>
        <v>7938</v>
      </c>
      <c r="AH34" s="5">
        <f>+AH27-AH33</f>
        <v>8042</v>
      </c>
      <c r="AI34" s="5">
        <f>+AI27-AI33</f>
        <v>7425</v>
      </c>
      <c r="AJ34" s="5">
        <f>+AJ27-AJ33</f>
        <v>8122</v>
      </c>
      <c r="AK34" s="5">
        <f>+AK27-AK33</f>
        <v>8429</v>
      </c>
      <c r="AL34" s="5">
        <f>+AL27-AL33</f>
        <v>4296</v>
      </c>
      <c r="AM34" s="5">
        <f>+AM27-AM33</f>
        <v>10689</v>
      </c>
      <c r="AN34" s="5">
        <f>+AN27-AN33</f>
        <v>9585</v>
      </c>
      <c r="AO34" s="5">
        <f>+AO27-AO33</f>
        <v>10513</v>
      </c>
      <c r="AP34" s="5">
        <f>+AP27-AP33</f>
        <v>11271.110394164869</v>
      </c>
      <c r="AQ34" s="5">
        <f>+AQ27-AQ33</f>
        <v>12083.889424279587</v>
      </c>
      <c r="AR34" s="5">
        <f>+AR27-AR33</f>
        <v>12955.279339097928</v>
      </c>
      <c r="AS34" s="5">
        <f>+AS27-AS33</f>
        <v>13889.506669667651</v>
      </c>
      <c r="AT34" s="5">
        <f>+AT27-AT33</f>
        <v>14891.102729412465</v>
      </c>
      <c r="AU34" s="5">
        <f>+AU27-AU33</f>
        <v>15964.925592509986</v>
      </c>
      <c r="AV34" s="5">
        <f>+AV27-AV33</f>
        <v>17116.183657168091</v>
      </c>
      <c r="AW34" s="5">
        <f>+AW27-AW33</f>
        <v>18350.460908089226</v>
      </c>
      <c r="AX34" s="5">
        <f>+AX27-AX33</f>
        <v>19673.744000654478</v>
      </c>
      <c r="AY34" s="5">
        <f>+AY27-AY33</f>
        <v>21092.451298194166</v>
      </c>
    </row>
    <row r="35" spans="2:158">
      <c r="B35" s="3" t="s">
        <v>41</v>
      </c>
      <c r="C35" s="3">
        <v>448</v>
      </c>
      <c r="D35" s="3">
        <v>468</v>
      </c>
      <c r="E35" s="3">
        <v>464</v>
      </c>
      <c r="F35" s="3">
        <f>+AJ35-SUM(C35:E35)</f>
        <v>-179</v>
      </c>
      <c r="G35" s="3">
        <v>408</v>
      </c>
      <c r="H35" s="3">
        <v>458</v>
      </c>
      <c r="I35" s="3">
        <v>511</v>
      </c>
      <c r="J35" s="3">
        <f>+AK35-SUM(G35:I35)</f>
        <v>293</v>
      </c>
      <c r="K35" s="3">
        <v>85</v>
      </c>
      <c r="L35" s="3">
        <v>365</v>
      </c>
      <c r="M35" s="3">
        <v>291</v>
      </c>
      <c r="N35" s="3">
        <f>+AL35-SUM(K35:M35)</f>
        <v>420</v>
      </c>
      <c r="O35" s="3">
        <v>758</v>
      </c>
      <c r="P35" s="3">
        <v>660</v>
      </c>
      <c r="Q35" s="3">
        <v>624</v>
      </c>
      <c r="R35" s="3">
        <f>+AM35-SUM(O35:Q35)</f>
        <v>587</v>
      </c>
      <c r="S35" s="3">
        <v>579</v>
      </c>
      <c r="T35" s="3">
        <v>579</v>
      </c>
      <c r="U35" s="3">
        <v>580</v>
      </c>
      <c r="V35" s="3">
        <f>+AN35-SUM(S35:U35)</f>
        <v>333</v>
      </c>
      <c r="W35" s="3">
        <v>351</v>
      </c>
      <c r="X35" s="3">
        <v>560</v>
      </c>
      <c r="Y35" s="3">
        <v>649</v>
      </c>
      <c r="Z35" s="3">
        <f>+AO35-SUM(W35:Y35)</f>
        <v>579</v>
      </c>
      <c r="AF35" s="3">
        <v>3106</v>
      </c>
      <c r="AG35" s="3">
        <v>2775</v>
      </c>
      <c r="AH35" s="3">
        <v>2667</v>
      </c>
      <c r="AI35" s="3">
        <v>4677</v>
      </c>
      <c r="AJ35" s="3">
        <v>1201</v>
      </c>
      <c r="AK35" s="3">
        <v>1670</v>
      </c>
      <c r="AL35" s="3">
        <v>1161</v>
      </c>
      <c r="AM35" s="3">
        <v>2629</v>
      </c>
      <c r="AN35" s="3">
        <v>2071</v>
      </c>
      <c r="AO35" s="3">
        <v>2139</v>
      </c>
      <c r="AP35" s="3">
        <f t="shared" ref="AP35:AW35" si="22">+AP34*0.25</f>
        <v>2817.7775985412172</v>
      </c>
      <c r="AQ35" s="3">
        <f t="shared" si="22"/>
        <v>3020.9723560698967</v>
      </c>
      <c r="AR35" s="3">
        <f t="shared" si="22"/>
        <v>3238.8198347744819</v>
      </c>
      <c r="AS35" s="3">
        <f t="shared" si="22"/>
        <v>3472.3766674169128</v>
      </c>
      <c r="AT35" s="3">
        <f t="shared" si="22"/>
        <v>3722.7756823531163</v>
      </c>
      <c r="AU35" s="3">
        <f t="shared" si="22"/>
        <v>3991.2313981274965</v>
      </c>
      <c r="AV35" s="3">
        <f t="shared" si="22"/>
        <v>4279.0459142920226</v>
      </c>
      <c r="AW35" s="3">
        <f t="shared" si="22"/>
        <v>4587.6152270223065</v>
      </c>
      <c r="AX35" s="3">
        <f t="shared" ref="AX35:AY35" si="23">+AX34*0.25</f>
        <v>4918.4360001636196</v>
      </c>
      <c r="AY35" s="3">
        <f t="shared" si="23"/>
        <v>5273.1128245485415</v>
      </c>
    </row>
    <row r="36" spans="2:158" s="5" customFormat="1">
      <c r="B36" s="5" t="s">
        <v>42</v>
      </c>
      <c r="C36" s="5">
        <f>+C34-C35</f>
        <v>1634</v>
      </c>
      <c r="D36" s="5">
        <f>+D34-D35</f>
        <v>1623</v>
      </c>
      <c r="E36" s="5">
        <f>+E34-E35</f>
        <v>1654</v>
      </c>
      <c r="F36" s="5">
        <f>+AJ36-SUM(C36:E36)</f>
        <v>2010</v>
      </c>
      <c r="G36" s="5">
        <f>+G34-G35</f>
        <v>1550</v>
      </c>
      <c r="H36" s="5">
        <f>+H34-H35</f>
        <v>1761</v>
      </c>
      <c r="I36" s="5">
        <f>+I34-I35</f>
        <v>1755</v>
      </c>
      <c r="J36" s="5">
        <f>+AK36-SUM(G36:I36)</f>
        <v>1693</v>
      </c>
      <c r="K36" s="5">
        <f>+K34-K35</f>
        <v>367</v>
      </c>
      <c r="L36" s="5">
        <f>+L34-L35</f>
        <v>257</v>
      </c>
      <c r="M36" s="5">
        <f>+M34-M35</f>
        <v>1073</v>
      </c>
      <c r="N36" s="5">
        <f>+AL36-SUM(K36:M36)</f>
        <v>1438</v>
      </c>
      <c r="O36" s="5">
        <f>+O34-O35</f>
        <v>2235</v>
      </c>
      <c r="P36" s="5">
        <f>+P34-P35</f>
        <v>2280</v>
      </c>
      <c r="Q36" s="5">
        <f>+Q34-Q35</f>
        <v>1826</v>
      </c>
      <c r="R36" s="5">
        <f>+AM36-SUM(O36:Q36)</f>
        <v>1719</v>
      </c>
      <c r="S36" s="5">
        <f>+S34-S35</f>
        <v>2151</v>
      </c>
      <c r="T36" s="5">
        <f>+T34-T35</f>
        <v>1964</v>
      </c>
      <c r="U36" s="5">
        <f>+U34-U35</f>
        <v>1879</v>
      </c>
      <c r="V36" s="5">
        <f>+V34-V35</f>
        <v>1520</v>
      </c>
      <c r="W36" s="5">
        <f>+W34-W35</f>
        <v>1816</v>
      </c>
      <c r="X36" s="5">
        <f>+X34-X35</f>
        <v>2174</v>
      </c>
      <c r="Y36" s="5">
        <f>+Y34-Y35</f>
        <v>2451</v>
      </c>
      <c r="Z36" s="5">
        <f>+Z34-Z35</f>
        <v>1933</v>
      </c>
      <c r="AF36" s="5">
        <f t="shared" ref="AF36:AM36" si="24">+AF34-AF35</f>
        <v>5885</v>
      </c>
      <c r="AG36" s="5">
        <f t="shared" si="24"/>
        <v>5163</v>
      </c>
      <c r="AH36" s="5">
        <f t="shared" si="24"/>
        <v>5375</v>
      </c>
      <c r="AI36" s="5">
        <f t="shared" si="24"/>
        <v>2748</v>
      </c>
      <c r="AJ36" s="5">
        <f t="shared" si="24"/>
        <v>6921</v>
      </c>
      <c r="AK36" s="5">
        <f t="shared" si="24"/>
        <v>6759</v>
      </c>
      <c r="AL36" s="5">
        <f t="shared" si="24"/>
        <v>3135</v>
      </c>
      <c r="AM36" s="5">
        <f t="shared" si="24"/>
        <v>8060</v>
      </c>
      <c r="AN36" s="5">
        <f t="shared" ref="AN36:AO36" si="25">+AN34-AN35</f>
        <v>7514</v>
      </c>
      <c r="AO36" s="5">
        <f t="shared" si="25"/>
        <v>8374</v>
      </c>
      <c r="AP36" s="5">
        <f t="shared" ref="AP36:AW36" si="26">+AP34-AP35</f>
        <v>8453.3327956236517</v>
      </c>
      <c r="AQ36" s="5">
        <f t="shared" si="26"/>
        <v>9062.9170682096901</v>
      </c>
      <c r="AR36" s="5">
        <f t="shared" si="26"/>
        <v>9716.4595043234458</v>
      </c>
      <c r="AS36" s="5">
        <f t="shared" si="26"/>
        <v>10417.130002250738</v>
      </c>
      <c r="AT36" s="5">
        <f t="shared" si="26"/>
        <v>11168.327047059349</v>
      </c>
      <c r="AU36" s="5">
        <f t="shared" si="26"/>
        <v>11973.69419438249</v>
      </c>
      <c r="AV36" s="5">
        <f t="shared" si="26"/>
        <v>12837.137742876068</v>
      </c>
      <c r="AW36" s="5">
        <f t="shared" si="26"/>
        <v>13762.845681066919</v>
      </c>
      <c r="AX36" s="5">
        <f t="shared" ref="AX36:AY36" si="27">+AX34-AX35</f>
        <v>14755.308000490859</v>
      </c>
      <c r="AY36" s="5">
        <f t="shared" si="27"/>
        <v>15819.338473645625</v>
      </c>
      <c r="AZ36" s="5">
        <f>+AY36*(1+$BD$41)</f>
        <v>15977.531858382081</v>
      </c>
      <c r="BA36" s="5">
        <f>+AZ36*(1+$BD$41)</f>
        <v>16137.307176965902</v>
      </c>
      <c r="BB36" s="5">
        <f>+BA36*(1+$BD$41)</f>
        <v>16298.680248735562</v>
      </c>
      <c r="BC36" s="5">
        <f>+BB36*(1+$BD$41)</f>
        <v>16461.667051222918</v>
      </c>
      <c r="BD36" s="5">
        <f>+BC36*(1+$BD$41)</f>
        <v>16626.283721735148</v>
      </c>
      <c r="BE36" s="5">
        <f>+BD36*(1+$BD$41)</f>
        <v>16792.546558952501</v>
      </c>
      <c r="BF36" s="5">
        <f>+BE36*(1+$BD$41)</f>
        <v>16960.472024542025</v>
      </c>
      <c r="BG36" s="5">
        <f>+BF36*(1+$BD$41)</f>
        <v>17130.076744787446</v>
      </c>
      <c r="BH36" s="5">
        <f>+BG36*(1+$BD$41)</f>
        <v>17301.377512235322</v>
      </c>
      <c r="BI36" s="5">
        <f>+BH36*(1+$BD$41)</f>
        <v>17474.391287357674</v>
      </c>
      <c r="BJ36" s="5">
        <f>+BI36*(1+$BD$41)</f>
        <v>17649.135200231252</v>
      </c>
      <c r="BK36" s="5">
        <f>+BJ36*(1+$BD$41)</f>
        <v>17825.626552233563</v>
      </c>
      <c r="BL36" s="5">
        <f>+BK36*(1+$BD$41)</f>
        <v>18003.882817755901</v>
      </c>
      <c r="BM36" s="5">
        <f>+BL36*(1+$BD$41)</f>
        <v>18183.92164593346</v>
      </c>
      <c r="BN36" s="5">
        <f>+BM36*(1+$BD$41)</f>
        <v>18365.760862392795</v>
      </c>
      <c r="BO36" s="5">
        <f>+BN36*(1+$BD$41)</f>
        <v>18549.418471016725</v>
      </c>
      <c r="BP36" s="5">
        <f>+BO36*(1+$BD$41)</f>
        <v>18734.912655726894</v>
      </c>
      <c r="BQ36" s="5">
        <f>+BP36*(1+$BD$41)</f>
        <v>18922.261782284164</v>
      </c>
      <c r="BR36" s="5">
        <f>+BQ36*(1+$BD$41)</f>
        <v>19111.484400107005</v>
      </c>
      <c r="BS36" s="5">
        <f>+BR36*(1+$BD$41)</f>
        <v>19302.599244108074</v>
      </c>
      <c r="BT36" s="5">
        <f>+BS36*(1+$BD$41)</f>
        <v>19495.625236549156</v>
      </c>
      <c r="BU36" s="5">
        <f>+BT36*(1+$BD$41)</f>
        <v>19690.58148891465</v>
      </c>
      <c r="BV36" s="5">
        <f>+BU36*(1+$BD$41)</f>
        <v>19887.487303803795</v>
      </c>
      <c r="BW36" s="5">
        <f>+BV36*(1+$BD$41)</f>
        <v>20086.362176841834</v>
      </c>
      <c r="BX36" s="5">
        <f>+BW36*(1+$BD$41)</f>
        <v>20287.225798610252</v>
      </c>
      <c r="BY36" s="5">
        <f>+BX36*(1+$BD$41)</f>
        <v>20490.098056596355</v>
      </c>
      <c r="BZ36" s="5">
        <f>+BY36*(1+$BD$41)</f>
        <v>20694.999037162317</v>
      </c>
      <c r="CA36" s="5">
        <f>+BZ36*(1+$BD$41)</f>
        <v>20901.949027533941</v>
      </c>
      <c r="CB36" s="5">
        <f>+CA36*(1+$BD$41)</f>
        <v>21110.96851780928</v>
      </c>
      <c r="CC36" s="5">
        <f>+CB36*(1+$BD$41)</f>
        <v>21322.078202987374</v>
      </c>
      <c r="CD36" s="5">
        <f>+CC36*(1+$BD$41)</f>
        <v>21535.298985017249</v>
      </c>
      <c r="CE36" s="5">
        <f>+CD36*(1+$BD$41)</f>
        <v>21750.651974867422</v>
      </c>
      <c r="CF36" s="5">
        <f>+CE36*(1+$BD$41)</f>
        <v>21968.158494616095</v>
      </c>
      <c r="CG36" s="5">
        <f>+CF36*(1+$BD$41)</f>
        <v>22187.840079562255</v>
      </c>
      <c r="CH36" s="5">
        <f>+CG36*(1+$BD$41)</f>
        <v>22409.718480357878</v>
      </c>
      <c r="CI36" s="5">
        <f>+CH36*(1+$BD$41)</f>
        <v>22633.815665161459</v>
      </c>
      <c r="CJ36" s="5">
        <f>+CI36*(1+$BD$41)</f>
        <v>22860.153821813074</v>
      </c>
      <c r="CK36" s="5">
        <f>+CJ36*(1+$BD$41)</f>
        <v>23088.755360031206</v>
      </c>
      <c r="CL36" s="5">
        <f>+CK36*(1+$BD$41)</f>
        <v>23319.642913631516</v>
      </c>
      <c r="CM36" s="5">
        <f>+CL36*(1+$BD$41)</f>
        <v>23552.839342767831</v>
      </c>
      <c r="CN36" s="5">
        <f>+CM36*(1+$BD$41)</f>
        <v>23788.367736195509</v>
      </c>
      <c r="CO36" s="5">
        <f>+CN36*(1+$BD$41)</f>
        <v>24026.251413557464</v>
      </c>
      <c r="CP36" s="5">
        <f>+CO36*(1+$BD$41)</f>
        <v>24266.513927693039</v>
      </c>
      <c r="CQ36" s="5">
        <f>+CP36*(1+$BD$41)</f>
        <v>24509.179066969969</v>
      </c>
      <c r="CR36" s="5">
        <f>+CQ36*(1+$BD$41)</f>
        <v>24754.270857639669</v>
      </c>
      <c r="CS36" s="5">
        <f>+CR36*(1+$BD$41)</f>
        <v>25001.813566216068</v>
      </c>
      <c r="CT36" s="5">
        <f>+CS36*(1+$BD$41)</f>
        <v>25251.831701878229</v>
      </c>
      <c r="CU36" s="5">
        <f>+CT36*(1+$BD$41)</f>
        <v>25504.35001889701</v>
      </c>
      <c r="CV36" s="5">
        <f>+CU36*(1+$BD$41)</f>
        <v>25759.393519085981</v>
      </c>
      <c r="CW36" s="5">
        <f>+CV36*(1+$BD$41)</f>
        <v>26016.987454276841</v>
      </c>
      <c r="CX36" s="5">
        <f>+CW36*(1+$BD$41)</f>
        <v>26277.157328819609</v>
      </c>
      <c r="CY36" s="5">
        <f>+CX36*(1+$BD$41)</f>
        <v>26539.928902107804</v>
      </c>
      <c r="CZ36" s="5">
        <f>+CY36*(1+$BD$41)</f>
        <v>26805.328191128883</v>
      </c>
      <c r="DA36" s="5">
        <f>+CZ36*(1+$BD$41)</f>
        <v>27073.381473040172</v>
      </c>
      <c r="DB36" s="5">
        <f>+DA36*(1+$BD$41)</f>
        <v>27344.115287770575</v>
      </c>
      <c r="DC36" s="5">
        <f>+DB36*(1+$BD$41)</f>
        <v>27617.556440648281</v>
      </c>
      <c r="DD36" s="5">
        <f>+DC36*(1+$BD$41)</f>
        <v>27893.732005054764</v>
      </c>
      <c r="DE36" s="5">
        <f>+DD36*(1+$BD$41)</f>
        <v>28172.669325105311</v>
      </c>
      <c r="DF36" s="5">
        <f>+DE36*(1+$BD$41)</f>
        <v>28454.396018356365</v>
      </c>
      <c r="DG36" s="5">
        <f>+DF36*(1+$BD$41)</f>
        <v>28738.939978539929</v>
      </c>
      <c r="DH36" s="5">
        <f>+DG36*(1+$BD$41)</f>
        <v>29026.329378325328</v>
      </c>
      <c r="DI36" s="5">
        <f>+DH36*(1+$BD$41)</f>
        <v>29316.592672108582</v>
      </c>
      <c r="DJ36" s="5">
        <f>+DI36*(1+$BD$41)</f>
        <v>29609.758598829667</v>
      </c>
      <c r="DK36" s="5">
        <f>+DJ36*(1+$BD$41)</f>
        <v>29905.856184817963</v>
      </c>
      <c r="DL36" s="5">
        <f>+DK36*(1+$BD$41)</f>
        <v>30204.914746666142</v>
      </c>
      <c r="DM36" s="5">
        <f>+DL36*(1+$BD$41)</f>
        <v>30506.963894132805</v>
      </c>
      <c r="DN36" s="5">
        <f>+DM36*(1+$BD$41)</f>
        <v>30812.033533074133</v>
      </c>
      <c r="DO36" s="5">
        <f>+DN36*(1+$BD$41)</f>
        <v>31120.153868404876</v>
      </c>
      <c r="DP36" s="5">
        <f>+DO36*(1+$BD$41)</f>
        <v>31431.355407088926</v>
      </c>
      <c r="DQ36" s="5">
        <f>+DP36*(1+$BD$41)</f>
        <v>31745.668961159816</v>
      </c>
      <c r="DR36" s="5">
        <f>+DQ36*(1+$BD$41)</f>
        <v>32063.125650771413</v>
      </c>
      <c r="DS36" s="5">
        <f>+DR36*(1+$BD$41)</f>
        <v>32383.756907279127</v>
      </c>
      <c r="DT36" s="5">
        <f>+DS36*(1+$BD$41)</f>
        <v>32707.594476351918</v>
      </c>
      <c r="DU36" s="5">
        <f>+DT36*(1+$BD$41)</f>
        <v>33034.670421115436</v>
      </c>
      <c r="DV36" s="5">
        <f>+DU36*(1+$BD$41)</f>
        <v>33365.017125326587</v>
      </c>
      <c r="DW36" s="5">
        <f>+DV36*(1+$BD$41)</f>
        <v>33698.66729657985</v>
      </c>
      <c r="DX36" s="5">
        <f>+DW36*(1+$BD$41)</f>
        <v>34035.653969545652</v>
      </c>
      <c r="DY36" s="5">
        <f>+DX36*(1+$BD$41)</f>
        <v>34376.01050924111</v>
      </c>
      <c r="DZ36" s="5">
        <f>+DY36*(1+$BD$41)</f>
        <v>34719.770614333524</v>
      </c>
      <c r="EA36" s="5">
        <f>+DZ36*(1+$BD$41)</f>
        <v>35066.968320476859</v>
      </c>
      <c r="EB36" s="5">
        <f>+EA36*(1+$BD$41)</f>
        <v>35417.638003681626</v>
      </c>
      <c r="EC36" s="5">
        <f>+EB36*(1+$BD$41)</f>
        <v>35771.81438371844</v>
      </c>
      <c r="ED36" s="5">
        <f>+EC36*(1+$BD$41)</f>
        <v>36129.532527555624</v>
      </c>
      <c r="EE36" s="5">
        <f>+ED36*(1+$BD$41)</f>
        <v>36490.827852831178</v>
      </c>
      <c r="EF36" s="5">
        <f>+EE36*(1+$BD$41)</f>
        <v>36855.736131359488</v>
      </c>
      <c r="EG36" s="5">
        <f>+EF36*(1+$BD$41)</f>
        <v>37224.293492673081</v>
      </c>
      <c r="EH36" s="5">
        <f>+EG36*(1+$BD$41)</f>
        <v>37596.536427599814</v>
      </c>
      <c r="EI36" s="5">
        <f>+EH36*(1+$BD$41)</f>
        <v>37972.501791875809</v>
      </c>
      <c r="EJ36" s="5">
        <f>+EI36*(1+$BD$41)</f>
        <v>38352.226809794571</v>
      </c>
      <c r="EK36" s="5">
        <f>+EJ36*(1+$BD$41)</f>
        <v>38735.74907789252</v>
      </c>
      <c r="EL36" s="5">
        <f>+EK36*(1+$BD$41)</f>
        <v>39123.106568671443</v>
      </c>
      <c r="EM36" s="5">
        <f>+EL36*(1+$BD$41)</f>
        <v>39514.337634358155</v>
      </c>
      <c r="EN36" s="5">
        <f>+EM36*(1+$BD$41)</f>
        <v>39909.48101070174</v>
      </c>
      <c r="EO36" s="5">
        <f>+EN36*(1+$BD$41)</f>
        <v>40308.575820808757</v>
      </c>
      <c r="EP36" s="5">
        <f>+EO36*(1+$BD$41)</f>
        <v>40711.661579016843</v>
      </c>
      <c r="EQ36" s="5">
        <f>+EP36*(1+$BD$41)</f>
        <v>41118.778194807011</v>
      </c>
      <c r="ER36" s="5">
        <f>+EQ36*(1+$BD$41)</f>
        <v>41529.965976755084</v>
      </c>
      <c r="ES36" s="5">
        <f>+ER36*(1+$BD$41)</f>
        <v>41945.265636522636</v>
      </c>
      <c r="ET36" s="5">
        <f>+ES36*(1+$BD$41)</f>
        <v>42364.718292887861</v>
      </c>
      <c r="EU36" s="5">
        <f>+ET36*(1+$BD$41)</f>
        <v>42788.365475816739</v>
      </c>
      <c r="EV36" s="5">
        <f>+EU36*(1+$BD$41)</f>
        <v>43216.249130574906</v>
      </c>
      <c r="EW36" s="5">
        <f>+EV36*(1+$BD$41)</f>
        <v>43648.411621880659</v>
      </c>
      <c r="EX36" s="5">
        <f>+EW36*(1+$BD$41)</f>
        <v>44084.895738099469</v>
      </c>
      <c r="EY36" s="5">
        <f>+EX36*(1+$BD$41)</f>
        <v>44525.744695480462</v>
      </c>
      <c r="EZ36" s="5">
        <f>+EY36*(1+$BD$41)</f>
        <v>44971.002142435267</v>
      </c>
      <c r="FA36" s="5">
        <f>+EZ36*(1+$BD$41)</f>
        <v>45420.712163859622</v>
      </c>
      <c r="FB36" s="5">
        <f>+FA36*(1+$BD$41)</f>
        <v>45874.919285498218</v>
      </c>
    </row>
    <row r="37" spans="2:158">
      <c r="B37" s="3" t="s">
        <v>43</v>
      </c>
      <c r="C37" s="3">
        <v>861</v>
      </c>
      <c r="D37" s="3">
        <v>862</v>
      </c>
      <c r="E37" s="3">
        <v>860</v>
      </c>
      <c r="F37" s="3">
        <f>+F36/F38</f>
        <v>854.16933912496472</v>
      </c>
      <c r="G37" s="3">
        <v>808</v>
      </c>
      <c r="H37" s="3">
        <v>836</v>
      </c>
      <c r="I37" s="3">
        <v>827</v>
      </c>
      <c r="J37" s="3">
        <f>+J36/J38</f>
        <v>847.99707182757902</v>
      </c>
      <c r="K37" s="3">
        <v>808</v>
      </c>
      <c r="L37" s="3">
        <v>805</v>
      </c>
      <c r="M37" s="3">
        <v>805</v>
      </c>
      <c r="N37" s="3">
        <f>+N36/N38</f>
        <v>806.4170926436833</v>
      </c>
      <c r="O37" s="3">
        <v>805</v>
      </c>
      <c r="P37" s="3">
        <v>802</v>
      </c>
      <c r="Q37" s="3">
        <v>787</v>
      </c>
      <c r="R37" s="3">
        <f>+R36/R38</f>
        <v>759.59836102305587</v>
      </c>
      <c r="S37" s="3">
        <v>758</v>
      </c>
      <c r="T37" s="3">
        <v>753</v>
      </c>
      <c r="U37" s="3">
        <v>749</v>
      </c>
      <c r="V37" s="3">
        <f>+V36/V38</f>
        <v>746.05678197718441</v>
      </c>
      <c r="W37" s="3">
        <v>744</v>
      </c>
      <c r="X37" s="3">
        <v>741</v>
      </c>
      <c r="Y37" s="3">
        <v>733</v>
      </c>
      <c r="Z37" s="3">
        <f>+Z36/Z38</f>
        <v>726.91270017120269</v>
      </c>
      <c r="AF37" s="3">
        <v>1051</v>
      </c>
      <c r="AG37" s="3">
        <v>1003</v>
      </c>
      <c r="AH37" s="3">
        <v>935</v>
      </c>
      <c r="AI37" s="3">
        <v>886</v>
      </c>
      <c r="AJ37" s="3">
        <v>859</v>
      </c>
      <c r="AK37" s="3">
        <v>830</v>
      </c>
      <c r="AL37" s="3">
        <v>806</v>
      </c>
      <c r="AM37" s="3">
        <v>790</v>
      </c>
      <c r="AN37" s="3">
        <v>752</v>
      </c>
      <c r="AO37" s="3">
        <v>736</v>
      </c>
      <c r="AP37" s="3">
        <f t="shared" ref="AP37:AY37" si="28">+AO37</f>
        <v>736</v>
      </c>
      <c r="AQ37" s="3">
        <f t="shared" si="28"/>
        <v>736</v>
      </c>
      <c r="AR37" s="3">
        <f t="shared" si="28"/>
        <v>736</v>
      </c>
      <c r="AS37" s="3">
        <f t="shared" si="28"/>
        <v>736</v>
      </c>
      <c r="AT37" s="3">
        <f t="shared" si="28"/>
        <v>736</v>
      </c>
      <c r="AU37" s="3">
        <f t="shared" si="28"/>
        <v>736</v>
      </c>
      <c r="AV37" s="3">
        <f t="shared" si="28"/>
        <v>736</v>
      </c>
      <c r="AW37" s="3">
        <f t="shared" si="28"/>
        <v>736</v>
      </c>
      <c r="AX37" s="3">
        <f t="shared" si="28"/>
        <v>736</v>
      </c>
      <c r="AY37" s="3">
        <f t="shared" si="28"/>
        <v>736</v>
      </c>
    </row>
    <row r="38" spans="2:158" s="58" customFormat="1">
      <c r="B38" s="58" t="s">
        <v>44</v>
      </c>
      <c r="C38" s="58">
        <f>+C36/C37</f>
        <v>1.8977932636469221</v>
      </c>
      <c r="D38" s="58">
        <f>+D36/D37</f>
        <v>1.882830626450116</v>
      </c>
      <c r="E38" s="58">
        <f>+E36/E37</f>
        <v>1.9232558139534883</v>
      </c>
      <c r="F38" s="58">
        <f>+AJ38-SUM(C38:E38)</f>
        <v>2.3531633692905682</v>
      </c>
      <c r="G38" s="58">
        <f>+G36/G37</f>
        <v>1.9183168316831682</v>
      </c>
      <c r="H38" s="58">
        <f>+H36/H37</f>
        <v>2.1064593301435406</v>
      </c>
      <c r="I38" s="58">
        <f>+I36/I37</f>
        <v>2.1221281741233375</v>
      </c>
      <c r="J38" s="58">
        <f>+AK38-SUM(G38:I38)</f>
        <v>1.9964691580258584</v>
      </c>
      <c r="K38" s="58">
        <f>+K36/K37</f>
        <v>0.45420792079207922</v>
      </c>
      <c r="L38" s="58">
        <f>+L36/L37</f>
        <v>0.31925465838509315</v>
      </c>
      <c r="M38" s="58">
        <f>+M36/M37</f>
        <v>1.332919254658385</v>
      </c>
      <c r="N38" s="58">
        <f>+AL38-SUM(K38:M38)</f>
        <v>1.7831963299361546</v>
      </c>
      <c r="O38" s="58">
        <f>+O36/O37</f>
        <v>2.7763975155279503</v>
      </c>
      <c r="P38" s="58">
        <f>+P36/P37</f>
        <v>2.8428927680798006</v>
      </c>
      <c r="Q38" s="58">
        <f>+Q36/Q37</f>
        <v>2.3202033036848793</v>
      </c>
      <c r="R38" s="58">
        <f>+AM38-SUM(O38:Q38)</f>
        <v>2.2630380582769893</v>
      </c>
      <c r="S38" s="58">
        <f>+S36/S37</f>
        <v>2.8377308707124009</v>
      </c>
      <c r="T38" s="58">
        <f>+T36/T37</f>
        <v>2.6082337317397077</v>
      </c>
      <c r="U38" s="58">
        <f>+U36/U37</f>
        <v>2.5086782376502001</v>
      </c>
      <c r="V38" s="58">
        <f>+AN38-SUM(S38:U38)</f>
        <v>2.0373784364934355</v>
      </c>
      <c r="W38" s="58">
        <f>+W36/W37</f>
        <v>2.4408602150537635</v>
      </c>
      <c r="X38" s="58">
        <f>+X36/X37</f>
        <v>2.9338731443994601</v>
      </c>
      <c r="Y38" s="58">
        <f>+Y36/Y37</f>
        <v>3.3437926330150067</v>
      </c>
      <c r="Z38" s="58">
        <f>+AO38-SUM(W38:Y38)</f>
        <v>2.6591913988361178</v>
      </c>
      <c r="AF38" s="58">
        <f t="shared" ref="AF38:AM38" si="29">+AF36/AF37</f>
        <v>5.5994291151284488</v>
      </c>
      <c r="AG38" s="58">
        <f t="shared" si="29"/>
        <v>5.1475573280159521</v>
      </c>
      <c r="AH38" s="58">
        <f t="shared" si="29"/>
        <v>5.7486631016042784</v>
      </c>
      <c r="AI38" s="58">
        <f t="shared" si="29"/>
        <v>3.1015801354401806</v>
      </c>
      <c r="AJ38" s="58">
        <f t="shared" si="29"/>
        <v>8.0570430733410952</v>
      </c>
      <c r="AK38" s="58">
        <f t="shared" si="29"/>
        <v>8.1433734939759042</v>
      </c>
      <c r="AL38" s="58">
        <f t="shared" si="29"/>
        <v>3.8895781637717119</v>
      </c>
      <c r="AM38" s="58">
        <f t="shared" si="29"/>
        <v>10.20253164556962</v>
      </c>
      <c r="AN38" s="58">
        <f t="shared" ref="AN38:AO38" si="30">+AN36/AN37</f>
        <v>9.9920212765957448</v>
      </c>
      <c r="AO38" s="58">
        <f t="shared" si="30"/>
        <v>11.377717391304348</v>
      </c>
      <c r="AP38" s="58">
        <f t="shared" ref="AP38:AW38" si="31">+AP36/AP37</f>
        <v>11.485506515793006</v>
      </c>
      <c r="AQ38" s="58">
        <f t="shared" si="31"/>
        <v>12.313746016589253</v>
      </c>
      <c r="AR38" s="58">
        <f t="shared" si="31"/>
        <v>13.20171128304816</v>
      </c>
      <c r="AS38" s="58">
        <f t="shared" si="31"/>
        <v>14.153709242188503</v>
      </c>
      <c r="AT38" s="58">
        <f t="shared" si="31"/>
        <v>15.174357400895854</v>
      </c>
      <c r="AU38" s="58">
        <f t="shared" si="31"/>
        <v>16.268606242367515</v>
      </c>
      <c r="AV38" s="58">
        <f t="shared" si="31"/>
        <v>17.441763237603354</v>
      </c>
      <c r="AW38" s="58">
        <f t="shared" si="31"/>
        <v>18.699518588406139</v>
      </c>
      <c r="AX38" s="58">
        <f t="shared" ref="AX38:AY38" si="32">+AX36/AX37</f>
        <v>20.047972826753885</v>
      </c>
      <c r="AY38" s="58">
        <f t="shared" si="32"/>
        <v>21.493666404409815</v>
      </c>
    </row>
    <row r="40" spans="2:158" s="6" customFormat="1">
      <c r="B40" s="3" t="s">
        <v>18</v>
      </c>
      <c r="C40" s="7"/>
      <c r="D40" s="7"/>
      <c r="E40" s="7"/>
      <c r="F40" s="7"/>
      <c r="G40" s="59">
        <f>+G9/C9-1</f>
        <v>5.1961283749363263E-2</v>
      </c>
      <c r="H40" s="59">
        <f>+H9/D9-1</f>
        <v>6.1834032935098593E-2</v>
      </c>
      <c r="I40" s="59">
        <f>+I9/E9-1</f>
        <v>6.228765571913919E-2</v>
      </c>
      <c r="J40" s="59">
        <f>+J9/F9-1</f>
        <v>5.7611894068452907E-2</v>
      </c>
      <c r="K40" s="59">
        <f>+K9/G9-1</f>
        <v>-5.7627118644067776E-2</v>
      </c>
      <c r="L40" s="59">
        <f>+L9/H9-1</f>
        <v>-0.38953930363387568</v>
      </c>
      <c r="M40" s="59">
        <f>+M9/I9-1</f>
        <v>-0.23865367042339325</v>
      </c>
      <c r="N40" s="59">
        <f>+N9/J9-1</f>
        <v>-0.18743593498316002</v>
      </c>
      <c r="O40" s="59">
        <f>+O9/K9-1</f>
        <v>-0.10208975676601573</v>
      </c>
      <c r="P40" s="59">
        <f>+P9/L9-1</f>
        <v>0.57584059775840601</v>
      </c>
      <c r="Q40" s="59">
        <f>+Q9/M9-1</f>
        <v>0.33546709341868364</v>
      </c>
      <c r="R40" s="59">
        <f>+R9/N9-1</f>
        <v>0.34835105424400803</v>
      </c>
      <c r="S40" s="59">
        <f>+S9/O9-1</f>
        <v>0.30732544830217479</v>
      </c>
      <c r="T40" s="59">
        <f>+T9/P9-1</f>
        <v>0.24434961277066547</v>
      </c>
      <c r="U40" s="59">
        <f>+U9/Q9-1</f>
        <v>0.1755542240862793</v>
      </c>
      <c r="V40" s="59">
        <f>+V9/R9-1</f>
        <v>9.1285752472600956E-2</v>
      </c>
      <c r="W40" s="59">
        <f>+W9/S9-1</f>
        <v>0.15963811469429445</v>
      </c>
      <c r="X40" s="59">
        <f>+X9/T9-1</f>
        <v>7.7225962149117144E-2</v>
      </c>
      <c r="Y40" s="59">
        <f>+Y9/U9-1</f>
        <v>7.1355759429153842E-2</v>
      </c>
      <c r="Z40" s="59">
        <f>+Z9/V9-1</f>
        <v>5.0826699326393054E-2</v>
      </c>
      <c r="AF40" s="3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</row>
    <row r="41" spans="2:158" s="6" customFormat="1">
      <c r="B41" s="3" t="s">
        <v>19</v>
      </c>
      <c r="C41" s="7"/>
      <c r="D41" s="7"/>
      <c r="E41" s="7"/>
      <c r="F41" s="7"/>
      <c r="G41" s="59">
        <f>+G10/C10-1</f>
        <v>0.13734939759036147</v>
      </c>
      <c r="H41" s="59">
        <f>+H10/D10-1</f>
        <v>0.17061611374407581</v>
      </c>
      <c r="I41" s="59">
        <f>+I10/E10-1</f>
        <v>0.18735632183908035</v>
      </c>
      <c r="J41" s="59">
        <f>+J10/F10-1</f>
        <v>0.20066889632107032</v>
      </c>
      <c r="K41" s="59">
        <f>+K10/G10-1</f>
        <v>0.17584745762711873</v>
      </c>
      <c r="L41" s="59">
        <f>+L10/H10-1</f>
        <v>0.15485829959514175</v>
      </c>
      <c r="M41" s="59">
        <f>+M10/I10-1</f>
        <v>0.1529525653436592</v>
      </c>
      <c r="N41" s="59">
        <f>+N10/J10-1</f>
        <v>0.13463324048282255</v>
      </c>
      <c r="O41" s="59">
        <f>+O10/K10-1</f>
        <v>0.12882882882882885</v>
      </c>
      <c r="P41" s="59">
        <f>+P10/L10-1</f>
        <v>0.12708150744960567</v>
      </c>
      <c r="Q41" s="59">
        <f>+Q10/M10-1</f>
        <v>0.1015952980688497</v>
      </c>
      <c r="R41" s="59">
        <f>+R10/N10-1</f>
        <v>9.9836333878887018E-2</v>
      </c>
      <c r="S41" s="59">
        <f>+S10/O10-1</f>
        <v>0.13567438148443745</v>
      </c>
      <c r="T41" s="59">
        <f>+T10/P10-1</f>
        <v>0.15163297045101087</v>
      </c>
      <c r="U41" s="59">
        <f>+U10/Q10-1</f>
        <v>0.17454268292682928</v>
      </c>
      <c r="V41" s="59">
        <f>+V10/R10-1</f>
        <v>0.20907738095238093</v>
      </c>
      <c r="W41" s="59">
        <f>+W10/S10-1</f>
        <v>0.2037947997189038</v>
      </c>
      <c r="X41" s="59">
        <f>+X10/T10-1</f>
        <v>0.20796758946657667</v>
      </c>
      <c r="Y41" s="59">
        <f>+Y10/U10-1</f>
        <v>0.19792342634652815</v>
      </c>
      <c r="Z41" s="59">
        <f>+Z10/V10-1</f>
        <v>0.17353846153846164</v>
      </c>
      <c r="AF41" s="3"/>
      <c r="BB41" s="3"/>
      <c r="BC41" s="23" t="s">
        <v>45</v>
      </c>
      <c r="BD41" s="24">
        <v>0.01</v>
      </c>
      <c r="BE41" s="25"/>
      <c r="BF41" s="25"/>
      <c r="BG41" s="25"/>
      <c r="BH41" s="25"/>
      <c r="BI41" s="25"/>
      <c r="BJ41" s="25"/>
      <c r="BK41" s="25"/>
      <c r="BL41" s="25"/>
      <c r="BM41" s="26"/>
      <c r="BN41" s="3"/>
    </row>
    <row r="42" spans="2:158" s="6" customFormat="1">
      <c r="B42" s="3" t="s">
        <v>20</v>
      </c>
      <c r="C42" s="7"/>
      <c r="D42" s="7"/>
      <c r="E42" s="7"/>
      <c r="F42" s="7"/>
      <c r="G42" s="59">
        <f>+G11/C11-1</f>
        <v>2.8169014084507005E-2</v>
      </c>
      <c r="H42" s="59">
        <f>+H11/D11-1</f>
        <v>6.4885496183206159E-2</v>
      </c>
      <c r="I42" s="59">
        <f>+I11/E11-1</f>
        <v>3.3834586466165328E-2</v>
      </c>
      <c r="J42" s="59">
        <f>+J11/F11-1</f>
        <v>5.5837563451776706E-2</v>
      </c>
      <c r="K42" s="59">
        <f>+K11/G11-1</f>
        <v>-0.10336239103362388</v>
      </c>
      <c r="L42" s="59">
        <f>+L11/H11-1</f>
        <v>-0.46356033452807643</v>
      </c>
      <c r="M42" s="59">
        <f>+M11/I11-1</f>
        <v>-0.42060606060606065</v>
      </c>
      <c r="N42" s="59">
        <f>+N11/J11-1</f>
        <v>-0.37980769230769229</v>
      </c>
      <c r="O42" s="59">
        <f>+O11/K11-1</f>
        <v>-0.27777777777777779</v>
      </c>
      <c r="P42" s="59">
        <f>+P11/L11-1</f>
        <v>0.24721603563474392</v>
      </c>
      <c r="Q42" s="59">
        <f>+Q11/M11-1</f>
        <v>0.32217573221757312</v>
      </c>
      <c r="R42" s="59">
        <f>+R11/N11-1</f>
        <v>0.31782945736434098</v>
      </c>
      <c r="S42" s="59">
        <f>+S11/O11-1</f>
        <v>0.74230769230769234</v>
      </c>
      <c r="T42" s="59">
        <f>+T11/P11-1</f>
        <v>1.2589285714285716</v>
      </c>
      <c r="U42" s="59">
        <f>+U11/Q11-1</f>
        <v>0.84968354430379756</v>
      </c>
      <c r="V42" s="59">
        <f>+V11/R11-1</f>
        <v>0.73676470588235299</v>
      </c>
      <c r="W42" s="59">
        <f>+W11/S11-1</f>
        <v>0.3443708609271523</v>
      </c>
      <c r="X42" s="59">
        <f>+X11/T11-1</f>
        <v>-2.6086956521739091E-2</v>
      </c>
      <c r="Y42" s="59">
        <f>+Y11/U11-1</f>
        <v>7.8699743370401976E-2</v>
      </c>
      <c r="Z42" s="59">
        <f>+Z11/V11-1</f>
        <v>9.5681625740897447E-2</v>
      </c>
      <c r="AF42" s="3"/>
      <c r="BB42" s="3"/>
      <c r="BC42" s="27" t="s">
        <v>46</v>
      </c>
      <c r="BD42" s="16">
        <v>0.08</v>
      </c>
      <c r="BE42" s="16">
        <f>+BD42-0.001</f>
        <v>7.9000000000000001E-2</v>
      </c>
      <c r="BF42" s="16">
        <f t="shared" ref="BF42:BK42" si="33">+BE42-0.001</f>
        <v>7.8E-2</v>
      </c>
      <c r="BG42" s="16">
        <f t="shared" si="33"/>
        <v>7.6999999999999999E-2</v>
      </c>
      <c r="BH42" s="16">
        <f t="shared" si="33"/>
        <v>7.5999999999999998E-2</v>
      </c>
      <c r="BI42" s="16">
        <f t="shared" si="33"/>
        <v>7.4999999999999997E-2</v>
      </c>
      <c r="BJ42" s="16">
        <f t="shared" si="33"/>
        <v>7.3999999999999996E-2</v>
      </c>
      <c r="BK42" s="16">
        <f t="shared" si="33"/>
        <v>7.2999999999999995E-2</v>
      </c>
      <c r="BL42" s="17"/>
      <c r="BM42" s="28"/>
      <c r="BN42" s="3"/>
    </row>
    <row r="43" spans="2:158" s="6" customFormat="1">
      <c r="B43" s="3" t="s">
        <v>20</v>
      </c>
      <c r="C43" s="7"/>
      <c r="D43" s="7"/>
      <c r="E43" s="7"/>
      <c r="F43" s="7"/>
      <c r="G43" s="59">
        <f>+G12/C12-1</f>
        <v>-3.7135278514588865E-2</v>
      </c>
      <c r="H43" s="59">
        <f>+H12/D12-1</f>
        <v>3.7249283667621702E-2</v>
      </c>
      <c r="I43" s="59">
        <f>+I12/E12-1</f>
        <v>8.3832335329341312E-2</v>
      </c>
      <c r="J43" s="59">
        <f>+J12/F12-1</f>
        <v>0.14333333333333331</v>
      </c>
      <c r="K43" s="59">
        <f>+K12/G12-1</f>
        <v>-0.14049586776859502</v>
      </c>
      <c r="L43" s="59">
        <f>+L12/H12-1</f>
        <v>-0.48618784530386738</v>
      </c>
      <c r="M43" s="59">
        <f>+M12/I12-1</f>
        <v>-0.42265193370165743</v>
      </c>
      <c r="N43" s="59">
        <f>+N12/J12-1</f>
        <v>-0.51311953352769679</v>
      </c>
      <c r="O43" s="59">
        <f>+O12/K12-1</f>
        <v>-0.29807692307692313</v>
      </c>
      <c r="P43" s="59">
        <f>+P12/L12-1</f>
        <v>0.35483870967741926</v>
      </c>
      <c r="Q43" s="59">
        <f>+Q12/M12-1</f>
        <v>0.50239234449760772</v>
      </c>
      <c r="R43" s="59">
        <f>+R12/N12-1</f>
        <v>2.1796407185628741</v>
      </c>
      <c r="S43" s="59">
        <f>+S12/O12-1</f>
        <v>0.69863013698630128</v>
      </c>
      <c r="T43" s="59">
        <f>+T12/P12-1</f>
        <v>0.6507936507936507</v>
      </c>
      <c r="U43" s="59">
        <f>+U12/Q12-1</f>
        <v>0.33757961783439483</v>
      </c>
      <c r="V43" s="59">
        <f>+V12/R12-1</f>
        <v>-0.19209039548022599</v>
      </c>
      <c r="W43" s="59">
        <f>+W12/S12-1</f>
        <v>0.12903225806451624</v>
      </c>
      <c r="X43" s="59">
        <f>+X12/T12-1</f>
        <v>7.4519230769230838E-2</v>
      </c>
      <c r="Y43" s="59">
        <f>+Y12/U12-1</f>
        <v>9.52380952380949E-3</v>
      </c>
      <c r="Z43" s="59">
        <f>+Z12/V12-1</f>
        <v>-3.4965034965035002E-2</v>
      </c>
      <c r="AF43" s="3"/>
      <c r="BB43" s="3"/>
      <c r="BC43" s="27" t="s">
        <v>47</v>
      </c>
      <c r="BD43" s="17">
        <f>NPV(BD42,AP36:FB36)</f>
        <v>181391.25148791654</v>
      </c>
      <c r="BE43" s="17">
        <f t="shared" ref="BE43:BK43" si="34">NPV(BE42,$AN$36:$FB$36)</f>
        <v>172451.90882727486</v>
      </c>
      <c r="BF43" s="17">
        <f t="shared" si="34"/>
        <v>175337.59425819627</v>
      </c>
      <c r="BG43" s="17">
        <f t="shared" si="34"/>
        <v>178311.26540343152</v>
      </c>
      <c r="BH43" s="17">
        <f t="shared" si="34"/>
        <v>181376.81634953208</v>
      </c>
      <c r="BI43" s="17">
        <f t="shared" si="34"/>
        <v>184538.36473884009</v>
      </c>
      <c r="BJ43" s="17">
        <f t="shared" si="34"/>
        <v>187800.26722083066</v>
      </c>
      <c r="BK43" s="17">
        <f t="shared" si="34"/>
        <v>191167.13612463858</v>
      </c>
      <c r="BL43" s="17"/>
      <c r="BM43" s="28"/>
      <c r="BN43" s="3"/>
    </row>
    <row r="44" spans="2:158" s="6" customFormat="1">
      <c r="B44" s="5" t="s">
        <v>21</v>
      </c>
      <c r="C44" s="7"/>
      <c r="D44" s="7"/>
      <c r="E44" s="7"/>
      <c r="F44" s="7"/>
      <c r="G44" s="59">
        <f t="shared" ref="G44:Z44" si="35">+G13/C13-1</f>
        <v>5.4335406880792192E-2</v>
      </c>
      <c r="H44" s="59">
        <f t="shared" si="35"/>
        <v>7.2311268811941831E-2</v>
      </c>
      <c r="I44" s="59">
        <f t="shared" si="35"/>
        <v>7.3689355981913618E-2</v>
      </c>
      <c r="J44" s="59">
        <f t="shared" si="35"/>
        <v>7.5692963752665321E-2</v>
      </c>
      <c r="K44" s="59">
        <f t="shared" si="35"/>
        <v>-3.9133052378085509E-2</v>
      </c>
      <c r="L44" s="59">
        <f t="shared" si="35"/>
        <v>-0.33922866271109087</v>
      </c>
      <c r="M44" s="59">
        <f t="shared" si="35"/>
        <v>-0.2172774869109948</v>
      </c>
      <c r="N44" s="59">
        <f t="shared" si="35"/>
        <v>-0.17916529016628124</v>
      </c>
      <c r="O44" s="59">
        <f t="shared" si="35"/>
        <v>-9.3483709273182947E-2</v>
      </c>
      <c r="P44" s="59">
        <f t="shared" si="35"/>
        <v>0.45484372301847698</v>
      </c>
      <c r="Q44" s="59">
        <f t="shared" si="35"/>
        <v>0.29911298531336339</v>
      </c>
      <c r="R44" s="59">
        <f t="shared" si="35"/>
        <v>0.34652535551381813</v>
      </c>
      <c r="S44" s="59">
        <f t="shared" si="35"/>
        <v>0.32070776886922858</v>
      </c>
      <c r="T44" s="59">
        <f t="shared" si="35"/>
        <v>0.30979228486646893</v>
      </c>
      <c r="U44" s="59">
        <f t="shared" si="35"/>
        <v>0.22878889635101851</v>
      </c>
      <c r="V44" s="59">
        <f t="shared" si="35"/>
        <v>0.13579754906844665</v>
      </c>
      <c r="W44" s="59">
        <f t="shared" si="35"/>
        <v>0.18254134393971122</v>
      </c>
      <c r="X44" s="59">
        <f t="shared" si="35"/>
        <v>8.2827367467150026E-2</v>
      </c>
      <c r="Y44" s="59">
        <f t="shared" si="35"/>
        <v>8.7538713791218692E-2</v>
      </c>
      <c r="Z44" s="59">
        <f t="shared" si="35"/>
        <v>6.9736842105263097E-2</v>
      </c>
      <c r="AF44" s="3"/>
      <c r="BB44" s="3"/>
      <c r="BC44" s="27" t="s">
        <v>49</v>
      </c>
      <c r="BD44" s="17">
        <f>+Main!F7-Main!F8</f>
        <v>-2563</v>
      </c>
      <c r="BE44" s="17"/>
      <c r="BF44" s="17"/>
      <c r="BG44" s="17"/>
      <c r="BH44" s="17"/>
      <c r="BI44" s="17"/>
      <c r="BJ44" s="17"/>
      <c r="BK44" s="17"/>
      <c r="BL44" s="17"/>
      <c r="BM44" s="28"/>
      <c r="BN44" s="3"/>
    </row>
    <row r="45" spans="2:158" s="6" customFormat="1">
      <c r="B45" s="3" t="s">
        <v>22</v>
      </c>
      <c r="C45" s="7"/>
      <c r="D45" s="7"/>
      <c r="E45" s="7"/>
      <c r="F45" s="7"/>
      <c r="G45" s="59">
        <f t="shared" ref="G45:Z45" si="36">+G14/C14-1</f>
        <v>0.17153912295786755</v>
      </c>
      <c r="H45" s="59">
        <f t="shared" si="36"/>
        <v>0.15793883535819009</v>
      </c>
      <c r="I45" s="59">
        <f t="shared" si="36"/>
        <v>0.12960062646828496</v>
      </c>
      <c r="J45" s="59">
        <f t="shared" si="36"/>
        <v>9.7232610321615454E-2</v>
      </c>
      <c r="K45" s="59">
        <f t="shared" si="36"/>
        <v>6.7522935779816606E-2</v>
      </c>
      <c r="L45" s="59">
        <f t="shared" si="36"/>
        <v>-0.14327062228654119</v>
      </c>
      <c r="M45" s="59">
        <f t="shared" si="36"/>
        <v>-0.21455805892547664</v>
      </c>
      <c r="N45" s="59">
        <f t="shared" si="36"/>
        <v>-0.23790047716428087</v>
      </c>
      <c r="O45" s="59">
        <f t="shared" si="36"/>
        <v>-0.26297696803025095</v>
      </c>
      <c r="P45" s="59">
        <f t="shared" si="36"/>
        <v>-0.11570945945945943</v>
      </c>
      <c r="Q45" s="59">
        <f t="shared" si="36"/>
        <v>-4.4130626654897975E-3</v>
      </c>
      <c r="R45" s="59">
        <f t="shared" si="36"/>
        <v>5.3667262969588458E-2</v>
      </c>
      <c r="S45" s="59">
        <f t="shared" si="36"/>
        <v>0.15345149253731338</v>
      </c>
      <c r="T45" s="59">
        <f t="shared" si="36"/>
        <v>0.29274116523400195</v>
      </c>
      <c r="U45" s="59">
        <f t="shared" si="36"/>
        <v>0.40248226950354615</v>
      </c>
      <c r="V45" s="59">
        <f t="shared" si="36"/>
        <v>0.53777589134125647</v>
      </c>
      <c r="W45" s="59">
        <f t="shared" si="36"/>
        <v>0.59280226445612616</v>
      </c>
      <c r="X45" s="59">
        <f t="shared" si="36"/>
        <v>0.55633542667159208</v>
      </c>
      <c r="Y45" s="59">
        <f t="shared" si="36"/>
        <v>0.46491782553729455</v>
      </c>
      <c r="Z45" s="59">
        <f t="shared" si="36"/>
        <v>0.35523047198454316</v>
      </c>
      <c r="AF45" s="3"/>
      <c r="BB45" s="3"/>
      <c r="BC45" s="27" t="s">
        <v>50</v>
      </c>
      <c r="BD45" s="18">
        <f>+BD43+BD44</f>
        <v>178828.25148791654</v>
      </c>
      <c r="BE45" s="18">
        <f>+BE43+$BD$44</f>
        <v>169888.90882727486</v>
      </c>
      <c r="BF45" s="18">
        <f>+BF43+$BD$44</f>
        <v>172774.59425819627</v>
      </c>
      <c r="BG45" s="18">
        <f>+BG43+$BD$44</f>
        <v>175748.26540343152</v>
      </c>
      <c r="BH45" s="18">
        <f>+BH43+$BD$44</f>
        <v>178813.81634953208</v>
      </c>
      <c r="BI45" s="18">
        <f>+BI43+$BD$44</f>
        <v>181975.36473884009</v>
      </c>
      <c r="BJ45" s="18">
        <f>+BJ43+$BD$44</f>
        <v>185237.26722083066</v>
      </c>
      <c r="BK45" s="18">
        <f>+BK43+$BD$44</f>
        <v>188604.13612463858</v>
      </c>
      <c r="BL45" s="17"/>
      <c r="BM45" s="28"/>
      <c r="BN45" s="3"/>
    </row>
    <row r="46" spans="2:158" s="6" customFormat="1">
      <c r="B46" s="3" t="s">
        <v>23</v>
      </c>
      <c r="C46" s="7"/>
      <c r="D46" s="7"/>
      <c r="E46" s="7"/>
      <c r="F46" s="7"/>
      <c r="G46" s="59">
        <f t="shared" ref="G46:Z46" si="37">+G15/C15-1</f>
        <v>0.5714285714285714</v>
      </c>
      <c r="H46" s="59">
        <f t="shared" si="37"/>
        <v>0.92592592592592582</v>
      </c>
      <c r="I46" s="59">
        <f t="shared" si="37"/>
        <v>0.51428571428571423</v>
      </c>
      <c r="J46" s="59">
        <f t="shared" si="37"/>
        <v>0.4285714285714286</v>
      </c>
      <c r="K46" s="59">
        <f t="shared" si="37"/>
        <v>0.1515151515151516</v>
      </c>
      <c r="L46" s="59">
        <f t="shared" si="37"/>
        <v>-0.48076923076923073</v>
      </c>
      <c r="M46" s="59">
        <f t="shared" si="37"/>
        <v>-0.37735849056603776</v>
      </c>
      <c r="N46" s="59">
        <f t="shared" si="37"/>
        <v>-0.42000000000000004</v>
      </c>
      <c r="O46" s="59">
        <f t="shared" si="37"/>
        <v>-0.36842105263157898</v>
      </c>
      <c r="P46" s="59">
        <f t="shared" si="37"/>
        <v>-0.11111111111111116</v>
      </c>
      <c r="Q46" s="59">
        <f t="shared" si="37"/>
        <v>-0.45454545454545459</v>
      </c>
      <c r="R46" s="59">
        <f t="shared" si="37"/>
        <v>-0.41379310344827591</v>
      </c>
      <c r="S46" s="59">
        <f t="shared" si="37"/>
        <v>-0.45833333333333337</v>
      </c>
      <c r="T46" s="59">
        <f t="shared" si="37"/>
        <v>-8.333333333333337E-2</v>
      </c>
      <c r="U46" s="59">
        <f t="shared" si="37"/>
        <v>0.5</v>
      </c>
      <c r="V46" s="59">
        <f t="shared" si="37"/>
        <v>1</v>
      </c>
      <c r="W46" s="59">
        <f t="shared" si="37"/>
        <v>1.3076923076923075</v>
      </c>
      <c r="X46" s="59">
        <f t="shared" si="37"/>
        <v>0.54545454545454541</v>
      </c>
      <c r="Y46" s="59">
        <f t="shared" si="37"/>
        <v>0.22222222222222232</v>
      </c>
      <c r="Z46" s="59">
        <f t="shared" si="37"/>
        <v>-8.8235294117647078E-2</v>
      </c>
      <c r="AF46" s="3"/>
      <c r="BB46" s="3"/>
      <c r="BC46" s="27" t="s">
        <v>13</v>
      </c>
      <c r="BD46" s="17">
        <f>+Main!F5</f>
        <v>723.86978699999997</v>
      </c>
      <c r="BE46" s="17"/>
      <c r="BF46" s="17"/>
      <c r="BG46" s="17"/>
      <c r="BH46" s="17"/>
      <c r="BI46" s="17"/>
      <c r="BJ46" s="17"/>
      <c r="BK46" s="17"/>
      <c r="BL46" s="17"/>
      <c r="BM46" s="28"/>
      <c r="BN46" s="3"/>
    </row>
    <row r="47" spans="2:158" s="6" customFormat="1">
      <c r="B47" s="3" t="s">
        <v>24</v>
      </c>
      <c r="C47" s="7"/>
      <c r="D47" s="7"/>
      <c r="E47" s="7"/>
      <c r="F47" s="7"/>
      <c r="G47" s="59">
        <f t="shared" ref="G47:Z47" si="38">+G16/C16-1</f>
        <v>0.70434782608695645</v>
      </c>
      <c r="H47" s="59">
        <f t="shared" si="38"/>
        <v>0.18253968253968256</v>
      </c>
      <c r="I47" s="59">
        <f t="shared" si="38"/>
        <v>-4.6979865771812124E-2</v>
      </c>
      <c r="J47" s="59">
        <f t="shared" si="38"/>
        <v>-0.35668789808917201</v>
      </c>
      <c r="K47" s="59">
        <f t="shared" si="38"/>
        <v>-0.49489795918367352</v>
      </c>
      <c r="L47" s="59">
        <f t="shared" si="38"/>
        <v>-0.79194630872483218</v>
      </c>
      <c r="M47" s="59">
        <f t="shared" si="38"/>
        <v>-0.823943661971831</v>
      </c>
      <c r="N47" s="59">
        <f t="shared" si="38"/>
        <v>-0.78217821782178221</v>
      </c>
      <c r="O47" s="59">
        <f t="shared" si="38"/>
        <v>-0.75757575757575757</v>
      </c>
      <c r="P47" s="59">
        <f t="shared" si="38"/>
        <v>-0.29032258064516125</v>
      </c>
      <c r="Q47" s="59">
        <f t="shared" si="38"/>
        <v>8.0000000000000071E-2</v>
      </c>
      <c r="R47" s="59">
        <f t="shared" si="38"/>
        <v>0.22727272727272729</v>
      </c>
      <c r="S47" s="59">
        <f t="shared" si="38"/>
        <v>0.41666666666666674</v>
      </c>
      <c r="T47" s="59">
        <f t="shared" si="38"/>
        <v>2.1818181818181817</v>
      </c>
      <c r="U47" s="59">
        <f t="shared" si="38"/>
        <v>5.7777777777777777</v>
      </c>
      <c r="V47" s="59">
        <f t="shared" si="38"/>
        <v>10.407407407407407</v>
      </c>
      <c r="W47" s="59">
        <f t="shared" si="38"/>
        <v>12.147058823529411</v>
      </c>
      <c r="X47" s="59">
        <f t="shared" si="38"/>
        <v>6.5428571428571427</v>
      </c>
      <c r="Y47" s="59">
        <f t="shared" si="38"/>
        <v>2.1256830601092895</v>
      </c>
      <c r="Z47" s="59">
        <f t="shared" si="38"/>
        <v>0.98376623376623384</v>
      </c>
      <c r="AF47" s="3"/>
      <c r="BB47" s="5"/>
      <c r="BC47" s="27" t="s">
        <v>48</v>
      </c>
      <c r="BD47" s="19">
        <f>+BD45/BD46</f>
        <v>247.04477890844274</v>
      </c>
      <c r="BE47" s="19">
        <f>+BE45/$BD$46</f>
        <v>234.69539947420802</v>
      </c>
      <c r="BF47" s="19">
        <f>+BF45/$BD$46</f>
        <v>238.68186980733356</v>
      </c>
      <c r="BG47" s="19">
        <f>+BG45/$BD$46</f>
        <v>242.78988923104691</v>
      </c>
      <c r="BH47" s="19">
        <f>+BH45/$BD$46</f>
        <v>247.02483728545516</v>
      </c>
      <c r="BI47" s="19">
        <f>+BI45/$BD$46</f>
        <v>251.3924023449263</v>
      </c>
      <c r="BJ47" s="19">
        <f>+BJ45/$BD$46</f>
        <v>255.89860296356127</v>
      </c>
      <c r="BK47" s="19">
        <f>+BK45/$BD$46</f>
        <v>260.54981090768825</v>
      </c>
      <c r="BL47" s="20"/>
      <c r="BM47" s="34"/>
      <c r="BN47" s="5"/>
    </row>
    <row r="48" spans="2:158" s="6" customFormat="1">
      <c r="B48" s="5" t="s">
        <v>25</v>
      </c>
      <c r="C48" s="7"/>
      <c r="D48" s="7"/>
      <c r="E48" s="7"/>
      <c r="F48" s="7"/>
      <c r="G48" s="59">
        <f t="shared" ref="G48:Z48" si="39">+G17/C17-1</f>
        <v>0.1998375304630382</v>
      </c>
      <c r="H48" s="59">
        <f t="shared" si="39"/>
        <v>0.16732283464566922</v>
      </c>
      <c r="I48" s="59">
        <f t="shared" si="39"/>
        <v>0.12490869247626013</v>
      </c>
      <c r="J48" s="59">
        <f t="shared" si="39"/>
        <v>7.6413119330076773E-2</v>
      </c>
      <c r="K48" s="59">
        <f t="shared" si="39"/>
        <v>3.114421123899791E-2</v>
      </c>
      <c r="L48" s="59">
        <f t="shared" si="39"/>
        <v>-0.181787521079258</v>
      </c>
      <c r="M48" s="59">
        <f t="shared" si="39"/>
        <v>-0.24545454545454548</v>
      </c>
      <c r="N48" s="59">
        <f t="shared" si="39"/>
        <v>-0.25867098865478122</v>
      </c>
      <c r="O48" s="59">
        <f t="shared" si="39"/>
        <v>-0.28036769533814843</v>
      </c>
      <c r="P48" s="59">
        <f t="shared" si="39"/>
        <v>-0.11788953009068426</v>
      </c>
      <c r="Q48" s="59">
        <f t="shared" si="39"/>
        <v>-9.8967297762478923E-3</v>
      </c>
      <c r="R48" s="59">
        <f t="shared" si="39"/>
        <v>4.9409707039790085E-2</v>
      </c>
      <c r="S48" s="59">
        <f t="shared" si="39"/>
        <v>0.14963503649635035</v>
      </c>
      <c r="T48" s="59">
        <f t="shared" si="39"/>
        <v>0.30794392523364489</v>
      </c>
      <c r="U48" s="59">
        <f t="shared" si="39"/>
        <v>0.46631899174272062</v>
      </c>
      <c r="V48" s="59">
        <f t="shared" si="39"/>
        <v>0.65208333333333335</v>
      </c>
      <c r="W48" s="59">
        <f t="shared" si="39"/>
        <v>0.75238095238095237</v>
      </c>
      <c r="X48" s="59">
        <f t="shared" si="39"/>
        <v>0.70596641657734915</v>
      </c>
      <c r="Y48" s="59">
        <f t="shared" si="39"/>
        <v>0.55305275637225848</v>
      </c>
      <c r="Z48" s="59">
        <f t="shared" si="39"/>
        <v>0.40025220680958395</v>
      </c>
      <c r="AF48" s="3"/>
      <c r="BB48" s="3"/>
      <c r="BC48" s="27" t="s">
        <v>51</v>
      </c>
      <c r="BD48" s="17">
        <f>+Main!F4</f>
        <v>229.43</v>
      </c>
      <c r="BE48" s="17"/>
      <c r="BF48" s="17"/>
      <c r="BG48" s="17"/>
      <c r="BH48" s="17"/>
      <c r="BI48" s="17"/>
      <c r="BJ48" s="17"/>
      <c r="BK48" s="17"/>
      <c r="BL48" s="17"/>
      <c r="BM48" s="28"/>
      <c r="BN48" s="3"/>
    </row>
    <row r="49" spans="2:66" s="6" customFormat="1">
      <c r="B49" s="3" t="s">
        <v>26</v>
      </c>
      <c r="C49" s="7"/>
      <c r="D49" s="7"/>
      <c r="E49" s="7"/>
      <c r="F49" s="7"/>
      <c r="G49" s="59">
        <f t="shared" ref="G49:Z49" si="40">+G18/C18-1</f>
        <v>0.47777777777777786</v>
      </c>
      <c r="H49" s="59">
        <f t="shared" si="40"/>
        <v>0.35333333333333328</v>
      </c>
      <c r="I49" s="59">
        <f t="shared" si="40"/>
        <v>0.17941176470588238</v>
      </c>
      <c r="J49" s="59">
        <f t="shared" si="40"/>
        <v>-6.3660477453580944E-2</v>
      </c>
      <c r="K49" s="59">
        <f t="shared" si="40"/>
        <v>-0.18295739348370932</v>
      </c>
      <c r="L49" s="59">
        <f t="shared" si="40"/>
        <v>-0.35960591133004927</v>
      </c>
      <c r="M49" s="59">
        <f t="shared" si="40"/>
        <v>-0.49625935162094759</v>
      </c>
      <c r="N49" s="59">
        <f t="shared" si="40"/>
        <v>-0.56090651558073656</v>
      </c>
      <c r="O49" s="59">
        <f t="shared" si="40"/>
        <v>-0.58895705521472386</v>
      </c>
      <c r="P49" s="59">
        <f t="shared" si="40"/>
        <v>-0.56538461538461537</v>
      </c>
      <c r="Q49" s="59">
        <f t="shared" si="40"/>
        <v>-0.46039603960396036</v>
      </c>
      <c r="R49" s="59">
        <f t="shared" si="40"/>
        <v>-0.34193548387096773</v>
      </c>
      <c r="S49" s="59">
        <f t="shared" si="40"/>
        <v>-8.9552238805970186E-2</v>
      </c>
      <c r="T49" s="59">
        <f t="shared" si="40"/>
        <v>0.65486725663716805</v>
      </c>
      <c r="U49" s="59">
        <f t="shared" si="40"/>
        <v>3.0366972477064218</v>
      </c>
      <c r="V49" s="59">
        <f t="shared" si="40"/>
        <v>6.6274509803921573</v>
      </c>
      <c r="W49" s="59">
        <f t="shared" si="40"/>
        <v>7.1475409836065573</v>
      </c>
      <c r="X49" s="59">
        <f t="shared" si="40"/>
        <v>5.3957219251336896</v>
      </c>
      <c r="Y49" s="59">
        <f t="shared" si="40"/>
        <v>1.9318181818181817</v>
      </c>
      <c r="Z49" s="59">
        <f t="shared" si="40"/>
        <v>0.78020565552699228</v>
      </c>
      <c r="AF49" s="3"/>
      <c r="BB49" s="5"/>
      <c r="BC49" s="27" t="s">
        <v>52</v>
      </c>
      <c r="BD49" s="21">
        <f>+BD47/BD48-1</f>
        <v>7.6776266871998899E-2</v>
      </c>
      <c r="BE49" s="20"/>
      <c r="BF49" s="20"/>
      <c r="BG49" s="20"/>
      <c r="BH49" s="20"/>
      <c r="BI49" s="20"/>
      <c r="BJ49" s="20"/>
      <c r="BK49" s="20"/>
      <c r="BL49" s="20"/>
      <c r="BM49" s="34"/>
      <c r="BN49" s="5"/>
    </row>
    <row r="50" spans="2:66" s="6" customFormat="1">
      <c r="B50" s="3" t="s">
        <v>27</v>
      </c>
      <c r="C50" s="7"/>
      <c r="D50" s="7"/>
      <c r="E50" s="7"/>
      <c r="F50" s="7"/>
      <c r="G50" s="59">
        <f t="shared" ref="G50:Z50" si="41">+G19/C19-1</f>
        <v>0.41310541310541304</v>
      </c>
      <c r="H50" s="59">
        <f t="shared" si="41"/>
        <v>0.18004866180048662</v>
      </c>
      <c r="I50" s="59">
        <f t="shared" si="41"/>
        <v>8.9244851258581281E-2</v>
      </c>
      <c r="J50" s="59">
        <f t="shared" si="41"/>
        <v>-1.969365426695846E-2</v>
      </c>
      <c r="K50" s="59">
        <f t="shared" si="41"/>
        <v>-0.21370967741935487</v>
      </c>
      <c r="L50" s="59">
        <f t="shared" si="41"/>
        <v>-0.41855670103092779</v>
      </c>
      <c r="M50" s="59">
        <f t="shared" si="41"/>
        <v>-0.47899159663865543</v>
      </c>
      <c r="N50" s="59">
        <f t="shared" si="41"/>
        <v>-0.4754464285714286</v>
      </c>
      <c r="O50" s="59">
        <f t="shared" si="41"/>
        <v>-0.41538461538461535</v>
      </c>
      <c r="P50" s="59">
        <f t="shared" si="41"/>
        <v>-0.25886524822695034</v>
      </c>
      <c r="Q50" s="59">
        <f t="shared" si="41"/>
        <v>-0.20161290322580649</v>
      </c>
      <c r="R50" s="59">
        <f t="shared" si="41"/>
        <v>-0.19148936170212771</v>
      </c>
      <c r="S50" s="59">
        <f t="shared" si="41"/>
        <v>-0.1271929824561403</v>
      </c>
      <c r="T50" s="59">
        <f t="shared" si="41"/>
        <v>0.20574162679425845</v>
      </c>
      <c r="U50" s="59">
        <f t="shared" si="41"/>
        <v>0.79797979797979801</v>
      </c>
      <c r="V50" s="59">
        <f t="shared" si="41"/>
        <v>1.2578947368421054</v>
      </c>
      <c r="W50" s="59">
        <f t="shared" si="41"/>
        <v>1.2060301507537687</v>
      </c>
      <c r="X50" s="59">
        <f t="shared" si="41"/>
        <v>0.88095238095238093</v>
      </c>
      <c r="Y50" s="59">
        <f t="shared" si="41"/>
        <v>0.42696629213483139</v>
      </c>
      <c r="Z50" s="59">
        <f t="shared" si="41"/>
        <v>0.31235431235431244</v>
      </c>
      <c r="AF50" s="3"/>
      <c r="BB50" s="3"/>
      <c r="BC50" s="29"/>
      <c r="BD50" s="17"/>
      <c r="BE50" s="17"/>
      <c r="BF50" s="17"/>
      <c r="BG50" s="17"/>
      <c r="BH50" s="17"/>
      <c r="BI50" s="17"/>
      <c r="BJ50" s="17"/>
      <c r="BK50" s="17"/>
      <c r="BL50" s="17"/>
      <c r="BM50" s="28"/>
      <c r="BN50" s="3"/>
    </row>
    <row r="51" spans="2:66" s="6" customFormat="1">
      <c r="B51" s="3" t="s">
        <v>28</v>
      </c>
      <c r="C51" s="7"/>
      <c r="D51" s="7"/>
      <c r="E51" s="7"/>
      <c r="F51" s="7"/>
      <c r="G51" s="59">
        <f t="shared" ref="G51:Z51" si="42">+G20/C20-1</f>
        <v>0.44122383252818032</v>
      </c>
      <c r="H51" s="59">
        <f t="shared" si="42"/>
        <v>0.25316455696202533</v>
      </c>
      <c r="I51" s="59">
        <f t="shared" si="42"/>
        <v>0.12870012870012859</v>
      </c>
      <c r="J51" s="59">
        <f t="shared" si="42"/>
        <v>-3.9568345323740983E-2</v>
      </c>
      <c r="K51" s="59">
        <f t="shared" si="42"/>
        <v>-0.19999999999999996</v>
      </c>
      <c r="L51" s="59">
        <f t="shared" si="42"/>
        <v>-0.39169472502805835</v>
      </c>
      <c r="M51" s="59">
        <f t="shared" si="42"/>
        <v>-0.48688711516533634</v>
      </c>
      <c r="N51" s="59">
        <f t="shared" si="42"/>
        <v>-0.51310861423220966</v>
      </c>
      <c r="O51" s="59">
        <f t="shared" si="42"/>
        <v>-0.494413407821229</v>
      </c>
      <c r="P51" s="59">
        <f t="shared" si="42"/>
        <v>-0.40590405904059046</v>
      </c>
      <c r="Q51" s="59">
        <f t="shared" si="42"/>
        <v>-0.31777777777777783</v>
      </c>
      <c r="R51" s="59">
        <f t="shared" si="42"/>
        <v>-0.25128205128205128</v>
      </c>
      <c r="S51" s="59">
        <f t="shared" si="42"/>
        <v>-0.11325966850828728</v>
      </c>
      <c r="T51" s="59">
        <f t="shared" si="42"/>
        <v>0.36335403726708071</v>
      </c>
      <c r="U51" s="59">
        <f t="shared" si="42"/>
        <v>1.5928338762214982</v>
      </c>
      <c r="V51" s="59">
        <f t="shared" si="42"/>
        <v>3.1335616438356162</v>
      </c>
      <c r="W51" s="59">
        <f t="shared" si="42"/>
        <v>3.4641744548286608</v>
      </c>
      <c r="X51" s="59">
        <f t="shared" si="42"/>
        <v>2.8041002277904328</v>
      </c>
      <c r="Y51" s="59">
        <f t="shared" si="42"/>
        <v>1.2587939698492461</v>
      </c>
      <c r="Z51" s="59">
        <f t="shared" si="42"/>
        <v>0.61391880695940348</v>
      </c>
      <c r="AF51" s="3"/>
      <c r="BB51" s="3"/>
      <c r="BC51" s="29" t="s">
        <v>171</v>
      </c>
      <c r="BD51" s="22">
        <f>+Main!$F$9/Model!AN36</f>
        <v>22.443498167608464</v>
      </c>
      <c r="BE51" s="17"/>
      <c r="BF51" s="17"/>
      <c r="BG51" s="17"/>
      <c r="BH51" s="17"/>
      <c r="BI51" s="17"/>
      <c r="BJ51" s="17"/>
      <c r="BK51" s="17"/>
      <c r="BL51" s="17"/>
      <c r="BM51" s="28"/>
      <c r="BN51" s="3"/>
    </row>
    <row r="52" spans="2:66" s="6" customFormat="1">
      <c r="B52" s="5" t="s">
        <v>29</v>
      </c>
      <c r="C52" s="7"/>
      <c r="D52" s="7"/>
      <c r="E52" s="7"/>
      <c r="F52" s="7"/>
      <c r="G52" s="59">
        <f t="shared" ref="G52:Z52" si="43">+G21/C21-1</f>
        <v>0.11841390548614883</v>
      </c>
      <c r="H52" s="59">
        <f t="shared" si="43"/>
        <v>0.13395297977036624</v>
      </c>
      <c r="I52" s="59">
        <f t="shared" si="43"/>
        <v>0.12340642529321766</v>
      </c>
      <c r="J52" s="59">
        <f t="shared" si="43"/>
        <v>0.12401574803149606</v>
      </c>
      <c r="K52" s="59">
        <f t="shared" si="43"/>
        <v>0.13161728994657595</v>
      </c>
      <c r="L52" s="59">
        <f t="shared" si="43"/>
        <v>-9.1610414657666395E-2</v>
      </c>
      <c r="M52" s="59">
        <f t="shared" si="43"/>
        <v>-0.14934180662732632</v>
      </c>
      <c r="N52" s="59">
        <f t="shared" si="43"/>
        <v>-0.16943957968476353</v>
      </c>
      <c r="O52" s="59">
        <f t="shared" si="43"/>
        <v>-0.21459227467811159</v>
      </c>
      <c r="P52" s="59">
        <f t="shared" si="43"/>
        <v>-3.5031847133757954E-2</v>
      </c>
      <c r="Q52" s="59">
        <f t="shared" si="43"/>
        <v>6.4034151547492035E-2</v>
      </c>
      <c r="R52" s="59">
        <f t="shared" si="43"/>
        <v>0.11122825513969414</v>
      </c>
      <c r="S52" s="59">
        <f t="shared" si="43"/>
        <v>0.20163934426229502</v>
      </c>
      <c r="T52" s="59">
        <f t="shared" si="43"/>
        <v>0.29812981298129815</v>
      </c>
      <c r="U52" s="59">
        <f>+U21/Q21-1</f>
        <v>0.29287863590772312</v>
      </c>
      <c r="V52" s="59">
        <f t="shared" si="43"/>
        <v>0.30834914611005693</v>
      </c>
      <c r="W52" s="59">
        <f t="shared" si="43"/>
        <v>0.35652569349704422</v>
      </c>
      <c r="X52" s="59">
        <f t="shared" si="43"/>
        <v>0.31567796610169485</v>
      </c>
      <c r="Y52" s="59">
        <f t="shared" si="43"/>
        <v>0.33514352211016285</v>
      </c>
      <c r="Z52" s="59">
        <f t="shared" si="43"/>
        <v>0.30674401740391599</v>
      </c>
      <c r="AF52" s="3"/>
      <c r="BB52" s="3"/>
      <c r="BC52" s="30" t="s">
        <v>172</v>
      </c>
      <c r="BD52" s="31">
        <f>+Main!$F$9/Model!AO36</f>
        <v>20.138577171173871</v>
      </c>
      <c r="BE52" s="17"/>
      <c r="BF52" s="17"/>
      <c r="BG52" s="17"/>
      <c r="BH52" s="17"/>
      <c r="BI52" s="17"/>
      <c r="BJ52" s="17"/>
      <c r="BK52" s="17"/>
      <c r="BL52" s="17"/>
      <c r="BM52" s="28"/>
      <c r="BN52" s="3"/>
    </row>
    <row r="53" spans="2:66" s="7" customFormat="1">
      <c r="B53" s="7" t="s">
        <v>123</v>
      </c>
      <c r="G53" s="9">
        <f>+G22/C22-1</f>
        <v>6.6474583247581709E-2</v>
      </c>
      <c r="H53" s="9">
        <f>+H22/D22-1</f>
        <v>8.3583283343331427E-2</v>
      </c>
      <c r="I53" s="9">
        <f>+I22/E22-1</f>
        <v>8.3300473186119772E-2</v>
      </c>
      <c r="J53" s="9">
        <f>+J22/F22-1</f>
        <v>8.5067786900897557E-2</v>
      </c>
      <c r="K53" s="9">
        <f>+K22/G22-1</f>
        <v>-5.2103434967194495E-3</v>
      </c>
      <c r="L53" s="9">
        <f>+L22/H22-1</f>
        <v>-0.29184351356338811</v>
      </c>
      <c r="M53" s="9">
        <f>+M22/I22-1</f>
        <v>-0.20365820365820364</v>
      </c>
      <c r="N53" s="9">
        <f>+N22/J22-1</f>
        <v>-0.17721073471183457</v>
      </c>
      <c r="O53" s="9">
        <f>+O22/K22-1</f>
        <v>-0.12085354025218231</v>
      </c>
      <c r="P53" s="9">
        <f>+P22/L22-1</f>
        <v>0.33459283387622141</v>
      </c>
      <c r="Q53" s="9">
        <f>+Q22/M22-1</f>
        <v>0.24877156896354702</v>
      </c>
      <c r="R53" s="9">
        <f>+R22/N22-1</f>
        <v>0.29879157309378668</v>
      </c>
      <c r="S53" s="9">
        <f>+S22/O22-1</f>
        <v>0.29666813768755507</v>
      </c>
      <c r="T53" s="9">
        <f>+T22/P22-1</f>
        <v>0.30772234696866163</v>
      </c>
      <c r="U53" s="9">
        <f>+U22/Q22-1</f>
        <v>0.24048316251830171</v>
      </c>
      <c r="V53" s="9">
        <f>+V22/R22-1</f>
        <v>0.16574722107863327</v>
      </c>
      <c r="W53" s="9">
        <f>+W22/S22-1</f>
        <v>0.21509401854845578</v>
      </c>
      <c r="X53" s="9">
        <f>+X22/T22-1</f>
        <v>0.1238521836506159</v>
      </c>
      <c r="Y53" s="9">
        <f>+Y22/U22-1</f>
        <v>0.13462673354971977</v>
      </c>
      <c r="Z53" s="9">
        <f>+Z22/V22-1</f>
        <v>0.11590620144088137</v>
      </c>
      <c r="AA53" s="9"/>
      <c r="AB53" s="9"/>
      <c r="AC53" s="9"/>
      <c r="AD53" s="9"/>
      <c r="AE53" s="9"/>
      <c r="AF53" s="5"/>
      <c r="AG53" s="9">
        <f>+AG22/AF22-1</f>
        <v>-4.0072540072540019E-2</v>
      </c>
      <c r="AH53" s="9">
        <f>+AH22/AG22-1</f>
        <v>7.9834237308793909E-2</v>
      </c>
      <c r="AI53" s="9">
        <f>+AI22/AH22-1</f>
        <v>4.0634347310796404E-2</v>
      </c>
      <c r="AJ53" s="9">
        <f>+AJ22/AI22-1</f>
        <v>9.3822875427084007E-2</v>
      </c>
      <c r="AK53" s="9">
        <f>+AK22/AJ22-1</f>
        <v>7.9775893698249778E-2</v>
      </c>
      <c r="AL53" s="9">
        <f>+AL22/AK22-1</f>
        <v>-0.17148039305721374</v>
      </c>
      <c r="AM53" s="9">
        <f>+AM22/AL22-1</f>
        <v>0.17438412724803953</v>
      </c>
      <c r="AN53" s="9">
        <f>+AN22/AM22-1</f>
        <v>0.24733364794714485</v>
      </c>
      <c r="AO53" s="9">
        <f>+AO22/AN22-1</f>
        <v>0.14477318300480491</v>
      </c>
      <c r="AP53" s="9">
        <f>AVERAGE(AG53:AO53)</f>
        <v>7.2111708757239962E-2</v>
      </c>
      <c r="AQ53" s="9">
        <f>+AP53</f>
        <v>7.2111708757239962E-2</v>
      </c>
      <c r="AR53" s="9">
        <f t="shared" ref="AR53:AY53" si="44">+AQ53</f>
        <v>7.2111708757239962E-2</v>
      </c>
      <c r="AS53" s="9">
        <f t="shared" si="44"/>
        <v>7.2111708757239962E-2</v>
      </c>
      <c r="AT53" s="9">
        <f t="shared" si="44"/>
        <v>7.2111708757239962E-2</v>
      </c>
      <c r="AU53" s="9">
        <f t="shared" si="44"/>
        <v>7.2111708757239962E-2</v>
      </c>
      <c r="AV53" s="9">
        <f t="shared" si="44"/>
        <v>7.2111708757239962E-2</v>
      </c>
      <c r="AW53" s="9">
        <f t="shared" si="44"/>
        <v>7.2111708757239962E-2</v>
      </c>
      <c r="AX53" s="9">
        <f t="shared" si="44"/>
        <v>7.2111708757239962E-2</v>
      </c>
      <c r="AY53" s="9">
        <f t="shared" si="44"/>
        <v>7.2111708757239962E-2</v>
      </c>
      <c r="BB53" s="3"/>
      <c r="BC53" s="30" t="s">
        <v>196</v>
      </c>
      <c r="BD53" s="31">
        <f>+Main!$F$9/Model!AP36</f>
        <v>19.949580752187625</v>
      </c>
      <c r="BE53" s="32"/>
      <c r="BF53" s="32"/>
      <c r="BG53" s="32"/>
      <c r="BH53" s="32"/>
      <c r="BI53" s="32"/>
      <c r="BJ53" s="32"/>
      <c r="BK53" s="32"/>
      <c r="BL53" s="32"/>
      <c r="BM53" s="33"/>
      <c r="BN53" s="3"/>
    </row>
    <row r="54" spans="2:66" s="60" customFormat="1">
      <c r="AA54" s="61"/>
      <c r="AB54" s="61"/>
      <c r="AC54" s="61"/>
      <c r="AD54" s="61"/>
      <c r="AE54" s="61"/>
      <c r="AF54" s="62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2:66" s="60" customFormat="1">
      <c r="AA55" s="61"/>
      <c r="AB55" s="61"/>
      <c r="AC55" s="61"/>
      <c r="AD55" s="61"/>
      <c r="AE55" s="61"/>
      <c r="AF55" s="62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2:66" s="60" customFormat="1">
      <c r="AA56" s="61"/>
      <c r="AB56" s="61"/>
      <c r="AC56" s="61"/>
      <c r="AD56" s="61"/>
      <c r="AE56" s="61"/>
      <c r="AF56" s="62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</row>
    <row r="57" spans="2:66" s="60" customFormat="1">
      <c r="AA57" s="61"/>
      <c r="AB57" s="61"/>
      <c r="AC57" s="61"/>
      <c r="AD57" s="61"/>
      <c r="AE57" s="61"/>
      <c r="AF57" s="62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</row>
    <row r="58" spans="2:66" s="60" customFormat="1"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2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</row>
    <row r="59" spans="2:66" s="60" customFormat="1"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2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</row>
    <row r="60" spans="2:66" s="60" customFormat="1"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2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</row>
    <row r="61" spans="2:66" s="60" customFormat="1"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2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</row>
    <row r="64" spans="2:66">
      <c r="B64" s="3" t="s">
        <v>49</v>
      </c>
      <c r="N64" s="3">
        <f>+N68-N79-N80</f>
        <v>-11865</v>
      </c>
      <c r="O64" s="3">
        <f t="shared" ref="O64:Z64" si="45">+O68-O79-O80</f>
        <v>-3317</v>
      </c>
      <c r="P64" s="3">
        <f t="shared" si="45"/>
        <v>-8431</v>
      </c>
      <c r="Q64" s="3">
        <f t="shared" si="45"/>
        <v>-8820</v>
      </c>
      <c r="R64" s="3">
        <f t="shared" si="45"/>
        <v>-18890</v>
      </c>
      <c r="S64" s="3">
        <f t="shared" si="45"/>
        <v>-12781</v>
      </c>
      <c r="T64" s="3">
        <f t="shared" si="45"/>
        <v>-16202</v>
      </c>
      <c r="U64" s="3">
        <f t="shared" si="45"/>
        <v>-12726</v>
      </c>
      <c r="V64" s="3">
        <f t="shared" si="45"/>
        <v>-10007</v>
      </c>
      <c r="W64" s="3">
        <f t="shared" si="45"/>
        <v>-2026</v>
      </c>
      <c r="X64" s="3">
        <f t="shared" si="45"/>
        <v>-5350</v>
      </c>
      <c r="Y64" s="3">
        <f t="shared" si="45"/>
        <v>-4152</v>
      </c>
      <c r="Z64" s="3">
        <f t="shared" si="45"/>
        <v>-2563</v>
      </c>
    </row>
    <row r="65" spans="2:33">
      <c r="B65" s="3" t="s">
        <v>15</v>
      </c>
      <c r="N65" s="3">
        <v>2984</v>
      </c>
      <c r="O65" s="3">
        <v>2662</v>
      </c>
      <c r="P65" s="3">
        <v>2671</v>
      </c>
      <c r="Q65" s="3">
        <v>2944</v>
      </c>
      <c r="R65" s="3">
        <v>1292</v>
      </c>
      <c r="S65" s="3">
        <v>3011</v>
      </c>
      <c r="T65" s="3">
        <v>3304</v>
      </c>
      <c r="U65" s="3">
        <v>3012</v>
      </c>
      <c r="V65" s="3">
        <v>5510</v>
      </c>
      <c r="W65" s="3">
        <v>3105</v>
      </c>
      <c r="X65" s="3">
        <v>3379</v>
      </c>
      <c r="Y65" s="3">
        <v>5082</v>
      </c>
      <c r="Z65" s="3">
        <v>7118</v>
      </c>
    </row>
    <row r="66" spans="2:33">
      <c r="B66" s="3" t="s">
        <v>55</v>
      </c>
      <c r="N66" s="3">
        <v>29824</v>
      </c>
      <c r="O66" s="3">
        <v>37405</v>
      </c>
      <c r="P66" s="3">
        <v>26702</v>
      </c>
      <c r="Q66" s="3">
        <v>24864</v>
      </c>
      <c r="R66" s="3">
        <v>20548</v>
      </c>
      <c r="S66" s="3">
        <v>22896</v>
      </c>
      <c r="T66" s="3">
        <v>22291</v>
      </c>
      <c r="U66" s="3">
        <v>27167</v>
      </c>
      <c r="V66" s="3">
        <v>28097</v>
      </c>
      <c r="W66" s="3">
        <v>37524</v>
      </c>
      <c r="X66" s="3">
        <v>38869</v>
      </c>
      <c r="Y66" s="3">
        <v>38742</v>
      </c>
      <c r="Z66" s="3">
        <v>39312</v>
      </c>
    </row>
    <row r="67" spans="2:33">
      <c r="B67" s="3" t="s">
        <v>56</v>
      </c>
      <c r="N67" s="3">
        <v>157</v>
      </c>
      <c r="O67" s="3">
        <v>213</v>
      </c>
      <c r="P67" s="3">
        <v>1423</v>
      </c>
      <c r="Q67" s="3">
        <v>108</v>
      </c>
      <c r="R67" s="3">
        <v>188</v>
      </c>
      <c r="S67" s="3">
        <v>1771</v>
      </c>
      <c r="T67" s="3">
        <v>682</v>
      </c>
      <c r="U67" s="3">
        <v>1003</v>
      </c>
      <c r="V67" s="3">
        <v>307</v>
      </c>
      <c r="W67" s="3">
        <v>207</v>
      </c>
      <c r="X67" s="3">
        <v>710</v>
      </c>
      <c r="Y67" s="3">
        <v>84</v>
      </c>
      <c r="Z67" s="3">
        <v>166</v>
      </c>
      <c r="AG67" s="13"/>
    </row>
    <row r="68" spans="2:33" s="5" customFormat="1">
      <c r="B68" s="5" t="s">
        <v>57</v>
      </c>
      <c r="N68" s="5">
        <f t="shared" ref="N68:U68" si="46">+SUM(N65:N67)</f>
        <v>32965</v>
      </c>
      <c r="O68" s="5">
        <f t="shared" si="46"/>
        <v>40280</v>
      </c>
      <c r="P68" s="5">
        <f t="shared" si="46"/>
        <v>30796</v>
      </c>
      <c r="Q68" s="5">
        <f t="shared" si="46"/>
        <v>27916</v>
      </c>
      <c r="R68" s="5">
        <f t="shared" si="46"/>
        <v>22028</v>
      </c>
      <c r="S68" s="5">
        <f t="shared" si="46"/>
        <v>27678</v>
      </c>
      <c r="T68" s="5">
        <f t="shared" si="46"/>
        <v>26277</v>
      </c>
      <c r="U68" s="5">
        <f t="shared" si="46"/>
        <v>31182</v>
      </c>
      <c r="V68" s="5">
        <f>+SUM(V65:V67)</f>
        <v>33914</v>
      </c>
      <c r="W68" s="5">
        <f>+SUM(W65:W67)</f>
        <v>40836</v>
      </c>
      <c r="X68" s="5">
        <f>+SUM(X65:X67)</f>
        <v>42958</v>
      </c>
      <c r="Y68" s="5">
        <f>+SUM(Y65:Y67)</f>
        <v>43908</v>
      </c>
      <c r="Z68" s="5">
        <f>+SUM(Z65:Z67)</f>
        <v>46596</v>
      </c>
    </row>
    <row r="69" spans="2:33">
      <c r="B69" s="3" t="s">
        <v>58</v>
      </c>
      <c r="N69" s="3">
        <v>43434</v>
      </c>
      <c r="O69" s="3">
        <v>41800</v>
      </c>
      <c r="P69" s="3">
        <v>47512</v>
      </c>
      <c r="Q69" s="3">
        <v>48728</v>
      </c>
      <c r="R69" s="3">
        <v>53581</v>
      </c>
      <c r="S69" s="3">
        <v>53088</v>
      </c>
      <c r="T69" s="3">
        <v>55900</v>
      </c>
      <c r="U69" s="3">
        <v>55116</v>
      </c>
      <c r="V69" s="3">
        <v>57384</v>
      </c>
      <c r="W69" s="3">
        <v>57271</v>
      </c>
      <c r="X69" s="3">
        <v>58011</v>
      </c>
      <c r="Y69" s="3">
        <v>58651</v>
      </c>
      <c r="Z69" s="3">
        <v>60237</v>
      </c>
    </row>
    <row r="70" spans="2:33" s="5" customFormat="1">
      <c r="B70" s="5" t="s">
        <v>32</v>
      </c>
      <c r="N70" s="5">
        <v>68029</v>
      </c>
      <c r="O70" s="5">
        <v>65633</v>
      </c>
      <c r="P70" s="5">
        <v>71775</v>
      </c>
      <c r="Q70" s="5">
        <v>73537</v>
      </c>
      <c r="R70" s="5">
        <v>85257</v>
      </c>
      <c r="S70" s="5">
        <v>85851</v>
      </c>
      <c r="T70" s="5">
        <v>92440</v>
      </c>
      <c r="U70" s="5">
        <v>95719</v>
      </c>
      <c r="V70" s="5">
        <v>104217</v>
      </c>
      <c r="W70" s="5">
        <v>104997</v>
      </c>
      <c r="X70" s="5">
        <v>110212</v>
      </c>
      <c r="Y70" s="5">
        <v>113257</v>
      </c>
      <c r="Z70" s="5">
        <v>120877</v>
      </c>
    </row>
    <row r="71" spans="2:33">
      <c r="B71" s="3" t="s">
        <v>59</v>
      </c>
      <c r="N71" s="3">
        <v>2614</v>
      </c>
      <c r="O71" s="3">
        <v>2133</v>
      </c>
      <c r="P71" s="3">
        <v>2154</v>
      </c>
      <c r="Q71" s="3">
        <v>2349</v>
      </c>
      <c r="R71" s="3">
        <v>2859</v>
      </c>
      <c r="S71" s="3">
        <v>3264</v>
      </c>
      <c r="T71" s="3">
        <v>3983</v>
      </c>
      <c r="U71" s="3">
        <v>4797</v>
      </c>
      <c r="V71" s="3">
        <v>5357</v>
      </c>
      <c r="W71" s="3">
        <v>5818</v>
      </c>
      <c r="X71" s="3">
        <v>6235</v>
      </c>
      <c r="Y71" s="3">
        <v>6483</v>
      </c>
      <c r="Z71" s="3">
        <v>6960</v>
      </c>
    </row>
    <row r="72" spans="2:33">
      <c r="B72" s="3" t="s">
        <v>60</v>
      </c>
      <c r="N72" s="3">
        <v>21631</v>
      </c>
      <c r="O72" s="3">
        <v>21270</v>
      </c>
      <c r="P72" s="3">
        <v>12443</v>
      </c>
      <c r="Q72" s="3">
        <v>9589</v>
      </c>
      <c r="R72" s="3">
        <v>2591</v>
      </c>
      <c r="S72" s="3">
        <v>4058</v>
      </c>
      <c r="T72" s="3">
        <v>4065</v>
      </c>
      <c r="U72" s="3">
        <v>4539</v>
      </c>
      <c r="V72" s="3">
        <v>4578</v>
      </c>
      <c r="W72" s="3">
        <v>3964</v>
      </c>
      <c r="X72" s="3">
        <v>4087</v>
      </c>
      <c r="Y72" s="3">
        <v>3160</v>
      </c>
      <c r="Z72" s="3">
        <v>2186</v>
      </c>
    </row>
    <row r="73" spans="2:33">
      <c r="B73" s="3" t="s">
        <v>61</v>
      </c>
      <c r="N73" s="3">
        <v>5015</v>
      </c>
      <c r="O73" s="3">
        <v>4943</v>
      </c>
      <c r="P73" s="3">
        <v>4891</v>
      </c>
      <c r="Q73" s="3">
        <v>4960</v>
      </c>
      <c r="R73" s="3">
        <v>4988</v>
      </c>
      <c r="S73" s="3">
        <v>5046</v>
      </c>
      <c r="T73" s="3">
        <v>5093</v>
      </c>
      <c r="U73" s="3">
        <v>5095</v>
      </c>
      <c r="V73" s="3">
        <v>5215</v>
      </c>
      <c r="W73" s="3">
        <v>5204</v>
      </c>
      <c r="X73" s="3">
        <v>5177</v>
      </c>
      <c r="Y73" s="3">
        <v>5124</v>
      </c>
      <c r="Z73" s="3">
        <v>5138</v>
      </c>
    </row>
    <row r="74" spans="2:33">
      <c r="B74" s="3" t="s">
        <v>62</v>
      </c>
      <c r="N74" s="3">
        <v>17679</v>
      </c>
      <c r="O74" s="3">
        <v>17008</v>
      </c>
      <c r="P74" s="3">
        <v>17402</v>
      </c>
      <c r="Q74" s="3">
        <v>17182</v>
      </c>
      <c r="R74" s="3">
        <v>17244</v>
      </c>
      <c r="S74" s="3">
        <v>16877</v>
      </c>
      <c r="T74" s="3">
        <v>17540</v>
      </c>
      <c r="U74" s="3">
        <v>18467</v>
      </c>
      <c r="V74" s="3">
        <v>17689</v>
      </c>
      <c r="W74" s="3">
        <v>17752</v>
      </c>
      <c r="X74" s="3">
        <v>18224</v>
      </c>
      <c r="Y74" s="3">
        <v>20004</v>
      </c>
      <c r="Z74" s="3">
        <v>19114</v>
      </c>
    </row>
    <row r="75" spans="2:33" s="5" customFormat="1">
      <c r="B75" s="5" t="s">
        <v>63</v>
      </c>
      <c r="N75" s="5">
        <f t="shared" ref="N75:U75" si="47">+SUM(N68:N74)</f>
        <v>191367</v>
      </c>
      <c r="O75" s="5">
        <f t="shared" si="47"/>
        <v>193067</v>
      </c>
      <c r="P75" s="5">
        <f t="shared" si="47"/>
        <v>186973</v>
      </c>
      <c r="Q75" s="5">
        <f t="shared" si="47"/>
        <v>184261</v>
      </c>
      <c r="R75" s="5">
        <f t="shared" si="47"/>
        <v>188548</v>
      </c>
      <c r="S75" s="5">
        <f t="shared" si="47"/>
        <v>195862</v>
      </c>
      <c r="T75" s="5">
        <f t="shared" si="47"/>
        <v>205298</v>
      </c>
      <c r="U75" s="5">
        <f t="shared" si="47"/>
        <v>214915</v>
      </c>
      <c r="V75" s="5">
        <f t="shared" ref="V75:X75" si="48">+SUM(V68:V74)</f>
        <v>228354</v>
      </c>
      <c r="W75" s="5">
        <f t="shared" ref="W75" si="49">+SUM(W68:W74)</f>
        <v>235842</v>
      </c>
      <c r="X75" s="5">
        <f t="shared" si="48"/>
        <v>244904</v>
      </c>
      <c r="Y75" s="5">
        <f t="shared" ref="Y75:Z75" si="50">+SUM(Y68:Y74)</f>
        <v>250587</v>
      </c>
      <c r="Z75" s="5">
        <f t="shared" si="50"/>
        <v>261108</v>
      </c>
    </row>
    <row r="77" spans="2:33">
      <c r="B77" s="3" t="s">
        <v>64</v>
      </c>
      <c r="N77" s="3">
        <v>86875</v>
      </c>
      <c r="O77" s="3">
        <v>89193</v>
      </c>
      <c r="P77" s="3">
        <v>84905</v>
      </c>
      <c r="Q77" s="3">
        <v>84326</v>
      </c>
      <c r="R77" s="3">
        <v>84382</v>
      </c>
      <c r="S77" s="3">
        <v>90917</v>
      </c>
      <c r="T77" s="3">
        <v>96411</v>
      </c>
      <c r="U77" s="3">
        <v>103463</v>
      </c>
      <c r="V77" s="3">
        <v>110239</v>
      </c>
      <c r="W77" s="3">
        <v>120806</v>
      </c>
      <c r="X77" s="3">
        <v>122756</v>
      </c>
      <c r="Y77" s="3">
        <v>124439</v>
      </c>
      <c r="Z77" s="3">
        <v>129144</v>
      </c>
    </row>
    <row r="78" spans="2:33">
      <c r="B78" s="3" t="s">
        <v>65</v>
      </c>
      <c r="N78" s="3">
        <v>9444</v>
      </c>
      <c r="O78" s="3">
        <v>8585</v>
      </c>
      <c r="P78" s="3">
        <v>9708</v>
      </c>
      <c r="Q78" s="3">
        <v>9641</v>
      </c>
      <c r="R78" s="3">
        <v>10574</v>
      </c>
      <c r="S78" s="3">
        <v>11196</v>
      </c>
      <c r="T78" s="3">
        <v>11371</v>
      </c>
      <c r="U78" s="3">
        <v>11021</v>
      </c>
      <c r="V78" s="3">
        <v>12133</v>
      </c>
      <c r="W78" s="3">
        <v>12526</v>
      </c>
      <c r="X78" s="3">
        <v>12359</v>
      </c>
      <c r="Y78" s="3">
        <v>13196</v>
      </c>
      <c r="Z78" s="3">
        <v>13109</v>
      </c>
    </row>
    <row r="79" spans="2:33">
      <c r="B79" s="3" t="s">
        <v>66</v>
      </c>
      <c r="N79" s="3">
        <v>1878</v>
      </c>
      <c r="O79" s="3">
        <v>1578</v>
      </c>
      <c r="P79" s="3">
        <v>1864</v>
      </c>
      <c r="Q79" s="3">
        <v>2253</v>
      </c>
      <c r="R79" s="3">
        <v>2243</v>
      </c>
      <c r="S79" s="3">
        <v>2122</v>
      </c>
      <c r="T79" s="3">
        <v>1984</v>
      </c>
      <c r="U79" s="3">
        <v>1515</v>
      </c>
      <c r="V79" s="3">
        <v>1348</v>
      </c>
      <c r="W79" s="3">
        <v>1724</v>
      </c>
      <c r="X79" s="3">
        <v>1583</v>
      </c>
      <c r="Y79" s="3">
        <v>1613</v>
      </c>
      <c r="Z79" s="3">
        <v>1293</v>
      </c>
    </row>
    <row r="80" spans="2:33">
      <c r="B80" s="3" t="s">
        <v>67</v>
      </c>
      <c r="N80" s="3">
        <v>42952</v>
      </c>
      <c r="O80" s="3">
        <v>42019</v>
      </c>
      <c r="P80" s="3">
        <v>37363</v>
      </c>
      <c r="Q80" s="3">
        <v>34483</v>
      </c>
      <c r="R80" s="3">
        <v>38675</v>
      </c>
      <c r="S80" s="3">
        <v>38337</v>
      </c>
      <c r="T80" s="3">
        <v>40495</v>
      </c>
      <c r="U80" s="3">
        <v>42393</v>
      </c>
      <c r="V80" s="3">
        <v>42573</v>
      </c>
      <c r="W80" s="3">
        <v>41138</v>
      </c>
      <c r="X80" s="3">
        <v>46725</v>
      </c>
      <c r="Y80" s="3">
        <v>46447</v>
      </c>
      <c r="Z80" s="3">
        <v>47866</v>
      </c>
    </row>
    <row r="81" spans="2:32">
      <c r="B81" s="3" t="s">
        <v>68</v>
      </c>
      <c r="N81" s="3">
        <v>27234</v>
      </c>
      <c r="O81" s="3">
        <v>27243</v>
      </c>
      <c r="P81" s="3">
        <v>27594</v>
      </c>
      <c r="Q81" s="3">
        <v>29132</v>
      </c>
      <c r="R81" s="3">
        <v>30497</v>
      </c>
      <c r="S81" s="3">
        <v>30907</v>
      </c>
      <c r="T81" s="3">
        <v>31802</v>
      </c>
      <c r="U81" s="3">
        <v>32583</v>
      </c>
      <c r="V81" s="3">
        <v>37350</v>
      </c>
      <c r="W81" s="3">
        <v>33656</v>
      </c>
      <c r="X81" s="3">
        <v>34778</v>
      </c>
      <c r="Y81" s="3">
        <v>37568</v>
      </c>
      <c r="Z81" s="3">
        <v>41639</v>
      </c>
    </row>
    <row r="82" spans="2:32" s="5" customFormat="1">
      <c r="B82" s="5" t="s">
        <v>69</v>
      </c>
      <c r="N82" s="5">
        <f t="shared" ref="N82:U82" si="51">+SUM(N77:N81)</f>
        <v>168383</v>
      </c>
      <c r="O82" s="5">
        <f t="shared" si="51"/>
        <v>168618</v>
      </c>
      <c r="P82" s="5">
        <f t="shared" si="51"/>
        <v>161434</v>
      </c>
      <c r="Q82" s="5">
        <f t="shared" si="51"/>
        <v>159835</v>
      </c>
      <c r="R82" s="5">
        <f t="shared" si="51"/>
        <v>166371</v>
      </c>
      <c r="S82" s="5">
        <f t="shared" si="51"/>
        <v>173479</v>
      </c>
      <c r="T82" s="5">
        <f t="shared" si="51"/>
        <v>182063</v>
      </c>
      <c r="U82" s="5">
        <f t="shared" si="51"/>
        <v>190975</v>
      </c>
      <c r="V82" s="5">
        <f t="shared" ref="V82:X82" si="52">+SUM(V77:V81)</f>
        <v>203643</v>
      </c>
      <c r="W82" s="5">
        <f t="shared" ref="W82" si="53">+SUM(W77:W81)</f>
        <v>209850</v>
      </c>
      <c r="X82" s="5">
        <f t="shared" si="52"/>
        <v>218201</v>
      </c>
      <c r="Y82" s="5">
        <f t="shared" ref="Y82:Z82" si="54">+SUM(Y77:Y81)</f>
        <v>223263</v>
      </c>
      <c r="Z82" s="5">
        <f t="shared" si="54"/>
        <v>233051</v>
      </c>
    </row>
    <row r="83" spans="2:32">
      <c r="B83" s="3" t="s">
        <v>70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2:32">
      <c r="B84" s="3" t="s">
        <v>71</v>
      </c>
      <c r="N84" s="3">
        <v>161</v>
      </c>
      <c r="O84" s="3">
        <v>161</v>
      </c>
      <c r="P84" s="3">
        <v>160</v>
      </c>
      <c r="Q84" s="3">
        <v>156</v>
      </c>
      <c r="R84" s="3">
        <v>153</v>
      </c>
      <c r="S84" s="3">
        <v>151</v>
      </c>
      <c r="T84" s="3">
        <v>151</v>
      </c>
      <c r="U84" s="3">
        <v>150</v>
      </c>
      <c r="V84" s="3">
        <v>149</v>
      </c>
      <c r="W84" s="3">
        <v>149</v>
      </c>
      <c r="X84" s="3">
        <v>148</v>
      </c>
      <c r="Y84" s="3">
        <v>146</v>
      </c>
      <c r="Z84" s="3">
        <v>145</v>
      </c>
    </row>
    <row r="85" spans="2:32">
      <c r="B85" s="3" t="s">
        <v>72</v>
      </c>
      <c r="N85" s="3">
        <v>11881</v>
      </c>
      <c r="O85" s="3">
        <v>11878</v>
      </c>
      <c r="P85" s="3">
        <v>11858</v>
      </c>
      <c r="Q85" s="3">
        <v>12401</v>
      </c>
      <c r="R85" s="3">
        <v>11495</v>
      </c>
      <c r="S85" s="3">
        <v>11451</v>
      </c>
      <c r="T85" s="3">
        <v>11476</v>
      </c>
      <c r="U85" s="3">
        <v>11482</v>
      </c>
      <c r="V85" s="3">
        <v>11493</v>
      </c>
      <c r="W85" s="3">
        <v>11522</v>
      </c>
      <c r="X85" s="3">
        <v>11509</v>
      </c>
      <c r="Y85" s="3">
        <v>11401</v>
      </c>
      <c r="Z85" s="3">
        <v>11372</v>
      </c>
    </row>
    <row r="86" spans="2:32">
      <c r="B86" s="3" t="s">
        <v>73</v>
      </c>
      <c r="N86" s="3">
        <v>13837</v>
      </c>
      <c r="O86" s="3">
        <v>15308</v>
      </c>
      <c r="P86" s="3">
        <v>16402</v>
      </c>
      <c r="Q86" s="3">
        <v>14832</v>
      </c>
      <c r="R86" s="3">
        <v>13474</v>
      </c>
      <c r="S86" s="3">
        <v>13754</v>
      </c>
      <c r="T86" s="3">
        <v>14751</v>
      </c>
      <c r="U86" s="3">
        <v>15685</v>
      </c>
      <c r="V86" s="3">
        <v>16279</v>
      </c>
      <c r="W86" s="3">
        <v>17427</v>
      </c>
      <c r="X86" s="3">
        <v>18130</v>
      </c>
      <c r="Y86" s="3">
        <v>18953</v>
      </c>
      <c r="Z86" s="3">
        <v>19612</v>
      </c>
    </row>
    <row r="87" spans="2:32">
      <c r="B87" s="3" t="s">
        <v>74</v>
      </c>
      <c r="N87" s="3">
        <v>65</v>
      </c>
      <c r="O87" s="3">
        <v>53</v>
      </c>
      <c r="P87" s="3">
        <v>42</v>
      </c>
      <c r="Q87" s="3">
        <v>34</v>
      </c>
      <c r="R87" s="3">
        <v>23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2:32">
      <c r="B88" s="3" t="s">
        <v>75</v>
      </c>
      <c r="N88" s="3">
        <v>-2229</v>
      </c>
      <c r="O88" s="3">
        <v>-2246</v>
      </c>
      <c r="P88" s="3">
        <v>-2227</v>
      </c>
      <c r="Q88" s="3">
        <v>-2310</v>
      </c>
      <c r="R88" s="3">
        <v>-2392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2:32">
      <c r="B89" s="3" t="s">
        <v>76</v>
      </c>
      <c r="N89" s="3">
        <v>-731</v>
      </c>
      <c r="O89" s="3">
        <v>-705</v>
      </c>
      <c r="P89" s="3">
        <v>-696</v>
      </c>
      <c r="Q89" s="3">
        <v>-687</v>
      </c>
      <c r="R89" s="3">
        <v>-576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2:32">
      <c r="B90" s="3" t="s">
        <v>115</v>
      </c>
      <c r="N90" s="3">
        <f>+SUM(N87:N89)</f>
        <v>-2895</v>
      </c>
      <c r="O90" s="3">
        <f t="shared" ref="O90:R90" si="55">+SUM(O87:O89)</f>
        <v>-2898</v>
      </c>
      <c r="P90" s="3">
        <f t="shared" si="55"/>
        <v>-2881</v>
      </c>
      <c r="Q90" s="3">
        <f t="shared" si="55"/>
        <v>-2963</v>
      </c>
      <c r="R90" s="3">
        <f t="shared" si="55"/>
        <v>-2945</v>
      </c>
      <c r="S90" s="3">
        <v>-2973</v>
      </c>
      <c r="T90" s="3">
        <v>-3143</v>
      </c>
      <c r="U90" s="3">
        <v>-3377</v>
      </c>
      <c r="V90" s="3">
        <v>-3210</v>
      </c>
      <c r="W90" s="3">
        <v>-3106</v>
      </c>
      <c r="X90" s="3">
        <v>-3084</v>
      </c>
      <c r="Y90" s="3">
        <v>-3176</v>
      </c>
      <c r="Z90" s="3">
        <v>-3072</v>
      </c>
    </row>
    <row r="91" spans="2:32">
      <c r="B91" s="3" t="s">
        <v>53</v>
      </c>
      <c r="N91" s="3">
        <f>+SUM(N83:N89)</f>
        <v>22984</v>
      </c>
      <c r="O91" s="3">
        <f>+SUM(O83:O89)</f>
        <v>24449</v>
      </c>
      <c r="P91" s="3">
        <f>+SUM(P83:P89)</f>
        <v>25539</v>
      </c>
      <c r="Q91" s="3">
        <f>+SUM(Q83:Q89)</f>
        <v>24426</v>
      </c>
      <c r="R91" s="3">
        <f>+SUM(R83:R89)</f>
        <v>22177</v>
      </c>
      <c r="S91" s="3">
        <f>+SUM(S83:S90)</f>
        <v>22383</v>
      </c>
      <c r="T91" s="3">
        <f>+SUM(T83:T90)</f>
        <v>23235</v>
      </c>
      <c r="U91" s="3">
        <f>+SUM(U83:U90)</f>
        <v>23940</v>
      </c>
      <c r="V91" s="3">
        <f>+SUM(V83:V90)</f>
        <v>24711</v>
      </c>
      <c r="W91" s="3">
        <f>+SUM(W83:W90)</f>
        <v>25992</v>
      </c>
      <c r="X91" s="3">
        <f>+SUM(X83:X90)</f>
        <v>26703</v>
      </c>
      <c r="Y91" s="3">
        <f>+SUM(Y83:Y90)</f>
        <v>27324</v>
      </c>
      <c r="Z91" s="3">
        <f>+SUM(Z83:Z90)</f>
        <v>28057</v>
      </c>
    </row>
    <row r="92" spans="2:32" s="5" customFormat="1">
      <c r="B92" s="5" t="s">
        <v>54</v>
      </c>
      <c r="N92" s="5">
        <f t="shared" ref="N92:U92" si="56">+N82+N91</f>
        <v>191367</v>
      </c>
      <c r="O92" s="5">
        <f t="shared" si="56"/>
        <v>193067</v>
      </c>
      <c r="P92" s="5">
        <f t="shared" si="56"/>
        <v>186973</v>
      </c>
      <c r="Q92" s="5">
        <f t="shared" si="56"/>
        <v>184261</v>
      </c>
      <c r="R92" s="5">
        <f t="shared" si="56"/>
        <v>188548</v>
      </c>
      <c r="S92" s="5">
        <f t="shared" si="56"/>
        <v>195862</v>
      </c>
      <c r="T92" s="5">
        <f t="shared" si="56"/>
        <v>205298</v>
      </c>
      <c r="U92" s="5">
        <f t="shared" si="56"/>
        <v>214915</v>
      </c>
      <c r="V92" s="5">
        <f t="shared" ref="V92:X92" si="57">+V82+V91</f>
        <v>228354</v>
      </c>
      <c r="W92" s="5">
        <f t="shared" ref="W92" si="58">+W82+W91</f>
        <v>235842</v>
      </c>
      <c r="X92" s="5">
        <f t="shared" si="57"/>
        <v>244904</v>
      </c>
      <c r="Y92" s="5">
        <f t="shared" ref="Y92:Z92" si="59">+Y82+Y91</f>
        <v>250587</v>
      </c>
      <c r="Z92" s="5">
        <f t="shared" si="59"/>
        <v>261108</v>
      </c>
    </row>
    <row r="93" spans="2:32" s="5" customFormat="1"/>
    <row r="94" spans="2:32" s="5" customFormat="1">
      <c r="B94" s="5" t="s">
        <v>138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N94" s="10">
        <v>73373</v>
      </c>
      <c r="O94" s="10">
        <v>70100</v>
      </c>
      <c r="P94" s="10">
        <v>75710</v>
      </c>
      <c r="Q94" s="10">
        <f>+Q70+Q95</f>
        <v>77026</v>
      </c>
      <c r="R94" s="10">
        <f>+R70+R95</f>
        <v>88562</v>
      </c>
      <c r="S94" s="10">
        <v>88832</v>
      </c>
      <c r="T94" s="10">
        <v>95437</v>
      </c>
      <c r="U94" s="10">
        <v>99038</v>
      </c>
      <c r="V94" s="10"/>
      <c r="W94" s="10"/>
      <c r="X94" s="10"/>
      <c r="Y94" s="10"/>
    </row>
    <row r="95" spans="2:32" s="10" customFormat="1">
      <c r="B95" s="10" t="s">
        <v>139</v>
      </c>
      <c r="N95" s="10">
        <v>5344</v>
      </c>
      <c r="O95" s="10">
        <f>+O94-O70</f>
        <v>4467</v>
      </c>
      <c r="P95" s="10">
        <f>+P94-P70</f>
        <v>3935</v>
      </c>
      <c r="Q95" s="10">
        <v>3489</v>
      </c>
      <c r="R95" s="10">
        <v>3305</v>
      </c>
      <c r="S95" s="10">
        <f>+S94-S70</f>
        <v>2981</v>
      </c>
      <c r="T95" s="10">
        <f>+T94-T70</f>
        <v>2997</v>
      </c>
      <c r="U95" s="10">
        <f>+U94-U70</f>
        <v>3319</v>
      </c>
    </row>
    <row r="96" spans="2:32" s="7" customFormat="1">
      <c r="B96" s="7" t="s">
        <v>140</v>
      </c>
      <c r="R96" s="7">
        <f>+R94/N94-1</f>
        <v>0.20701075327436524</v>
      </c>
      <c r="S96" s="7">
        <f>+S94/O94-1</f>
        <v>0.26721825962910128</v>
      </c>
      <c r="T96" s="7">
        <f>+T94/P94-1</f>
        <v>0.26056003169990749</v>
      </c>
      <c r="U96" s="7">
        <f>+U94/P94-1</f>
        <v>0.30812310130762111</v>
      </c>
      <c r="AF96" s="5"/>
    </row>
    <row r="97" spans="2:39" s="5" customFormat="1"/>
    <row r="98" spans="2:39" s="6" customFormat="1">
      <c r="B98" s="6" t="s">
        <v>81</v>
      </c>
      <c r="N98" s="6">
        <f>SUM(K36:N36)/N91</f>
        <v>0.13639923424991299</v>
      </c>
      <c r="O98" s="6">
        <f>SUM(L36:O36)/O91</f>
        <v>0.20463004621865924</v>
      </c>
      <c r="P98" s="6">
        <f>SUM(M36:P36)/P91</f>
        <v>0.27510865734758605</v>
      </c>
      <c r="Q98" s="6">
        <f>SUM(N36:Q36)/Q91</f>
        <v>0.31847211987226726</v>
      </c>
      <c r="R98" s="6">
        <f>SUM(O36:R36)/R91</f>
        <v>0.36343959958515581</v>
      </c>
      <c r="S98" s="6">
        <f>SUM(P36:S36)/S91</f>
        <v>0.35634186659518385</v>
      </c>
      <c r="T98" s="6">
        <f>SUM(Q36:T36)/T91</f>
        <v>0.3296750591779643</v>
      </c>
      <c r="U98" s="6">
        <f>SUM(R36:U36)/U91</f>
        <v>0.32218045112781957</v>
      </c>
      <c r="V98" s="6">
        <f>SUM(S36:V36)/V91</f>
        <v>0.30407510825138601</v>
      </c>
      <c r="W98" s="6">
        <f>SUM(T36:W36)/W91</f>
        <v>0.27620036934441367</v>
      </c>
      <c r="X98" s="6">
        <f>SUM(U36:X36)/X91</f>
        <v>0.27671048196831816</v>
      </c>
      <c r="Y98" s="6">
        <f>SUM(V36:Y36)/Y91</f>
        <v>0.29135558483384572</v>
      </c>
      <c r="Z98" s="6">
        <f>SUM(W36:Z36)/Z91</f>
        <v>0.29846384146558791</v>
      </c>
      <c r="AF98" s="3"/>
    </row>
    <row r="99" spans="2:39">
      <c r="B99" s="3" t="s">
        <v>83</v>
      </c>
      <c r="N99" s="3">
        <f t="shared" ref="N99:U99" si="60">+N75-N82</f>
        <v>22984</v>
      </c>
      <c r="O99" s="3">
        <f t="shared" si="60"/>
        <v>24449</v>
      </c>
      <c r="P99" s="3">
        <f t="shared" si="60"/>
        <v>25539</v>
      </c>
      <c r="Q99" s="3">
        <f t="shared" si="60"/>
        <v>24426</v>
      </c>
      <c r="R99" s="3">
        <f t="shared" si="60"/>
        <v>22177</v>
      </c>
      <c r="S99" s="3">
        <f t="shared" si="60"/>
        <v>22383</v>
      </c>
      <c r="T99" s="3">
        <f t="shared" si="60"/>
        <v>23235</v>
      </c>
      <c r="U99" s="3">
        <f t="shared" si="60"/>
        <v>23940</v>
      </c>
      <c r="V99" s="3">
        <f t="shared" ref="V99:Z99" si="61">+V75-V82</f>
        <v>24711</v>
      </c>
      <c r="W99" s="3">
        <f t="shared" si="61"/>
        <v>25992</v>
      </c>
      <c r="X99" s="3">
        <f t="shared" si="61"/>
        <v>26703</v>
      </c>
      <c r="Y99" s="3">
        <f t="shared" si="61"/>
        <v>27324</v>
      </c>
      <c r="Z99" s="3">
        <f t="shared" si="61"/>
        <v>28057</v>
      </c>
    </row>
    <row r="101" spans="2:39">
      <c r="B101" s="3" t="s">
        <v>42</v>
      </c>
      <c r="O101" s="3">
        <v>2235</v>
      </c>
      <c r="P101" s="3">
        <f>4515-O101</f>
        <v>2280</v>
      </c>
      <c r="Q101" s="3">
        <f>6341-SUM(O101:P101)</f>
        <v>1826</v>
      </c>
      <c r="R101" s="3">
        <f>8060-SUM(O101:Q101)</f>
        <v>1719</v>
      </c>
      <c r="S101" s="3">
        <v>2099</v>
      </c>
      <c r="T101" s="3">
        <f>4063-S101</f>
        <v>1964</v>
      </c>
      <c r="U101" s="3">
        <f>5942-SUM(S101:T101)</f>
        <v>1879</v>
      </c>
    </row>
    <row r="102" spans="2:39">
      <c r="B102" s="3" t="s">
        <v>84</v>
      </c>
      <c r="O102" s="3">
        <v>-675</v>
      </c>
      <c r="P102" s="3">
        <f>+-1281-O102</f>
        <v>-606</v>
      </c>
      <c r="Q102" s="3">
        <f>-1472-SUM(O102:P102)</f>
        <v>-191</v>
      </c>
      <c r="R102" s="3">
        <f>+-1419-SUM(O102:Q102)</f>
        <v>53</v>
      </c>
      <c r="S102" s="3">
        <v>-33</v>
      </c>
      <c r="T102" s="3">
        <f>377-S102</f>
        <v>410</v>
      </c>
      <c r="U102" s="3">
        <f>1155-SUM(S102:T102)</f>
        <v>778</v>
      </c>
    </row>
    <row r="103" spans="2:39">
      <c r="B103" s="3" t="s">
        <v>85</v>
      </c>
      <c r="O103" s="3">
        <v>422</v>
      </c>
      <c r="P103" s="3">
        <f>834-O103</f>
        <v>412</v>
      </c>
      <c r="Q103" s="3">
        <f>1276-SUM(O103:P103)</f>
        <v>442</v>
      </c>
      <c r="R103" s="3">
        <f>1695-SUM(O103:Q103)</f>
        <v>419</v>
      </c>
      <c r="S103" s="3">
        <v>398</v>
      </c>
      <c r="T103" s="3">
        <f>795-S103</f>
        <v>397</v>
      </c>
      <c r="U103" s="3">
        <f>1208-SUM(S103:T103)</f>
        <v>413</v>
      </c>
    </row>
    <row r="104" spans="2:39">
      <c r="B104" s="3" t="s">
        <v>86</v>
      </c>
      <c r="O104" s="3">
        <v>98</v>
      </c>
      <c r="P104" s="3">
        <f>+-294-O104</f>
        <v>-392</v>
      </c>
      <c r="Q104" s="3">
        <f>256-SUM(O104:P104)</f>
        <v>550</v>
      </c>
      <c r="R104" s="3">
        <f>330-SUM(O104:Q104)</f>
        <v>74</v>
      </c>
      <c r="S104" s="3">
        <v>122</v>
      </c>
      <c r="T104" s="3">
        <f>198-S104</f>
        <v>76</v>
      </c>
      <c r="U104" s="3">
        <f>282-SUM(S104:T104)</f>
        <v>84</v>
      </c>
    </row>
    <row r="105" spans="2:39">
      <c r="B105" s="3" t="s">
        <v>87</v>
      </c>
      <c r="O105" s="3">
        <v>-81</v>
      </c>
      <c r="P105" s="3">
        <f>183-O105</f>
        <v>264</v>
      </c>
      <c r="Q105" s="3">
        <f>+-446-SUM(O105:P105)</f>
        <v>-629</v>
      </c>
      <c r="R105" s="3">
        <f>294-SUM(O105:Q105)</f>
        <v>740</v>
      </c>
      <c r="S105" s="3">
        <v>-69</v>
      </c>
      <c r="T105" s="3">
        <f>+-402-S105</f>
        <v>-333</v>
      </c>
      <c r="U105" s="3">
        <f>+-749-SUM(S105:T105)</f>
        <v>-347</v>
      </c>
    </row>
    <row r="106" spans="2:39">
      <c r="B106" s="3" t="s">
        <v>88</v>
      </c>
      <c r="O106" s="3">
        <v>0</v>
      </c>
      <c r="P106" s="3">
        <f>0-O106</f>
        <v>0</v>
      </c>
      <c r="Q106" s="3">
        <v>0</v>
      </c>
      <c r="R106" s="3">
        <f>+-772-SUM(O106:Q106)</f>
        <v>-772</v>
      </c>
      <c r="S106" s="3">
        <v>-47</v>
      </c>
      <c r="T106" s="3">
        <f>128-S106</f>
        <v>175</v>
      </c>
      <c r="U106" s="3">
        <f>535-SUM(S106:T106)</f>
        <v>407</v>
      </c>
    </row>
    <row r="107" spans="2:39">
      <c r="B107" s="3" t="s">
        <v>89</v>
      </c>
      <c r="O107" s="3">
        <v>477</v>
      </c>
      <c r="P107" s="3">
        <f>282-O107</f>
        <v>-195</v>
      </c>
      <c r="Q107" s="3">
        <f>863-SUM(O107:P107)</f>
        <v>581</v>
      </c>
      <c r="R107" s="3">
        <f>1068-SUM(O107:Q107)</f>
        <v>205</v>
      </c>
      <c r="S107" s="3">
        <v>323</v>
      </c>
      <c r="T107" s="3">
        <f>+-90-S107</f>
        <v>-413</v>
      </c>
      <c r="U107" s="3">
        <f>+-185-SUM(S107:T107)</f>
        <v>-95</v>
      </c>
    </row>
    <row r="108" spans="2:39">
      <c r="B108" s="3" t="s">
        <v>116</v>
      </c>
      <c r="S108" s="3">
        <v>0</v>
      </c>
      <c r="T108" s="3">
        <f>88-S108</f>
        <v>88</v>
      </c>
      <c r="U108" s="3">
        <f>180-SUM(S108:T108)</f>
        <v>92</v>
      </c>
    </row>
    <row r="109" spans="2:39">
      <c r="B109" s="3" t="s">
        <v>117</v>
      </c>
      <c r="S109" s="3">
        <v>0</v>
      </c>
      <c r="T109" s="3">
        <f>246-S109</f>
        <v>246</v>
      </c>
      <c r="U109" s="3">
        <f>409-SUM(S109:T109)</f>
        <v>163</v>
      </c>
    </row>
    <row r="110" spans="2:39">
      <c r="B110" s="3" t="s">
        <v>90</v>
      </c>
      <c r="O110" s="3">
        <f>+-196</f>
        <v>-196</v>
      </c>
      <c r="P110" s="3">
        <f>1226-O110</f>
        <v>1422</v>
      </c>
      <c r="Q110" s="3">
        <f>2819-SUM(O110:P110)</f>
        <v>1593</v>
      </c>
      <c r="R110" s="3">
        <f>5389-SUM(O110:Q110)</f>
        <v>2570</v>
      </c>
      <c r="S110" s="3">
        <v>1087</v>
      </c>
      <c r="T110" s="3">
        <f>2736-S110</f>
        <v>1649</v>
      </c>
      <c r="U110" s="3">
        <f>3870-SUM(S110:T110)</f>
        <v>1134</v>
      </c>
    </row>
    <row r="111" spans="2:39" s="5" customFormat="1">
      <c r="B111" s="5" t="s">
        <v>91</v>
      </c>
      <c r="O111" s="5">
        <f t="shared" ref="O111:U111" si="62">+SUM(O101:O110)</f>
        <v>2280</v>
      </c>
      <c r="P111" s="5">
        <f t="shared" si="62"/>
        <v>3185</v>
      </c>
      <c r="Q111" s="5">
        <f t="shared" si="62"/>
        <v>4172</v>
      </c>
      <c r="R111" s="5">
        <f t="shared" si="62"/>
        <v>5008</v>
      </c>
      <c r="S111" s="5">
        <f t="shared" si="62"/>
        <v>3880</v>
      </c>
      <c r="T111" s="5">
        <f t="shared" si="62"/>
        <v>4259</v>
      </c>
      <c r="U111" s="5">
        <f t="shared" si="62"/>
        <v>4508</v>
      </c>
      <c r="AM111" s="3"/>
    </row>
    <row r="113" spans="2:39">
      <c r="B113" s="3" t="s">
        <v>92</v>
      </c>
      <c r="O113" s="3">
        <v>37</v>
      </c>
      <c r="P113" s="3">
        <f>37-O113</f>
        <v>0</v>
      </c>
      <c r="Q113" s="3">
        <f>37-SUM(O113:P113)</f>
        <v>0</v>
      </c>
      <c r="R113" s="3">
        <f>62-SUM(O113:Q113)</f>
        <v>25</v>
      </c>
      <c r="S113" s="3">
        <v>16</v>
      </c>
      <c r="T113" s="3">
        <f>16-S113</f>
        <v>0</v>
      </c>
      <c r="U113" s="3">
        <f>25-SUM(S113:T113)</f>
        <v>9</v>
      </c>
    </row>
    <row r="114" spans="2:39">
      <c r="B114" s="3" t="s">
        <v>93</v>
      </c>
      <c r="O114" s="3">
        <v>553</v>
      </c>
      <c r="P114" s="3">
        <f>9684-O114</f>
        <v>9131</v>
      </c>
      <c r="Q114" s="3">
        <f>12803-SUM(O114:P114)</f>
        <v>3119</v>
      </c>
      <c r="R114" s="3">
        <f>20032-SUM(O114:Q114)</f>
        <v>7229</v>
      </c>
      <c r="S114" s="3">
        <v>767</v>
      </c>
      <c r="T114" s="3">
        <f>1096-S114</f>
        <v>329</v>
      </c>
      <c r="U114" s="3">
        <f>1738-SUM(S114:T114)</f>
        <v>642</v>
      </c>
    </row>
    <row r="115" spans="2:39">
      <c r="B115" s="3" t="s">
        <v>94</v>
      </c>
      <c r="O115" s="3">
        <v>-366</v>
      </c>
      <c r="P115" s="3">
        <f>+-824-O115</f>
        <v>-458</v>
      </c>
      <c r="Q115" s="3">
        <f>+-1179-SUM(O115:P115)</f>
        <v>-355</v>
      </c>
      <c r="R115" s="3">
        <f>+-1517-SUM(O115:Q115)</f>
        <v>-338</v>
      </c>
      <c r="S115" s="3">
        <v>-2328</v>
      </c>
      <c r="T115" s="3">
        <f>+-2674-S115</f>
        <v>-346</v>
      </c>
      <c r="U115" s="3">
        <f>+-3890-SUM(S115:T115)</f>
        <v>-1216</v>
      </c>
    </row>
    <row r="116" spans="2:39">
      <c r="B116" s="3" t="s">
        <v>95</v>
      </c>
      <c r="O116" s="3">
        <v>4869</v>
      </c>
      <c r="P116" s="3">
        <f>+-6280-O116</f>
        <v>-11149</v>
      </c>
      <c r="Q116" s="3">
        <f>+-9790-SUM(O116:P116)</f>
        <v>-3510</v>
      </c>
      <c r="R116" s="3">
        <f>+-27557-SUM(O116:Q116)</f>
        <v>-17767</v>
      </c>
      <c r="S116" s="3">
        <v>-785</v>
      </c>
      <c r="T116" s="3">
        <f>+-12916-S116</f>
        <v>-12131</v>
      </c>
      <c r="U116" s="3">
        <f>-19431-SUM(S116:T116)</f>
        <v>-6515</v>
      </c>
    </row>
    <row r="117" spans="2:39">
      <c r="B117" s="3" t="s">
        <v>96</v>
      </c>
      <c r="O117" s="3">
        <v>-319</v>
      </c>
      <c r="P117" s="3">
        <f>+-609-O117</f>
        <v>-290</v>
      </c>
      <c r="Q117" s="3">
        <f>+-1079-SUM(O117:P117)</f>
        <v>-470</v>
      </c>
      <c r="R117" s="3">
        <f>+-1550-SUM(O117:Q117)</f>
        <v>-471</v>
      </c>
      <c r="S117" s="3">
        <v>-447</v>
      </c>
      <c r="T117" s="3">
        <f>+-899-S117</f>
        <v>-452</v>
      </c>
      <c r="U117" s="3">
        <f>+-1342-SUM(S117:T117)</f>
        <v>-443</v>
      </c>
    </row>
    <row r="118" spans="2:39">
      <c r="B118" s="3" t="s">
        <v>97</v>
      </c>
      <c r="O118" s="3">
        <v>0</v>
      </c>
      <c r="P118" s="3">
        <f>0-O118</f>
        <v>0</v>
      </c>
      <c r="Q118" s="3">
        <v>0</v>
      </c>
      <c r="R118" s="3">
        <f>1-SUM(O118:Q118)</f>
        <v>1</v>
      </c>
      <c r="S118" s="3">
        <v>0</v>
      </c>
      <c r="T118" s="3">
        <f>+-15-S118</f>
        <v>-15</v>
      </c>
      <c r="U118" s="3">
        <f>+-15-SUM(S118:T118)</f>
        <v>0</v>
      </c>
    </row>
    <row r="119" spans="2:39">
      <c r="B119" s="3" t="s">
        <v>98</v>
      </c>
      <c r="O119" s="3">
        <v>0</v>
      </c>
      <c r="P119" s="3">
        <f>1-O119</f>
        <v>1</v>
      </c>
      <c r="Q119" s="3">
        <f>1-SUM(O119:P119)</f>
        <v>0</v>
      </c>
      <c r="R119" s="3">
        <f>0-SUM(O119:Q119)</f>
        <v>-1</v>
      </c>
      <c r="S119" s="3">
        <v>0</v>
      </c>
      <c r="T119" s="3">
        <v>0</v>
      </c>
      <c r="U119" s="3">
        <v>0</v>
      </c>
    </row>
    <row r="120" spans="2:39" s="5" customFormat="1">
      <c r="B120" s="5" t="s">
        <v>99</v>
      </c>
      <c r="O120" s="5">
        <f t="shared" ref="O120:U120" si="63">+SUM(O113:O119)</f>
        <v>4774</v>
      </c>
      <c r="P120" s="5">
        <f t="shared" si="63"/>
        <v>-2765</v>
      </c>
      <c r="Q120" s="5">
        <f t="shared" si="63"/>
        <v>-1216</v>
      </c>
      <c r="R120" s="5">
        <f t="shared" si="63"/>
        <v>-11322</v>
      </c>
      <c r="S120" s="5">
        <f t="shared" si="63"/>
        <v>-2777</v>
      </c>
      <c r="T120" s="5">
        <f t="shared" si="63"/>
        <v>-12615</v>
      </c>
      <c r="U120" s="5">
        <f t="shared" si="63"/>
        <v>-7523</v>
      </c>
      <c r="AM120" s="3"/>
    </row>
    <row r="122" spans="2:39">
      <c r="B122" s="3" t="s">
        <v>100</v>
      </c>
      <c r="O122" s="3">
        <v>2327</v>
      </c>
      <c r="P122" s="3">
        <f>+-1966-O122</f>
        <v>-4293</v>
      </c>
      <c r="Q122" s="3">
        <f>-2534-SUM(O122:P122)</f>
        <v>-568</v>
      </c>
      <c r="R122" s="3">
        <f>+-2468-SUM(O122:Q122)</f>
        <v>66</v>
      </c>
      <c r="S122" s="3">
        <v>6541</v>
      </c>
      <c r="T122" s="3">
        <f>12060-S122</f>
        <v>5519</v>
      </c>
      <c r="U122" s="3">
        <f>19148-SUM(S122:T122)</f>
        <v>7088</v>
      </c>
    </row>
    <row r="123" spans="2:39">
      <c r="B123" s="3" t="s">
        <v>66</v>
      </c>
      <c r="O123" s="3">
        <v>-271</v>
      </c>
      <c r="P123" s="3">
        <f>17-O123</f>
        <v>288</v>
      </c>
      <c r="Q123" s="3">
        <f>428-SUM(O123:P123)</f>
        <v>411</v>
      </c>
      <c r="R123" s="3">
        <f>461-SUM(O123:Q123)</f>
        <v>33</v>
      </c>
      <c r="S123" s="3">
        <v>-59</v>
      </c>
      <c r="T123" s="3">
        <f>+-63-S123</f>
        <v>-4</v>
      </c>
      <c r="U123" s="3">
        <f>+-438-SUM(S123:T123)</f>
        <v>-375</v>
      </c>
    </row>
    <row r="124" spans="2:39">
      <c r="B124" s="3" t="s">
        <v>101</v>
      </c>
      <c r="O124" s="3">
        <v>0</v>
      </c>
      <c r="P124" s="3">
        <f>18-O124</f>
        <v>18</v>
      </c>
      <c r="Q124" s="3">
        <f>38-SUM(O124:P124)</f>
        <v>20</v>
      </c>
      <c r="R124" s="3">
        <f>7788-SUM(O124:Q124)</f>
        <v>7750</v>
      </c>
      <c r="S124" s="3">
        <v>6231</v>
      </c>
      <c r="T124" s="3">
        <f>14710-S124</f>
        <v>8479</v>
      </c>
      <c r="U124" s="3">
        <f>20740-SUM(S124:T124)</f>
        <v>6030</v>
      </c>
    </row>
    <row r="125" spans="2:39">
      <c r="B125" s="3" t="s">
        <v>102</v>
      </c>
      <c r="O125" s="3">
        <v>-750</v>
      </c>
      <c r="P125" s="3">
        <f>+-5409-O125</f>
        <v>-4659</v>
      </c>
      <c r="Q125" s="3">
        <f>+-8247-SUM(O125:P125)</f>
        <v>-2838</v>
      </c>
      <c r="R125" s="3">
        <f>+-11662-SUM(O125:Q125)</f>
        <v>-3415</v>
      </c>
      <c r="S125" s="3">
        <v>-6314</v>
      </c>
      <c r="T125" s="3">
        <f>+-12529-S125</f>
        <v>-6215</v>
      </c>
      <c r="U125" s="3">
        <f>-16549-SUM(S125:T125)</f>
        <v>-4020</v>
      </c>
    </row>
    <row r="126" spans="2:39">
      <c r="B126" s="3" t="s">
        <v>103</v>
      </c>
      <c r="O126" s="3">
        <v>0</v>
      </c>
      <c r="P126" s="3">
        <f>0-O126</f>
        <v>0</v>
      </c>
      <c r="Q126" s="3">
        <f>1584-SUM(O126:P126)</f>
        <v>1584</v>
      </c>
      <c r="R126" s="3">
        <f>1584-SUM(O126:Q126)</f>
        <v>0</v>
      </c>
      <c r="S126" s="3">
        <v>0</v>
      </c>
      <c r="T126" s="3">
        <v>0</v>
      </c>
      <c r="U126" s="3">
        <v>0</v>
      </c>
    </row>
    <row r="127" spans="2:39">
      <c r="B127" s="3" t="s">
        <v>104</v>
      </c>
      <c r="O127" s="3">
        <v>0</v>
      </c>
      <c r="P127" s="3">
        <f>0-O127</f>
        <v>0</v>
      </c>
      <c r="Q127" s="3">
        <f>+-850-SUM(O127:P127)</f>
        <v>-850</v>
      </c>
      <c r="R127" s="3">
        <f>+-1600-SUM(O127:Q127)</f>
        <v>-750</v>
      </c>
      <c r="S127" s="3">
        <v>0</v>
      </c>
      <c r="T127" s="3">
        <v>0</v>
      </c>
      <c r="U127" s="3">
        <v>0</v>
      </c>
    </row>
    <row r="128" spans="2:39">
      <c r="B128" s="3" t="s">
        <v>105</v>
      </c>
      <c r="O128" s="3">
        <v>31</v>
      </c>
      <c r="P128" s="3">
        <f>45-O128</f>
        <v>14</v>
      </c>
      <c r="Q128" s="3">
        <f>54-SUM(O128:P128)</f>
        <v>9</v>
      </c>
      <c r="R128" s="3">
        <f>64-SUM(O128:Q128)</f>
        <v>10</v>
      </c>
      <c r="S128" s="3">
        <v>49</v>
      </c>
      <c r="T128" s="3">
        <f>54-S128</f>
        <v>5</v>
      </c>
      <c r="U128" s="3">
        <f>54-SUM(S128:T128)</f>
        <v>0</v>
      </c>
    </row>
    <row r="129" spans="2:39">
      <c r="B129" s="3" t="s">
        <v>110</v>
      </c>
      <c r="O129" s="3">
        <v>-513</v>
      </c>
      <c r="P129" s="3">
        <f>+-1397-O129</f>
        <v>-884</v>
      </c>
      <c r="Q129" s="3">
        <f>+-4681-SUM(O129:P129)</f>
        <v>-3284</v>
      </c>
      <c r="R129" s="3">
        <f>+-7652-SUM(O129:Q129)</f>
        <v>-2971</v>
      </c>
      <c r="S129" s="3">
        <v>-1570</v>
      </c>
      <c r="T129" s="3">
        <v>0</v>
      </c>
      <c r="U129" s="3">
        <f>+-2862-SUM(S129:T129)</f>
        <v>-1292</v>
      </c>
    </row>
    <row r="130" spans="2:39">
      <c r="B130" s="3" t="s">
        <v>106</v>
      </c>
      <c r="O130" s="3">
        <v>-363</v>
      </c>
      <c r="P130" s="3">
        <f>+-724-O130</f>
        <v>-361</v>
      </c>
      <c r="Q130" s="3">
        <f>+-1090-SUM(O130:P130)</f>
        <v>-366</v>
      </c>
      <c r="R130" s="3">
        <f>+-1448-SUM(O130:Q130)</f>
        <v>-358</v>
      </c>
      <c r="S130" s="3">
        <v>-345</v>
      </c>
      <c r="T130" s="3">
        <f>+-2261-S130</f>
        <v>-1916</v>
      </c>
      <c r="U130" s="3">
        <f>+-1160-SUM(S130:T130)</f>
        <v>1101</v>
      </c>
    </row>
    <row r="131" spans="2:39" s="5" customFormat="1">
      <c r="B131" s="5" t="s">
        <v>107</v>
      </c>
      <c r="O131" s="5">
        <f t="shared" ref="O131:U131" si="64">+SUM(O122:O130)</f>
        <v>461</v>
      </c>
      <c r="P131" s="5">
        <f t="shared" si="64"/>
        <v>-9877</v>
      </c>
      <c r="Q131" s="5">
        <f t="shared" si="64"/>
        <v>-5882</v>
      </c>
      <c r="R131" s="5">
        <f t="shared" si="64"/>
        <v>365</v>
      </c>
      <c r="S131" s="5">
        <f t="shared" si="64"/>
        <v>4533</v>
      </c>
      <c r="T131" s="5">
        <f t="shared" si="64"/>
        <v>5868</v>
      </c>
      <c r="U131" s="5">
        <f t="shared" si="64"/>
        <v>8532</v>
      </c>
      <c r="AM131" s="3"/>
    </row>
    <row r="132" spans="2:39">
      <c r="B132" s="3" t="s">
        <v>108</v>
      </c>
      <c r="O132" s="3">
        <v>-200</v>
      </c>
      <c r="P132" s="3">
        <f>+-227-O132</f>
        <v>-27</v>
      </c>
      <c r="Q132" s="3">
        <f>+-181-SUM(O132:P132)</f>
        <v>46</v>
      </c>
      <c r="R132" s="3">
        <f>+-120-SUM(O132:Q132)</f>
        <v>61</v>
      </c>
      <c r="S132" s="3">
        <v>14</v>
      </c>
      <c r="T132" s="3">
        <f>284-S132</f>
        <v>270</v>
      </c>
      <c r="U132" s="3">
        <f>489-SUM(S132:T132)</f>
        <v>205</v>
      </c>
    </row>
    <row r="133" spans="2:39" s="5" customFormat="1">
      <c r="B133" s="5" t="s">
        <v>109</v>
      </c>
      <c r="O133" s="5">
        <f t="shared" ref="O133:U133" si="65">+O111+O120+O131+O132</f>
        <v>7315</v>
      </c>
      <c r="P133" s="5">
        <f t="shared" si="65"/>
        <v>-9484</v>
      </c>
      <c r="Q133" s="5">
        <f t="shared" si="65"/>
        <v>-2880</v>
      </c>
      <c r="R133" s="5">
        <f t="shared" si="65"/>
        <v>-5888</v>
      </c>
      <c r="S133" s="5">
        <f t="shared" si="65"/>
        <v>5650</v>
      </c>
      <c r="T133" s="5">
        <f t="shared" si="65"/>
        <v>-2218</v>
      </c>
      <c r="U133" s="5">
        <f t="shared" si="65"/>
        <v>5722</v>
      </c>
      <c r="AM133" s="3"/>
    </row>
    <row r="135" spans="2:39">
      <c r="B135" s="3" t="s">
        <v>111</v>
      </c>
      <c r="O135" s="3">
        <f t="shared" ref="O135:Q135" si="66">+O111+O117-O104</f>
        <v>1863</v>
      </c>
      <c r="P135" s="3">
        <f t="shared" si="66"/>
        <v>3287</v>
      </c>
      <c r="Q135" s="3">
        <f t="shared" si="66"/>
        <v>3152</v>
      </c>
      <c r="R135" s="3">
        <f>+R111+R117-R104</f>
        <v>4463</v>
      </c>
      <c r="S135" s="3">
        <f>+S111+S117-S104</f>
        <v>3311</v>
      </c>
      <c r="T135" s="3">
        <f>+T111+T117-T104</f>
        <v>3731</v>
      </c>
      <c r="U135" s="3">
        <f>+U111+U117-U104</f>
        <v>3981</v>
      </c>
    </row>
    <row r="136" spans="2:39">
      <c r="B136" s="3" t="s">
        <v>118</v>
      </c>
      <c r="O136" s="3">
        <f>+O135-O103</f>
        <v>1441</v>
      </c>
      <c r="P136" s="3">
        <f t="shared" ref="P136:U136" si="67">+P135-P103</f>
        <v>2875</v>
      </c>
      <c r="Q136" s="3">
        <f>+Q135-Q103</f>
        <v>2710</v>
      </c>
      <c r="R136" s="3">
        <f>+R135-R103</f>
        <v>4044</v>
      </c>
      <c r="S136" s="3">
        <f>+S135-S103</f>
        <v>2913</v>
      </c>
      <c r="T136" s="3">
        <f t="shared" si="67"/>
        <v>3334</v>
      </c>
      <c r="U136" s="3">
        <f t="shared" si="67"/>
        <v>3568</v>
      </c>
    </row>
    <row r="137" spans="2:39">
      <c r="B137" s="3" t="s">
        <v>119</v>
      </c>
      <c r="O137" s="3">
        <f>+O36</f>
        <v>2235</v>
      </c>
      <c r="P137" s="3">
        <f>+P36</f>
        <v>2280</v>
      </c>
      <c r="Q137" s="3">
        <f>+Q36</f>
        <v>1826</v>
      </c>
      <c r="R137" s="3">
        <f>+R36</f>
        <v>1719</v>
      </c>
      <c r="S137" s="3">
        <f>+S36</f>
        <v>2151</v>
      </c>
      <c r="T137" s="3">
        <f>+T36</f>
        <v>1964</v>
      </c>
      <c r="U137" s="3">
        <f>+U36</f>
        <v>1879</v>
      </c>
    </row>
    <row r="140" spans="2:39">
      <c r="B140" s="3" t="s">
        <v>120</v>
      </c>
      <c r="R140" s="3">
        <f t="shared" ref="R140:T142" si="68">+SUM(O135:R135)</f>
        <v>12765</v>
      </c>
      <c r="S140" s="3">
        <f t="shared" si="68"/>
        <v>14213</v>
      </c>
      <c r="T140" s="3">
        <f t="shared" si="68"/>
        <v>14657</v>
      </c>
      <c r="U140" s="3">
        <f>+SUM(R135:U135)</f>
        <v>15486</v>
      </c>
    </row>
    <row r="141" spans="2:39">
      <c r="B141" s="3" t="s">
        <v>121</v>
      </c>
      <c r="R141" s="3">
        <f t="shared" si="68"/>
        <v>11070</v>
      </c>
      <c r="S141" s="3">
        <f t="shared" si="68"/>
        <v>12542</v>
      </c>
      <c r="T141" s="3">
        <f t="shared" si="68"/>
        <v>13001</v>
      </c>
      <c r="U141" s="3">
        <f t="shared" ref="U141:U142" si="69">+SUM(R136:U136)</f>
        <v>13859</v>
      </c>
    </row>
    <row r="142" spans="2:39">
      <c r="B142" s="3" t="s">
        <v>122</v>
      </c>
      <c r="R142" s="3">
        <f t="shared" si="68"/>
        <v>8060</v>
      </c>
      <c r="S142" s="3">
        <f t="shared" si="68"/>
        <v>7976</v>
      </c>
      <c r="T142" s="3">
        <f t="shared" si="68"/>
        <v>7660</v>
      </c>
      <c r="U142" s="3">
        <f t="shared" si="69"/>
        <v>7713</v>
      </c>
    </row>
  </sheetData>
  <pageMargins left="0.7" right="0.7" top="0.75" bottom="0.75" header="0.3" footer="0.3"/>
  <pageSetup orientation="portrait" horizontalDpi="0" verticalDpi="0"/>
  <ignoredErrors>
    <ignoredError sqref="N9:N38 J13:J38 F9:F38 R13:R38 F2" formula="1"/>
    <ignoredError sqref="AF13:AG13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9ADB-BAC9-1E4C-8E84-532918EE24F2}">
  <dimension ref="A1"/>
  <sheetViews>
    <sheetView workbookViewId="0">
      <selection activeCell="C11" sqref="C11"/>
    </sheetView>
  </sheetViews>
  <sheetFormatPr baseColWidth="10" defaultRowHeight="1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8F20-701C-834E-8549-DD0249DDA890}">
  <dimension ref="A1"/>
  <sheetViews>
    <sheetView zoomScale="242" workbookViewId="0">
      <selection activeCell="E6" sqref="E6"/>
    </sheetView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D4EE-0F09-0645-A310-6017C5861167}">
  <dimension ref="A1"/>
  <sheetViews>
    <sheetView workbookViewId="0">
      <selection activeCell="G62" sqref="G62"/>
    </sheetView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Portfolio</vt:lpstr>
      <vt:lpstr>data analysis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2022-02-16T14:35:24Z</dcterms:created>
  <dcterms:modified xsi:type="dcterms:W3CDTF">2024-03-22T14:01:26Z</dcterms:modified>
</cp:coreProperties>
</file>