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9C9E9C85-9F2E-0F4E-9A5C-CE8DEF35BFEE}" xr6:coauthVersionLast="47" xr6:coauthVersionMax="47" xr10:uidLastSave="{00000000-0000-0000-0000-000000000000}"/>
  <bookViews>
    <workbookView xWindow="2640" yWindow="500" windowWidth="41500" windowHeight="23520" activeTab="1" xr2:uid="{68853114-4A9D-F642-8668-56CE329F4C0C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9" i="2" l="1"/>
  <c r="AD108" i="2"/>
  <c r="AE109" i="2"/>
  <c r="AE108" i="2"/>
  <c r="AF109" i="2"/>
  <c r="AG109" i="2"/>
  <c r="AF108" i="2"/>
  <c r="AG108" i="2"/>
  <c r="AU47" i="2"/>
  <c r="AU48" i="2" s="1"/>
  <c r="AZ45" i="2"/>
  <c r="AU45" i="2"/>
  <c r="AT44" i="2"/>
  <c r="AY45" i="2" s="1"/>
  <c r="AB14" i="2"/>
  <c r="AC14" i="2"/>
  <c r="AD14" i="2"/>
  <c r="AF14" i="2"/>
  <c r="AK9" i="2"/>
  <c r="AK6" i="2"/>
  <c r="AL6" i="2" s="1"/>
  <c r="AM6" i="2" s="1"/>
  <c r="AN6" i="2" s="1"/>
  <c r="AO6" i="2" s="1"/>
  <c r="AP6" i="2" s="1"/>
  <c r="AQ6" i="2" s="1"/>
  <c r="Q44" i="2"/>
  <c r="Q38" i="2"/>
  <c r="Q37" i="2"/>
  <c r="Q36" i="2"/>
  <c r="AF38" i="2"/>
  <c r="AF37" i="2"/>
  <c r="AE37" i="2"/>
  <c r="AD37" i="2"/>
  <c r="AF36" i="2"/>
  <c r="AE36" i="2"/>
  <c r="AD36" i="2"/>
  <c r="AG38" i="2"/>
  <c r="AG37" i="2"/>
  <c r="AG36" i="2"/>
  <c r="R4" i="2"/>
  <c r="R3" i="2"/>
  <c r="R5" i="2" s="1"/>
  <c r="AH5" i="2" s="1"/>
  <c r="AI5" i="2" s="1"/>
  <c r="AG5" i="2"/>
  <c r="O44" i="2"/>
  <c r="Q5" i="2"/>
  <c r="Q70" i="2"/>
  <c r="Q77" i="2" s="1"/>
  <c r="Q79" i="2" s="1"/>
  <c r="Q57" i="2"/>
  <c r="Q53" i="2"/>
  <c r="Q60" i="2" s="1"/>
  <c r="Q21" i="2"/>
  <c r="Q14" i="2"/>
  <c r="P70" i="2"/>
  <c r="P77" i="2" s="1"/>
  <c r="P79" i="2" s="1"/>
  <c r="P57" i="2"/>
  <c r="P53" i="2"/>
  <c r="P5" i="2"/>
  <c r="P38" i="2"/>
  <c r="P37" i="2"/>
  <c r="P36" i="2"/>
  <c r="P21" i="2"/>
  <c r="P14" i="2"/>
  <c r="AD44" i="2"/>
  <c r="AD45" i="2" s="1"/>
  <c r="AC44" i="2"/>
  <c r="AC45" i="2" s="1"/>
  <c r="AV45" i="2" l="1"/>
  <c r="AW45" i="2"/>
  <c r="AX45" i="2"/>
  <c r="P7" i="2"/>
  <c r="P60" i="2"/>
  <c r="Q7" i="2"/>
  <c r="Q80" i="2"/>
  <c r="P80" i="2"/>
  <c r="Q22" i="2"/>
  <c r="Q25" i="2" s="1"/>
  <c r="Q27" i="2" s="1"/>
  <c r="Q29" i="2" s="1"/>
  <c r="P22" i="2"/>
  <c r="O104" i="2"/>
  <c r="O96" i="2"/>
  <c r="O90" i="2"/>
  <c r="O108" i="2" s="1"/>
  <c r="O109" i="2" s="1"/>
  <c r="K48" i="2"/>
  <c r="K45" i="2" s="1"/>
  <c r="K70" i="2"/>
  <c r="K77" i="2" s="1"/>
  <c r="K79" i="2" s="1"/>
  <c r="K57" i="2"/>
  <c r="K53" i="2"/>
  <c r="J70" i="2"/>
  <c r="J77" i="2" s="1"/>
  <c r="J79" i="2" s="1"/>
  <c r="J57" i="2"/>
  <c r="J53" i="2"/>
  <c r="J48" i="2"/>
  <c r="J45" i="2" s="1"/>
  <c r="M70" i="2"/>
  <c r="M77" i="2" s="1"/>
  <c r="M79" i="2" s="1"/>
  <c r="M57" i="2"/>
  <c r="M53" i="2"/>
  <c r="O70" i="2"/>
  <c r="O77" i="2" s="1"/>
  <c r="O79" i="2" s="1"/>
  <c r="O57" i="2"/>
  <c r="O53" i="2"/>
  <c r="M48" i="2"/>
  <c r="M45" i="2" s="1"/>
  <c r="N48" i="2"/>
  <c r="N45" i="2" s="1"/>
  <c r="O48" i="2"/>
  <c r="L48" i="2"/>
  <c r="L45" i="2" s="1"/>
  <c r="N70" i="2"/>
  <c r="N77" i="2" s="1"/>
  <c r="N79" i="2" s="1"/>
  <c r="N57" i="2"/>
  <c r="N53" i="2"/>
  <c r="N3" i="2"/>
  <c r="N4" i="2" s="1"/>
  <c r="N21" i="2"/>
  <c r="N14" i="2"/>
  <c r="N7" i="2" s="1"/>
  <c r="M36" i="2"/>
  <c r="N36" i="2"/>
  <c r="O36" i="2"/>
  <c r="M37" i="2"/>
  <c r="N37" i="2"/>
  <c r="O37" i="2"/>
  <c r="M38" i="2"/>
  <c r="N38" i="2"/>
  <c r="O38" i="2"/>
  <c r="O21" i="2"/>
  <c r="O14" i="2"/>
  <c r="M5" i="2"/>
  <c r="M14" i="2"/>
  <c r="L70" i="2"/>
  <c r="L77" i="2" s="1"/>
  <c r="L79" i="2" s="1"/>
  <c r="L57" i="2"/>
  <c r="L53" i="2"/>
  <c r="AU41" i="2"/>
  <c r="AU39" i="2"/>
  <c r="AC21" i="2"/>
  <c r="AD21" i="2"/>
  <c r="AE26" i="2"/>
  <c r="AE24" i="2"/>
  <c r="AE23" i="2"/>
  <c r="AE20" i="2"/>
  <c r="AE19" i="2"/>
  <c r="AE17" i="2"/>
  <c r="AE16" i="2"/>
  <c r="AE15" i="2"/>
  <c r="AF26" i="2"/>
  <c r="AF24" i="2"/>
  <c r="AF23" i="2"/>
  <c r="AF20" i="2"/>
  <c r="AF19" i="2"/>
  <c r="AF17" i="2"/>
  <c r="AF16" i="2"/>
  <c r="AF15" i="2"/>
  <c r="F4" i="2"/>
  <c r="AE4" i="2" s="1"/>
  <c r="F3" i="2"/>
  <c r="J4" i="2"/>
  <c r="AF4" i="2" s="1"/>
  <c r="J3" i="2"/>
  <c r="K5" i="2"/>
  <c r="O5" i="2" s="1"/>
  <c r="O7" i="2" s="1"/>
  <c r="I5" i="2"/>
  <c r="H5" i="2"/>
  <c r="G5" i="2"/>
  <c r="E5" i="2"/>
  <c r="D5" i="2"/>
  <c r="C5" i="2"/>
  <c r="L5" i="2"/>
  <c r="O45" i="2" l="1"/>
  <c r="AF48" i="2"/>
  <c r="AG48" i="2"/>
  <c r="P25" i="2"/>
  <c r="P27" i="2" s="1"/>
  <c r="P29" i="2" s="1"/>
  <c r="P41" i="2"/>
  <c r="F5" i="2"/>
  <c r="AE5" i="2" s="1"/>
  <c r="Q8" i="2"/>
  <c r="P8" i="2"/>
  <c r="O106" i="2"/>
  <c r="O22" i="2"/>
  <c r="O41" i="2" s="1"/>
  <c r="R28" i="2"/>
  <c r="K60" i="2"/>
  <c r="K80" i="2" s="1"/>
  <c r="J60" i="2"/>
  <c r="J80" i="2" s="1"/>
  <c r="O8" i="2"/>
  <c r="N22" i="2"/>
  <c r="N41" i="2" s="1"/>
  <c r="M60" i="2"/>
  <c r="M80" i="2" s="1"/>
  <c r="O60" i="2"/>
  <c r="O80" i="2" s="1"/>
  <c r="N60" i="2"/>
  <c r="N80" i="2" s="1"/>
  <c r="L60" i="2"/>
  <c r="L80" i="2" s="1"/>
  <c r="AE3" i="2"/>
  <c r="J5" i="2"/>
  <c r="AF5" i="2" s="1"/>
  <c r="AD39" i="2"/>
  <c r="M7" i="2"/>
  <c r="AF3" i="2"/>
  <c r="AD22" i="2"/>
  <c r="AD5" i="2"/>
  <c r="AC5" i="2"/>
  <c r="AC22" i="2"/>
  <c r="AC41" i="2" s="1"/>
  <c r="L38" i="2"/>
  <c r="K38" i="2"/>
  <c r="J38" i="2"/>
  <c r="I38" i="2"/>
  <c r="H38" i="2"/>
  <c r="G38" i="2"/>
  <c r="L37" i="2"/>
  <c r="K37" i="2"/>
  <c r="J37" i="2"/>
  <c r="I37" i="2"/>
  <c r="H37" i="2"/>
  <c r="G37" i="2"/>
  <c r="K36" i="2"/>
  <c r="J36" i="2"/>
  <c r="I36" i="2"/>
  <c r="H36" i="2"/>
  <c r="G36" i="2"/>
  <c r="L36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C21" i="2"/>
  <c r="C14" i="2"/>
  <c r="C7" i="2" s="1"/>
  <c r="C8" i="2" s="1"/>
  <c r="D21" i="2"/>
  <c r="D14" i="2"/>
  <c r="D7" i="2" s="1"/>
  <c r="D8" i="2" s="1"/>
  <c r="F21" i="2"/>
  <c r="F14" i="2"/>
  <c r="J21" i="2"/>
  <c r="J14" i="2"/>
  <c r="N39" i="2" s="1"/>
  <c r="E21" i="2"/>
  <c r="E14" i="2"/>
  <c r="E7" i="2" s="1"/>
  <c r="E8" i="2" s="1"/>
  <c r="I21" i="2"/>
  <c r="I14" i="2"/>
  <c r="G21" i="2"/>
  <c r="G14" i="2"/>
  <c r="K21" i="2"/>
  <c r="K14" i="2"/>
  <c r="H21" i="2"/>
  <c r="H14" i="2"/>
  <c r="H7" i="2" s="1"/>
  <c r="L21" i="2"/>
  <c r="L14" i="2"/>
  <c r="K7" i="1"/>
  <c r="K8" i="1" s="1"/>
  <c r="J6" i="1"/>
  <c r="J9" i="1" s="1"/>
  <c r="O110" i="2" s="1"/>
  <c r="R7" i="2" l="1"/>
  <c r="Q9" i="2"/>
  <c r="AF6" i="2"/>
  <c r="AG6" i="2"/>
  <c r="P48" i="2"/>
  <c r="F7" i="2"/>
  <c r="F8" i="2" s="1"/>
  <c r="AD25" i="2"/>
  <c r="AD27" i="2" s="1"/>
  <c r="AD41" i="2"/>
  <c r="O25" i="2"/>
  <c r="O27" i="2" s="1"/>
  <c r="O29" i="2" s="1"/>
  <c r="N25" i="2"/>
  <c r="N27" i="2" s="1"/>
  <c r="N29" i="2" s="1"/>
  <c r="P39" i="2"/>
  <c r="Q39" i="2"/>
  <c r="AG14" i="2"/>
  <c r="AG8" i="2" s="1"/>
  <c r="J7" i="2"/>
  <c r="J9" i="2" s="1"/>
  <c r="I7" i="2"/>
  <c r="M9" i="2" s="1"/>
  <c r="M39" i="2"/>
  <c r="M8" i="2"/>
  <c r="O39" i="2"/>
  <c r="N8" i="2"/>
  <c r="G7" i="2"/>
  <c r="G8" i="2" s="1"/>
  <c r="J39" i="2"/>
  <c r="K39" i="2"/>
  <c r="K7" i="2"/>
  <c r="O9" i="2" s="1"/>
  <c r="AD6" i="2"/>
  <c r="AD8" i="2"/>
  <c r="H8" i="2"/>
  <c r="H9" i="2"/>
  <c r="AE6" i="2"/>
  <c r="AE14" i="2"/>
  <c r="AC25" i="2"/>
  <c r="AF21" i="2"/>
  <c r="AE21" i="2"/>
  <c r="L22" i="2"/>
  <c r="L41" i="2" s="1"/>
  <c r="L7" i="2"/>
  <c r="P9" i="2" s="1"/>
  <c r="G39" i="2"/>
  <c r="H39" i="2"/>
  <c r="I39" i="2"/>
  <c r="L39" i="2"/>
  <c r="C22" i="2"/>
  <c r="C41" i="2" s="1"/>
  <c r="D22" i="2"/>
  <c r="F22" i="2"/>
  <c r="J22" i="2"/>
  <c r="J41" i="2" s="1"/>
  <c r="E22" i="2"/>
  <c r="I22" i="2"/>
  <c r="I41" i="2" s="1"/>
  <c r="G22" i="2"/>
  <c r="G41" i="2" s="1"/>
  <c r="K22" i="2"/>
  <c r="K41" i="2" s="1"/>
  <c r="H22" i="2"/>
  <c r="I9" i="2" l="1"/>
  <c r="I8" i="2"/>
  <c r="J8" i="2"/>
  <c r="D25" i="2"/>
  <c r="D27" i="2" s="1"/>
  <c r="D29" i="2" s="1"/>
  <c r="D41" i="2"/>
  <c r="E25" i="2"/>
  <c r="E27" i="2" s="1"/>
  <c r="E29" i="2" s="1"/>
  <c r="E41" i="2"/>
  <c r="F25" i="2"/>
  <c r="F27" i="2" s="1"/>
  <c r="F29" i="2" s="1"/>
  <c r="F41" i="2"/>
  <c r="H25" i="2"/>
  <c r="H27" i="2" s="1"/>
  <c r="H29" i="2" s="1"/>
  <c r="H41" i="2"/>
  <c r="Q41" i="2"/>
  <c r="N9" i="2"/>
  <c r="G9" i="2"/>
  <c r="AF8" i="2"/>
  <c r="AF9" i="2" s="1"/>
  <c r="AF39" i="2"/>
  <c r="L8" i="2"/>
  <c r="L9" i="2"/>
  <c r="AH6" i="2"/>
  <c r="K8" i="2"/>
  <c r="K9" i="2"/>
  <c r="AE8" i="2"/>
  <c r="AE9" i="2" s="1"/>
  <c r="AE39" i="2"/>
  <c r="C25" i="2"/>
  <c r="AE22" i="2"/>
  <c r="AE41" i="2" s="1"/>
  <c r="G25" i="2"/>
  <c r="AF22" i="2"/>
  <c r="AF41" i="2" s="1"/>
  <c r="I25" i="2"/>
  <c r="K25" i="2"/>
  <c r="J25" i="2"/>
  <c r="L25" i="2"/>
  <c r="AC27" i="2"/>
  <c r="AG9" i="2" l="1"/>
  <c r="L27" i="2"/>
  <c r="L29" i="2" s="1"/>
  <c r="I27" i="2"/>
  <c r="I29" i="2" s="1"/>
  <c r="J27" i="2"/>
  <c r="J29" i="2" s="1"/>
  <c r="G27" i="2"/>
  <c r="AF25" i="2"/>
  <c r="K27" i="2"/>
  <c r="C27" i="2"/>
  <c r="AE25" i="2"/>
  <c r="AG19" i="2" l="1"/>
  <c r="AG16" i="2"/>
  <c r="C29" i="2"/>
  <c r="AE27" i="2"/>
  <c r="G29" i="2"/>
  <c r="AF27" i="2"/>
  <c r="K29" i="2"/>
  <c r="AE28" i="2" l="1"/>
  <c r="AE44" i="2" s="1"/>
  <c r="AE45" i="2" s="1"/>
  <c r="AG39" i="2"/>
  <c r="AG15" i="2"/>
  <c r="M21" i="2"/>
  <c r="M22" i="2" s="1"/>
  <c r="M41" i="2" s="1"/>
  <c r="AG17" i="2"/>
  <c r="AG20" i="2"/>
  <c r="AF28" i="2"/>
  <c r="AF44" i="2" s="1"/>
  <c r="AF45" i="2" s="1"/>
  <c r="AG21" i="2" l="1"/>
  <c r="AG22" i="2" l="1"/>
  <c r="AG41" i="2" s="1"/>
  <c r="Q48" i="2" l="1"/>
  <c r="Q45" i="2" s="1"/>
  <c r="AG24" i="2"/>
  <c r="AG23" i="2"/>
  <c r="M25" i="2"/>
  <c r="AG25" i="2" l="1"/>
  <c r="M27" i="2"/>
  <c r="AG27" i="2" s="1"/>
  <c r="M29" i="2" l="1"/>
  <c r="AG26" i="2" l="1"/>
  <c r="AG29" i="2"/>
  <c r="AG28" i="2" l="1"/>
  <c r="AH28" i="2" l="1"/>
  <c r="AI28" i="2" s="1"/>
  <c r="AJ28" i="2" s="1"/>
  <c r="AK28" i="2" s="1"/>
  <c r="AL28" i="2" s="1"/>
  <c r="AM28" i="2" s="1"/>
  <c r="AN28" i="2" s="1"/>
  <c r="AO28" i="2" s="1"/>
  <c r="AP28" i="2" s="1"/>
  <c r="AQ28" i="2" s="1"/>
  <c r="AG44" i="2"/>
  <c r="AG45" i="2" s="1"/>
  <c r="AJ5" i="2" l="1"/>
  <c r="AK5" i="2" s="1"/>
  <c r="AL5" i="2" s="1"/>
  <c r="AM5" i="2" l="1"/>
  <c r="AN5" i="2" l="1"/>
  <c r="AO5" i="2" l="1"/>
  <c r="AP5" i="2" l="1"/>
  <c r="AQ5" i="2" l="1"/>
  <c r="R8" i="2" l="1"/>
  <c r="R14" i="2"/>
  <c r="AH14" i="2" s="1"/>
  <c r="AH8" i="2" l="1"/>
  <c r="AI8" i="2" s="1"/>
  <c r="AH39" i="2"/>
  <c r="R20" i="2"/>
  <c r="AH20" i="2" s="1"/>
  <c r="R16" i="2"/>
  <c r="AH16" i="2" s="1"/>
  <c r="R18" i="2"/>
  <c r="AH18" i="2" s="1"/>
  <c r="R17" i="2"/>
  <c r="AH17" i="2" s="1"/>
  <c r="R15" i="2"/>
  <c r="AH15" i="2" s="1"/>
  <c r="R39" i="2"/>
  <c r="R19" i="2"/>
  <c r="AH19" i="2" s="1"/>
  <c r="AH9" i="2"/>
  <c r="R21" i="2" l="1"/>
  <c r="R22" i="2"/>
  <c r="AH21" i="2"/>
  <c r="AJ8" i="2"/>
  <c r="AI14" i="2"/>
  <c r="AI16" i="2" l="1"/>
  <c r="AI19" i="2"/>
  <c r="AI15" i="2"/>
  <c r="AI17" i="2"/>
  <c r="AI39" i="2"/>
  <c r="AK8" i="2"/>
  <c r="AJ14" i="2"/>
  <c r="AH22" i="2"/>
  <c r="AH41" i="2" s="1"/>
  <c r="R24" i="2"/>
  <c r="AH24" i="2" s="1"/>
  <c r="R41" i="2"/>
  <c r="R23" i="2"/>
  <c r="AH23" i="2" s="1"/>
  <c r="AJ15" i="2" l="1"/>
  <c r="AJ19" i="2"/>
  <c r="AJ16" i="2"/>
  <c r="AJ17" i="2"/>
  <c r="AJ39" i="2"/>
  <c r="R25" i="2"/>
  <c r="AL8" i="2"/>
  <c r="AK14" i="2"/>
  <c r="AH25" i="2" l="1"/>
  <c r="R26" i="2"/>
  <c r="AH26" i="2" s="1"/>
  <c r="AK15" i="2"/>
  <c r="AK17" i="2"/>
  <c r="AK16" i="2"/>
  <c r="AK19" i="2"/>
  <c r="AK39" i="2"/>
  <c r="AL14" i="2"/>
  <c r="AM8" i="2"/>
  <c r="AM14" i="2" l="1"/>
  <c r="AN8" i="2"/>
  <c r="AL17" i="2"/>
  <c r="AL39" i="2"/>
  <c r="AL15" i="2"/>
  <c r="AL16" i="2"/>
  <c r="AL19" i="2"/>
  <c r="R27" i="2"/>
  <c r="AN14" i="2" l="1"/>
  <c r="AO8" i="2"/>
  <c r="AH27" i="2"/>
  <c r="R29" i="2"/>
  <c r="R48" i="2"/>
  <c r="AH48" i="2" s="1"/>
  <c r="AM17" i="2"/>
  <c r="AM39" i="2"/>
  <c r="AM15" i="2"/>
  <c r="AM16" i="2"/>
  <c r="AM19" i="2"/>
  <c r="AH29" i="2" l="1"/>
  <c r="AI20" i="2"/>
  <c r="AI21" i="2" s="1"/>
  <c r="AI22" i="2" s="1"/>
  <c r="AO14" i="2"/>
  <c r="AP8" i="2"/>
  <c r="AN39" i="2"/>
  <c r="AN17" i="2"/>
  <c r="AN16" i="2"/>
  <c r="AN19" i="2"/>
  <c r="AN15" i="2"/>
  <c r="AI24" i="2" l="1"/>
  <c r="AI41" i="2"/>
  <c r="AI23" i="2"/>
  <c r="AI25" i="2"/>
  <c r="AQ8" i="2"/>
  <c r="AQ14" i="2" s="1"/>
  <c r="AP14" i="2"/>
  <c r="AO16" i="2"/>
  <c r="AO19" i="2"/>
  <c r="AO17" i="2"/>
  <c r="AO15" i="2"/>
  <c r="AO39" i="2"/>
  <c r="AI26" i="2" l="1"/>
  <c r="AI27" i="2" s="1"/>
  <c r="AQ39" i="2"/>
  <c r="AP16" i="2"/>
  <c r="AQ16" i="2" s="1"/>
  <c r="AP19" i="2"/>
  <c r="AQ19" i="2" s="1"/>
  <c r="AP15" i="2"/>
  <c r="AQ15" i="2" s="1"/>
  <c r="AP17" i="2"/>
  <c r="AQ17" i="2" s="1"/>
  <c r="AP39" i="2"/>
  <c r="AI29" i="2" l="1"/>
  <c r="AI48" i="2"/>
  <c r="AJ20" i="2" l="1"/>
  <c r="AJ21" i="2" s="1"/>
  <c r="AJ22" i="2" s="1"/>
  <c r="AJ41" i="2" l="1"/>
  <c r="AJ24" i="2"/>
  <c r="AJ23" i="2"/>
  <c r="AJ25" i="2" s="1"/>
  <c r="AJ26" i="2" l="1"/>
  <c r="AJ27" i="2" s="1"/>
  <c r="AJ29" i="2" l="1"/>
  <c r="AJ48" i="2"/>
  <c r="AK20" i="2" l="1"/>
  <c r="AK21" i="2" s="1"/>
  <c r="AK22" i="2" s="1"/>
  <c r="AK23" i="2" l="1"/>
  <c r="AK24" i="2"/>
  <c r="AK25" i="2"/>
  <c r="AK41" i="2"/>
  <c r="AK26" i="2" l="1"/>
  <c r="AK27" i="2" s="1"/>
  <c r="AK29" i="2" l="1"/>
  <c r="AK48" i="2"/>
  <c r="AL20" i="2" l="1"/>
  <c r="AL21" i="2" s="1"/>
  <c r="AL22" i="2" s="1"/>
  <c r="AL23" i="2" l="1"/>
  <c r="AL24" i="2"/>
  <c r="AL25" i="2" s="1"/>
  <c r="AL41" i="2"/>
  <c r="AL26" i="2" l="1"/>
  <c r="AL27" i="2" s="1"/>
  <c r="AL29" i="2" l="1"/>
  <c r="AL48" i="2"/>
  <c r="AM20" i="2" l="1"/>
  <c r="AM21" i="2" s="1"/>
  <c r="AM22" i="2" s="1"/>
  <c r="AM23" i="2" l="1"/>
  <c r="AM41" i="2"/>
  <c r="AM24" i="2"/>
  <c r="AM25" i="2" l="1"/>
  <c r="AM26" i="2" s="1"/>
  <c r="AM27" i="2" l="1"/>
  <c r="AM29" i="2" s="1"/>
  <c r="AM48" i="2" l="1"/>
  <c r="AN20" i="2" s="1"/>
  <c r="AN21" i="2" s="1"/>
  <c r="AN22" i="2" s="1"/>
  <c r="AN23" i="2" l="1"/>
  <c r="AN24" i="2"/>
  <c r="AN41" i="2"/>
  <c r="AN25" i="2" l="1"/>
  <c r="AN26" i="2" s="1"/>
  <c r="AN27" i="2" s="1"/>
  <c r="AN29" i="2" l="1"/>
  <c r="AN48" i="2"/>
  <c r="AO20" i="2" l="1"/>
  <c r="AO21" i="2" s="1"/>
  <c r="AO22" i="2" s="1"/>
  <c r="AO24" i="2" l="1"/>
  <c r="AO23" i="2"/>
  <c r="AO41" i="2"/>
  <c r="AO25" i="2" l="1"/>
  <c r="AO26" i="2" s="1"/>
  <c r="AO27" i="2" s="1"/>
  <c r="AO29" i="2" l="1"/>
  <c r="AO48" i="2"/>
  <c r="AP20" i="2" l="1"/>
  <c r="AP21" i="2" s="1"/>
  <c r="AP22" i="2" s="1"/>
  <c r="AP24" i="2" l="1"/>
  <c r="AP41" i="2"/>
  <c r="AP23" i="2"/>
  <c r="AP25" i="2" s="1"/>
  <c r="AP26" i="2" l="1"/>
  <c r="AP27" i="2" s="1"/>
  <c r="AP29" i="2" l="1"/>
  <c r="AP48" i="2"/>
  <c r="AQ20" i="2" l="1"/>
  <c r="AQ21" i="2" s="1"/>
  <c r="AQ22" i="2" s="1"/>
  <c r="AQ24" i="2" l="1"/>
  <c r="AQ41" i="2"/>
  <c r="AQ23" i="2"/>
  <c r="AQ25" i="2" l="1"/>
  <c r="AQ26" i="2" s="1"/>
  <c r="AQ27" i="2" s="1"/>
  <c r="AR27" i="2" l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AU38" i="2" s="1"/>
  <c r="AU40" i="2" s="1"/>
  <c r="AU42" i="2" s="1"/>
  <c r="AQ29" i="2"/>
  <c r="AQ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AU44" authorId="0" shapeId="0" xr:uid="{B2E2936B-31E6-014A-A863-CE0DFB53DA8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Hist. CAGR</t>
        </r>
      </text>
    </comment>
  </commentList>
</comments>
</file>

<file path=xl/sharedStrings.xml><?xml version="1.0" encoding="utf-8"?>
<sst xmlns="http://schemas.openxmlformats.org/spreadsheetml/2006/main" count="150" uniqueCount="139">
  <si>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</si>
  <si>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</si>
  <si>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</si>
  <si>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</si>
  <si>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</si>
  <si>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</si>
  <si>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</si>
  <si>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</si>
  <si>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</si>
  <si>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</si>
  <si>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</si>
  <si>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</si>
  <si>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</si>
  <si>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</si>
  <si>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</si>
  <si>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</si>
  <si>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</si>
  <si>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</si>
  <si>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</si>
  <si>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</si>
  <si>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</si>
  <si>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</si>
  <si>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</si>
  <si>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co op expenses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</si>
  <si>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</si>
  <si>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</si>
  <si>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</si>
  <si>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</si>
  <si>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</si>
  <si>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</si>
  <si>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</si>
  <si>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</si>
  <si>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</si>
  <si>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</si>
  <si>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</si>
  <si>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</si>
  <si>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</si>
  <si>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</si>
  <si>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</si>
  <si>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</si>
  <si>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</si>
  <si>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</si>
  <si>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 xml:space="preserve">Total Franchised Restaurants </t>
  </si>
  <si>
    <t xml:space="preserve">Company Operated Restaurants </t>
  </si>
  <si>
    <t xml:space="preserve">Total Restaurants </t>
  </si>
  <si>
    <t>Revenue Per Restaurants Pr Q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</si>
  <si>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</si>
  <si>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</si>
  <si>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</si>
  <si>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</si>
  <si>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</si>
  <si>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</si>
  <si>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</si>
  <si>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</si>
  <si>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</si>
  <si>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</si>
  <si>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</si>
  <si>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 xml:space="preserve">Current Assets </t>
  </si>
  <si>
    <t>Investments in advanced affiliates</t>
  </si>
  <si>
    <t>Goodwill</t>
  </si>
  <si>
    <t xml:space="preserve">Miscellaneous </t>
  </si>
  <si>
    <t xml:space="preserve">Total Other Assets </t>
  </si>
  <si>
    <t>Lease right of use</t>
  </si>
  <si>
    <t>Net, PP&amp;E</t>
  </si>
  <si>
    <t xml:space="preserve">Current liabilities 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</si>
  <si>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</si>
  <si>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</si>
  <si>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</si>
  <si>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</si>
  <si>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</si>
  <si>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</si>
  <si>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</si>
  <si>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Total Liabilities </t>
  </si>
  <si>
    <t xml:space="preserve">Equity </t>
  </si>
  <si>
    <t>TL +E</t>
  </si>
  <si>
    <t xml:space="preserve">Long Term Debt </t>
  </si>
  <si>
    <t>Long Term Lease</t>
  </si>
  <si>
    <t>Deferred income taxes</t>
  </si>
  <si>
    <t>ROIC</t>
  </si>
  <si>
    <t xml:space="preserve">Contains </t>
  </si>
  <si>
    <t>Press Release 8/24/21</t>
  </si>
  <si>
    <t xml:space="preserve">Leadership Updates. </t>
  </si>
  <si>
    <t>Press Release 8/23/21</t>
  </si>
  <si>
    <t>Announcing Saweetie Marketing Effort (Merchandise)</t>
  </si>
  <si>
    <t>Press Release 8/17/21</t>
  </si>
  <si>
    <t xml:space="preserve">Menu innovation…..donuts to breakfast menu </t>
  </si>
  <si>
    <t>Press Release 5/13/21</t>
  </si>
  <si>
    <t>Wage hikes.</t>
  </si>
  <si>
    <t>Q122</t>
  </si>
  <si>
    <t>Q222</t>
  </si>
  <si>
    <t>Q322</t>
  </si>
  <si>
    <t>Q422</t>
  </si>
  <si>
    <t>Dividend payable</t>
  </si>
  <si>
    <t>Balance</t>
  </si>
  <si>
    <t>NI</t>
  </si>
  <si>
    <t>SBC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</si>
  <si>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</si>
  <si>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</si>
  <si>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</si>
  <si>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</si>
  <si>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</si>
  <si>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</si>
  <si>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</si>
  <si>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</si>
  <si>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</si>
  <si>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</si>
  <si>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</si>
  <si>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</si>
  <si>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</si>
  <si>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</si>
  <si>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</si>
  <si>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</si>
  <si>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</si>
  <si>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</si>
  <si>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</si>
  <si>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</si>
  <si>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</si>
  <si>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Q1'22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</si>
  <si>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</si>
  <si>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</si>
  <si>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</si>
  <si>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</si>
  <si>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</si>
  <si>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</si>
  <si>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</si>
  <si>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>Earnings Call</t>
  </si>
  <si>
    <t xml:space="preserve">Quarter End Price </t>
  </si>
  <si>
    <t>Revenue Per Restaurants Pr Y</t>
  </si>
  <si>
    <t xml:space="preserve">Net Cash </t>
  </si>
  <si>
    <t>Deferred revenues</t>
  </si>
  <si>
    <t>LT Taxes</t>
  </si>
  <si>
    <t>Other LT Liab</t>
  </si>
  <si>
    <t>Q3'22</t>
  </si>
  <si>
    <t xml:space="preserve">Q3'22 </t>
  </si>
  <si>
    <t>P/E</t>
  </si>
  <si>
    <t>CAGR</t>
  </si>
  <si>
    <t>EPS E</t>
  </si>
  <si>
    <t>Alt 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</si>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</sst>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\x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trike/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rgb="FF0432FF"/>
      <name val="ArialMT"/>
    </font>
    <font>
      <sz val="10"/>
      <color rgb="FF0432FF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3" fontId="4" fillId="0" borderId="0" xfId="2" applyNumberFormat="1"/>
    <xf numFmtId="4" fontId="0" fillId="0" borderId="0" xfId="0" applyNumberFormat="1"/>
    <xf numFmtId="9" fontId="5" fillId="0" borderId="0" xfId="0" applyNumberFormat="1" applyFont="1"/>
    <xf numFmtId="3" fontId="6" fillId="0" borderId="0" xfId="0" applyNumberFormat="1" applyFont="1"/>
    <xf numFmtId="1" fontId="0" fillId="0" borderId="0" xfId="0" applyNumberFormat="1" applyAlignment="1">
      <alignment horizontal="right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9" fontId="3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1" fontId="0" fillId="0" borderId="0" xfId="0" applyNumberFormat="1" applyFill="1"/>
    <xf numFmtId="9" fontId="7" fillId="2" borderId="0" xfId="0" applyNumberFormat="1" applyFont="1" applyFill="1"/>
    <xf numFmtId="9" fontId="0" fillId="0" borderId="0" xfId="0" applyNumberFormat="1" applyAlignment="1">
      <alignment horizontal="left"/>
    </xf>
    <xf numFmtId="9" fontId="0" fillId="0" borderId="0" xfId="1" applyNumberFormat="1" applyFont="1"/>
    <xf numFmtId="9" fontId="8" fillId="2" borderId="0" xfId="0" applyNumberFormat="1" applyFont="1" applyFill="1"/>
    <xf numFmtId="9" fontId="3" fillId="2" borderId="0" xfId="0" applyNumberFormat="1" applyFont="1" applyFill="1"/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9" fontId="0" fillId="2" borderId="0" xfId="0" applyNumberFormat="1" applyFill="1"/>
    <xf numFmtId="9" fontId="2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29884</xdr:colOff>
      <xdr:row>0</xdr:row>
      <xdr:rowOff>0</xdr:rowOff>
    </xdr:from>
    <xdr:to>
      <xdr:col>17</xdr:col>
      <xdr:colOff>43271</xdr:colOff>
      <xdr:row>119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1056797" y="0"/>
          <a:ext cx="13387" cy="1915885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603250</xdr:colOff>
      <xdr:row>0</xdr:row>
      <xdr:rowOff>0</xdr:rowOff>
    </xdr:from>
    <xdr:to>
      <xdr:col>33</xdr:col>
      <xdr:colOff>26458</xdr:colOff>
      <xdr:row>120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18835688" y="0"/>
          <a:ext cx="34395" cy="20113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mcdonalds.com/corpmcd/en-us/our-stories/article/press-releases.McDonalds-donut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ntent/dam/gwscorp/assets/investors/financial-information/earnings-release/Exhibit%2099.1%20-%209.30.22.pdf" TargetMode="External"/><Relationship Id="rId5" Type="http://schemas.openxmlformats.org/officeDocument/2006/relationships/hyperlink" Target="https://seekingalpha.com/article/4504586-mcdonalds-corporation-mcd-ceo-chris-kempczinski-on-q1-2022-results-earnings-call-transcript" TargetMode="External"/><Relationship Id="rId4" Type="http://schemas.openxmlformats.org/officeDocument/2006/relationships/hyperlink" Target="https://corporate.mcdonalds.com/corpmcd/en-us/our-stories/article/press-releases.mcopco-wage-rais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A2:L17"/>
  <sheetViews>
    <sheetView showGridLines="0" topLeftCell="D1" zoomScale="271" workbookViewId="0">
      <selection activeCell="J8" sqref="J8"/>
    </sheetView>
  </sheetViews>
  <sheetFormatPr baseColWidth="10" defaultRowHeight="14"/>
  <cols>
    <col min="1" max="1" width="10.83203125" style="14"/>
    <col min="2" max="2" width="10.83203125" style="1"/>
    <col min="3" max="3" width="19" style="1" bestFit="1" customWidth="1"/>
    <col min="4" max="4" width="10.83203125" style="1"/>
    <col min="5" max="5" width="11.66406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I2" s="1" t="s">
        <v>113</v>
      </c>
      <c r="J2" s="1" t="s">
        <v>114</v>
      </c>
    </row>
    <row r="3" spans="3:12">
      <c r="C3" s="3" t="s">
        <v>118</v>
      </c>
      <c r="I3" s="1" t="s">
        <v>112</v>
      </c>
      <c r="J3" s="1">
        <v>1955</v>
      </c>
      <c r="K3" s="2">
        <v>262</v>
      </c>
      <c r="L3" s="5"/>
    </row>
    <row r="4" spans="3:12">
      <c r="C4" s="16" t="s">
        <v>121</v>
      </c>
      <c r="D4" s="17" t="s">
        <v>122</v>
      </c>
      <c r="E4" s="18"/>
      <c r="I4" s="1" t="s">
        <v>0</v>
      </c>
      <c r="J4" s="1">
        <v>277.8</v>
      </c>
    </row>
    <row r="5" spans="3:12">
      <c r="C5" s="19" t="s">
        <v>119</v>
      </c>
      <c r="D5" s="20" t="s">
        <v>123</v>
      </c>
      <c r="E5" s="21"/>
      <c r="I5" s="1" t="s">
        <v>1</v>
      </c>
      <c r="J5" s="1">
        <v>732.42359199999999</v>
      </c>
      <c r="K5" s="2" t="s">
        <v>132</v>
      </c>
    </row>
    <row r="6" spans="3:12">
      <c r="C6" s="22" t="s">
        <v>120</v>
      </c>
      <c r="D6" s="23" t="s">
        <v>124</v>
      </c>
      <c r="E6" s="24"/>
      <c r="I6" s="1" t="s">
        <v>2</v>
      </c>
      <c r="J6" s="1">
        <f>+J4*J5</f>
        <v>203467.2738576</v>
      </c>
    </row>
    <row r="7" spans="3:12">
      <c r="I7" s="1" t="s">
        <v>3</v>
      </c>
      <c r="J7" s="1">
        <v>2828.3</v>
      </c>
      <c r="K7" s="2" t="str">
        <f>+K5</f>
        <v>Q3'22</v>
      </c>
    </row>
    <row r="8" spans="3:12">
      <c r="I8" s="1" t="s">
        <v>4</v>
      </c>
      <c r="J8" s="1">
        <v>34866.199999999997</v>
      </c>
      <c r="K8" s="2" t="str">
        <f>+K7</f>
        <v>Q3'22</v>
      </c>
    </row>
    <row r="9" spans="3:12">
      <c r="I9" s="1" t="s">
        <v>5</v>
      </c>
      <c r="J9" s="1">
        <f>+J6-J7+J8</f>
        <v>235505.17385760002</v>
      </c>
    </row>
    <row r="13" spans="3:12">
      <c r="C13" s="3" t="s">
        <v>7</v>
      </c>
      <c r="D13" s="3" t="s">
        <v>79</v>
      </c>
      <c r="H13" s="1" t="s">
        <v>125</v>
      </c>
    </row>
    <row r="14" spans="3:12">
      <c r="C14" s="11" t="s">
        <v>80</v>
      </c>
      <c r="D14" s="1" t="s">
        <v>81</v>
      </c>
      <c r="H14" s="11" t="s">
        <v>117</v>
      </c>
    </row>
    <row r="15" spans="3:12">
      <c r="C15" s="11" t="s">
        <v>82</v>
      </c>
      <c r="D15" s="1" t="s">
        <v>83</v>
      </c>
      <c r="H15" s="11" t="s">
        <v>133</v>
      </c>
    </row>
    <row r="16" spans="3:12">
      <c r="C16" s="11" t="s">
        <v>84</v>
      </c>
      <c r="D16" s="1" t="s">
        <v>85</v>
      </c>
    </row>
    <row r="17" spans="3:4">
      <c r="C17" s="11" t="s">
        <v>86</v>
      </c>
      <c r="D17" s="1" t="s">
        <v>87</v>
      </c>
    </row>
  </sheetData>
  <hyperlinks>
    <hyperlink ref="C14" r:id="rId1" xr:uid="{D72FFBBB-8C7F-794F-AE1A-440F5563FA9E}"/>
    <hyperlink ref="C15" r:id="rId2" xr:uid="{BAB8D9DC-EEB5-7640-A71C-970EFDCC76E3}"/>
    <hyperlink ref="C16" r:id="rId3" xr:uid="{EA0D4B25-29FB-0D4A-BA96-AB5FE06B663F}"/>
    <hyperlink ref="C17" r:id="rId4" xr:uid="{2E7BD89E-83BF-724E-A075-085ED0D197EF}"/>
    <hyperlink ref="H14" r:id="rId5" xr:uid="{1000ADEF-8BE9-2845-96D8-057CEB23FC63}"/>
    <hyperlink ref="H15" r:id="rId6" xr:uid="{0DE9F1B6-9A6A-444E-9289-461CF2F996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B2:HO114"/>
  <sheetViews>
    <sheetView tabSelected="1" zoomScale="170" zoomScaleNormal="170" workbookViewId="0">
      <pane xSplit="2" ySplit="2" topLeftCell="Z6" activePane="bottomRight" state="frozen"/>
      <selection pane="topRight" activeCell="B1" sqref="B1"/>
      <selection pane="bottomLeft" activeCell="A3" sqref="A3"/>
      <selection pane="bottomRight" activeCell="AN32" sqref="AN32"/>
    </sheetView>
  </sheetViews>
  <sheetFormatPr baseColWidth="10" defaultColWidth="8.1640625" defaultRowHeight="13"/>
  <cols>
    <col min="1" max="1" width="2.33203125" style="1" customWidth="1"/>
    <col min="2" max="2" width="28" style="27" bestFit="1" customWidth="1"/>
    <col min="3" max="3" width="10.6640625" style="1" bestFit="1" customWidth="1"/>
    <col min="4" max="6" width="6.6640625" style="1" bestFit="1" customWidth="1"/>
    <col min="7" max="9" width="6.83203125" style="1" bestFit="1" customWidth="1"/>
    <col min="10" max="14" width="7.33203125" style="1" bestFit="1" customWidth="1"/>
    <col min="15" max="15" width="7.83203125" style="1" bestFit="1" customWidth="1"/>
    <col min="16" max="16" width="7.33203125" style="1" bestFit="1" customWidth="1"/>
    <col min="17" max="17" width="7.6640625" style="1" bestFit="1" customWidth="1"/>
    <col min="18" max="18" width="7.1640625" style="1" bestFit="1" customWidth="1"/>
    <col min="19" max="19" width="6.6640625" style="1" customWidth="1"/>
    <col min="20" max="20" width="7.33203125" style="1" customWidth="1"/>
    <col min="21" max="21" width="6" style="1" customWidth="1"/>
    <col min="22" max="27" width="5.6640625" style="1" customWidth="1"/>
    <col min="28" max="28" width="6.6640625" style="1" bestFit="1" customWidth="1"/>
    <col min="29" max="32" width="7.6640625" style="1" bestFit="1" customWidth="1"/>
    <col min="33" max="33" width="8" style="1" bestFit="1" customWidth="1"/>
    <col min="34" max="34" width="7.1640625" style="1" bestFit="1" customWidth="1"/>
    <col min="35" max="46" width="6.6640625" style="1" bestFit="1" customWidth="1"/>
    <col min="47" max="47" width="10.6640625" style="1" bestFit="1" customWidth="1"/>
    <col min="48" max="48" width="7.83203125" style="1" bestFit="1" customWidth="1"/>
    <col min="49" max="49" width="8" style="1" bestFit="1" customWidth="1"/>
    <col min="50" max="50" width="7.6640625" style="1" bestFit="1" customWidth="1"/>
    <col min="51" max="167" width="6.6640625" style="1" bestFit="1" customWidth="1"/>
    <col min="168" max="223" width="7.6640625" style="1" bestFit="1" customWidth="1"/>
    <col min="224" max="16384" width="8.1640625" style="1"/>
  </cols>
  <sheetData>
    <row r="2" spans="2:44" s="15" customFormat="1">
      <c r="B2" s="26"/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  <c r="K2" s="15" t="s">
        <v>16</v>
      </c>
      <c r="L2" s="15" t="s">
        <v>6</v>
      </c>
      <c r="M2" s="15" t="s">
        <v>17</v>
      </c>
      <c r="N2" s="15" t="s">
        <v>18</v>
      </c>
      <c r="O2" s="15" t="s">
        <v>88</v>
      </c>
      <c r="P2" s="15" t="s">
        <v>89</v>
      </c>
      <c r="Q2" s="15" t="s">
        <v>90</v>
      </c>
      <c r="R2" s="15" t="s">
        <v>91</v>
      </c>
      <c r="U2" s="15">
        <v>2009</v>
      </c>
      <c r="V2" s="15">
        <v>2010</v>
      </c>
      <c r="W2" s="15">
        <v>2011</v>
      </c>
      <c r="X2" s="15">
        <v>2012</v>
      </c>
      <c r="Y2" s="15">
        <v>2013</v>
      </c>
      <c r="Z2" s="15">
        <v>2014</v>
      </c>
      <c r="AA2" s="15">
        <v>2015</v>
      </c>
      <c r="AB2" s="15">
        <v>2016</v>
      </c>
      <c r="AC2" s="15">
        <f>+AB2+1</f>
        <v>2017</v>
      </c>
      <c r="AD2" s="15">
        <f t="shared" ref="AD2:AP2" si="0">+AC2+1</f>
        <v>2018</v>
      </c>
      <c r="AE2" s="15">
        <f t="shared" si="0"/>
        <v>2019</v>
      </c>
      <c r="AF2" s="15">
        <f t="shared" si="0"/>
        <v>2020</v>
      </c>
      <c r="AG2" s="15">
        <f t="shared" si="0"/>
        <v>2021</v>
      </c>
      <c r="AH2" s="15">
        <f t="shared" si="0"/>
        <v>2022</v>
      </c>
      <c r="AI2" s="15">
        <f t="shared" si="0"/>
        <v>2023</v>
      </c>
      <c r="AJ2" s="15">
        <f t="shared" si="0"/>
        <v>2024</v>
      </c>
      <c r="AK2" s="15">
        <f t="shared" si="0"/>
        <v>2025</v>
      </c>
      <c r="AL2" s="15">
        <f t="shared" si="0"/>
        <v>2026</v>
      </c>
      <c r="AM2" s="15">
        <f t="shared" si="0"/>
        <v>2027</v>
      </c>
      <c r="AN2" s="15">
        <f t="shared" si="0"/>
        <v>2028</v>
      </c>
      <c r="AO2" s="15">
        <f t="shared" si="0"/>
        <v>2029</v>
      </c>
      <c r="AP2" s="15">
        <f t="shared" si="0"/>
        <v>2030</v>
      </c>
      <c r="AQ2" s="15">
        <f t="shared" ref="AQ2" si="1">+AP2+1</f>
        <v>2031</v>
      </c>
    </row>
    <row r="3" spans="2:44">
      <c r="B3" s="27" t="s">
        <v>42</v>
      </c>
      <c r="C3" s="1">
        <v>35278</v>
      </c>
      <c r="D3" s="1">
        <v>35461</v>
      </c>
      <c r="E3" s="1">
        <v>35663</v>
      </c>
      <c r="F3" s="1">
        <f>13185+8787+14087</f>
        <v>36059</v>
      </c>
      <c r="G3" s="1">
        <v>36347</v>
      </c>
      <c r="H3" s="1">
        <v>36371</v>
      </c>
      <c r="I3" s="1">
        <v>36438</v>
      </c>
      <c r="J3" s="1">
        <f>13025+8841+14655</f>
        <v>36521</v>
      </c>
      <c r="K3" s="1">
        <v>36484</v>
      </c>
      <c r="L3" s="1">
        <v>36717</v>
      </c>
      <c r="M3" s="1">
        <v>36986</v>
      </c>
      <c r="N3" s="1">
        <f>+N5*0.93</f>
        <v>37228.83</v>
      </c>
      <c r="O3" s="1">
        <v>37552</v>
      </c>
      <c r="P3" s="1">
        <v>37664</v>
      </c>
      <c r="Q3" s="1">
        <v>37930</v>
      </c>
      <c r="R3" s="1">
        <f>+Q3</f>
        <v>37930</v>
      </c>
      <c r="AC3" s="1">
        <v>34108</v>
      </c>
      <c r="AD3" s="1">
        <v>35085</v>
      </c>
      <c r="AE3" s="9">
        <f t="shared" ref="AE3:AE4" si="2">+F3</f>
        <v>36059</v>
      </c>
      <c r="AF3" s="1">
        <f>+J3</f>
        <v>36521</v>
      </c>
    </row>
    <row r="4" spans="2:44">
      <c r="B4" s="27" t="s">
        <v>43</v>
      </c>
      <c r="C4" s="1">
        <v>2693</v>
      </c>
      <c r="D4" s="1">
        <v>2647</v>
      </c>
      <c r="E4" s="1">
        <v>2635</v>
      </c>
      <c r="F4" s="1">
        <f>661+1678+297</f>
        <v>2636</v>
      </c>
      <c r="G4" s="1">
        <v>2637</v>
      </c>
      <c r="H4" s="1">
        <v>2649</v>
      </c>
      <c r="I4" s="1">
        <v>2658</v>
      </c>
      <c r="J4" s="1">
        <f>657+1719+301</f>
        <v>2677</v>
      </c>
      <c r="K4" s="1">
        <v>2676</v>
      </c>
      <c r="L4" s="1">
        <v>2679</v>
      </c>
      <c r="M4" s="1">
        <v>2690</v>
      </c>
      <c r="N4" s="1">
        <f>+N5-N3</f>
        <v>2802.1699999999983</v>
      </c>
      <c r="O4" s="1">
        <v>2792</v>
      </c>
      <c r="P4" s="1">
        <v>2032</v>
      </c>
      <c r="Q4" s="1">
        <v>2050</v>
      </c>
      <c r="R4" s="1">
        <f>+Q4</f>
        <v>2050</v>
      </c>
      <c r="AC4" s="1">
        <v>3133</v>
      </c>
      <c r="AD4" s="1">
        <v>2770</v>
      </c>
      <c r="AE4" s="9">
        <f t="shared" si="2"/>
        <v>2636</v>
      </c>
      <c r="AF4" s="1">
        <f>+J4</f>
        <v>2677</v>
      </c>
    </row>
    <row r="5" spans="2:44" s="3" customFormat="1">
      <c r="B5" s="28" t="s">
        <v>44</v>
      </c>
      <c r="C5" s="3">
        <f t="shared" ref="C5:K5" si="3">+C3+C4</f>
        <v>37971</v>
      </c>
      <c r="D5" s="3">
        <f t="shared" si="3"/>
        <v>38108</v>
      </c>
      <c r="E5" s="3">
        <f t="shared" si="3"/>
        <v>38298</v>
      </c>
      <c r="F5" s="3">
        <f t="shared" si="3"/>
        <v>38695</v>
      </c>
      <c r="G5" s="3">
        <f t="shared" si="3"/>
        <v>38984</v>
      </c>
      <c r="H5" s="3">
        <f t="shared" si="3"/>
        <v>39020</v>
      </c>
      <c r="I5" s="3">
        <f t="shared" si="3"/>
        <v>39096</v>
      </c>
      <c r="J5" s="3">
        <f t="shared" si="3"/>
        <v>39198</v>
      </c>
      <c r="K5" s="3">
        <f t="shared" si="3"/>
        <v>39160</v>
      </c>
      <c r="L5" s="3">
        <f>+L3+L4</f>
        <v>39396</v>
      </c>
      <c r="M5" s="3">
        <f>+SUM(M3:M4)</f>
        <v>39676</v>
      </c>
      <c r="N5" s="3">
        <v>40031</v>
      </c>
      <c r="O5" s="3">
        <f>+K5*1.001</f>
        <v>39199.159999999996</v>
      </c>
      <c r="P5" s="3">
        <f>+SUM(P3:P4)</f>
        <v>39696</v>
      </c>
      <c r="Q5" s="3">
        <f>+SUM(Q3:Q4)</f>
        <v>39980</v>
      </c>
      <c r="R5" s="3">
        <f>+SUM(R3:R4)</f>
        <v>39980</v>
      </c>
      <c r="AC5" s="3">
        <f>+D5</f>
        <v>38108</v>
      </c>
      <c r="AD5" s="3">
        <f>+E5</f>
        <v>38298</v>
      </c>
      <c r="AE5" s="3">
        <f>+F5</f>
        <v>38695</v>
      </c>
      <c r="AF5" s="3">
        <f>+J5</f>
        <v>39198</v>
      </c>
      <c r="AG5" s="3">
        <f>+N5</f>
        <v>40031</v>
      </c>
      <c r="AH5" s="3">
        <f>+R5</f>
        <v>39980</v>
      </c>
      <c r="AI5" s="3">
        <f>+AH5+AI6</f>
        <v>40031</v>
      </c>
      <c r="AJ5" s="3">
        <f t="shared" ref="AJ5:AQ5" si="4">+AI5+AJ6</f>
        <v>40181</v>
      </c>
      <c r="AK5" s="3">
        <f t="shared" si="4"/>
        <v>40341</v>
      </c>
      <c r="AL5" s="3">
        <f t="shared" si="4"/>
        <v>40511</v>
      </c>
      <c r="AM5" s="3">
        <f t="shared" si="4"/>
        <v>40691</v>
      </c>
      <c r="AN5" s="3">
        <f t="shared" si="4"/>
        <v>40881</v>
      </c>
      <c r="AO5" s="3">
        <f t="shared" si="4"/>
        <v>41081</v>
      </c>
      <c r="AP5" s="3">
        <f t="shared" si="4"/>
        <v>41291</v>
      </c>
      <c r="AQ5" s="3">
        <f t="shared" si="4"/>
        <v>41511</v>
      </c>
    </row>
    <row r="6" spans="2:44" s="7" customFormat="1">
      <c r="B6" s="29"/>
      <c r="G6" s="8"/>
      <c r="H6" s="8"/>
      <c r="I6" s="8"/>
      <c r="J6" s="8"/>
      <c r="K6" s="8"/>
      <c r="L6" s="8"/>
      <c r="AD6" s="7">
        <f t="shared" ref="AD6:AE6" si="5">+AD5-AC5</f>
        <v>190</v>
      </c>
      <c r="AE6" s="7">
        <f t="shared" si="5"/>
        <v>397</v>
      </c>
      <c r="AF6" s="7">
        <f>+AF5-AE5</f>
        <v>503</v>
      </c>
      <c r="AG6" s="7">
        <f>+AG5-AF5</f>
        <v>833</v>
      </c>
      <c r="AH6" s="36">
        <f>+AH5-AG5</f>
        <v>-51</v>
      </c>
      <c r="AI6" s="36">
        <v>51</v>
      </c>
      <c r="AJ6" s="36">
        <v>150</v>
      </c>
      <c r="AK6" s="36">
        <f>+AJ6+10</f>
        <v>160</v>
      </c>
      <c r="AL6" s="36">
        <f t="shared" ref="AL6:AQ6" si="6">+AK6+10</f>
        <v>170</v>
      </c>
      <c r="AM6" s="36">
        <f t="shared" si="6"/>
        <v>180</v>
      </c>
      <c r="AN6" s="36">
        <f t="shared" si="6"/>
        <v>190</v>
      </c>
      <c r="AO6" s="36">
        <f t="shared" si="6"/>
        <v>200</v>
      </c>
      <c r="AP6" s="36">
        <f t="shared" si="6"/>
        <v>210</v>
      </c>
      <c r="AQ6" s="36">
        <f t="shared" si="6"/>
        <v>220</v>
      </c>
    </row>
    <row r="7" spans="2:44" s="34" customFormat="1">
      <c r="B7" s="33" t="s">
        <v>45</v>
      </c>
      <c r="C7" s="34">
        <f t="shared" ref="C7:K7" si="7">+C14/(C5/1000)</f>
        <v>132.3141344710437</v>
      </c>
      <c r="D7" s="34">
        <f t="shared" si="7"/>
        <v>141.95969350267663</v>
      </c>
      <c r="E7" s="34">
        <f t="shared" si="7"/>
        <v>143.67068776437412</v>
      </c>
      <c r="F7" s="34">
        <f t="shared" si="7"/>
        <v>140.28169014084506</v>
      </c>
      <c r="G7" s="34">
        <f t="shared" si="7"/>
        <v>120.93166427252207</v>
      </c>
      <c r="H7" s="34">
        <f t="shared" si="7"/>
        <v>96.399282419272154</v>
      </c>
      <c r="I7" s="34">
        <f t="shared" si="7"/>
        <v>138.58450992428894</v>
      </c>
      <c r="J7" s="34">
        <f t="shared" si="7"/>
        <v>135.5630389305577</v>
      </c>
      <c r="K7" s="34">
        <f t="shared" si="7"/>
        <v>130.86312563840653</v>
      </c>
      <c r="L7" s="34">
        <f>+L14/(L5/1000)</f>
        <v>149.45425931566655</v>
      </c>
      <c r="M7" s="34">
        <f>+M14/(M5/1000)</f>
        <v>156.29851799576571</v>
      </c>
      <c r="N7" s="34">
        <f>+N14/(N5/1000)</f>
        <v>150.11116384801778</v>
      </c>
      <c r="O7" s="34">
        <f t="shared" ref="O7:Q7" si="8">+O14/(O5/1000)</f>
        <v>144.53370939581359</v>
      </c>
      <c r="P7" s="34">
        <f t="shared" si="8"/>
        <v>144.0548166062072</v>
      </c>
      <c r="Q7" s="34">
        <f t="shared" si="8"/>
        <v>146.87593796898452</v>
      </c>
      <c r="R7" s="34">
        <f>+M7*(1+R9)</f>
        <v>164.11344389555398</v>
      </c>
    </row>
    <row r="8" spans="2:44" s="34" customFormat="1">
      <c r="B8" s="33" t="s">
        <v>127</v>
      </c>
      <c r="C8" s="34">
        <f t="shared" ref="C8:K8" si="9">+C7*4</f>
        <v>529.2565378841748</v>
      </c>
      <c r="D8" s="34">
        <f t="shared" si="9"/>
        <v>567.83877401070652</v>
      </c>
      <c r="E8" s="34">
        <f t="shared" si="9"/>
        <v>574.68275105749649</v>
      </c>
      <c r="F8" s="34">
        <f t="shared" si="9"/>
        <v>561.12676056338023</v>
      </c>
      <c r="G8" s="34">
        <f t="shared" si="9"/>
        <v>483.72665709008828</v>
      </c>
      <c r="H8" s="34">
        <f t="shared" si="9"/>
        <v>385.59712967708862</v>
      </c>
      <c r="I8" s="34">
        <f t="shared" si="9"/>
        <v>554.33803969715575</v>
      </c>
      <c r="J8" s="34">
        <f t="shared" si="9"/>
        <v>542.25215572223078</v>
      </c>
      <c r="K8" s="34">
        <f t="shared" si="9"/>
        <v>523.45250255362612</v>
      </c>
      <c r="L8" s="34">
        <f>+L7*4</f>
        <v>597.81703726266619</v>
      </c>
      <c r="M8" s="34">
        <f>+M7*4</f>
        <v>625.19407198306283</v>
      </c>
      <c r="N8" s="34">
        <f t="shared" ref="N8" si="10">+N7*4</f>
        <v>600.44465539207113</v>
      </c>
      <c r="O8" s="34">
        <f t="shared" ref="O8" si="11">+O7*4</f>
        <v>578.13483758325435</v>
      </c>
      <c r="P8" s="34">
        <f t="shared" ref="P8" si="12">+P7*4</f>
        <v>576.21926642482879</v>
      </c>
      <c r="Q8" s="34">
        <f t="shared" ref="Q8" si="13">+Q7*4</f>
        <v>587.50375187593806</v>
      </c>
      <c r="R8" s="34">
        <f t="shared" ref="R8" si="14">+R7*4</f>
        <v>656.45377558221594</v>
      </c>
      <c r="AD8" s="34">
        <f>+AD14/(AD5/1000)</f>
        <v>555.073371977649</v>
      </c>
      <c r="AE8" s="34">
        <f>+AE14/(AE5/1000)</f>
        <v>552.12301330921309</v>
      </c>
      <c r="AF8" s="34">
        <f>+AF14/(AF5/1000)</f>
        <v>490.01989897443752</v>
      </c>
      <c r="AG8" s="34">
        <f>+AG14/(AG5/1000)</f>
        <v>580.12290474881968</v>
      </c>
      <c r="AH8" s="34">
        <f>+AH14/(AH5/1000)</f>
        <v>595.73175305013126</v>
      </c>
      <c r="AI8" s="34">
        <f>+AH8*(1+AI9)</f>
        <v>619.56102317213652</v>
      </c>
      <c r="AJ8" s="34">
        <f t="shared" ref="AJ8:AQ8" si="15">+AI8*(1+AJ9)</f>
        <v>650.53907433074335</v>
      </c>
      <c r="AK8" s="34">
        <f t="shared" si="15"/>
        <v>696.07680953389547</v>
      </c>
      <c r="AL8" s="34">
        <f t="shared" si="15"/>
        <v>751.76295429660718</v>
      </c>
      <c r="AM8" s="34">
        <f t="shared" si="15"/>
        <v>811.90399064033579</v>
      </c>
      <c r="AN8" s="34">
        <f t="shared" si="15"/>
        <v>876.85630989156266</v>
      </c>
      <c r="AO8" s="34">
        <f t="shared" si="15"/>
        <v>947.00481468288774</v>
      </c>
      <c r="AP8" s="34">
        <f t="shared" si="15"/>
        <v>1022.7651998575188</v>
      </c>
      <c r="AQ8" s="34">
        <f t="shared" si="15"/>
        <v>1104.5864158461204</v>
      </c>
    </row>
    <row r="9" spans="2:44" s="34" customFormat="1">
      <c r="B9" s="33"/>
      <c r="G9" s="43">
        <f t="shared" ref="G9:K9" si="16">+G7/C7-1</f>
        <v>-8.6026109334620071E-2</v>
      </c>
      <c r="H9" s="43">
        <f t="shared" si="16"/>
        <v>-0.32093906347117773</v>
      </c>
      <c r="I9" s="43">
        <f t="shared" si="16"/>
        <v>-3.5401639118111006E-2</v>
      </c>
      <c r="J9" s="43">
        <f t="shared" si="16"/>
        <v>-3.3636971478956057E-2</v>
      </c>
      <c r="K9" s="43">
        <f t="shared" si="16"/>
        <v>8.212457362286596E-2</v>
      </c>
      <c r="L9" s="43">
        <f>+L7/H7-1</f>
        <v>0.55036692768770701</v>
      </c>
      <c r="M9" s="43">
        <f t="shared" ref="M9:O9" si="17">+M7/I7-1</f>
        <v>0.12782098144413268</v>
      </c>
      <c r="N9" s="43">
        <f t="shared" si="17"/>
        <v>0.10731630857664953</v>
      </c>
      <c r="O9" s="43">
        <f t="shared" si="17"/>
        <v>0.10446475040784842</v>
      </c>
      <c r="P9" s="43">
        <f t="shared" ref="P9" si="18">+P7/L7-1</f>
        <v>-3.6127727200166548E-2</v>
      </c>
      <c r="Q9" s="43">
        <f t="shared" ref="Q9" si="19">+Q7/M7-1</f>
        <v>-6.0285792518112391E-2</v>
      </c>
      <c r="R9" s="39">
        <v>0.05</v>
      </c>
      <c r="AE9" s="35">
        <f t="shared" ref="AE9:AH9" si="20">+AE8/AD8-1</f>
        <v>-5.3152588781627541E-3</v>
      </c>
      <c r="AF9" s="35">
        <f t="shared" si="20"/>
        <v>-0.11248057559230029</v>
      </c>
      <c r="AG9" s="35">
        <f t="shared" si="20"/>
        <v>0.18387621801269449</v>
      </c>
      <c r="AH9" s="39">
        <f t="shared" si="20"/>
        <v>2.6906105884700215E-2</v>
      </c>
      <c r="AI9" s="39">
        <v>0.04</v>
      </c>
      <c r="AJ9" s="39">
        <v>0.05</v>
      </c>
      <c r="AK9" s="39">
        <f>+AJ9+2%</f>
        <v>7.0000000000000007E-2</v>
      </c>
      <c r="AL9" s="39">
        <v>0.08</v>
      </c>
      <c r="AM9" s="39">
        <v>0.08</v>
      </c>
      <c r="AN9" s="39">
        <v>0.08</v>
      </c>
      <c r="AO9" s="39">
        <v>0.08</v>
      </c>
      <c r="AP9" s="39">
        <v>0.08</v>
      </c>
      <c r="AQ9" s="39">
        <v>0.08</v>
      </c>
    </row>
    <row r="10" spans="2:44" s="4" customFormat="1">
      <c r="B10" s="26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8"/>
    </row>
    <row r="11" spans="2:44">
      <c r="B11" s="27" t="s">
        <v>19</v>
      </c>
      <c r="C11" s="1">
        <v>2240.5</v>
      </c>
      <c r="D11" s="1">
        <v>2400.4</v>
      </c>
      <c r="E11" s="1">
        <v>2416.6</v>
      </c>
      <c r="F11" s="1">
        <v>2363.3000000000002</v>
      </c>
      <c r="G11" s="1">
        <v>2025.8</v>
      </c>
      <c r="H11" s="1">
        <v>1593.7</v>
      </c>
      <c r="I11" s="1">
        <v>2286.4</v>
      </c>
      <c r="J11" s="1">
        <v>2233.3000000000002</v>
      </c>
      <c r="K11" s="1">
        <v>2161.5</v>
      </c>
      <c r="L11" s="1">
        <v>2488.6999999999998</v>
      </c>
      <c r="M11" s="1">
        <v>2598.4</v>
      </c>
      <c r="N11" s="1">
        <v>2538.8000000000002</v>
      </c>
      <c r="O11" s="1">
        <v>2302.4</v>
      </c>
      <c r="P11" s="1">
        <v>2112.8000000000002</v>
      </c>
      <c r="Q11" s="1">
        <v>2124.8000000000002</v>
      </c>
      <c r="AB11" s="1">
        <v>15295</v>
      </c>
      <c r="AC11" s="1">
        <v>12718.9</v>
      </c>
      <c r="AD11" s="1">
        <v>10012.700000000001</v>
      </c>
      <c r="AE11" s="1">
        <v>9420.7999999999993</v>
      </c>
      <c r="AF11" s="1">
        <v>8139.2</v>
      </c>
      <c r="AG11" s="1">
        <v>9787.4</v>
      </c>
    </row>
    <row r="12" spans="2:44">
      <c r="B12" s="27" t="s">
        <v>20</v>
      </c>
      <c r="C12" s="1">
        <v>2715.1</v>
      </c>
      <c r="D12" s="1">
        <v>2940.9</v>
      </c>
      <c r="E12" s="1">
        <v>3014</v>
      </c>
      <c r="F12" s="1">
        <v>2985.7</v>
      </c>
      <c r="G12" s="1">
        <v>2608</v>
      </c>
      <c r="H12" s="1">
        <v>2088</v>
      </c>
      <c r="I12" s="1">
        <v>3044.8</v>
      </c>
      <c r="J12" s="1">
        <v>2985.3</v>
      </c>
      <c r="K12" s="1">
        <v>2877.4</v>
      </c>
      <c r="L12" s="1">
        <v>3306.2</v>
      </c>
      <c r="M12" s="1">
        <v>3510.2</v>
      </c>
      <c r="N12" s="1">
        <v>3391.6</v>
      </c>
      <c r="O12" s="1">
        <v>3262.8</v>
      </c>
      <c r="P12" s="1">
        <v>3526.8</v>
      </c>
      <c r="Q12" s="1">
        <v>3671.2</v>
      </c>
      <c r="AB12" s="1">
        <v>9327</v>
      </c>
      <c r="AC12" s="1">
        <v>10101.5</v>
      </c>
      <c r="AD12" s="1">
        <v>11012.5</v>
      </c>
      <c r="AE12" s="1">
        <v>11655.7</v>
      </c>
      <c r="AF12" s="1">
        <v>10726.1</v>
      </c>
      <c r="AG12" s="1">
        <v>13085.4</v>
      </c>
    </row>
    <row r="13" spans="2:44">
      <c r="B13" s="27" t="s">
        <v>21</v>
      </c>
      <c r="C13" s="1">
        <v>68.5</v>
      </c>
      <c r="D13" s="1">
        <v>68.5</v>
      </c>
      <c r="E13" s="1">
        <v>71.7</v>
      </c>
      <c r="F13" s="1">
        <v>79.2</v>
      </c>
      <c r="G13" s="1">
        <v>80.599999999999994</v>
      </c>
      <c r="H13" s="1">
        <v>79.8</v>
      </c>
      <c r="I13" s="1">
        <v>86.9</v>
      </c>
      <c r="J13" s="1">
        <v>95.2</v>
      </c>
      <c r="K13" s="1">
        <v>85.7</v>
      </c>
      <c r="L13" s="1">
        <v>93</v>
      </c>
      <c r="M13" s="1">
        <v>92.7</v>
      </c>
      <c r="N13" s="1">
        <v>78.7</v>
      </c>
      <c r="O13" s="1">
        <v>100.4</v>
      </c>
      <c r="P13" s="1">
        <v>78.8</v>
      </c>
      <c r="Q13" s="1">
        <v>76.099999999999994</v>
      </c>
      <c r="AB13" s="1">
        <v>151</v>
      </c>
      <c r="AC13" s="1">
        <v>140</v>
      </c>
      <c r="AD13" s="1">
        <v>233</v>
      </c>
      <c r="AE13" s="1">
        <v>287.89999999999998</v>
      </c>
      <c r="AF13" s="1">
        <v>342.5</v>
      </c>
      <c r="AG13" s="1">
        <v>350.1</v>
      </c>
    </row>
    <row r="14" spans="2:44" s="3" customFormat="1">
      <c r="B14" s="28" t="s">
        <v>22</v>
      </c>
      <c r="C14" s="3">
        <f t="shared" ref="C14:L14" si="21">+SUM(C11:C13)</f>
        <v>5024.1000000000004</v>
      </c>
      <c r="D14" s="3">
        <f t="shared" si="21"/>
        <v>5409.8</v>
      </c>
      <c r="E14" s="3">
        <f t="shared" si="21"/>
        <v>5502.3</v>
      </c>
      <c r="F14" s="3">
        <f t="shared" si="21"/>
        <v>5428.2</v>
      </c>
      <c r="G14" s="3">
        <f t="shared" si="21"/>
        <v>4714.4000000000005</v>
      </c>
      <c r="H14" s="3">
        <f t="shared" si="21"/>
        <v>3761.5</v>
      </c>
      <c r="I14" s="3">
        <f t="shared" si="21"/>
        <v>5418.1</v>
      </c>
      <c r="J14" s="3">
        <f t="shared" si="21"/>
        <v>5313.8</v>
      </c>
      <c r="K14" s="3">
        <f t="shared" si="21"/>
        <v>5124.5999999999995</v>
      </c>
      <c r="L14" s="3">
        <f t="shared" si="21"/>
        <v>5887.9</v>
      </c>
      <c r="M14" s="3">
        <f>+SUM(M11:M13)</f>
        <v>6201.3</v>
      </c>
      <c r="N14" s="3">
        <f>+SUM(N11:N13)</f>
        <v>6009.0999999999995</v>
      </c>
      <c r="O14" s="3">
        <f>+SUM(O11:O13)</f>
        <v>5665.6</v>
      </c>
      <c r="P14" s="3">
        <f>+SUM(P11:P13)</f>
        <v>5718.4000000000005</v>
      </c>
      <c r="Q14" s="3">
        <f>+SUM(Q11:Q13)</f>
        <v>5872.1</v>
      </c>
      <c r="R14" s="3">
        <f>+R5*R7/1000</f>
        <v>6561.2554869442483</v>
      </c>
      <c r="AB14" s="3">
        <f>+SUM(AB11:AB13)</f>
        <v>24773</v>
      </c>
      <c r="AC14" s="3">
        <f>+SUM(AC11:AC13)</f>
        <v>22960.400000000001</v>
      </c>
      <c r="AD14" s="3">
        <f>+SUM(AD11:AD13)</f>
        <v>21258.2</v>
      </c>
      <c r="AE14" s="3">
        <f>SUM(C14:F14)</f>
        <v>21364.400000000001</v>
      </c>
      <c r="AF14" s="3">
        <f>SUM(G14:J14)</f>
        <v>19207.800000000003</v>
      </c>
      <c r="AG14" s="3">
        <f>SUM(K14:N14)</f>
        <v>23222.899999999998</v>
      </c>
      <c r="AH14" s="3">
        <f>+SUM(O14:R14)</f>
        <v>23817.355486944245</v>
      </c>
      <c r="AI14" s="3">
        <f>+AI5*AI8/1000</f>
        <v>24801.647318603795</v>
      </c>
      <c r="AJ14" s="3">
        <f>+AJ5*AJ8/1000</f>
        <v>26139.310545683598</v>
      </c>
      <c r="AK14" s="3">
        <f>+AK5*AK8/1000</f>
        <v>28080.434573406877</v>
      </c>
      <c r="AL14" s="3">
        <f t="shared" ref="AL14:AP14" si="22">+AL5*AL8/1000</f>
        <v>30454.669041509853</v>
      </c>
      <c r="AM14" s="3">
        <f t="shared" si="22"/>
        <v>33037.185283145904</v>
      </c>
      <c r="AN14" s="3">
        <f t="shared" si="22"/>
        <v>35846.762804676975</v>
      </c>
      <c r="AO14" s="3">
        <f t="shared" si="22"/>
        <v>38903.904791987712</v>
      </c>
      <c r="AP14" s="3">
        <f t="shared" si="22"/>
        <v>42230.997867316815</v>
      </c>
      <c r="AQ14" s="3">
        <f t="shared" ref="AQ14" si="23">+AQ5*AQ8/1000</f>
        <v>45852.486708188306</v>
      </c>
    </row>
    <row r="15" spans="2:44" s="9" customFormat="1">
      <c r="B15" s="30" t="s">
        <v>23</v>
      </c>
      <c r="C15" s="9">
        <v>1886.2</v>
      </c>
      <c r="D15" s="9">
        <v>1967.1</v>
      </c>
      <c r="E15" s="9">
        <v>1967.7</v>
      </c>
      <c r="F15" s="9">
        <v>1939.6</v>
      </c>
      <c r="G15" s="9">
        <v>1752.8</v>
      </c>
      <c r="H15" s="9">
        <v>1448.4</v>
      </c>
      <c r="I15" s="9">
        <v>1876.3</v>
      </c>
      <c r="J15" s="9">
        <v>1903.7</v>
      </c>
      <c r="K15" s="9">
        <v>1817.6</v>
      </c>
      <c r="L15" s="9">
        <v>2021</v>
      </c>
      <c r="M15" s="9">
        <v>2108.4</v>
      </c>
      <c r="N15" s="9">
        <v>2100.3000000000002</v>
      </c>
      <c r="O15" s="9">
        <v>1959.2</v>
      </c>
      <c r="P15" s="9">
        <v>1769.8</v>
      </c>
      <c r="Q15" s="9">
        <v>1779.6</v>
      </c>
      <c r="R15" s="9">
        <f>+R14*(N15/N14)</f>
        <v>2293.2893277244525</v>
      </c>
      <c r="AC15" s="9">
        <v>4033.5</v>
      </c>
      <c r="AD15" s="9">
        <v>3153.8</v>
      </c>
      <c r="AE15" s="9">
        <f t="shared" ref="AE15:AE29" si="24">SUM(C15:F15)</f>
        <v>7760.6</v>
      </c>
      <c r="AF15" s="9">
        <f t="shared" ref="AF15:AF29" si="25">SUM(G15:J15)</f>
        <v>6981.2</v>
      </c>
      <c r="AG15" s="9">
        <f t="shared" ref="AG15:AG29" si="26">SUM(K15:N15)</f>
        <v>8047.3</v>
      </c>
      <c r="AH15" s="9">
        <f t="shared" ref="AH15:AH27" si="27">+SUM(O15:R15)</f>
        <v>7801.8893277244533</v>
      </c>
      <c r="AI15" s="9">
        <f t="shared" ref="AI15:AP15" si="28">+AI14*(AH15/AH14)</f>
        <v>8124.3153813222389</v>
      </c>
      <c r="AJ15" s="9">
        <f t="shared" si="28"/>
        <v>8562.4958695449604</v>
      </c>
      <c r="AK15" s="9">
        <f t="shared" si="28"/>
        <v>9198.3529798771851</v>
      </c>
      <c r="AL15" s="9">
        <f t="shared" si="28"/>
        <v>9976.0847716523895</v>
      </c>
      <c r="AM15" s="9">
        <f t="shared" si="28"/>
        <v>10822.043757961344</v>
      </c>
      <c r="AN15" s="9">
        <f t="shared" si="28"/>
        <v>11742.381571815762</v>
      </c>
      <c r="AO15" s="9">
        <f t="shared" si="28"/>
        <v>12743.814474692508</v>
      </c>
      <c r="AP15" s="9">
        <f t="shared" si="28"/>
        <v>13833.675688335014</v>
      </c>
      <c r="AQ15" s="9">
        <f t="shared" ref="AQ15" si="29">+AQ14*(AP15/AP14)</f>
        <v>15019.972594956595</v>
      </c>
    </row>
    <row r="16" spans="2:44" s="9" customFormat="1">
      <c r="B16" s="30" t="s">
        <v>24</v>
      </c>
      <c r="C16" s="9">
        <v>533.1</v>
      </c>
      <c r="D16" s="9">
        <v>544.70000000000005</v>
      </c>
      <c r="E16" s="9">
        <v>559.5</v>
      </c>
      <c r="F16" s="9">
        <v>563.29999999999995</v>
      </c>
      <c r="G16" s="9">
        <v>554.20000000000005</v>
      </c>
      <c r="H16" s="9">
        <v>524.5</v>
      </c>
      <c r="I16" s="9">
        <v>567.9</v>
      </c>
      <c r="J16" s="9">
        <v>560.9</v>
      </c>
      <c r="K16" s="9">
        <v>571.6</v>
      </c>
      <c r="L16" s="9">
        <v>579.1</v>
      </c>
      <c r="M16" s="9">
        <v>592.6</v>
      </c>
      <c r="N16" s="9">
        <v>591.79999999999995</v>
      </c>
      <c r="O16" s="9">
        <v>584</v>
      </c>
      <c r="P16" s="9">
        <v>588.6</v>
      </c>
      <c r="Q16" s="9">
        <v>589</v>
      </c>
      <c r="R16" s="9">
        <f>+$R$14*(N16/$N$14)</f>
        <v>646.17846219460591</v>
      </c>
      <c r="AC16" s="9">
        <v>3528.5</v>
      </c>
      <c r="AD16" s="9">
        <v>2937.9</v>
      </c>
      <c r="AE16" s="9">
        <f t="shared" si="24"/>
        <v>2200.6000000000004</v>
      </c>
      <c r="AF16" s="9">
        <f t="shared" si="25"/>
        <v>2207.5</v>
      </c>
      <c r="AG16" s="9">
        <f t="shared" si="26"/>
        <v>2335.1000000000004</v>
      </c>
      <c r="AH16" s="9">
        <f t="shared" si="27"/>
        <v>2407.7784621946057</v>
      </c>
      <c r="AI16" s="9">
        <f t="shared" ref="AI16:AP16" si="30">+AI$14*(AH16/AH$14)</f>
        <v>2507.2839120789586</v>
      </c>
      <c r="AJ16" s="9">
        <f t="shared" si="30"/>
        <v>2642.512892878191</v>
      </c>
      <c r="AK16" s="9">
        <f t="shared" si="30"/>
        <v>2838.7478035492159</v>
      </c>
      <c r="AL16" s="9">
        <f t="shared" si="30"/>
        <v>3078.7673397077137</v>
      </c>
      <c r="AM16" s="9">
        <f t="shared" si="30"/>
        <v>3339.8427974044166</v>
      </c>
      <c r="AN16" s="9">
        <f t="shared" si="30"/>
        <v>3623.8726615896676</v>
      </c>
      <c r="AO16" s="9">
        <f t="shared" si="30"/>
        <v>3932.9296699108718</v>
      </c>
      <c r="AP16" s="9">
        <f t="shared" si="30"/>
        <v>4269.2769630805733</v>
      </c>
      <c r="AQ16" s="9">
        <f t="shared" ref="AQ16:AQ17" si="31">+AQ$14*(AP16/AP$14)</f>
        <v>4635.3857377053764</v>
      </c>
    </row>
    <row r="17" spans="2:223" s="9" customFormat="1">
      <c r="B17" s="30" t="s">
        <v>25</v>
      </c>
      <c r="C17" s="9">
        <v>53.3</v>
      </c>
      <c r="D17" s="9">
        <v>55.4</v>
      </c>
      <c r="E17" s="9">
        <v>57.5</v>
      </c>
      <c r="F17" s="9">
        <v>57.6</v>
      </c>
      <c r="G17" s="9">
        <v>65.5</v>
      </c>
      <c r="H17" s="9">
        <v>63.3</v>
      </c>
      <c r="I17" s="9">
        <v>69.2</v>
      </c>
      <c r="J17" s="9">
        <v>69</v>
      </c>
      <c r="K17" s="9">
        <v>67.2</v>
      </c>
      <c r="L17" s="9">
        <v>68.3</v>
      </c>
      <c r="M17" s="9">
        <v>68.900000000000006</v>
      </c>
      <c r="N17" s="9">
        <v>56</v>
      </c>
      <c r="O17" s="9">
        <v>72.3</v>
      </c>
      <c r="P17" s="9">
        <v>57.9</v>
      </c>
      <c r="Q17" s="9">
        <v>57.4</v>
      </c>
      <c r="R17" s="9">
        <f>+$R$14*(N17/$N$14)</f>
        <v>61.14564698022631</v>
      </c>
      <c r="AC17" s="9">
        <v>2847.6</v>
      </c>
      <c r="AD17" s="9">
        <v>2174.1999999999998</v>
      </c>
      <c r="AE17" s="9">
        <f t="shared" si="24"/>
        <v>223.79999999999998</v>
      </c>
      <c r="AF17" s="9">
        <f t="shared" si="25"/>
        <v>267</v>
      </c>
      <c r="AG17" s="9">
        <f t="shared" si="26"/>
        <v>260.39999999999998</v>
      </c>
      <c r="AH17" s="9">
        <f t="shared" si="27"/>
        <v>248.7456469802263</v>
      </c>
      <c r="AI17" s="9">
        <f t="shared" ref="AI17:AP19" si="32">+AI$14*(AH17/AH$14)</f>
        <v>259.02547458819549</v>
      </c>
      <c r="AJ17" s="9">
        <f t="shared" si="32"/>
        <v>272.99587130348226</v>
      </c>
      <c r="AK17" s="9">
        <f t="shared" si="32"/>
        <v>293.26874132927367</v>
      </c>
      <c r="AL17" s="9">
        <f t="shared" si="32"/>
        <v>318.06496562775891</v>
      </c>
      <c r="AM17" s="9">
        <f t="shared" si="32"/>
        <v>345.03646016311296</v>
      </c>
      <c r="AN17" s="9">
        <f t="shared" si="32"/>
        <v>374.379355881214</v>
      </c>
      <c r="AO17" s="9">
        <f t="shared" si="32"/>
        <v>406.30778563324395</v>
      </c>
      <c r="AP17" s="9">
        <f t="shared" si="32"/>
        <v>441.05555265716174</v>
      </c>
      <c r="AQ17" s="9">
        <f t="shared" si="31"/>
        <v>478.87795427719249</v>
      </c>
    </row>
    <row r="18" spans="2:223" s="9" customFormat="1">
      <c r="B18" s="30" t="s">
        <v>26</v>
      </c>
      <c r="P18" s="9">
        <v>93</v>
      </c>
      <c r="Q18" s="9">
        <v>93.3</v>
      </c>
      <c r="R18" s="9">
        <f>+$R$14*(N18/$N$14)</f>
        <v>0</v>
      </c>
      <c r="AH18" s="9">
        <f t="shared" si="27"/>
        <v>186.3</v>
      </c>
    </row>
    <row r="19" spans="2:223" s="9" customFormat="1">
      <c r="B19" s="30" t="s">
        <v>27</v>
      </c>
      <c r="C19" s="9">
        <v>437.7</v>
      </c>
      <c r="D19" s="9">
        <v>469.9</v>
      </c>
      <c r="E19" s="9">
        <v>474.6</v>
      </c>
      <c r="F19" s="9">
        <v>584.70000000000005</v>
      </c>
      <c r="G19" s="9">
        <v>516.29999999999995</v>
      </c>
      <c r="H19" s="9">
        <v>576</v>
      </c>
      <c r="I19" s="9">
        <v>454.7</v>
      </c>
      <c r="J19" s="9">
        <v>698</v>
      </c>
      <c r="K19" s="9">
        <v>490.4</v>
      </c>
      <c r="L19" s="9">
        <v>572.4</v>
      </c>
      <c r="M19" s="9">
        <v>559.6</v>
      </c>
      <c r="N19" s="9">
        <v>755.4</v>
      </c>
      <c r="O19" s="9">
        <v>584.29999999999995</v>
      </c>
      <c r="P19" s="9">
        <v>611.20000000000005</v>
      </c>
      <c r="Q19" s="9">
        <v>576.4</v>
      </c>
      <c r="R19" s="9">
        <f>+$R$14*(N19/$N$14)</f>
        <v>824.81110230112415</v>
      </c>
      <c r="AC19" s="9">
        <v>2231.3000000000002</v>
      </c>
      <c r="AD19" s="9">
        <v>2200.1999999999998</v>
      </c>
      <c r="AE19" s="9">
        <f t="shared" si="24"/>
        <v>1966.8999999999999</v>
      </c>
      <c r="AF19" s="9">
        <f t="shared" si="25"/>
        <v>2245</v>
      </c>
      <c r="AG19" s="9">
        <f t="shared" si="26"/>
        <v>2377.8000000000002</v>
      </c>
      <c r="AH19" s="9">
        <f t="shared" si="27"/>
        <v>2596.7111023011244</v>
      </c>
      <c r="AI19" s="9">
        <f t="shared" si="32"/>
        <v>2704.0245077955219</v>
      </c>
      <c r="AJ19" s="9">
        <f t="shared" si="32"/>
        <v>2849.8645845749161</v>
      </c>
      <c r="AK19" s="9">
        <f t="shared" si="32"/>
        <v>3061.4975812145112</v>
      </c>
      <c r="AL19" s="9">
        <f t="shared" si="32"/>
        <v>3320.3508785996273</v>
      </c>
      <c r="AM19" s="9">
        <f t="shared" si="32"/>
        <v>3601.9123055265295</v>
      </c>
      <c r="AN19" s="9">
        <f t="shared" si="32"/>
        <v>3908.2293165370343</v>
      </c>
      <c r="AO19" s="9">
        <f t="shared" si="32"/>
        <v>4241.537292064053</v>
      </c>
      <c r="AP19" s="9">
        <f t="shared" si="32"/>
        <v>4604.2769560805773</v>
      </c>
      <c r="AQ19" s="9">
        <f t="shared" ref="AQ19" si="33">+AQ$14*(AP19/AP$14)</f>
        <v>4999.1134141040347</v>
      </c>
    </row>
    <row r="20" spans="2:223" s="9" customFormat="1">
      <c r="B20" s="30" t="s">
        <v>28</v>
      </c>
      <c r="C20" s="9">
        <v>-41.6</v>
      </c>
      <c r="D20" s="9">
        <v>35.6</v>
      </c>
      <c r="E20" s="9">
        <v>-35.299999999999997</v>
      </c>
      <c r="F20" s="9">
        <v>-78.5</v>
      </c>
      <c r="G20" s="9">
        <v>58.5</v>
      </c>
      <c r="H20" s="9">
        <v>117.2</v>
      </c>
      <c r="I20" s="9">
        <v>-152.19999999999999</v>
      </c>
      <c r="J20" s="9">
        <v>-141</v>
      </c>
      <c r="K20" s="9">
        <v>-179.4</v>
      </c>
      <c r="L20" s="9">
        <v>-127.1</v>
      </c>
      <c r="M20" s="9">
        <v>-198.8</v>
      </c>
      <c r="N20" s="9">
        <v>22</v>
      </c>
      <c r="O20" s="9">
        <v>60.5</v>
      </c>
      <c r="P20" s="9">
        <v>886.1</v>
      </c>
      <c r="Q20" s="9">
        <v>12.5</v>
      </c>
      <c r="R20" s="9">
        <f>+$R$14*(N20/$N$14)</f>
        <v>24.021504170803194</v>
      </c>
      <c r="AC20" s="9">
        <v>-1163.2</v>
      </c>
      <c r="AD20" s="9">
        <v>-236.8</v>
      </c>
      <c r="AE20" s="9">
        <f t="shared" si="24"/>
        <v>-119.8</v>
      </c>
      <c r="AF20" s="9">
        <f t="shared" si="25"/>
        <v>-117.5</v>
      </c>
      <c r="AG20" s="9">
        <f t="shared" si="26"/>
        <v>-483.3</v>
      </c>
      <c r="AH20" s="9">
        <f t="shared" si="27"/>
        <v>983.12150417080318</v>
      </c>
      <c r="AI20" s="9">
        <f t="shared" ref="AI20:AQ20" si="34">+AH48*$AU$35</f>
        <v>-255.57273535479311</v>
      </c>
      <c r="AJ20" s="9">
        <f t="shared" si="34"/>
        <v>-182.49513710594539</v>
      </c>
      <c r="AK20" s="9">
        <f t="shared" si="34"/>
        <v>-106.02991064531466</v>
      </c>
      <c r="AL20" s="9">
        <f t="shared" si="34"/>
        <v>-24.460211749181873</v>
      </c>
      <c r="AM20" s="9">
        <f t="shared" si="34"/>
        <v>63.429115428965687</v>
      </c>
      <c r="AN20" s="9">
        <f t="shared" si="34"/>
        <v>158.19779643913708</v>
      </c>
      <c r="AO20" s="9">
        <f t="shared" si="34"/>
        <v>260.45608813957676</v>
      </c>
      <c r="AP20" s="9">
        <f t="shared" si="34"/>
        <v>370.86942209522738</v>
      </c>
      <c r="AQ20" s="9">
        <f t="shared" si="34"/>
        <v>490.16347859827357</v>
      </c>
    </row>
    <row r="21" spans="2:223" s="9" customFormat="1">
      <c r="B21" s="30" t="s">
        <v>29</v>
      </c>
      <c r="C21" s="9">
        <f t="shared" ref="C21:L21" si="35">+SUM(C15:C20)</f>
        <v>2868.7000000000003</v>
      </c>
      <c r="D21" s="9">
        <f t="shared" si="35"/>
        <v>3072.7000000000003</v>
      </c>
      <c r="E21" s="9">
        <f t="shared" si="35"/>
        <v>3023.9999999999995</v>
      </c>
      <c r="F21" s="9">
        <f t="shared" si="35"/>
        <v>3066.7</v>
      </c>
      <c r="G21" s="9">
        <f t="shared" si="35"/>
        <v>2947.3</v>
      </c>
      <c r="H21" s="9">
        <f t="shared" si="35"/>
        <v>2729.3999999999996</v>
      </c>
      <c r="I21" s="9">
        <f t="shared" si="35"/>
        <v>2815.8999999999996</v>
      </c>
      <c r="J21" s="9">
        <f t="shared" si="35"/>
        <v>3090.6</v>
      </c>
      <c r="K21" s="9">
        <f t="shared" si="35"/>
        <v>2767.3999999999996</v>
      </c>
      <c r="L21" s="9">
        <f t="shared" si="35"/>
        <v>3113.7000000000003</v>
      </c>
      <c r="M21" s="9">
        <f t="shared" ref="M21:R21" si="36">+SUM(M15:M20)</f>
        <v>3130.7</v>
      </c>
      <c r="N21" s="9">
        <f t="shared" ref="N21" si="37">+SUM(N15:N20)</f>
        <v>3525.5000000000005</v>
      </c>
      <c r="O21" s="9">
        <f t="shared" si="36"/>
        <v>3260.3</v>
      </c>
      <c r="P21" s="9">
        <f t="shared" ref="P21:Q21" si="38">+SUM(P15:P20)</f>
        <v>4006.6</v>
      </c>
      <c r="Q21" s="9">
        <f t="shared" si="38"/>
        <v>3108.2000000000003</v>
      </c>
      <c r="R21" s="9">
        <f t="shared" si="36"/>
        <v>3849.4460433712125</v>
      </c>
      <c r="AC21" s="9">
        <f>SUM(AC15:AC20)</f>
        <v>11477.7</v>
      </c>
      <c r="AD21" s="9">
        <f>SUM(AD15:AD20)</f>
        <v>10229.300000000003</v>
      </c>
      <c r="AE21" s="9">
        <f t="shared" si="24"/>
        <v>12032.099999999999</v>
      </c>
      <c r="AF21" s="9">
        <f t="shared" si="25"/>
        <v>11583.199999999999</v>
      </c>
      <c r="AG21" s="9">
        <f t="shared" si="26"/>
        <v>12537.3</v>
      </c>
      <c r="AH21" s="9">
        <f t="shared" si="27"/>
        <v>14224.546043371212</v>
      </c>
      <c r="AI21" s="9">
        <f t="shared" ref="AI21:AQ21" si="39">+SUM(AI15:AI20)</f>
        <v>13339.076540430122</v>
      </c>
      <c r="AJ21" s="9">
        <f t="shared" si="39"/>
        <v>14145.374081195605</v>
      </c>
      <c r="AK21" s="9">
        <f t="shared" si="39"/>
        <v>15285.837195324872</v>
      </c>
      <c r="AL21" s="9">
        <f t="shared" si="39"/>
        <v>16668.807743838308</v>
      </c>
      <c r="AM21" s="9">
        <f t="shared" si="39"/>
        <v>18172.264436484369</v>
      </c>
      <c r="AN21" s="9">
        <f t="shared" si="39"/>
        <v>19807.060702262817</v>
      </c>
      <c r="AO21" s="9">
        <f t="shared" si="39"/>
        <v>21585.045310440259</v>
      </c>
      <c r="AP21" s="9">
        <f t="shared" si="39"/>
        <v>23519.154582248553</v>
      </c>
      <c r="AQ21" s="9">
        <f t="shared" si="39"/>
        <v>25623.513179641472</v>
      </c>
    </row>
    <row r="22" spans="2:223" s="9" customFormat="1">
      <c r="B22" s="30" t="s">
        <v>30</v>
      </c>
      <c r="C22" s="9">
        <f t="shared" ref="C22:L22" si="40">+C14-C21</f>
        <v>2155.4</v>
      </c>
      <c r="D22" s="9">
        <f t="shared" si="40"/>
        <v>2337.1</v>
      </c>
      <c r="E22" s="9">
        <f t="shared" si="40"/>
        <v>2478.3000000000006</v>
      </c>
      <c r="F22" s="9">
        <f t="shared" si="40"/>
        <v>2361.5</v>
      </c>
      <c r="G22" s="9">
        <f t="shared" si="40"/>
        <v>1767.1000000000004</v>
      </c>
      <c r="H22" s="9">
        <f t="shared" si="40"/>
        <v>1032.1000000000004</v>
      </c>
      <c r="I22" s="9">
        <f t="shared" si="40"/>
        <v>2602.2000000000007</v>
      </c>
      <c r="J22" s="9">
        <f t="shared" si="40"/>
        <v>2223.2000000000003</v>
      </c>
      <c r="K22" s="9">
        <f t="shared" si="40"/>
        <v>2357.1999999999998</v>
      </c>
      <c r="L22" s="9">
        <f t="shared" si="40"/>
        <v>2774.1999999999994</v>
      </c>
      <c r="M22" s="9">
        <f>+M14-M21</f>
        <v>3070.6000000000004</v>
      </c>
      <c r="N22" s="9">
        <f>+N14-N21</f>
        <v>2483.599999999999</v>
      </c>
      <c r="O22" s="9">
        <f>+O14-O21</f>
        <v>2405.3000000000002</v>
      </c>
      <c r="P22" s="9">
        <f>+P14-P21</f>
        <v>1711.8000000000006</v>
      </c>
      <c r="Q22" s="9">
        <f>+Q14-Q21</f>
        <v>2763.9</v>
      </c>
      <c r="R22" s="9">
        <f t="shared" ref="R22" si="41">+R14-R21</f>
        <v>2711.8094435730359</v>
      </c>
      <c r="AC22" s="9">
        <f>+AC14-AC21</f>
        <v>11482.7</v>
      </c>
      <c r="AD22" s="9">
        <f>+AD14-AD21</f>
        <v>11028.899999999998</v>
      </c>
      <c r="AE22" s="9">
        <f t="shared" si="24"/>
        <v>9332.3000000000011</v>
      </c>
      <c r="AF22" s="9">
        <f t="shared" si="25"/>
        <v>7624.6000000000022</v>
      </c>
      <c r="AG22" s="9">
        <f t="shared" si="26"/>
        <v>10685.599999999999</v>
      </c>
      <c r="AH22" s="9">
        <f t="shared" si="27"/>
        <v>9592.8094435730363</v>
      </c>
      <c r="AI22" s="9">
        <f t="shared" ref="AI22:AQ22" si="42">+AI14-AI21</f>
        <v>11462.570778173673</v>
      </c>
      <c r="AJ22" s="9">
        <f t="shared" si="42"/>
        <v>11993.936464487993</v>
      </c>
      <c r="AK22" s="9">
        <f t="shared" si="42"/>
        <v>12794.597378082006</v>
      </c>
      <c r="AL22" s="9">
        <f t="shared" si="42"/>
        <v>13785.861297671545</v>
      </c>
      <c r="AM22" s="9">
        <f t="shared" si="42"/>
        <v>14864.920846661535</v>
      </c>
      <c r="AN22" s="9">
        <f t="shared" si="42"/>
        <v>16039.702102414158</v>
      </c>
      <c r="AO22" s="9">
        <f t="shared" si="42"/>
        <v>17318.859481547453</v>
      </c>
      <c r="AP22" s="9">
        <f t="shared" si="42"/>
        <v>18711.843285068262</v>
      </c>
      <c r="AQ22" s="9">
        <f t="shared" si="42"/>
        <v>20228.973528546834</v>
      </c>
    </row>
    <row r="23" spans="2:223" s="9" customFormat="1">
      <c r="B23" s="30" t="s">
        <v>31</v>
      </c>
      <c r="C23" s="9">
        <v>274.10000000000002</v>
      </c>
      <c r="D23" s="9">
        <v>284.2</v>
      </c>
      <c r="E23" s="9">
        <v>280.60000000000002</v>
      </c>
      <c r="F23" s="9">
        <v>283</v>
      </c>
      <c r="G23" s="9">
        <v>280</v>
      </c>
      <c r="H23" s="9">
        <v>319.10000000000002</v>
      </c>
      <c r="I23" s="9">
        <v>310.10000000000002</v>
      </c>
      <c r="J23" s="9">
        <v>308.89999999999998</v>
      </c>
      <c r="K23" s="9">
        <v>300</v>
      </c>
      <c r="L23" s="9">
        <v>296.5</v>
      </c>
      <c r="M23" s="9">
        <v>293.7</v>
      </c>
      <c r="N23" s="9">
        <v>295.60000000000002</v>
      </c>
      <c r="O23" s="9">
        <v>287.3</v>
      </c>
      <c r="P23" s="9">
        <v>290.60000000000002</v>
      </c>
      <c r="Q23" s="9">
        <v>306.2</v>
      </c>
      <c r="R23" s="9">
        <f t="shared" ref="R23" si="43">+R22*(N23/N22)</f>
        <v>322.76166513133751</v>
      </c>
      <c r="AC23" s="9">
        <v>921.3</v>
      </c>
      <c r="AD23" s="9">
        <v>981.2</v>
      </c>
      <c r="AE23" s="9">
        <f t="shared" si="24"/>
        <v>1121.9000000000001</v>
      </c>
      <c r="AF23" s="9">
        <f t="shared" si="25"/>
        <v>1218.0999999999999</v>
      </c>
      <c r="AG23" s="9">
        <f t="shared" si="26"/>
        <v>1185.8000000000002</v>
      </c>
      <c r="AH23" s="9">
        <f t="shared" si="27"/>
        <v>1206.8616651313378</v>
      </c>
      <c r="AI23" s="9">
        <f t="shared" ref="AI23:AP23" si="44">+AI22*(AH23/AH22)</f>
        <v>1442.0944497444157</v>
      </c>
      <c r="AJ23" s="9">
        <f t="shared" si="44"/>
        <v>1508.9450299369162</v>
      </c>
      <c r="AK23" s="9">
        <f t="shared" si="44"/>
        <v>1609.6753706227764</v>
      </c>
      <c r="AL23" s="9">
        <f t="shared" si="44"/>
        <v>1734.3852829396476</v>
      </c>
      <c r="AM23" s="9">
        <f t="shared" si="44"/>
        <v>1870.1406746974214</v>
      </c>
      <c r="AN23" s="9">
        <f t="shared" si="44"/>
        <v>2017.9387176818557</v>
      </c>
      <c r="AO23" s="9">
        <f t="shared" si="44"/>
        <v>2178.8682153046957</v>
      </c>
      <c r="AP23" s="9">
        <f t="shared" si="44"/>
        <v>2354.1181003886149</v>
      </c>
      <c r="AQ23" s="9">
        <f t="shared" ref="AQ23" si="45">+AQ22*(AP23/AP22)</f>
        <v>2544.9867236668942</v>
      </c>
    </row>
    <row r="24" spans="2:223" s="9" customFormat="1">
      <c r="B24" s="30" t="s">
        <v>32</v>
      </c>
      <c r="C24" s="9">
        <v>-11.4</v>
      </c>
      <c r="D24" s="9">
        <v>-18.100000000000001</v>
      </c>
      <c r="E24" s="9">
        <v>-23.5</v>
      </c>
      <c r="F24" s="9">
        <v>-17.2</v>
      </c>
      <c r="G24" s="9">
        <v>-31.3</v>
      </c>
      <c r="H24" s="9">
        <v>-6.7</v>
      </c>
      <c r="I24" s="9">
        <v>-0.8</v>
      </c>
      <c r="J24" s="9">
        <v>4</v>
      </c>
      <c r="K24" s="9">
        <v>28.6</v>
      </c>
      <c r="L24" s="9">
        <v>18.600000000000001</v>
      </c>
      <c r="M24" s="9">
        <v>1.4</v>
      </c>
      <c r="N24" s="9">
        <v>-6.3</v>
      </c>
      <c r="O24" s="9">
        <v>484.1</v>
      </c>
      <c r="P24" s="9">
        <v>12.1</v>
      </c>
      <c r="Q24" s="9">
        <v>-78.5</v>
      </c>
      <c r="R24" s="9">
        <f t="shared" ref="R24" si="46">+R22*(N24/N22)</f>
        <v>-6.8788852852754596</v>
      </c>
      <c r="AC24" s="9">
        <v>57.9</v>
      </c>
      <c r="AD24" s="9">
        <v>25.3</v>
      </c>
      <c r="AE24" s="9">
        <f t="shared" si="24"/>
        <v>-70.2</v>
      </c>
      <c r="AF24" s="9">
        <f t="shared" si="25"/>
        <v>-34.799999999999997</v>
      </c>
      <c r="AG24" s="9">
        <f t="shared" si="26"/>
        <v>42.300000000000004</v>
      </c>
      <c r="AH24" s="9">
        <f t="shared" si="27"/>
        <v>410.82111471472456</v>
      </c>
      <c r="AI24" s="9">
        <f t="shared" ref="AI24:AP24" si="47">+AI22*(AH24/AH22)</f>
        <v>490.89540788707137</v>
      </c>
      <c r="AJ24" s="9">
        <f t="shared" si="47"/>
        <v>513.65164471809248</v>
      </c>
      <c r="AK24" s="9">
        <f t="shared" si="47"/>
        <v>547.94070372275939</v>
      </c>
      <c r="AL24" s="9">
        <f t="shared" si="47"/>
        <v>590.39251628274906</v>
      </c>
      <c r="AM24" s="9">
        <f t="shared" si="47"/>
        <v>636.6042595022119</v>
      </c>
      <c r="AN24" s="9">
        <f t="shared" si="47"/>
        <v>686.91537512200603</v>
      </c>
      <c r="AO24" s="9">
        <f t="shared" si="47"/>
        <v>741.69649669877026</v>
      </c>
      <c r="AP24" s="9">
        <f t="shared" si="47"/>
        <v>801.35234228896707</v>
      </c>
      <c r="AQ24" s="9">
        <f t="shared" ref="AQ24" si="48">+AQ22*(AP24/AP22)</f>
        <v>866.32487629576576</v>
      </c>
    </row>
    <row r="25" spans="2:223" s="9" customFormat="1">
      <c r="B25" s="30" t="s">
        <v>33</v>
      </c>
      <c r="C25" s="9">
        <f t="shared" ref="C25:L25" si="49">+C22-SUM(C23:C24)</f>
        <v>1892.7</v>
      </c>
      <c r="D25" s="9">
        <f t="shared" si="49"/>
        <v>2071</v>
      </c>
      <c r="E25" s="9">
        <f t="shared" si="49"/>
        <v>2221.2000000000007</v>
      </c>
      <c r="F25" s="9">
        <f t="shared" si="49"/>
        <v>2095.6999999999998</v>
      </c>
      <c r="G25" s="9">
        <f t="shared" si="49"/>
        <v>1518.4000000000003</v>
      </c>
      <c r="H25" s="9">
        <f t="shared" si="49"/>
        <v>719.70000000000027</v>
      </c>
      <c r="I25" s="9">
        <f t="shared" si="49"/>
        <v>2292.9000000000005</v>
      </c>
      <c r="J25" s="9">
        <f t="shared" si="49"/>
        <v>1910.3000000000002</v>
      </c>
      <c r="K25" s="9">
        <f t="shared" si="49"/>
        <v>2028.6</v>
      </c>
      <c r="L25" s="9">
        <f t="shared" si="49"/>
        <v>2459.0999999999995</v>
      </c>
      <c r="M25" s="9">
        <f t="shared" ref="M25" si="50">+M22-SUM(M23:M24)</f>
        <v>2775.5000000000005</v>
      </c>
      <c r="N25" s="9">
        <f t="shared" ref="N25" si="51">+N22-SUM(N23:N24)</f>
        <v>2194.2999999999988</v>
      </c>
      <c r="O25" s="9">
        <f t="shared" ref="O25:R25" si="52">+O22-SUM(O23:O24)</f>
        <v>1633.9</v>
      </c>
      <c r="P25" s="9">
        <f t="shared" ref="P25:Q25" si="53">+P22-SUM(P23:P24)</f>
        <v>1409.1000000000006</v>
      </c>
      <c r="Q25" s="9">
        <f t="shared" si="53"/>
        <v>2536.2000000000003</v>
      </c>
      <c r="R25" s="9">
        <f t="shared" si="52"/>
        <v>2395.9266637269739</v>
      </c>
      <c r="AC25" s="9">
        <f>+AC22-SUM(AC23:AC24)</f>
        <v>10503.5</v>
      </c>
      <c r="AD25" s="9">
        <f>+AD22-SUM(AD23:AD24)</f>
        <v>10022.399999999998</v>
      </c>
      <c r="AE25" s="9">
        <f t="shared" si="24"/>
        <v>8280.6</v>
      </c>
      <c r="AF25" s="9">
        <f t="shared" si="25"/>
        <v>6441.3000000000011</v>
      </c>
      <c r="AG25" s="9">
        <f t="shared" si="26"/>
        <v>9457.4999999999982</v>
      </c>
      <c r="AH25" s="9">
        <f t="shared" si="27"/>
        <v>7975.1266637269746</v>
      </c>
      <c r="AI25" s="9">
        <f t="shared" ref="AI25:AQ25" si="54">+AI22-SUM(AI23:AI24)</f>
        <v>9529.5809205421865</v>
      </c>
      <c r="AJ25" s="9">
        <f t="shared" si="54"/>
        <v>9971.339789832984</v>
      </c>
      <c r="AK25" s="9">
        <f t="shared" si="54"/>
        <v>10636.981303736469</v>
      </c>
      <c r="AL25" s="9">
        <f t="shared" si="54"/>
        <v>11461.083498449148</v>
      </c>
      <c r="AM25" s="9">
        <f t="shared" si="54"/>
        <v>12358.175912461902</v>
      </c>
      <c r="AN25" s="9">
        <f t="shared" si="54"/>
        <v>13334.848009610296</v>
      </c>
      <c r="AO25" s="9">
        <f t="shared" si="54"/>
        <v>14398.294769543987</v>
      </c>
      <c r="AP25" s="9">
        <f t="shared" si="54"/>
        <v>15556.37284239068</v>
      </c>
      <c r="AQ25" s="9">
        <f t="shared" si="54"/>
        <v>16817.661928584173</v>
      </c>
    </row>
    <row r="26" spans="2:223" s="9" customFormat="1">
      <c r="B26" s="30" t="s">
        <v>34</v>
      </c>
      <c r="C26" s="9">
        <v>502.9</v>
      </c>
      <c r="D26" s="9">
        <v>490.9</v>
      </c>
      <c r="E26" s="9">
        <v>544.29999999999995</v>
      </c>
      <c r="F26" s="9">
        <v>454.6</v>
      </c>
      <c r="G26" s="9">
        <v>338</v>
      </c>
      <c r="H26" s="9">
        <v>164.9</v>
      </c>
      <c r="I26" s="9">
        <v>454.5</v>
      </c>
      <c r="J26" s="9">
        <v>452.8</v>
      </c>
      <c r="K26" s="9">
        <v>415.5</v>
      </c>
      <c r="L26" s="9">
        <v>156.69999999999999</v>
      </c>
      <c r="M26" s="9">
        <v>541.5</v>
      </c>
      <c r="N26" s="9">
        <v>469</v>
      </c>
      <c r="O26" s="9">
        <v>436.8</v>
      </c>
      <c r="P26" s="9">
        <v>221.1</v>
      </c>
      <c r="Q26" s="9">
        <v>554.6</v>
      </c>
      <c r="R26" s="9">
        <f t="shared" ref="R26" si="55">+R25*0.27</f>
        <v>646.90019920628299</v>
      </c>
      <c r="AC26" s="9">
        <v>3381.2</v>
      </c>
      <c r="AD26" s="9">
        <v>1891.8</v>
      </c>
      <c r="AE26" s="9">
        <f t="shared" si="24"/>
        <v>1992.6999999999998</v>
      </c>
      <c r="AF26" s="9">
        <f t="shared" si="25"/>
        <v>1410.2</v>
      </c>
      <c r="AG26" s="9">
        <f t="shared" si="26"/>
        <v>1582.7</v>
      </c>
      <c r="AH26" s="9">
        <f t="shared" si="27"/>
        <v>1859.4001992062831</v>
      </c>
      <c r="AI26" s="9">
        <f t="shared" ref="AI26:AP26" si="56">+AI25*(AH26/AH25)</f>
        <v>2221.8210956574158</v>
      </c>
      <c r="AJ26" s="9">
        <f t="shared" si="56"/>
        <v>2324.8171437699089</v>
      </c>
      <c r="AK26" s="9">
        <f t="shared" si="56"/>
        <v>2480.0114141231911</v>
      </c>
      <c r="AL26" s="9">
        <f t="shared" si="56"/>
        <v>2672.1507806343925</v>
      </c>
      <c r="AM26" s="9">
        <f t="shared" si="56"/>
        <v>2881.3078114447644</v>
      </c>
      <c r="AN26" s="9">
        <f t="shared" si="56"/>
        <v>3109.0188395663254</v>
      </c>
      <c r="AO26" s="9">
        <f t="shared" si="56"/>
        <v>3356.961373978927</v>
      </c>
      <c r="AP26" s="9">
        <f t="shared" si="56"/>
        <v>3626.9671920860546</v>
      </c>
      <c r="AQ26" s="9">
        <f t="shared" ref="AQ26" si="57">+AQ25*(AP26/AP25)</f>
        <v>3921.0366504172534</v>
      </c>
    </row>
    <row r="27" spans="2:223" s="3" customFormat="1">
      <c r="B27" s="28" t="s">
        <v>35</v>
      </c>
      <c r="C27" s="3">
        <f t="shared" ref="C27:L27" si="58">+C25-C26</f>
        <v>1389.8000000000002</v>
      </c>
      <c r="D27" s="3">
        <f t="shared" si="58"/>
        <v>1580.1</v>
      </c>
      <c r="E27" s="3">
        <f t="shared" si="58"/>
        <v>1676.9000000000008</v>
      </c>
      <c r="F27" s="3">
        <f t="shared" si="58"/>
        <v>1641.1</v>
      </c>
      <c r="G27" s="3">
        <f t="shared" si="58"/>
        <v>1180.4000000000003</v>
      </c>
      <c r="H27" s="3">
        <f t="shared" si="58"/>
        <v>554.8000000000003</v>
      </c>
      <c r="I27" s="3">
        <f t="shared" si="58"/>
        <v>1838.4000000000005</v>
      </c>
      <c r="J27" s="3">
        <f t="shared" si="58"/>
        <v>1457.5000000000002</v>
      </c>
      <c r="K27" s="3">
        <f t="shared" si="58"/>
        <v>1613.1</v>
      </c>
      <c r="L27" s="3">
        <f t="shared" si="58"/>
        <v>2302.3999999999996</v>
      </c>
      <c r="M27" s="3">
        <f t="shared" ref="M27" si="59">+M25-M26</f>
        <v>2234.0000000000005</v>
      </c>
      <c r="N27" s="3">
        <f t="shared" ref="N27" si="60">+N25-N26</f>
        <v>1725.2999999999988</v>
      </c>
      <c r="O27" s="3">
        <f t="shared" ref="O27:R27" si="61">+O25-O26</f>
        <v>1197.1000000000001</v>
      </c>
      <c r="P27" s="3">
        <f t="shared" ref="P27:Q27" si="62">+P25-P26</f>
        <v>1188.0000000000007</v>
      </c>
      <c r="Q27" s="3">
        <f t="shared" si="62"/>
        <v>1981.6000000000004</v>
      </c>
      <c r="R27" s="3">
        <f t="shared" si="61"/>
        <v>1749.0264645206908</v>
      </c>
      <c r="AC27" s="3">
        <f>+AC25-AC26</f>
        <v>7122.3</v>
      </c>
      <c r="AD27" s="3">
        <f>+AD25-AD26</f>
        <v>8130.5999999999976</v>
      </c>
      <c r="AE27" s="3">
        <f t="shared" si="24"/>
        <v>6287.9000000000015</v>
      </c>
      <c r="AF27" s="3">
        <f t="shared" si="25"/>
        <v>5031.1000000000013</v>
      </c>
      <c r="AG27" s="3">
        <f>SUM(K27:N27)</f>
        <v>7874.7999999999993</v>
      </c>
      <c r="AH27" s="3">
        <f t="shared" si="27"/>
        <v>6115.7264645206915</v>
      </c>
      <c r="AI27" s="3">
        <f>+AI25-AI26</f>
        <v>7307.7598248847708</v>
      </c>
      <c r="AJ27" s="3">
        <f t="shared" ref="AJ27:AP27" si="63">+AJ25-AJ26</f>
        <v>7646.5226460630747</v>
      </c>
      <c r="AK27" s="3">
        <f t="shared" si="63"/>
        <v>8156.9698896132777</v>
      </c>
      <c r="AL27" s="3">
        <f t="shared" si="63"/>
        <v>8788.932717814756</v>
      </c>
      <c r="AM27" s="3">
        <f t="shared" si="63"/>
        <v>9476.8681010171385</v>
      </c>
      <c r="AN27" s="3">
        <f t="shared" si="63"/>
        <v>10225.829170043969</v>
      </c>
      <c r="AO27" s="3">
        <f t="shared" si="63"/>
        <v>11041.33339556506</v>
      </c>
      <c r="AP27" s="3">
        <f t="shared" si="63"/>
        <v>11929.405650304625</v>
      </c>
      <c r="AQ27" s="3">
        <f t="shared" ref="AQ27" si="64">+AQ25-AQ26</f>
        <v>12896.625278166921</v>
      </c>
      <c r="AR27" s="3">
        <f>AQ27*(1+$AU$36)</f>
        <v>13154.557783730259</v>
      </c>
      <c r="AS27" s="3">
        <f t="shared" ref="AS27:BX27" si="65">+AR27*(1+$AU$36)</f>
        <v>13417.648939404864</v>
      </c>
      <c r="AT27" s="3">
        <f t="shared" si="65"/>
        <v>13686.001918192962</v>
      </c>
      <c r="AU27" s="3">
        <f t="shared" si="65"/>
        <v>13959.721956556821</v>
      </c>
      <c r="AV27" s="3">
        <f t="shared" si="65"/>
        <v>14238.916395687958</v>
      </c>
      <c r="AW27" s="3">
        <f t="shared" si="65"/>
        <v>14523.694723601719</v>
      </c>
      <c r="AX27" s="3">
        <f t="shared" si="65"/>
        <v>14814.168618073752</v>
      </c>
      <c r="AY27" s="3">
        <f t="shared" si="65"/>
        <v>15110.451990435227</v>
      </c>
      <c r="AZ27" s="3">
        <f t="shared" si="65"/>
        <v>15412.661030243933</v>
      </c>
      <c r="BA27" s="3">
        <f t="shared" si="65"/>
        <v>15720.914250848811</v>
      </c>
      <c r="BB27" s="3">
        <f t="shared" si="65"/>
        <v>16035.332535865788</v>
      </c>
      <c r="BC27" s="3">
        <f t="shared" si="65"/>
        <v>16356.039186583104</v>
      </c>
      <c r="BD27" s="3">
        <f t="shared" si="65"/>
        <v>16683.159970314766</v>
      </c>
      <c r="BE27" s="3">
        <f t="shared" si="65"/>
        <v>17016.823169721061</v>
      </c>
      <c r="BF27" s="3">
        <f t="shared" si="65"/>
        <v>17357.159633115483</v>
      </c>
      <c r="BG27" s="3">
        <f t="shared" si="65"/>
        <v>17704.302825777795</v>
      </c>
      <c r="BH27" s="3">
        <f t="shared" si="65"/>
        <v>18058.388882293351</v>
      </c>
      <c r="BI27" s="3">
        <f t="shared" si="65"/>
        <v>18419.556659939219</v>
      </c>
      <c r="BJ27" s="3">
        <f t="shared" si="65"/>
        <v>18787.947793138002</v>
      </c>
      <c r="BK27" s="3">
        <f t="shared" si="65"/>
        <v>19163.706749000761</v>
      </c>
      <c r="BL27" s="3">
        <f t="shared" si="65"/>
        <v>19546.980883980777</v>
      </c>
      <c r="BM27" s="3">
        <f t="shared" si="65"/>
        <v>19937.920501660392</v>
      </c>
      <c r="BN27" s="3">
        <f t="shared" si="65"/>
        <v>20336.678911693602</v>
      </c>
      <c r="BO27" s="3">
        <f t="shared" si="65"/>
        <v>20743.412489927476</v>
      </c>
      <c r="BP27" s="3">
        <f t="shared" si="65"/>
        <v>21158.280739726026</v>
      </c>
      <c r="BQ27" s="3">
        <f t="shared" si="65"/>
        <v>21581.446354520547</v>
      </c>
      <c r="BR27" s="3">
        <f t="shared" si="65"/>
        <v>22013.07528161096</v>
      </c>
      <c r="BS27" s="3">
        <f t="shared" si="65"/>
        <v>22453.336787243181</v>
      </c>
      <c r="BT27" s="3">
        <f t="shared" si="65"/>
        <v>22902.403522988046</v>
      </c>
      <c r="BU27" s="3">
        <f t="shared" si="65"/>
        <v>23360.451593447808</v>
      </c>
      <c r="BV27" s="3">
        <f t="shared" si="65"/>
        <v>23827.660625316763</v>
      </c>
      <c r="BW27" s="3">
        <f t="shared" si="65"/>
        <v>24304.213837823099</v>
      </c>
      <c r="BX27" s="3">
        <f t="shared" si="65"/>
        <v>24790.29811457956</v>
      </c>
      <c r="BY27" s="3">
        <f t="shared" ref="BY27:DD27" si="66">+BX27*(1+$AU$36)</f>
        <v>25286.104076871154</v>
      </c>
      <c r="BZ27" s="3">
        <f t="shared" si="66"/>
        <v>25791.826158408578</v>
      </c>
      <c r="CA27" s="3">
        <f t="shared" si="66"/>
        <v>26307.662681576749</v>
      </c>
      <c r="CB27" s="3">
        <f t="shared" si="66"/>
        <v>26833.815935208284</v>
      </c>
      <c r="CC27" s="3">
        <f t="shared" si="66"/>
        <v>27370.492253912449</v>
      </c>
      <c r="CD27" s="3">
        <f t="shared" si="66"/>
        <v>27917.9020989907</v>
      </c>
      <c r="CE27" s="3">
        <f t="shared" si="66"/>
        <v>28476.260140970513</v>
      </c>
      <c r="CF27" s="3">
        <f t="shared" si="66"/>
        <v>29045.785343789925</v>
      </c>
      <c r="CG27" s="3">
        <f t="shared" si="66"/>
        <v>29626.701050665724</v>
      </c>
      <c r="CH27" s="3">
        <f t="shared" si="66"/>
        <v>30219.235071679039</v>
      </c>
      <c r="CI27" s="3">
        <f t="shared" si="66"/>
        <v>30823.619773112619</v>
      </c>
      <c r="CJ27" s="3">
        <f t="shared" si="66"/>
        <v>31440.092168574873</v>
      </c>
      <c r="CK27" s="3">
        <f t="shared" si="66"/>
        <v>32068.89401194637</v>
      </c>
      <c r="CL27" s="3">
        <f t="shared" si="66"/>
        <v>32710.271892185297</v>
      </c>
      <c r="CM27" s="3">
        <f t="shared" si="66"/>
        <v>33364.477330029003</v>
      </c>
      <c r="CN27" s="3">
        <f t="shared" si="66"/>
        <v>34031.766876629583</v>
      </c>
      <c r="CO27" s="3">
        <f t="shared" si="66"/>
        <v>34712.402214162175</v>
      </c>
      <c r="CP27" s="3">
        <f t="shared" si="66"/>
        <v>35406.650258445421</v>
      </c>
      <c r="CQ27" s="3">
        <f t="shared" si="66"/>
        <v>36114.783263614328</v>
      </c>
      <c r="CR27" s="3">
        <f t="shared" si="66"/>
        <v>36837.078928886614</v>
      </c>
      <c r="CS27" s="3">
        <f t="shared" si="66"/>
        <v>37573.820507464348</v>
      </c>
      <c r="CT27" s="3">
        <f t="shared" si="66"/>
        <v>38325.296917613639</v>
      </c>
      <c r="CU27" s="3">
        <f t="shared" si="66"/>
        <v>39091.802855965914</v>
      </c>
      <c r="CV27" s="3">
        <f t="shared" si="66"/>
        <v>39873.638913085233</v>
      </c>
      <c r="CW27" s="3">
        <f t="shared" si="66"/>
        <v>40671.111691346938</v>
      </c>
      <c r="CX27" s="3">
        <f t="shared" si="66"/>
        <v>41484.533925173877</v>
      </c>
      <c r="CY27" s="3">
        <f t="shared" si="66"/>
        <v>42314.224603677358</v>
      </c>
      <c r="CZ27" s="3">
        <f t="shared" si="66"/>
        <v>43160.509095750909</v>
      </c>
      <c r="DA27" s="3">
        <f t="shared" si="66"/>
        <v>44023.719277665929</v>
      </c>
      <c r="DB27" s="3">
        <f t="shared" si="66"/>
        <v>44904.193663219245</v>
      </c>
      <c r="DC27" s="3">
        <f t="shared" si="66"/>
        <v>45802.277536483627</v>
      </c>
      <c r="DD27" s="3">
        <f t="shared" si="66"/>
        <v>46718.323087213299</v>
      </c>
      <c r="DE27" s="3">
        <f t="shared" ref="DE27:EJ27" si="67">+DD27*(1+$AU$36)</f>
        <v>47652.689548957569</v>
      </c>
      <c r="DF27" s="3">
        <f t="shared" si="67"/>
        <v>48605.743339936722</v>
      </c>
      <c r="DG27" s="3">
        <f t="shared" si="67"/>
        <v>49577.858206735458</v>
      </c>
      <c r="DH27" s="3">
        <f t="shared" si="67"/>
        <v>50569.415370870171</v>
      </c>
      <c r="DI27" s="3">
        <f t="shared" si="67"/>
        <v>51580.803678287572</v>
      </c>
      <c r="DJ27" s="3">
        <f t="shared" si="67"/>
        <v>52612.419751853326</v>
      </c>
      <c r="DK27" s="3">
        <f t="shared" si="67"/>
        <v>53664.668146890392</v>
      </c>
      <c r="DL27" s="3">
        <f t="shared" si="67"/>
        <v>54737.961509828201</v>
      </c>
      <c r="DM27" s="3">
        <f t="shared" si="67"/>
        <v>55832.720740024764</v>
      </c>
      <c r="DN27" s="3">
        <f t="shared" si="67"/>
        <v>56949.375154825262</v>
      </c>
      <c r="DO27" s="3">
        <f t="shared" si="67"/>
        <v>58088.362657921767</v>
      </c>
      <c r="DP27" s="3">
        <f t="shared" si="67"/>
        <v>59250.129911080207</v>
      </c>
      <c r="DQ27" s="3">
        <f t="shared" si="67"/>
        <v>60435.132509301809</v>
      </c>
      <c r="DR27" s="3">
        <f t="shared" si="67"/>
        <v>61643.835159487848</v>
      </c>
      <c r="DS27" s="3">
        <f t="shared" si="67"/>
        <v>62876.711862677606</v>
      </c>
      <c r="DT27" s="3">
        <f t="shared" si="67"/>
        <v>64134.246099931159</v>
      </c>
      <c r="DU27" s="3">
        <f t="shared" si="67"/>
        <v>65416.931021929784</v>
      </c>
      <c r="DV27" s="3">
        <f t="shared" si="67"/>
        <v>66725.269642368381</v>
      </c>
      <c r="DW27" s="3">
        <f t="shared" si="67"/>
        <v>68059.775035215745</v>
      </c>
      <c r="DX27" s="3">
        <f t="shared" si="67"/>
        <v>69420.97053592006</v>
      </c>
      <c r="DY27" s="3">
        <f t="shared" si="67"/>
        <v>70809.389946638461</v>
      </c>
      <c r="DZ27" s="3">
        <f t="shared" si="67"/>
        <v>72225.577745571238</v>
      </c>
      <c r="EA27" s="3">
        <f t="shared" si="67"/>
        <v>73670.089300482665</v>
      </c>
      <c r="EB27" s="3">
        <f t="shared" si="67"/>
        <v>75143.491086492315</v>
      </c>
      <c r="EC27" s="3">
        <f t="shared" si="67"/>
        <v>76646.360908222166</v>
      </c>
      <c r="ED27" s="3">
        <f t="shared" si="67"/>
        <v>78179.288126386615</v>
      </c>
      <c r="EE27" s="3">
        <f t="shared" si="67"/>
        <v>79742.873888914342</v>
      </c>
      <c r="EF27" s="3">
        <f t="shared" si="67"/>
        <v>81337.731366692635</v>
      </c>
      <c r="EG27" s="3">
        <f t="shared" si="67"/>
        <v>82964.485994026487</v>
      </c>
      <c r="EH27" s="3">
        <f t="shared" si="67"/>
        <v>84623.775713907016</v>
      </c>
      <c r="EI27" s="3">
        <f t="shared" si="67"/>
        <v>86316.251228185152</v>
      </c>
      <c r="EJ27" s="3">
        <f t="shared" si="67"/>
        <v>88042.576252748855</v>
      </c>
      <c r="EK27" s="3">
        <f t="shared" ref="EK27:FP27" si="68">+EJ27*(1+$AU$36)</f>
        <v>89803.427777803838</v>
      </c>
      <c r="EL27" s="3">
        <f t="shared" si="68"/>
        <v>91599.496333359915</v>
      </c>
      <c r="EM27" s="3">
        <f t="shared" si="68"/>
        <v>93431.486260027115</v>
      </c>
      <c r="EN27" s="3">
        <f t="shared" si="68"/>
        <v>95300.115985227661</v>
      </c>
      <c r="EO27" s="3">
        <f t="shared" si="68"/>
        <v>97206.118304932214</v>
      </c>
      <c r="EP27" s="3">
        <f t="shared" si="68"/>
        <v>99150.240671030857</v>
      </c>
      <c r="EQ27" s="3">
        <f t="shared" si="68"/>
        <v>101133.24548445147</v>
      </c>
      <c r="ER27" s="3">
        <f t="shared" si="68"/>
        <v>103155.9103941405</v>
      </c>
      <c r="ES27" s="3">
        <f t="shared" si="68"/>
        <v>105219.02860202332</v>
      </c>
      <c r="ET27" s="3">
        <f t="shared" si="68"/>
        <v>107323.40917406378</v>
      </c>
      <c r="EU27" s="3">
        <f t="shared" si="68"/>
        <v>109469.87735754506</v>
      </c>
      <c r="EV27" s="3">
        <f t="shared" si="68"/>
        <v>111659.27490469597</v>
      </c>
      <c r="EW27" s="3">
        <f t="shared" si="68"/>
        <v>113892.46040278989</v>
      </c>
      <c r="EX27" s="3">
        <f t="shared" si="68"/>
        <v>116170.3096108457</v>
      </c>
      <c r="EY27" s="3">
        <f t="shared" si="68"/>
        <v>118493.71580306262</v>
      </c>
      <c r="EZ27" s="3">
        <f t="shared" si="68"/>
        <v>120863.59011912387</v>
      </c>
      <c r="FA27" s="3">
        <f t="shared" si="68"/>
        <v>123280.86192150635</v>
      </c>
      <c r="FB27" s="3">
        <f t="shared" si="68"/>
        <v>125746.47915993648</v>
      </c>
      <c r="FC27" s="3">
        <f t="shared" si="68"/>
        <v>128261.40874313521</v>
      </c>
      <c r="FD27" s="3">
        <f t="shared" si="68"/>
        <v>130826.63691799791</v>
      </c>
      <c r="FE27" s="3">
        <f t="shared" si="68"/>
        <v>133443.16965635787</v>
      </c>
      <c r="FF27" s="3">
        <f t="shared" si="68"/>
        <v>136112.03304948504</v>
      </c>
      <c r="FG27" s="3">
        <f t="shared" si="68"/>
        <v>138834.27371047475</v>
      </c>
      <c r="FH27" s="3">
        <f t="shared" si="68"/>
        <v>141610.95918468424</v>
      </c>
      <c r="FI27" s="3">
        <f t="shared" si="68"/>
        <v>144443.17836837794</v>
      </c>
      <c r="FJ27" s="3">
        <f t="shared" si="68"/>
        <v>147332.04193574551</v>
      </c>
      <c r="FK27" s="3">
        <f t="shared" si="68"/>
        <v>150278.68277446041</v>
      </c>
      <c r="FL27" s="3">
        <f t="shared" si="68"/>
        <v>153284.25642994963</v>
      </c>
      <c r="FM27" s="3">
        <f t="shared" si="68"/>
        <v>156349.94155854863</v>
      </c>
      <c r="FN27" s="3">
        <f t="shared" si="68"/>
        <v>159476.94038971962</v>
      </c>
      <c r="FO27" s="3">
        <f t="shared" si="68"/>
        <v>162666.47919751401</v>
      </c>
      <c r="FP27" s="3">
        <f t="shared" si="68"/>
        <v>165919.80878146429</v>
      </c>
      <c r="FQ27" s="3">
        <f t="shared" ref="FQ27:GV27" si="69">+FP27*(1+$AU$36)</f>
        <v>169238.20495709358</v>
      </c>
      <c r="FR27" s="3">
        <f t="shared" si="69"/>
        <v>172622.96905623545</v>
      </c>
      <c r="FS27" s="3">
        <f t="shared" si="69"/>
        <v>176075.42843736015</v>
      </c>
      <c r="FT27" s="3">
        <f t="shared" si="69"/>
        <v>179596.93700610736</v>
      </c>
      <c r="FU27" s="3">
        <f t="shared" si="69"/>
        <v>183188.87574622952</v>
      </c>
      <c r="FV27" s="3">
        <f t="shared" si="69"/>
        <v>186852.6532611541</v>
      </c>
      <c r="FW27" s="3">
        <f t="shared" si="69"/>
        <v>190589.7063263772</v>
      </c>
      <c r="FX27" s="3">
        <f t="shared" si="69"/>
        <v>194401.50045290476</v>
      </c>
      <c r="FY27" s="3">
        <f t="shared" si="69"/>
        <v>198289.53046196286</v>
      </c>
      <c r="FZ27" s="3">
        <f t="shared" si="69"/>
        <v>202255.32107120211</v>
      </c>
      <c r="GA27" s="3">
        <f t="shared" si="69"/>
        <v>206300.42749262616</v>
      </c>
      <c r="GB27" s="3">
        <f t="shared" si="69"/>
        <v>210426.43604247869</v>
      </c>
      <c r="GC27" s="3">
        <f t="shared" si="69"/>
        <v>214634.96476332826</v>
      </c>
      <c r="GD27" s="3">
        <f t="shared" si="69"/>
        <v>218927.66405859482</v>
      </c>
      <c r="GE27" s="3">
        <f t="shared" si="69"/>
        <v>223306.21733976671</v>
      </c>
      <c r="GF27" s="3">
        <f t="shared" si="69"/>
        <v>227772.34168656205</v>
      </c>
      <c r="GG27" s="3">
        <f t="shared" si="69"/>
        <v>232327.78852029331</v>
      </c>
      <c r="GH27" s="3">
        <f t="shared" si="69"/>
        <v>236974.34429069917</v>
      </c>
      <c r="GI27" s="3">
        <f t="shared" si="69"/>
        <v>241713.83117651317</v>
      </c>
      <c r="GJ27" s="3">
        <f t="shared" si="69"/>
        <v>246548.10780004342</v>
      </c>
      <c r="GK27" s="3">
        <f t="shared" si="69"/>
        <v>251479.06995604429</v>
      </c>
      <c r="GL27" s="3">
        <f t="shared" si="69"/>
        <v>256508.65135516517</v>
      </c>
      <c r="GM27" s="3">
        <f t="shared" si="69"/>
        <v>261638.82438226847</v>
      </c>
      <c r="GN27" s="3">
        <f t="shared" si="69"/>
        <v>266871.60086991388</v>
      </c>
      <c r="GO27" s="3">
        <f t="shared" si="69"/>
        <v>272209.03288731218</v>
      </c>
      <c r="GP27" s="3">
        <f t="shared" si="69"/>
        <v>277653.21354505845</v>
      </c>
      <c r="GQ27" s="3">
        <f t="shared" si="69"/>
        <v>283206.27781595965</v>
      </c>
      <c r="GR27" s="3">
        <f t="shared" si="69"/>
        <v>288870.40337227884</v>
      </c>
      <c r="GS27" s="3">
        <f t="shared" si="69"/>
        <v>294647.81143972441</v>
      </c>
      <c r="GT27" s="3">
        <f t="shared" si="69"/>
        <v>300540.76766851888</v>
      </c>
      <c r="GU27" s="3">
        <f t="shared" si="69"/>
        <v>306551.58302188927</v>
      </c>
      <c r="GV27" s="3">
        <f t="shared" si="69"/>
        <v>312682.61468232708</v>
      </c>
      <c r="GW27" s="3">
        <f t="shared" ref="GW27:HO27" si="70">+GV27*(1+$AU$36)</f>
        <v>318936.26697597362</v>
      </c>
      <c r="GX27" s="3">
        <f t="shared" si="70"/>
        <v>325314.99231549312</v>
      </c>
      <c r="GY27" s="3">
        <f t="shared" si="70"/>
        <v>331821.29216180299</v>
      </c>
      <c r="GZ27" s="3">
        <f t="shared" si="70"/>
        <v>338457.71800503909</v>
      </c>
      <c r="HA27" s="3">
        <f t="shared" si="70"/>
        <v>345226.87236513989</v>
      </c>
      <c r="HB27" s="3">
        <f t="shared" si="70"/>
        <v>352131.40981244267</v>
      </c>
      <c r="HC27" s="3">
        <f t="shared" si="70"/>
        <v>359174.03800869151</v>
      </c>
      <c r="HD27" s="3">
        <f t="shared" si="70"/>
        <v>366357.51876886532</v>
      </c>
      <c r="HE27" s="3">
        <f t="shared" si="70"/>
        <v>373684.66914424265</v>
      </c>
      <c r="HF27" s="3">
        <f t="shared" si="70"/>
        <v>381158.36252712749</v>
      </c>
      <c r="HG27" s="3">
        <f t="shared" si="70"/>
        <v>388781.52977767005</v>
      </c>
      <c r="HH27" s="3">
        <f t="shared" si="70"/>
        <v>396557.16037322348</v>
      </c>
      <c r="HI27" s="3">
        <f t="shared" si="70"/>
        <v>404488.30358068796</v>
      </c>
      <c r="HJ27" s="3">
        <f t="shared" si="70"/>
        <v>412578.06965230173</v>
      </c>
      <c r="HK27" s="3">
        <f t="shared" si="70"/>
        <v>420829.63104534778</v>
      </c>
      <c r="HL27" s="3">
        <f t="shared" si="70"/>
        <v>429246.22366625472</v>
      </c>
      <c r="HM27" s="3">
        <f t="shared" si="70"/>
        <v>437831.1481395798</v>
      </c>
      <c r="HN27" s="3">
        <f t="shared" si="70"/>
        <v>446587.77110237139</v>
      </c>
      <c r="HO27" s="3">
        <f t="shared" si="70"/>
        <v>455519.52652441885</v>
      </c>
    </row>
    <row r="28" spans="2:223" s="9" customFormat="1">
      <c r="B28" s="30" t="s">
        <v>36</v>
      </c>
      <c r="C28" s="9">
        <v>771.6</v>
      </c>
      <c r="D28" s="9">
        <v>768.7</v>
      </c>
      <c r="E28" s="9">
        <v>763.9</v>
      </c>
      <c r="F28" s="9">
        <v>755.6</v>
      </c>
      <c r="G28" s="9">
        <v>750.7</v>
      </c>
      <c r="H28" s="9">
        <v>748.6</v>
      </c>
      <c r="I28" s="9">
        <v>750</v>
      </c>
      <c r="J28" s="9">
        <v>751</v>
      </c>
      <c r="K28" s="9">
        <v>751</v>
      </c>
      <c r="L28" s="9">
        <v>752.1</v>
      </c>
      <c r="M28" s="9">
        <v>752.6</v>
      </c>
      <c r="N28" s="9">
        <v>751.6</v>
      </c>
      <c r="O28" s="9">
        <v>747.6</v>
      </c>
      <c r="P28" s="9">
        <v>742</v>
      </c>
      <c r="Q28" s="9">
        <v>739.5</v>
      </c>
      <c r="R28" s="9">
        <f t="shared" ref="R28" si="71">+Q28</f>
        <v>739.5</v>
      </c>
      <c r="AC28" s="9">
        <v>815.5</v>
      </c>
      <c r="AD28" s="9">
        <v>785.6</v>
      </c>
      <c r="AE28" s="9">
        <f>+AE27/AE29</f>
        <v>797.95685279187842</v>
      </c>
      <c r="AF28" s="9">
        <f>+AF27/AF29</f>
        <v>797.32171156893844</v>
      </c>
      <c r="AG28" s="9">
        <f>+AG27/AG29</f>
        <v>751.90652423758263</v>
      </c>
      <c r="AH28" s="9">
        <f>+AG28</f>
        <v>751.90652423758263</v>
      </c>
      <c r="AI28" s="9">
        <f t="shared" ref="AI28:AP28" si="72">+AH28</f>
        <v>751.90652423758263</v>
      </c>
      <c r="AJ28" s="9">
        <f t="shared" si="72"/>
        <v>751.90652423758263</v>
      </c>
      <c r="AK28" s="9">
        <f t="shared" si="72"/>
        <v>751.90652423758263</v>
      </c>
      <c r="AL28" s="9">
        <f t="shared" si="72"/>
        <v>751.90652423758263</v>
      </c>
      <c r="AM28" s="9">
        <f t="shared" si="72"/>
        <v>751.90652423758263</v>
      </c>
      <c r="AN28" s="9">
        <f t="shared" si="72"/>
        <v>751.90652423758263</v>
      </c>
      <c r="AO28" s="9">
        <f t="shared" si="72"/>
        <v>751.90652423758263</v>
      </c>
      <c r="AP28" s="9">
        <f t="shared" si="72"/>
        <v>751.90652423758263</v>
      </c>
      <c r="AQ28" s="9">
        <f t="shared" ref="AQ28" si="73">+AP28</f>
        <v>751.90652423758263</v>
      </c>
    </row>
    <row r="29" spans="2:223" s="45" customFormat="1">
      <c r="B29" s="44" t="s">
        <v>37</v>
      </c>
      <c r="C29" s="45">
        <f t="shared" ref="C29:M29" si="74">+C27/C28</f>
        <v>1.801192327630897</v>
      </c>
      <c r="D29" s="45">
        <f t="shared" si="74"/>
        <v>2.0555483283465588</v>
      </c>
      <c r="E29" s="45">
        <f t="shared" si="74"/>
        <v>2.1951826155255936</v>
      </c>
      <c r="F29" s="45">
        <f t="shared" si="74"/>
        <v>2.1719163578613019</v>
      </c>
      <c r="G29" s="45">
        <f t="shared" si="74"/>
        <v>1.5723990941787669</v>
      </c>
      <c r="H29" s="45">
        <f t="shared" si="74"/>
        <v>0.74111675126903587</v>
      </c>
      <c r="I29" s="45">
        <f t="shared" si="74"/>
        <v>2.4512000000000009</v>
      </c>
      <c r="J29" s="45">
        <f t="shared" si="74"/>
        <v>1.9407456724367513</v>
      </c>
      <c r="K29" s="45">
        <f t="shared" si="74"/>
        <v>2.1479360852197069</v>
      </c>
      <c r="L29" s="45">
        <f t="shared" si="74"/>
        <v>3.0612950405531172</v>
      </c>
      <c r="M29" s="45">
        <f t="shared" si="74"/>
        <v>2.9683762955089028</v>
      </c>
      <c r="N29" s="45">
        <f t="shared" ref="N29" si="75">+N27/N28</f>
        <v>2.2955029270888754</v>
      </c>
      <c r="O29" s="45">
        <f t="shared" ref="O29:P29" si="76">+O27/O28</f>
        <v>1.6012573568753345</v>
      </c>
      <c r="P29" s="45">
        <f t="shared" si="76"/>
        <v>1.6010781671159038</v>
      </c>
      <c r="Q29" s="45">
        <f t="shared" ref="Q29" si="77">+Q27/Q28</f>
        <v>2.6796484110885737</v>
      </c>
      <c r="R29" s="45">
        <f t="shared" ref="R29" si="78">+R27/R28</f>
        <v>2.3651473489123607</v>
      </c>
      <c r="X29" s="45">
        <v>5.36</v>
      </c>
      <c r="Y29" s="45">
        <v>5.55</v>
      </c>
      <c r="Z29" s="45">
        <v>4.82</v>
      </c>
      <c r="AA29" s="45">
        <v>4.8</v>
      </c>
      <c r="AB29" s="45">
        <v>5.44</v>
      </c>
      <c r="AC29" s="45">
        <v>6.37</v>
      </c>
      <c r="AD29" s="45">
        <v>7.54</v>
      </c>
      <c r="AE29" s="45">
        <v>7.88</v>
      </c>
      <c r="AF29" s="45">
        <v>6.31</v>
      </c>
      <c r="AG29" s="45">
        <f t="shared" si="26"/>
        <v>10.473110348370604</v>
      </c>
      <c r="AH29" s="45">
        <f>+AH27/AH28</f>
        <v>8.1336260125178583</v>
      </c>
      <c r="AI29" s="45">
        <f t="shared" ref="AI29:AP29" si="79">+AI27/AI28</f>
        <v>9.7189738209742025</v>
      </c>
      <c r="AJ29" s="45">
        <f t="shared" si="79"/>
        <v>10.169512299173741</v>
      </c>
      <c r="AK29" s="45">
        <f t="shared" si="79"/>
        <v>10.848382912868422</v>
      </c>
      <c r="AL29" s="45">
        <f t="shared" si="79"/>
        <v>11.688863488352556</v>
      </c>
      <c r="AM29" s="45">
        <f t="shared" si="79"/>
        <v>12.603784906144394</v>
      </c>
      <c r="AN29" s="45">
        <f t="shared" si="79"/>
        <v>13.599867590473091</v>
      </c>
      <c r="AO29" s="45">
        <f t="shared" si="79"/>
        <v>14.684449515530856</v>
      </c>
      <c r="AP29" s="45">
        <f t="shared" si="79"/>
        <v>15.865543476166524</v>
      </c>
      <c r="AQ29" s="45">
        <f t="shared" ref="AQ29" si="80">+AQ27/AQ28</f>
        <v>17.15189968758926</v>
      </c>
    </row>
    <row r="30" spans="2:223" s="10" customFormat="1">
      <c r="B30" s="31"/>
      <c r="AC30" s="9"/>
      <c r="AD30" s="9"/>
      <c r="AE30" s="9"/>
      <c r="AF30" s="9"/>
      <c r="AG30" s="9"/>
    </row>
    <row r="31" spans="2:223" s="10" customFormat="1">
      <c r="B31" s="31" t="s">
        <v>134</v>
      </c>
      <c r="X31" s="46">
        <v>16.46</v>
      </c>
      <c r="Y31" s="46">
        <v>17.510000000000002</v>
      </c>
      <c r="Z31" s="46">
        <v>18.440000000000001</v>
      </c>
      <c r="AA31" s="46">
        <v>25.57</v>
      </c>
      <c r="AB31" s="46">
        <v>22.88</v>
      </c>
      <c r="AC31" s="46">
        <v>24.91</v>
      </c>
      <c r="AD31" s="46">
        <v>26.86</v>
      </c>
      <c r="AE31" s="46">
        <v>25.93</v>
      </c>
      <c r="AF31" s="46">
        <v>32.76</v>
      </c>
      <c r="AG31" s="46">
        <v>27.64</v>
      </c>
    </row>
    <row r="32" spans="2:223" s="10" customFormat="1">
      <c r="B32" s="31" t="s">
        <v>135</v>
      </c>
      <c r="AC32" s="9"/>
      <c r="AD32" s="9"/>
      <c r="AE32" s="9"/>
      <c r="AF32" s="9"/>
    </row>
    <row r="33" spans="2:53" s="10" customFormat="1">
      <c r="B33" s="31" t="s">
        <v>136</v>
      </c>
      <c r="AC33" s="9"/>
      <c r="AD33" s="9"/>
      <c r="AE33" s="9"/>
      <c r="AF33" s="9"/>
    </row>
    <row r="34" spans="2:53">
      <c r="J34" s="13"/>
      <c r="K34" s="13"/>
      <c r="L34" s="13"/>
      <c r="M34" s="13"/>
      <c r="N34" s="13"/>
      <c r="O34" s="13"/>
    </row>
    <row r="35" spans="2:53">
      <c r="AT35" s="6" t="s">
        <v>78</v>
      </c>
      <c r="AU35" s="8">
        <v>0.01</v>
      </c>
    </row>
    <row r="36" spans="2:53" s="5" customFormat="1">
      <c r="B36" s="40" t="s">
        <v>38</v>
      </c>
      <c r="G36" s="49">
        <f t="shared" ref="G36:K36" si="81">+G11/C11-1</f>
        <v>-9.5826824369560359E-2</v>
      </c>
      <c r="H36" s="49">
        <f t="shared" si="81"/>
        <v>-0.33606898850191635</v>
      </c>
      <c r="I36" s="49">
        <f t="shared" si="81"/>
        <v>-5.3877348340643838E-2</v>
      </c>
      <c r="J36" s="49">
        <f t="shared" si="81"/>
        <v>-5.500782803706683E-2</v>
      </c>
      <c r="K36" s="49">
        <f t="shared" si="81"/>
        <v>6.6985882120643714E-2</v>
      </c>
      <c r="L36" s="49">
        <f>+L11/H11-1</f>
        <v>0.56158624584300676</v>
      </c>
      <c r="M36" s="49">
        <f>+M11/I11-1</f>
        <v>0.13645906228131555</v>
      </c>
      <c r="N36" s="49">
        <f>+N11/J11-1</f>
        <v>0.13679308646397703</v>
      </c>
      <c r="O36" s="49">
        <f>+O11/K11-1</f>
        <v>6.5186213277816263E-2</v>
      </c>
      <c r="P36" s="49">
        <f>+P11/L11-1</f>
        <v>-0.15104271306304484</v>
      </c>
      <c r="Q36" s="49">
        <f>+Q11/M11-1</f>
        <v>-0.18226600985221675</v>
      </c>
      <c r="R36" s="39"/>
      <c r="AD36" s="49">
        <f>+AD11/AC11-1</f>
        <v>-0.21276997224602745</v>
      </c>
      <c r="AE36" s="49">
        <f>+AE11/AD11-1</f>
        <v>-5.9114924046461126E-2</v>
      </c>
      <c r="AF36" s="49">
        <f>+AF11/AE11-1</f>
        <v>-0.13603940217391297</v>
      </c>
      <c r="AG36" s="49">
        <f>+AG11/AF11-1</f>
        <v>0.20250147434637311</v>
      </c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T36" s="5" t="s">
        <v>46</v>
      </c>
      <c r="AU36" s="41">
        <v>0.02</v>
      </c>
    </row>
    <row r="37" spans="2:53" s="5" customFormat="1">
      <c r="B37" s="40" t="s">
        <v>39</v>
      </c>
      <c r="G37" s="49">
        <f t="shared" ref="G37:L37" si="82">+G12/C12-1</f>
        <v>-3.9446060918566506E-2</v>
      </c>
      <c r="H37" s="49">
        <f t="shared" si="82"/>
        <v>-0.29001326124655724</v>
      </c>
      <c r="I37" s="49">
        <f t="shared" si="82"/>
        <v>1.0218978102189746E-2</v>
      </c>
      <c r="J37" s="49">
        <f t="shared" si="82"/>
        <v>-1.3397193287989495E-4</v>
      </c>
      <c r="K37" s="49">
        <f t="shared" si="82"/>
        <v>0.10329754601227004</v>
      </c>
      <c r="L37" s="49">
        <f t="shared" si="82"/>
        <v>0.58342911877394621</v>
      </c>
      <c r="M37" s="49">
        <f>+M12/I12-1</f>
        <v>0.15285076195480807</v>
      </c>
      <c r="N37" s="49">
        <f>+N12/J12-1</f>
        <v>0.13610022443305514</v>
      </c>
      <c r="O37" s="49">
        <f>+O12/K12-1</f>
        <v>0.13394036282755262</v>
      </c>
      <c r="P37" s="49">
        <f>+P12/L12-1</f>
        <v>6.6723126247655973E-2</v>
      </c>
      <c r="Q37" s="49">
        <f>+Q12/M12-1</f>
        <v>4.5866332402712207E-2</v>
      </c>
      <c r="R37" s="39"/>
      <c r="AD37" s="49">
        <f>+AD12/AC12-1</f>
        <v>9.0184626045636707E-2</v>
      </c>
      <c r="AE37" s="49">
        <f>+AE12/AD12-1</f>
        <v>5.8406356413166938E-2</v>
      </c>
      <c r="AF37" s="49">
        <f>+AF12/AE12-1</f>
        <v>-7.9754969671491205E-2</v>
      </c>
      <c r="AG37" s="49">
        <f>+AG12/AF12-1</f>
        <v>0.21995879210523861</v>
      </c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T37" s="5" t="s">
        <v>47</v>
      </c>
      <c r="AU37" s="41">
        <v>0.06</v>
      </c>
    </row>
    <row r="38" spans="2:53" s="5" customFormat="1">
      <c r="B38" s="40" t="s">
        <v>40</v>
      </c>
      <c r="G38" s="49">
        <f t="shared" ref="G38:L38" si="83">+G13/C13-1</f>
        <v>0.1766423357664233</v>
      </c>
      <c r="H38" s="49">
        <f t="shared" si="83"/>
        <v>0.16496350364963508</v>
      </c>
      <c r="I38" s="49">
        <f t="shared" si="83"/>
        <v>0.21199442119944223</v>
      </c>
      <c r="J38" s="49">
        <f t="shared" si="83"/>
        <v>0.20202020202020199</v>
      </c>
      <c r="K38" s="49">
        <f t="shared" si="83"/>
        <v>6.3275434243176276E-2</v>
      </c>
      <c r="L38" s="49">
        <f t="shared" si="83"/>
        <v>0.16541353383458657</v>
      </c>
      <c r="M38" s="49">
        <f>+M13/I13-1</f>
        <v>6.6743383199079354E-2</v>
      </c>
      <c r="N38" s="49">
        <f>+N13/J13-1</f>
        <v>-0.17331932773109238</v>
      </c>
      <c r="O38" s="49">
        <f>+O13/K13-1</f>
        <v>0.17152858809801641</v>
      </c>
      <c r="P38" s="49">
        <f>+P13/L13-1</f>
        <v>-0.15268817204301077</v>
      </c>
      <c r="Q38" s="49">
        <f>+Q13/M13-1</f>
        <v>-0.17907227615965493</v>
      </c>
      <c r="R38" s="39"/>
      <c r="AD38" s="49"/>
      <c r="AE38" s="49"/>
      <c r="AF38" s="49">
        <f>+AF13/AE13-1</f>
        <v>0.18964918374435569</v>
      </c>
      <c r="AG38" s="49">
        <f>+AG13/AF13-1</f>
        <v>2.2189781021897836E-2</v>
      </c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T38" s="5" t="s">
        <v>48</v>
      </c>
      <c r="AU38" s="1">
        <f>NPV(AU37,AG27:HO27)+Main!J7-Main!J8</f>
        <v>211097.72225176683</v>
      </c>
    </row>
    <row r="39" spans="2:53" s="6" customFormat="1">
      <c r="B39" s="32" t="s">
        <v>41</v>
      </c>
      <c r="G39" s="50">
        <f t="shared" ref="G39:K39" si="84">+G14/C14-1</f>
        <v>-6.1642881312075737E-2</v>
      </c>
      <c r="H39" s="50">
        <f t="shared" si="84"/>
        <v>-0.3046877888276831</v>
      </c>
      <c r="I39" s="50">
        <f t="shared" si="84"/>
        <v>-1.5302691601693841E-2</v>
      </c>
      <c r="J39" s="50">
        <f t="shared" si="84"/>
        <v>-2.1075126192844684E-2</v>
      </c>
      <c r="K39" s="50">
        <f t="shared" si="84"/>
        <v>8.7010011878499771E-2</v>
      </c>
      <c r="L39" s="50">
        <f>+L14/H14-1</f>
        <v>0.56530639372590707</v>
      </c>
      <c r="M39" s="50">
        <f t="shared" ref="M39:O39" si="85">+M14/I14-1</f>
        <v>0.14455251841051298</v>
      </c>
      <c r="N39" s="50">
        <f t="shared" si="85"/>
        <v>0.13084798072942139</v>
      </c>
      <c r="O39" s="50">
        <f t="shared" si="85"/>
        <v>0.10556921515825635</v>
      </c>
      <c r="P39" s="50">
        <f t="shared" ref="P39" si="86">+P14/L14-1</f>
        <v>-2.8787853054569434E-2</v>
      </c>
      <c r="Q39" s="50">
        <f t="shared" ref="Q39" si="87">+Q14/M14-1</f>
        <v>-5.3085643332849486E-2</v>
      </c>
      <c r="R39" s="39">
        <f t="shared" ref="R39" si="88">+R14/N14-1</f>
        <v>9.1886553218327061E-2</v>
      </c>
      <c r="AD39" s="50">
        <f t="shared" ref="AD39:AF39" si="89">+AD14/AC14-1</f>
        <v>-7.413633908816919E-2</v>
      </c>
      <c r="AE39" s="50">
        <f t="shared" si="89"/>
        <v>4.9957192989058541E-3</v>
      </c>
      <c r="AF39" s="50">
        <f t="shared" si="89"/>
        <v>-0.10094362584486338</v>
      </c>
      <c r="AG39" s="50">
        <f>+AG14/AF14-1</f>
        <v>0.20903487125022102</v>
      </c>
      <c r="AH39" s="39">
        <f t="shared" ref="AH39:AP39" si="90">+AH14/AG14-1</f>
        <v>2.5597814525500473E-2</v>
      </c>
      <c r="AI39" s="39">
        <f t="shared" si="90"/>
        <v>4.1326663331665792E-2</v>
      </c>
      <c r="AJ39" s="39">
        <f t="shared" si="90"/>
        <v>5.3934450800629641E-2</v>
      </c>
      <c r="AK39" s="39">
        <f t="shared" si="90"/>
        <v>7.4260720240910016E-2</v>
      </c>
      <c r="AL39" s="39">
        <f t="shared" si="90"/>
        <v>8.455120101137803E-2</v>
      </c>
      <c r="AM39" s="39">
        <f t="shared" si="90"/>
        <v>8.4798696650292493E-2</v>
      </c>
      <c r="AN39" s="39">
        <f t="shared" si="90"/>
        <v>8.5042884175862143E-2</v>
      </c>
      <c r="AO39" s="39">
        <f t="shared" si="90"/>
        <v>8.5283628091289421E-2</v>
      </c>
      <c r="AP39" s="39">
        <f t="shared" si="90"/>
        <v>8.5520800370000982E-2</v>
      </c>
      <c r="AQ39" s="39">
        <f>+AQ14/AP14-1</f>
        <v>8.5754280593834054E-2</v>
      </c>
      <c r="AT39" s="1" t="s">
        <v>1</v>
      </c>
      <c r="AU39" s="1">
        <f>+Main!J5</f>
        <v>732.42359199999999</v>
      </c>
    </row>
    <row r="40" spans="2:53">
      <c r="AT40" s="1" t="s">
        <v>49</v>
      </c>
      <c r="AU40" s="1">
        <f>+AU38/AU39</f>
        <v>288.21808111796435</v>
      </c>
    </row>
    <row r="41" spans="2:53">
      <c r="B41" s="27" t="s">
        <v>116</v>
      </c>
      <c r="C41" s="5">
        <f>+C22/C14</f>
        <v>0.4290121613821381</v>
      </c>
      <c r="D41" s="5">
        <f t="shared" ref="D41:R41" si="91">+D22/D14</f>
        <v>0.43201227402122072</v>
      </c>
      <c r="E41" s="5">
        <f t="shared" si="91"/>
        <v>0.4504116460389293</v>
      </c>
      <c r="F41" s="5">
        <f t="shared" si="91"/>
        <v>0.43504292398953615</v>
      </c>
      <c r="G41" s="5">
        <f t="shared" si="91"/>
        <v>0.37483030714406929</v>
      </c>
      <c r="H41" s="5">
        <f t="shared" si="91"/>
        <v>0.2743852186627676</v>
      </c>
      <c r="I41" s="5">
        <f t="shared" si="91"/>
        <v>0.48027906461674769</v>
      </c>
      <c r="J41" s="5">
        <f t="shared" si="91"/>
        <v>0.41838232526628782</v>
      </c>
      <c r="K41" s="5">
        <f t="shared" si="91"/>
        <v>0.45997736408695317</v>
      </c>
      <c r="L41" s="5">
        <f t="shared" si="91"/>
        <v>0.47116968698517292</v>
      </c>
      <c r="M41" s="5">
        <f t="shared" si="91"/>
        <v>0.49515424185251483</v>
      </c>
      <c r="N41" s="5">
        <f t="shared" si="91"/>
        <v>0.41330648516416757</v>
      </c>
      <c r="O41" s="5">
        <f t="shared" si="91"/>
        <v>0.42454462016379552</v>
      </c>
      <c r="P41" s="5">
        <f t="shared" si="91"/>
        <v>0.29934946838276449</v>
      </c>
      <c r="Q41" s="5">
        <f t="shared" si="91"/>
        <v>0.4706834011682362</v>
      </c>
      <c r="R41" s="5">
        <f t="shared" si="91"/>
        <v>0.41330648516416757</v>
      </c>
      <c r="AC41" s="5">
        <f t="shared" ref="AC41:AQ41" si="92">+AC22/AC14</f>
        <v>0.50010888312050317</v>
      </c>
      <c r="AD41" s="5">
        <f t="shared" si="92"/>
        <v>0.51880686041151169</v>
      </c>
      <c r="AE41" s="5">
        <f t="shared" si="92"/>
        <v>0.43681545000093613</v>
      </c>
      <c r="AF41" s="5">
        <f t="shared" si="92"/>
        <v>0.3969533210466582</v>
      </c>
      <c r="AG41" s="5">
        <f t="shared" si="92"/>
        <v>0.46013202485477694</v>
      </c>
      <c r="AH41" s="5">
        <f t="shared" si="92"/>
        <v>0.40276551478737616</v>
      </c>
      <c r="AI41" s="5">
        <f t="shared" si="92"/>
        <v>0.46216973537784167</v>
      </c>
      <c r="AJ41" s="5">
        <f t="shared" si="92"/>
        <v>0.45884670307299136</v>
      </c>
      <c r="AK41" s="5">
        <f t="shared" si="92"/>
        <v>0.45564100315594558</v>
      </c>
      <c r="AL41" s="5">
        <f t="shared" si="92"/>
        <v>0.45266823549720253</v>
      </c>
      <c r="AM41" s="5">
        <f t="shared" si="92"/>
        <v>0.44994513664712693</v>
      </c>
      <c r="AN41" s="5">
        <f t="shared" si="92"/>
        <v>0.44745189934755941</v>
      </c>
      <c r="AO41" s="5">
        <f t="shared" si="92"/>
        <v>0.4451702103978592</v>
      </c>
      <c r="AP41" s="5">
        <f t="shared" si="92"/>
        <v>0.44308314342601957</v>
      </c>
      <c r="AQ41" s="5">
        <f t="shared" si="92"/>
        <v>0.44117505899487797</v>
      </c>
      <c r="AT41" s="1" t="s">
        <v>50</v>
      </c>
      <c r="AU41" s="1">
        <f>+Main!J4</f>
        <v>277.8</v>
      </c>
    </row>
    <row r="42" spans="2:53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AT42" s="3" t="s">
        <v>51</v>
      </c>
      <c r="AU42" s="6">
        <f>+AU40/AU41-1</f>
        <v>3.7502091857323006E-2</v>
      </c>
    </row>
    <row r="43" spans="2:53">
      <c r="B43" s="27" t="s">
        <v>126</v>
      </c>
      <c r="O43" s="1">
        <v>244</v>
      </c>
      <c r="AC43" s="1">
        <v>172.12</v>
      </c>
      <c r="AD43" s="1">
        <v>177.57</v>
      </c>
      <c r="AE43" s="1">
        <v>197.61</v>
      </c>
      <c r="AF43" s="1">
        <v>214.58</v>
      </c>
      <c r="AG43" s="1">
        <v>268.07</v>
      </c>
    </row>
    <row r="44" spans="2:53">
      <c r="B44" s="27" t="s">
        <v>2</v>
      </c>
      <c r="O44" s="1">
        <f>+C28*O43</f>
        <v>188270.4</v>
      </c>
      <c r="Q44" s="1">
        <f>+Main!J6</f>
        <v>203467.2738576</v>
      </c>
      <c r="AC44" s="1">
        <f>+AC28*AC43</f>
        <v>140363.86000000002</v>
      </c>
      <c r="AD44" s="1">
        <f>+AD28*AD43</f>
        <v>139498.992</v>
      </c>
      <c r="AE44" s="1">
        <f>+AE28*AE43</f>
        <v>157684.25368020311</v>
      </c>
      <c r="AF44" s="1">
        <f>+AF28*AF43</f>
        <v>171089.29286846283</v>
      </c>
      <c r="AG44" s="1">
        <f>+AG28*AG43</f>
        <v>201563.58195236878</v>
      </c>
      <c r="AT44" s="47">
        <f>MIN(X31:AG31)</f>
        <v>16.46</v>
      </c>
      <c r="AU44" s="5">
        <v>7.0000000000000007E-2</v>
      </c>
      <c r="AV44" s="5">
        <v>0.06</v>
      </c>
      <c r="AW44" s="5">
        <v>0.05</v>
      </c>
      <c r="AX44" s="5">
        <v>0.04</v>
      </c>
      <c r="AY44" s="5">
        <v>0.03</v>
      </c>
      <c r="AZ44" s="5">
        <v>0.02</v>
      </c>
      <c r="BA44" s="5"/>
    </row>
    <row r="45" spans="2:53">
      <c r="B45" s="27" t="s">
        <v>5</v>
      </c>
      <c r="J45" s="1">
        <f>+J44+J48</f>
        <v>-32694.100000000002</v>
      </c>
      <c r="K45" s="1">
        <f>+K44+K48</f>
        <v>-31492.399999999998</v>
      </c>
      <c r="L45" s="1">
        <f>+L44+L48</f>
        <v>-31176.399999999998</v>
      </c>
      <c r="M45" s="1">
        <f>+M44+M48</f>
        <v>-29650.799999999999</v>
      </c>
      <c r="N45" s="1">
        <f>+N44+N48</f>
        <v>-29712.299999999996</v>
      </c>
      <c r="O45" s="1">
        <f>+O44+O48</f>
        <v>157794.5</v>
      </c>
      <c r="Q45" s="1">
        <f>+Q44+Q48</f>
        <v>176160.97385760001</v>
      </c>
      <c r="AC45" s="1">
        <f t="shared" ref="AC45:AF45" si="93">+AC44+AC48</f>
        <v>140363.86000000002</v>
      </c>
      <c r="AD45" s="1">
        <f t="shared" si="93"/>
        <v>139498.992</v>
      </c>
      <c r="AE45" s="1">
        <f t="shared" si="93"/>
        <v>157684.25368020311</v>
      </c>
      <c r="AF45" s="1">
        <f t="shared" si="93"/>
        <v>139912.89286846283</v>
      </c>
      <c r="AG45" s="1">
        <f>+AG44+AG48</f>
        <v>171851.28195236879</v>
      </c>
      <c r="AT45" s="27" t="s">
        <v>137</v>
      </c>
      <c r="AU45" s="1">
        <f>FV(AU44,10,,-$AG$29)*$AT$44</f>
        <v>339.11210067839676</v>
      </c>
      <c r="AV45" s="1">
        <f>FV(AV44,10,,-$AG$29)*$AT$44</f>
        <v>308.71957163808668</v>
      </c>
      <c r="AW45" s="1">
        <f>FV(AW44,10,,-$AG$29)*$AT$44</f>
        <v>280.80090361289928</v>
      </c>
      <c r="AX45" s="1">
        <f>FV(AX44,10,,-$AG$29)*$AT$44</f>
        <v>255.17545821562373</v>
      </c>
      <c r="AY45" s="1">
        <f>FV(AY44,10,,-$AG$29)*$AT$44</f>
        <v>231.67424552599149</v>
      </c>
      <c r="AZ45" s="1">
        <f t="shared" ref="AZ45:BA45" si="94">FV(AZ44,10,,-$AG$29)*$AT$44</f>
        <v>210.13927420879025</v>
      </c>
    </row>
    <row r="46" spans="2:53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AT46" s="27"/>
    </row>
    <row r="47" spans="2:53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AT47" s="48" t="s">
        <v>138</v>
      </c>
      <c r="AU47" s="3">
        <f>AVERAGE(AU45:BA45,AU40)</f>
        <v>273.40566214253607</v>
      </c>
    </row>
    <row r="48" spans="2:53" s="3" customFormat="1">
      <c r="B48" s="28" t="s">
        <v>128</v>
      </c>
      <c r="J48" s="3">
        <f t="shared" ref="J48" si="95">+J49+J54-J69-J71</f>
        <v>-32694.100000000002</v>
      </c>
      <c r="K48" s="3">
        <f>+K49+K54-K69-K71</f>
        <v>-31492.399999999998</v>
      </c>
      <c r="L48" s="3">
        <f>+L49+L54-L69-L71</f>
        <v>-31176.399999999998</v>
      </c>
      <c r="M48" s="3">
        <f t="shared" ref="M48:O48" si="96">+M49+M54-M69-M71</f>
        <v>-29650.799999999999</v>
      </c>
      <c r="N48" s="3">
        <f t="shared" si="96"/>
        <v>-29712.299999999996</v>
      </c>
      <c r="O48" s="3">
        <f t="shared" si="96"/>
        <v>-30475.9</v>
      </c>
      <c r="P48" s="3">
        <f>+O48+P27</f>
        <v>-29287.9</v>
      </c>
      <c r="Q48" s="3">
        <f t="shared" ref="Q48:R48" si="97">+P48+Q27</f>
        <v>-27306.300000000003</v>
      </c>
      <c r="R48" s="3">
        <f t="shared" si="97"/>
        <v>-25557.273535479311</v>
      </c>
      <c r="AF48" s="3">
        <f>+L48</f>
        <v>-31176.399999999998</v>
      </c>
      <c r="AG48" s="3">
        <f>+N48</f>
        <v>-29712.299999999996</v>
      </c>
      <c r="AH48" s="3">
        <f>+R48</f>
        <v>-25557.273535479311</v>
      </c>
      <c r="AI48" s="3">
        <f t="shared" ref="AI48:AP48" si="98">+AH48+AI27</f>
        <v>-18249.51371059454</v>
      </c>
      <c r="AJ48" s="3">
        <f t="shared" si="98"/>
        <v>-10602.991064531465</v>
      </c>
      <c r="AK48" s="3">
        <f t="shared" si="98"/>
        <v>-2446.0211749181872</v>
      </c>
      <c r="AL48" s="3">
        <f t="shared" si="98"/>
        <v>6342.9115428965688</v>
      </c>
      <c r="AM48" s="3">
        <f t="shared" si="98"/>
        <v>15819.779643913707</v>
      </c>
      <c r="AN48" s="3">
        <f t="shared" si="98"/>
        <v>26045.608813957675</v>
      </c>
      <c r="AO48" s="3">
        <f t="shared" si="98"/>
        <v>37086.942209522735</v>
      </c>
      <c r="AP48" s="3">
        <f t="shared" si="98"/>
        <v>49016.347859827358</v>
      </c>
      <c r="AQ48" s="3">
        <f t="shared" ref="AQ48" si="99">+AP48+AQ27</f>
        <v>61912.973137994282</v>
      </c>
      <c r="AT48" s="44" t="s">
        <v>51</v>
      </c>
      <c r="AU48" s="6">
        <f>+AU47/AU41-1</f>
        <v>-1.5818350818804672E-2</v>
      </c>
    </row>
    <row r="49" spans="2:46">
      <c r="B49" s="27" t="s">
        <v>52</v>
      </c>
      <c r="J49" s="1">
        <v>3449.1</v>
      </c>
      <c r="K49" s="1">
        <v>3019.7</v>
      </c>
      <c r="L49" s="1">
        <v>3049.4</v>
      </c>
      <c r="M49" s="1">
        <v>4305.8</v>
      </c>
      <c r="N49" s="1">
        <v>4709.2</v>
      </c>
      <c r="O49" s="1">
        <v>2335.6999999999998</v>
      </c>
      <c r="P49" s="1">
        <v>1872.5</v>
      </c>
      <c r="Q49" s="1">
        <v>2828.3</v>
      </c>
      <c r="AT49" s="27"/>
    </row>
    <row r="50" spans="2:46">
      <c r="B50" s="27" t="s">
        <v>54</v>
      </c>
      <c r="J50" s="1">
        <v>2110.3000000000002</v>
      </c>
      <c r="K50" s="1">
        <v>1733.7</v>
      </c>
      <c r="L50" s="1">
        <v>1808.3</v>
      </c>
      <c r="M50" s="1">
        <v>1828.5</v>
      </c>
      <c r="N50" s="1">
        <v>1872.4</v>
      </c>
      <c r="O50" s="1">
        <v>1674.1</v>
      </c>
      <c r="P50" s="1">
        <v>1836.7</v>
      </c>
      <c r="Q50" s="1">
        <v>1889.9</v>
      </c>
    </row>
    <row r="51" spans="2:46">
      <c r="B51" s="27" t="s">
        <v>55</v>
      </c>
      <c r="J51" s="1">
        <v>51.1</v>
      </c>
      <c r="K51" s="1">
        <v>45.3</v>
      </c>
      <c r="L51" s="1">
        <v>47.8</v>
      </c>
      <c r="M51" s="1">
        <v>50.1</v>
      </c>
      <c r="N51" s="1">
        <v>55.6</v>
      </c>
      <c r="O51" s="1">
        <v>49.6</v>
      </c>
      <c r="P51" s="1">
        <v>43.3</v>
      </c>
      <c r="Q51" s="1">
        <v>43.4</v>
      </c>
    </row>
    <row r="52" spans="2:46">
      <c r="B52" s="27" t="s">
        <v>56</v>
      </c>
      <c r="J52" s="1">
        <v>632.70000000000005</v>
      </c>
      <c r="K52" s="1">
        <v>669.2</v>
      </c>
      <c r="L52" s="1">
        <v>795.7</v>
      </c>
      <c r="M52" s="1">
        <v>611.5</v>
      </c>
      <c r="N52" s="1">
        <v>511.3</v>
      </c>
      <c r="O52" s="1">
        <v>597</v>
      </c>
      <c r="P52" s="1">
        <v>1166.8</v>
      </c>
      <c r="Q52" s="1">
        <v>979.2</v>
      </c>
    </row>
    <row r="53" spans="2:46" s="3" customFormat="1">
      <c r="B53" s="28" t="s">
        <v>57</v>
      </c>
      <c r="J53" s="3">
        <f t="shared" ref="J53:P53" si="100">+SUM(J49:J52)</f>
        <v>6243.2</v>
      </c>
      <c r="K53" s="3">
        <f t="shared" si="100"/>
        <v>5467.9</v>
      </c>
      <c r="L53" s="3">
        <f t="shared" si="100"/>
        <v>5701.2</v>
      </c>
      <c r="M53" s="3">
        <f t="shared" si="100"/>
        <v>6795.9000000000005</v>
      </c>
      <c r="N53" s="3">
        <f t="shared" si="100"/>
        <v>7148.5000000000009</v>
      </c>
      <c r="O53" s="3">
        <f t="shared" si="100"/>
        <v>4656.3999999999996</v>
      </c>
      <c r="P53" s="3">
        <f t="shared" si="100"/>
        <v>4919.3</v>
      </c>
      <c r="Q53" s="3">
        <f t="shared" ref="Q53" si="101">+SUM(Q49:Q52)</f>
        <v>5740.8</v>
      </c>
    </row>
    <row r="54" spans="2:46">
      <c r="B54" s="27" t="s">
        <v>58</v>
      </c>
      <c r="J54" s="1">
        <v>1297.2</v>
      </c>
      <c r="K54" s="1">
        <v>1211.0999999999999</v>
      </c>
      <c r="L54" s="1">
        <v>1196.8</v>
      </c>
      <c r="M54" s="1">
        <v>1171.4000000000001</v>
      </c>
      <c r="N54" s="1">
        <v>1201.2</v>
      </c>
      <c r="O54" s="1">
        <v>1177.2</v>
      </c>
      <c r="P54" s="1">
        <v>1074</v>
      </c>
      <c r="Q54" s="1">
        <v>963.8</v>
      </c>
    </row>
    <row r="55" spans="2:46">
      <c r="B55" s="27" t="s">
        <v>59</v>
      </c>
      <c r="J55" s="1">
        <v>2773.1</v>
      </c>
      <c r="K55" s="1">
        <v>2745.8</v>
      </c>
      <c r="L55" s="1">
        <v>2778.1</v>
      </c>
      <c r="M55" s="1">
        <v>2744.2</v>
      </c>
      <c r="N55" s="1">
        <v>2782.5</v>
      </c>
      <c r="O55" s="1">
        <v>2813.9</v>
      </c>
      <c r="P55" s="1">
        <v>2722.4</v>
      </c>
      <c r="Q55" s="1">
        <v>2651.3</v>
      </c>
    </row>
    <row r="56" spans="2:46">
      <c r="B56" s="27" t="s">
        <v>60</v>
      </c>
      <c r="J56" s="1">
        <v>3527.4</v>
      </c>
      <c r="K56" s="1">
        <v>3499.1</v>
      </c>
      <c r="L56" s="1">
        <v>3889.5</v>
      </c>
      <c r="M56" s="1">
        <v>4057.9</v>
      </c>
      <c r="N56" s="1">
        <v>4449.5</v>
      </c>
      <c r="O56" s="1">
        <v>4416.8999999999996</v>
      </c>
      <c r="P56" s="1">
        <v>4403.3999999999996</v>
      </c>
      <c r="Q56" s="1">
        <v>4254.6000000000004</v>
      </c>
    </row>
    <row r="57" spans="2:46" s="3" customFormat="1">
      <c r="B57" s="28" t="s">
        <v>61</v>
      </c>
      <c r="J57" s="3">
        <f t="shared" ref="J57:P57" si="102">+SUM(J54:J56)</f>
        <v>7597.7000000000007</v>
      </c>
      <c r="K57" s="3">
        <f t="shared" si="102"/>
        <v>7456</v>
      </c>
      <c r="L57" s="3">
        <f t="shared" si="102"/>
        <v>7864.4</v>
      </c>
      <c r="M57" s="3">
        <f t="shared" si="102"/>
        <v>7973.5</v>
      </c>
      <c r="N57" s="3">
        <f t="shared" si="102"/>
        <v>8433.2000000000007</v>
      </c>
      <c r="O57" s="3">
        <f t="shared" si="102"/>
        <v>8408</v>
      </c>
      <c r="P57" s="3">
        <f t="shared" si="102"/>
        <v>8199.7999999999993</v>
      </c>
      <c r="Q57" s="3">
        <f t="shared" ref="Q57" si="103">+SUM(Q54:Q56)</f>
        <v>7869.7000000000007</v>
      </c>
    </row>
    <row r="58" spans="2:46">
      <c r="B58" s="27" t="s">
        <v>62</v>
      </c>
      <c r="J58" s="1">
        <v>13827.7</v>
      </c>
      <c r="K58" s="1">
        <v>13629.4</v>
      </c>
      <c r="L58" s="1">
        <v>13707.3</v>
      </c>
      <c r="M58" s="1">
        <v>13528.9</v>
      </c>
      <c r="N58" s="1">
        <v>13552</v>
      </c>
      <c r="O58" s="1">
        <v>13378.6</v>
      </c>
      <c r="P58" s="1">
        <v>12794.2</v>
      </c>
      <c r="Q58" s="1">
        <v>12192.8</v>
      </c>
    </row>
    <row r="59" spans="2:46">
      <c r="B59" s="27" t="s">
        <v>63</v>
      </c>
      <c r="J59" s="1">
        <v>24958.2</v>
      </c>
      <c r="K59" s="1">
        <v>24549.8</v>
      </c>
      <c r="L59" s="1">
        <v>24620.2</v>
      </c>
      <c r="M59" s="1">
        <v>24428.7</v>
      </c>
      <c r="N59" s="1">
        <v>24720.6</v>
      </c>
      <c r="O59" s="1">
        <v>24434.7</v>
      </c>
      <c r="P59" s="1">
        <v>23334.5</v>
      </c>
      <c r="Q59" s="1">
        <v>22698.3</v>
      </c>
    </row>
    <row r="60" spans="2:46" s="3" customFormat="1">
      <c r="B60" s="28" t="s">
        <v>53</v>
      </c>
      <c r="J60" s="3">
        <f t="shared" ref="J60:Q60" si="104">+J53+J57+SUM(J58:J59)</f>
        <v>52626.8</v>
      </c>
      <c r="K60" s="3">
        <f t="shared" si="104"/>
        <v>51103.1</v>
      </c>
      <c r="L60" s="3">
        <f t="shared" si="104"/>
        <v>51893.1</v>
      </c>
      <c r="M60" s="3">
        <f t="shared" si="104"/>
        <v>52727</v>
      </c>
      <c r="N60" s="3">
        <f t="shared" si="104"/>
        <v>53854.3</v>
      </c>
      <c r="O60" s="3">
        <f t="shared" si="104"/>
        <v>50877.700000000004</v>
      </c>
      <c r="P60" s="3">
        <f t="shared" si="104"/>
        <v>49247.799999999996</v>
      </c>
      <c r="Q60" s="3">
        <f t="shared" si="104"/>
        <v>48501.599999999999</v>
      </c>
    </row>
    <row r="62" spans="2:46">
      <c r="B62" s="27" t="s">
        <v>65</v>
      </c>
      <c r="J62" s="1">
        <v>741.3</v>
      </c>
      <c r="K62" s="1">
        <v>670</v>
      </c>
      <c r="L62" s="1">
        <v>730.9</v>
      </c>
      <c r="M62" s="1">
        <v>772.6</v>
      </c>
      <c r="N62" s="1">
        <v>1006.8</v>
      </c>
      <c r="O62" s="1">
        <v>718.6</v>
      </c>
      <c r="P62" s="1">
        <v>739.4</v>
      </c>
      <c r="Q62" s="1">
        <v>794.8</v>
      </c>
    </row>
    <row r="63" spans="2:46">
      <c r="B63" s="27" t="s">
        <v>92</v>
      </c>
      <c r="J63" s="1">
        <v>0</v>
      </c>
      <c r="K63" s="1">
        <v>0</v>
      </c>
      <c r="M63" s="1">
        <v>1027.3</v>
      </c>
      <c r="P63" s="1">
        <v>0</v>
      </c>
      <c r="Q63" s="1">
        <v>0</v>
      </c>
    </row>
    <row r="64" spans="2:46">
      <c r="B64" s="27" t="s">
        <v>66</v>
      </c>
      <c r="J64" s="1">
        <v>701.5</v>
      </c>
      <c r="K64" s="1">
        <v>718.4</v>
      </c>
      <c r="L64" s="1">
        <v>720.4</v>
      </c>
      <c r="M64" s="1">
        <v>701.5</v>
      </c>
      <c r="N64" s="1">
        <v>705.5</v>
      </c>
      <c r="O64" s="1">
        <v>691.9</v>
      </c>
      <c r="P64" s="1">
        <v>689.6</v>
      </c>
      <c r="Q64" s="1">
        <v>654.9</v>
      </c>
    </row>
    <row r="65" spans="2:17">
      <c r="B65" s="27" t="s">
        <v>67</v>
      </c>
      <c r="J65" s="1">
        <v>741.1</v>
      </c>
      <c r="K65" s="1">
        <v>718.3</v>
      </c>
      <c r="L65" s="1">
        <v>281.39999999999998</v>
      </c>
      <c r="M65" s="1">
        <v>259.7</v>
      </c>
      <c r="N65" s="1">
        <v>360.7</v>
      </c>
      <c r="O65" s="1">
        <v>593.5</v>
      </c>
      <c r="P65" s="1">
        <v>503.8</v>
      </c>
      <c r="Q65" s="1">
        <v>386.3</v>
      </c>
    </row>
    <row r="66" spans="2:17">
      <c r="B66" s="27" t="s">
        <v>68</v>
      </c>
      <c r="J66" s="1">
        <v>227</v>
      </c>
      <c r="K66" s="1">
        <v>192</v>
      </c>
      <c r="L66" s="1">
        <v>241.2</v>
      </c>
      <c r="M66" s="1">
        <v>253.5</v>
      </c>
      <c r="N66" s="1">
        <v>236.7</v>
      </c>
      <c r="O66" s="1">
        <v>270.7</v>
      </c>
      <c r="P66" s="1">
        <v>215.9</v>
      </c>
      <c r="Q66" s="1">
        <v>203.6</v>
      </c>
    </row>
    <row r="67" spans="2:17">
      <c r="B67" s="27" t="s">
        <v>69</v>
      </c>
      <c r="J67" s="1">
        <v>388.4</v>
      </c>
      <c r="K67" s="1">
        <v>333.2</v>
      </c>
      <c r="L67" s="1">
        <v>323.8</v>
      </c>
      <c r="M67" s="1">
        <v>312.2</v>
      </c>
      <c r="N67" s="1">
        <v>363.3</v>
      </c>
      <c r="O67" s="1">
        <v>322.39999999999998</v>
      </c>
      <c r="P67" s="1">
        <v>312.8</v>
      </c>
      <c r="Q67" s="1">
        <v>318.39999999999998</v>
      </c>
    </row>
    <row r="68" spans="2:17">
      <c r="B68" s="27" t="s">
        <v>70</v>
      </c>
      <c r="J68" s="1">
        <v>1138.3</v>
      </c>
      <c r="K68" s="1">
        <v>1047.9000000000001</v>
      </c>
      <c r="L68" s="1">
        <v>1137.0999999999999</v>
      </c>
      <c r="M68" s="1">
        <v>1268.8</v>
      </c>
      <c r="N68" s="1">
        <v>1347</v>
      </c>
      <c r="O68" s="1">
        <v>1637.5</v>
      </c>
      <c r="P68" s="1">
        <v>1018.6</v>
      </c>
      <c r="Q68" s="1">
        <v>1128.0999999999999</v>
      </c>
    </row>
    <row r="69" spans="2:17">
      <c r="B69" s="27" t="s">
        <v>71</v>
      </c>
      <c r="J69" s="1">
        <v>2243.6</v>
      </c>
      <c r="K69" s="1">
        <v>900</v>
      </c>
      <c r="L69" s="1">
        <v>500</v>
      </c>
      <c r="M69" s="1">
        <v>500</v>
      </c>
      <c r="N69" s="1">
        <v>0</v>
      </c>
      <c r="O69" s="1">
        <v>0</v>
      </c>
    </row>
    <row r="70" spans="2:17" s="3" customFormat="1">
      <c r="B70" s="28" t="s">
        <v>64</v>
      </c>
      <c r="J70" s="3">
        <f t="shared" ref="J70:P70" si="105">+SUM(J62:J69)</f>
        <v>6181.2000000000007</v>
      </c>
      <c r="K70" s="3">
        <f t="shared" si="105"/>
        <v>4579.7999999999993</v>
      </c>
      <c r="L70" s="3">
        <f t="shared" si="105"/>
        <v>3934.7999999999997</v>
      </c>
      <c r="M70" s="3">
        <f t="shared" si="105"/>
        <v>5095.5999999999995</v>
      </c>
      <c r="N70" s="3">
        <f t="shared" si="105"/>
        <v>4020</v>
      </c>
      <c r="O70" s="3">
        <f t="shared" si="105"/>
        <v>4234.6000000000004</v>
      </c>
      <c r="P70" s="3">
        <f t="shared" si="105"/>
        <v>3480.1</v>
      </c>
      <c r="Q70" s="3">
        <f t="shared" ref="Q70" si="106">+SUM(Q62:Q69)</f>
        <v>3486.0999999999995</v>
      </c>
    </row>
    <row r="71" spans="2:17">
      <c r="B71" s="27" t="s">
        <v>75</v>
      </c>
      <c r="J71" s="1">
        <v>35196.800000000003</v>
      </c>
      <c r="K71" s="1">
        <v>34823.199999999997</v>
      </c>
      <c r="L71" s="1">
        <v>34922.6</v>
      </c>
      <c r="M71" s="1">
        <v>34628</v>
      </c>
      <c r="N71" s="1">
        <v>35622.699999999997</v>
      </c>
      <c r="O71" s="1">
        <v>33988.800000000003</v>
      </c>
      <c r="P71" s="1">
        <v>34576.5</v>
      </c>
      <c r="Q71" s="1">
        <v>34866.199999999997</v>
      </c>
    </row>
    <row r="72" spans="2:17">
      <c r="B72" s="27" t="s">
        <v>76</v>
      </c>
      <c r="J72" s="1">
        <v>13321.3</v>
      </c>
      <c r="K72" s="1">
        <v>13111</v>
      </c>
      <c r="L72" s="1">
        <v>13119</v>
      </c>
      <c r="M72" s="1">
        <v>12986.6</v>
      </c>
      <c r="N72" s="1">
        <v>13020.9</v>
      </c>
      <c r="O72" s="1">
        <v>12871.8</v>
      </c>
      <c r="P72" s="1">
        <v>12319.4</v>
      </c>
      <c r="Q72" s="1">
        <v>11766.8</v>
      </c>
    </row>
    <row r="73" spans="2:17">
      <c r="B73" s="27" t="s">
        <v>130</v>
      </c>
      <c r="J73" s="1">
        <v>1970.7</v>
      </c>
      <c r="K73" s="1">
        <v>1963.4</v>
      </c>
      <c r="L73" s="1">
        <v>1865.2</v>
      </c>
      <c r="M73" s="1">
        <v>1878.9</v>
      </c>
      <c r="N73" s="1">
        <v>1896.8</v>
      </c>
      <c r="O73" s="1">
        <v>1889.8</v>
      </c>
      <c r="P73" s="1">
        <v>1236.0999999999999</v>
      </c>
      <c r="Q73" s="1">
        <v>1085</v>
      </c>
    </row>
    <row r="74" spans="2:17">
      <c r="B74" s="27" t="s">
        <v>129</v>
      </c>
      <c r="J74" s="1">
        <v>702</v>
      </c>
      <c r="K74" s="1">
        <v>702.5</v>
      </c>
      <c r="L74" s="1">
        <v>714.9</v>
      </c>
      <c r="M74" s="1">
        <v>720.1</v>
      </c>
      <c r="N74" s="1">
        <v>738.3</v>
      </c>
      <c r="O74" s="1">
        <v>743</v>
      </c>
      <c r="P74" s="1">
        <v>733</v>
      </c>
      <c r="Q74" s="1">
        <v>727.8</v>
      </c>
    </row>
    <row r="75" spans="2:17">
      <c r="B75" s="27" t="s">
        <v>131</v>
      </c>
      <c r="J75" s="1">
        <v>1054.0999999999999</v>
      </c>
      <c r="K75" s="1">
        <v>1056.8</v>
      </c>
      <c r="L75" s="1">
        <v>1077.2</v>
      </c>
      <c r="M75" s="1">
        <v>1046.5999999999999</v>
      </c>
      <c r="N75" s="1">
        <v>1081</v>
      </c>
      <c r="O75" s="1">
        <v>1092</v>
      </c>
      <c r="P75" s="1">
        <v>1022.8</v>
      </c>
      <c r="Q75" s="1">
        <v>990.8</v>
      </c>
    </row>
    <row r="76" spans="2:17">
      <c r="B76" s="27" t="s">
        <v>77</v>
      </c>
      <c r="J76" s="1">
        <v>2025.6</v>
      </c>
      <c r="K76" s="1">
        <v>2101.9</v>
      </c>
      <c r="L76" s="1">
        <v>2067.4</v>
      </c>
      <c r="M76" s="1">
        <v>2046.2</v>
      </c>
      <c r="N76" s="1">
        <v>2075.6</v>
      </c>
      <c r="O76" s="1">
        <v>2048.5</v>
      </c>
      <c r="P76" s="1">
        <v>2249.6999999999998</v>
      </c>
      <c r="Q76" s="1">
        <v>2145.1</v>
      </c>
    </row>
    <row r="77" spans="2:17" s="3" customFormat="1">
      <c r="B77" s="28" t="s">
        <v>72</v>
      </c>
      <c r="J77" s="3">
        <f t="shared" ref="J77:P77" si="107">SUM(J70:J76)</f>
        <v>60451.7</v>
      </c>
      <c r="K77" s="3">
        <f t="shared" si="107"/>
        <v>58338.600000000006</v>
      </c>
      <c r="L77" s="3">
        <f t="shared" si="107"/>
        <v>57701.1</v>
      </c>
      <c r="M77" s="3">
        <f t="shared" si="107"/>
        <v>58401.999999999993</v>
      </c>
      <c r="N77" s="3">
        <f t="shared" si="107"/>
        <v>58455.3</v>
      </c>
      <c r="O77" s="3">
        <f t="shared" si="107"/>
        <v>56868.5</v>
      </c>
      <c r="P77" s="3">
        <f t="shared" si="107"/>
        <v>55617.599999999999</v>
      </c>
      <c r="Q77" s="3">
        <f t="shared" ref="Q77" si="108">SUM(Q70:Q76)</f>
        <v>55067.799999999996</v>
      </c>
    </row>
    <row r="78" spans="2:17">
      <c r="B78" s="27" t="s">
        <v>73</v>
      </c>
      <c r="J78" s="1">
        <v>-7824.9</v>
      </c>
      <c r="K78" s="1">
        <v>-7235.5</v>
      </c>
      <c r="L78" s="1">
        <v>-5808</v>
      </c>
      <c r="M78" s="1">
        <v>-5675</v>
      </c>
      <c r="N78" s="1">
        <v>-4601</v>
      </c>
      <c r="O78" s="1">
        <v>-5990.8</v>
      </c>
      <c r="P78" s="1">
        <v>-6369.8</v>
      </c>
      <c r="Q78" s="1">
        <v>-6566.2</v>
      </c>
    </row>
    <row r="79" spans="2:17" s="3" customFormat="1">
      <c r="B79" s="28" t="s">
        <v>74</v>
      </c>
      <c r="J79" s="3">
        <f t="shared" ref="J79:P79" si="109">+J77+J78</f>
        <v>52626.799999999996</v>
      </c>
      <c r="K79" s="3">
        <f t="shared" si="109"/>
        <v>51103.100000000006</v>
      </c>
      <c r="L79" s="3">
        <f t="shared" si="109"/>
        <v>51893.1</v>
      </c>
      <c r="M79" s="3">
        <f t="shared" si="109"/>
        <v>52726.999999999993</v>
      </c>
      <c r="N79" s="3">
        <f t="shared" si="109"/>
        <v>53854.3</v>
      </c>
      <c r="O79" s="3">
        <f t="shared" si="109"/>
        <v>50877.7</v>
      </c>
      <c r="P79" s="3">
        <f t="shared" si="109"/>
        <v>49247.799999999996</v>
      </c>
      <c r="Q79" s="3">
        <f t="shared" ref="Q79" si="110">+Q77+Q78</f>
        <v>48501.599999999999</v>
      </c>
    </row>
    <row r="80" spans="2:17" s="25" customFormat="1">
      <c r="B80" s="27" t="s">
        <v>93</v>
      </c>
      <c r="J80" s="25" t="str">
        <f t="shared" ref="J80:P80" si="111">IF(J60=J79,"True","False")</f>
        <v>True</v>
      </c>
      <c r="K80" s="25" t="str">
        <f t="shared" si="111"/>
        <v>True</v>
      </c>
      <c r="L80" s="25" t="str">
        <f t="shared" si="111"/>
        <v>True</v>
      </c>
      <c r="M80" s="25" t="str">
        <f t="shared" si="111"/>
        <v>True</v>
      </c>
      <c r="N80" s="25" t="str">
        <f t="shared" si="111"/>
        <v>True</v>
      </c>
      <c r="O80" s="25" t="str">
        <f t="shared" si="111"/>
        <v>True</v>
      </c>
      <c r="P80" s="25" t="str">
        <f t="shared" si="111"/>
        <v>True</v>
      </c>
      <c r="Q80" s="25" t="str">
        <f t="shared" ref="Q80" si="112">IF(Q60=Q79,"True","False")</f>
        <v>True</v>
      </c>
    </row>
    <row r="84" spans="2:33">
      <c r="B84" s="27" t="s">
        <v>94</v>
      </c>
      <c r="O84" s="1">
        <v>1104.4000000000001</v>
      </c>
    </row>
    <row r="85" spans="2:33">
      <c r="B85" s="27" t="s">
        <v>26</v>
      </c>
      <c r="O85" s="1">
        <v>479.7</v>
      </c>
    </row>
    <row r="86" spans="2:33">
      <c r="B86" s="27" t="s">
        <v>77</v>
      </c>
      <c r="O86" s="1">
        <v>-50.5</v>
      </c>
    </row>
    <row r="87" spans="2:33">
      <c r="B87" s="27" t="s">
        <v>95</v>
      </c>
      <c r="O87" s="1">
        <v>54.3</v>
      </c>
    </row>
    <row r="88" spans="2:33">
      <c r="B88" s="27" t="s">
        <v>27</v>
      </c>
      <c r="O88" s="1">
        <v>72</v>
      </c>
    </row>
    <row r="89" spans="2:33">
      <c r="B89" s="27" t="s">
        <v>96</v>
      </c>
      <c r="O89" s="1">
        <v>473.4</v>
      </c>
    </row>
    <row r="90" spans="2:33" s="3" customFormat="1">
      <c r="B90" s="28" t="s">
        <v>97</v>
      </c>
      <c r="O90" s="3">
        <f>+SUM(O84:O89)</f>
        <v>2133.3000000000002</v>
      </c>
      <c r="AD90" s="3">
        <v>6966.7</v>
      </c>
      <c r="AE90" s="3">
        <v>8122.1</v>
      </c>
      <c r="AF90" s="3">
        <v>6265.2</v>
      </c>
      <c r="AG90" s="3">
        <v>9141.5</v>
      </c>
    </row>
    <row r="91" spans="2:33">
      <c r="B91" s="27" t="s">
        <v>98</v>
      </c>
      <c r="O91" s="1">
        <v>-401.2</v>
      </c>
      <c r="AD91" s="1">
        <v>-2741.7</v>
      </c>
      <c r="AE91" s="1">
        <v>-2393.6999999999998</v>
      </c>
      <c r="AF91" s="1">
        <v>-1640.8</v>
      </c>
      <c r="AG91" s="1">
        <v>-2040</v>
      </c>
    </row>
    <row r="92" spans="2:33">
      <c r="B92" s="27" t="s">
        <v>99</v>
      </c>
      <c r="O92" s="1">
        <v>-86.7</v>
      </c>
    </row>
    <row r="93" spans="2:33">
      <c r="B93" s="27" t="s">
        <v>100</v>
      </c>
      <c r="O93" s="1">
        <v>16.5</v>
      </c>
    </row>
    <row r="94" spans="2:33">
      <c r="B94" s="27" t="s">
        <v>101</v>
      </c>
      <c r="O94" s="1">
        <v>4.9000000000000004</v>
      </c>
    </row>
    <row r="95" spans="2:33">
      <c r="B95" s="27" t="s">
        <v>27</v>
      </c>
      <c r="O95" s="1">
        <v>-88</v>
      </c>
    </row>
    <row r="96" spans="2:33" s="3" customFormat="1">
      <c r="B96" s="28" t="s">
        <v>102</v>
      </c>
      <c r="O96" s="3">
        <f>+SUM(O91:O95)</f>
        <v>-554.5</v>
      </c>
    </row>
    <row r="97" spans="2:33">
      <c r="B97" s="27" t="s">
        <v>103</v>
      </c>
      <c r="O97" s="1">
        <v>6</v>
      </c>
    </row>
    <row r="98" spans="2:33">
      <c r="B98" s="27" t="s">
        <v>104</v>
      </c>
      <c r="O98" s="1">
        <v>0</v>
      </c>
    </row>
    <row r="99" spans="2:33">
      <c r="B99" s="27" t="s">
        <v>105</v>
      </c>
      <c r="O99" s="1">
        <v>-1350.6</v>
      </c>
    </row>
    <row r="100" spans="2:33">
      <c r="B100" s="27" t="s">
        <v>106</v>
      </c>
      <c r="O100" s="1">
        <v>-1506.5</v>
      </c>
    </row>
    <row r="101" spans="2:33">
      <c r="B101" s="27" t="s">
        <v>107</v>
      </c>
      <c r="O101" s="1">
        <v>-1025.0999999999999</v>
      </c>
    </row>
    <row r="102" spans="2:33">
      <c r="B102" s="27" t="s">
        <v>108</v>
      </c>
      <c r="O102" s="1">
        <v>58.7</v>
      </c>
    </row>
    <row r="103" spans="2:33">
      <c r="B103" s="27" t="s">
        <v>27</v>
      </c>
      <c r="O103" s="1">
        <v>-12.6</v>
      </c>
    </row>
    <row r="104" spans="2:33" s="3" customFormat="1">
      <c r="B104" s="28" t="s">
        <v>102</v>
      </c>
      <c r="O104" s="3">
        <f>+SUM(O97:O103)</f>
        <v>-3830.1</v>
      </c>
    </row>
    <row r="105" spans="2:33">
      <c r="B105" s="27" t="s">
        <v>109</v>
      </c>
      <c r="O105" s="1">
        <v>-122.2</v>
      </c>
    </row>
    <row r="106" spans="2:33">
      <c r="B106" s="27" t="s">
        <v>110</v>
      </c>
      <c r="O106" s="1">
        <f>+O90+O96+O104+O105</f>
        <v>-2373.4999999999995</v>
      </c>
    </row>
    <row r="108" spans="2:33">
      <c r="B108" s="27" t="s">
        <v>111</v>
      </c>
      <c r="O108" s="1">
        <f>+O90+O91</f>
        <v>1732.1000000000001</v>
      </c>
      <c r="AD108" s="1">
        <f>+SUM(AD90:AD91)</f>
        <v>4225</v>
      </c>
      <c r="AE108" s="1">
        <f>+SUM(AE90:AE91)</f>
        <v>5728.4000000000005</v>
      </c>
      <c r="AF108" s="1">
        <f>+SUM(AF90:AF91)</f>
        <v>4624.3999999999996</v>
      </c>
      <c r="AG108" s="1">
        <f>+SUM(AG90:AG91)</f>
        <v>7101.5</v>
      </c>
    </row>
    <row r="109" spans="2:33">
      <c r="B109" s="27" t="s">
        <v>94</v>
      </c>
      <c r="O109" s="1">
        <f>+O108*4</f>
        <v>6928.4000000000005</v>
      </c>
      <c r="AD109" s="1">
        <f>+AD27</f>
        <v>8130.5999999999976</v>
      </c>
      <c r="AE109" s="1">
        <f>+AE27</f>
        <v>6287.9000000000015</v>
      </c>
      <c r="AF109" s="1">
        <f>+AF27</f>
        <v>5031.1000000000013</v>
      </c>
      <c r="AG109" s="1">
        <f>+AG27</f>
        <v>7874.7999999999993</v>
      </c>
    </row>
    <row r="110" spans="2:33">
      <c r="O110" s="5">
        <f>+O109/Main!J9</f>
        <v>2.9419311204556847E-2</v>
      </c>
    </row>
    <row r="114" spans="2:16">
      <c r="B114" s="27" t="s">
        <v>115</v>
      </c>
      <c r="K114" s="12">
        <v>1.29</v>
      </c>
      <c r="L114" s="12">
        <v>1.29</v>
      </c>
      <c r="M114" s="12">
        <v>1.29</v>
      </c>
      <c r="N114" s="12">
        <v>1.38</v>
      </c>
      <c r="O114" s="12">
        <v>1.38</v>
      </c>
      <c r="P114" s="12">
        <v>1.38</v>
      </c>
    </row>
  </sheetData>
  <pageMargins left="0.7" right="0.7" top="0.75" bottom="0.75" header="0.3" footer="0.3"/>
  <ignoredErrors>
    <ignoredError sqref="AE15:AF17 AE19:AF27 AG15:AG20 AG26" formulaRange="1"/>
    <ignoredError sqref="AE28:AF28 AG21:AG25" formula="1" formulaRange="1"/>
    <ignoredError sqref="AG28 N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2021-09-14T03:21:58Z</dcterms:created>
  <dcterms:modified xsi:type="dcterms:W3CDTF">2022-11-10T03:31:38Z</dcterms:modified>
</cp:coreProperties>
</file>