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AB146F6C-471F-2C4E-ADF1-8E6B071FB727}" xr6:coauthVersionLast="47" xr6:coauthVersionMax="47" xr10:uidLastSave="{00000000-0000-0000-0000-000000000000}"/>
  <bookViews>
    <workbookView xWindow="23960" yWindow="500" windowWidth="27240" windowHeight="28280" activeTab="1" xr2:uid="{B731EA14-45D1-584F-91A2-BCD97F4724FD}"/>
  </bookViews>
  <sheets>
    <sheet name="main" sheetId="1" r:id="rId1"/>
    <sheet name="model" sheetId="2" r:id="rId2"/>
  </sheets>
  <definedNames>
    <definedName name="_xlchart.v1.1" hidden="1">model!$AB$14:$AJ$14</definedName>
    <definedName name="_xlchart.v2.0" hidden="1">model!$AB$14:$AJ$14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AV37" i="2"/>
  <c r="AV36" i="2"/>
  <c r="AV35" i="2"/>
  <c r="AV34" i="2"/>
  <c r="AR15" i="2"/>
  <c r="AQ15" i="2"/>
  <c r="AP15" i="2"/>
  <c r="AO15" i="2"/>
  <c r="AN15" i="2"/>
  <c r="AM15" i="2"/>
  <c r="AL15" i="2"/>
  <c r="AK15" i="2"/>
  <c r="AP16" i="2"/>
  <c r="AO16" i="2"/>
  <c r="AN16" i="2"/>
  <c r="AM16" i="2"/>
  <c r="AV32" i="2"/>
  <c r="AK17" i="2"/>
  <c r="AL16" i="2"/>
  <c r="AK16" i="2"/>
  <c r="AK14" i="2"/>
  <c r="AL14" i="2" s="1"/>
  <c r="AM14" i="2" s="1"/>
  <c r="AN14" i="2" s="1"/>
  <c r="AO14" i="2" s="1"/>
  <c r="AP14" i="2" s="1"/>
  <c r="AQ14" i="2" s="1"/>
  <c r="AR14" i="2" s="1"/>
  <c r="AJ14" i="2"/>
  <c r="AI42" i="2"/>
  <c r="AI41" i="2"/>
  <c r="AI40" i="2"/>
  <c r="AI48" i="2"/>
  <c r="AI47" i="2"/>
  <c r="AI46" i="2"/>
  <c r="AB48" i="2"/>
  <c r="AB47" i="2"/>
  <c r="AB46" i="2"/>
  <c r="AC48" i="2"/>
  <c r="AC47" i="2"/>
  <c r="AC46" i="2"/>
  <c r="AD48" i="2"/>
  <c r="AD47" i="2"/>
  <c r="AD46" i="2"/>
  <c r="AE48" i="2"/>
  <c r="AE47" i="2"/>
  <c r="AE46" i="2"/>
  <c r="AF48" i="2"/>
  <c r="AF47" i="2"/>
  <c r="AF46" i="2"/>
  <c r="AG48" i="2"/>
  <c r="AG47" i="2"/>
  <c r="AG46" i="2"/>
  <c r="AH48" i="2"/>
  <c r="AH47" i="2"/>
  <c r="AH46" i="2"/>
  <c r="AH43" i="2"/>
  <c r="AG43" i="2"/>
  <c r="AF43" i="2"/>
  <c r="AE43" i="2"/>
  <c r="AD43" i="2"/>
  <c r="AC43" i="2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S20" i="2"/>
  <c r="S58" i="2"/>
  <c r="T58" i="2" s="1"/>
  <c r="U58" i="2" s="1"/>
  <c r="V58" i="2" s="1"/>
  <c r="AH58" i="2" s="1"/>
  <c r="S57" i="2"/>
  <c r="T57" i="2" s="1"/>
  <c r="R56" i="2"/>
  <c r="R77" i="2"/>
  <c r="R67" i="2"/>
  <c r="U57" i="2" l="1"/>
  <c r="U20" i="2"/>
  <c r="T20" i="2"/>
  <c r="V57" i="2" l="1"/>
  <c r="AH57" i="2" s="1"/>
  <c r="V20" i="2"/>
  <c r="S26" i="2" l="1"/>
  <c r="T26" i="2" s="1"/>
  <c r="U26" i="2" s="1"/>
  <c r="S19" i="2"/>
  <c r="S14" i="2"/>
  <c r="AF39" i="2"/>
  <c r="AE39" i="2"/>
  <c r="AD39" i="2"/>
  <c r="AC39" i="2"/>
  <c r="AC42" i="2"/>
  <c r="AC41" i="2"/>
  <c r="AC40" i="2"/>
  <c r="AD42" i="2"/>
  <c r="AD41" i="2"/>
  <c r="AD40" i="2"/>
  <c r="AB18" i="2"/>
  <c r="AB21" i="2" s="1"/>
  <c r="AB23" i="2" s="1"/>
  <c r="AB25" i="2" s="1"/>
  <c r="AB27" i="2" s="1"/>
  <c r="AC18" i="2"/>
  <c r="AE42" i="2"/>
  <c r="AE41" i="2"/>
  <c r="AE40" i="2"/>
  <c r="AD18" i="2"/>
  <c r="AF42" i="2"/>
  <c r="AF41" i="2"/>
  <c r="AF40" i="2"/>
  <c r="AE18" i="2"/>
  <c r="AF7" i="2"/>
  <c r="AG13" i="2"/>
  <c r="AG38" i="2" s="1"/>
  <c r="AG12" i="2"/>
  <c r="AG37" i="2" s="1"/>
  <c r="AG10" i="2"/>
  <c r="AG36" i="2" s="1"/>
  <c r="AG9" i="2"/>
  <c r="AG35" i="2" s="1"/>
  <c r="AG8" i="2"/>
  <c r="AG34" i="2" s="1"/>
  <c r="AG6" i="2"/>
  <c r="AG32" i="2" s="1"/>
  <c r="AG5" i="2"/>
  <c r="AG31" i="2" s="1"/>
  <c r="AG4" i="2"/>
  <c r="AG30" i="2" s="1"/>
  <c r="AH13" i="2"/>
  <c r="AH38" i="2" s="1"/>
  <c r="AH12" i="2"/>
  <c r="AH10" i="2"/>
  <c r="AH9" i="2"/>
  <c r="AH8" i="2"/>
  <c r="AH6" i="2"/>
  <c r="AH5" i="2"/>
  <c r="AH4" i="2"/>
  <c r="P37" i="2"/>
  <c r="R42" i="2"/>
  <c r="R41" i="2"/>
  <c r="R40" i="2"/>
  <c r="R38" i="2"/>
  <c r="R37" i="2"/>
  <c r="R36" i="2"/>
  <c r="R35" i="2"/>
  <c r="R34" i="2"/>
  <c r="R32" i="2"/>
  <c r="R31" i="2"/>
  <c r="R30" i="2"/>
  <c r="N7" i="2"/>
  <c r="N14" i="2" s="1"/>
  <c r="R7" i="2"/>
  <c r="R14" i="2" s="1"/>
  <c r="V14" i="2" s="1"/>
  <c r="V16" i="2" s="1"/>
  <c r="V41" i="2" s="1"/>
  <c r="O42" i="2"/>
  <c r="O41" i="2"/>
  <c r="O40" i="2"/>
  <c r="O38" i="2"/>
  <c r="O37" i="2"/>
  <c r="O36" i="2"/>
  <c r="O35" i="2"/>
  <c r="O34" i="2"/>
  <c r="O32" i="2"/>
  <c r="O31" i="2"/>
  <c r="O30" i="2"/>
  <c r="K7" i="2"/>
  <c r="K14" i="2" s="1"/>
  <c r="K18" i="2" s="1"/>
  <c r="K21" i="2" s="1"/>
  <c r="K23" i="2" s="1"/>
  <c r="K25" i="2" s="1"/>
  <c r="K27" i="2" s="1"/>
  <c r="O7" i="2"/>
  <c r="O14" i="2" s="1"/>
  <c r="O18" i="2" s="1"/>
  <c r="O21" i="2" s="1"/>
  <c r="P42" i="2"/>
  <c r="P41" i="2"/>
  <c r="P40" i="2"/>
  <c r="P38" i="2"/>
  <c r="P36" i="2"/>
  <c r="P35" i="2"/>
  <c r="P34" i="2"/>
  <c r="P32" i="2"/>
  <c r="P31" i="2"/>
  <c r="P30" i="2"/>
  <c r="L7" i="2"/>
  <c r="L14" i="2" s="1"/>
  <c r="P7" i="2"/>
  <c r="P14" i="2" s="1"/>
  <c r="P18" i="2" s="1"/>
  <c r="J44" i="2"/>
  <c r="J43" i="2"/>
  <c r="Q42" i="2"/>
  <c r="Q41" i="2"/>
  <c r="Q40" i="2"/>
  <c r="AG42" i="2"/>
  <c r="AG41" i="2"/>
  <c r="AG40" i="2"/>
  <c r="AG39" i="2"/>
  <c r="AH42" i="2"/>
  <c r="AH41" i="2"/>
  <c r="AH40" i="2"/>
  <c r="AH39" i="2"/>
  <c r="Q38" i="2"/>
  <c r="Q37" i="2"/>
  <c r="Q36" i="2"/>
  <c r="Q35" i="2"/>
  <c r="Q34" i="2"/>
  <c r="Q32" i="2"/>
  <c r="Q31" i="2"/>
  <c r="Q30" i="2"/>
  <c r="M7" i="2"/>
  <c r="M14" i="2" s="1"/>
  <c r="M18" i="2" s="1"/>
  <c r="M21" i="2" s="1"/>
  <c r="M23" i="2" s="1"/>
  <c r="M25" i="2" s="1"/>
  <c r="M27" i="2" s="1"/>
  <c r="Q7" i="2"/>
  <c r="Q14" i="2" s="1"/>
  <c r="Q18" i="2" s="1"/>
  <c r="Q21" i="2" s="1"/>
  <c r="Q23" i="2" s="1"/>
  <c r="Q25" i="2" s="1"/>
  <c r="Q27" i="2" s="1"/>
  <c r="AF18" i="2"/>
  <c r="AG18" i="2"/>
  <c r="AH18" i="2"/>
  <c r="AA3" i="2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K8" i="1"/>
  <c r="K7" i="1"/>
  <c r="K6" i="1"/>
  <c r="L7" i="1"/>
  <c r="L6" i="1"/>
  <c r="K5" i="1"/>
  <c r="AD21" i="2" l="1"/>
  <c r="AD23" i="2" s="1"/>
  <c r="AD25" i="2" s="1"/>
  <c r="AD27" i="2" s="1"/>
  <c r="AD44" i="2"/>
  <c r="AG21" i="2"/>
  <c r="AG23" i="2" s="1"/>
  <c r="AG25" i="2" s="1"/>
  <c r="AG27" i="2" s="1"/>
  <c r="AG44" i="2"/>
  <c r="T19" i="2"/>
  <c r="U19" i="2" s="1"/>
  <c r="V19" i="2" s="1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H21" i="2"/>
  <c r="AH23" i="2" s="1"/>
  <c r="AH25" i="2" s="1"/>
  <c r="AH27" i="2" s="1"/>
  <c r="AH44" i="2"/>
  <c r="AF21" i="2"/>
  <c r="AF23" i="2" s="1"/>
  <c r="AF25" i="2" s="1"/>
  <c r="AF27" i="2" s="1"/>
  <c r="AF44" i="2"/>
  <c r="AE21" i="2"/>
  <c r="AE23" i="2" s="1"/>
  <c r="AE25" i="2" s="1"/>
  <c r="AE27" i="2" s="1"/>
  <c r="AE44" i="2"/>
  <c r="AC21" i="2"/>
  <c r="AC23" i="2" s="1"/>
  <c r="AC25" i="2" s="1"/>
  <c r="AC27" i="2" s="1"/>
  <c r="AC44" i="2"/>
  <c r="T14" i="2"/>
  <c r="T16" i="2" s="1"/>
  <c r="T41" i="2" s="1"/>
  <c r="S17" i="2"/>
  <c r="S42" i="2" s="1"/>
  <c r="V15" i="2"/>
  <c r="V40" i="2" s="1"/>
  <c r="V43" i="2"/>
  <c r="V26" i="2"/>
  <c r="V17" i="2"/>
  <c r="V42" i="2" s="1"/>
  <c r="U14" i="2"/>
  <c r="V39" i="2"/>
  <c r="S39" i="2"/>
  <c r="S15" i="2"/>
  <c r="S16" i="2"/>
  <c r="AH36" i="2"/>
  <c r="AH31" i="2"/>
  <c r="R39" i="2"/>
  <c r="AH34" i="2"/>
  <c r="AH35" i="2"/>
  <c r="AH32" i="2"/>
  <c r="L43" i="2"/>
  <c r="L18" i="2"/>
  <c r="L21" i="2" s="1"/>
  <c r="L23" i="2" s="1"/>
  <c r="L25" i="2" s="1"/>
  <c r="L27" i="2" s="1"/>
  <c r="AH7" i="2"/>
  <c r="O39" i="2"/>
  <c r="P39" i="2"/>
  <c r="M43" i="2"/>
  <c r="R33" i="2"/>
  <c r="Q44" i="2"/>
  <c r="AH37" i="2"/>
  <c r="P33" i="2"/>
  <c r="AH30" i="2"/>
  <c r="O23" i="2"/>
  <c r="O25" i="2" s="1"/>
  <c r="O27" i="2" s="1"/>
  <c r="N43" i="2"/>
  <c r="N18" i="2"/>
  <c r="N44" i="2" s="1"/>
  <c r="R18" i="2"/>
  <c r="AG7" i="2"/>
  <c r="AG33" i="2" s="1"/>
  <c r="R43" i="2"/>
  <c r="M44" i="2"/>
  <c r="O33" i="2"/>
  <c r="Q43" i="2"/>
  <c r="K43" i="2"/>
  <c r="K44" i="2"/>
  <c r="O43" i="2"/>
  <c r="O44" i="2"/>
  <c r="P21" i="2"/>
  <c r="P23" i="2" s="1"/>
  <c r="P25" i="2" s="1"/>
  <c r="P27" i="2" s="1"/>
  <c r="P44" i="2"/>
  <c r="P43" i="2"/>
  <c r="Q39" i="2"/>
  <c r="Q33" i="2"/>
  <c r="S18" i="2" l="1"/>
  <c r="T17" i="2"/>
  <c r="T42" i="2" s="1"/>
  <c r="T15" i="2"/>
  <c r="T40" i="2" s="1"/>
  <c r="AI14" i="2"/>
  <c r="T39" i="2"/>
  <c r="V18" i="2"/>
  <c r="V21" i="2" s="1"/>
  <c r="V22" i="2" s="1"/>
  <c r="V23" i="2" s="1"/>
  <c r="V25" i="2" s="1"/>
  <c r="V27" i="2" s="1"/>
  <c r="S44" i="2"/>
  <c r="S21" i="2"/>
  <c r="S41" i="2"/>
  <c r="U15" i="2"/>
  <c r="U17" i="2"/>
  <c r="U42" i="2" s="1"/>
  <c r="U16" i="2"/>
  <c r="AI16" i="2" s="1"/>
  <c r="U39" i="2"/>
  <c r="S43" i="2"/>
  <c r="S40" i="2"/>
  <c r="L44" i="2"/>
  <c r="AH33" i="2"/>
  <c r="N21" i="2"/>
  <c r="N23" i="2" s="1"/>
  <c r="N25" i="2" s="1"/>
  <c r="N27" i="2" s="1"/>
  <c r="R21" i="2"/>
  <c r="R23" i="2" s="1"/>
  <c r="R25" i="2" s="1"/>
  <c r="R27" i="2" s="1"/>
  <c r="R44" i="2"/>
  <c r="T43" i="2" l="1"/>
  <c r="V44" i="2"/>
  <c r="AI15" i="2"/>
  <c r="AJ15" i="2" s="1"/>
  <c r="AI43" i="2"/>
  <c r="T18" i="2"/>
  <c r="AI39" i="2"/>
  <c r="AI17" i="2"/>
  <c r="AJ17" i="2" s="1"/>
  <c r="AJ39" i="2"/>
  <c r="AJ16" i="2"/>
  <c r="U43" i="2"/>
  <c r="U40" i="2"/>
  <c r="U18" i="2"/>
  <c r="U41" i="2"/>
  <c r="S22" i="2"/>
  <c r="S23" i="2"/>
  <c r="AJ48" i="2" l="1"/>
  <c r="AJ42" i="2"/>
  <c r="AJ46" i="2"/>
  <c r="AJ40" i="2"/>
  <c r="AJ47" i="2"/>
  <c r="AJ41" i="2"/>
  <c r="AJ18" i="2"/>
  <c r="AJ44" i="2" s="1"/>
  <c r="AJ43" i="2"/>
  <c r="T21" i="2"/>
  <c r="T44" i="2"/>
  <c r="AK39" i="2"/>
  <c r="S25" i="2"/>
  <c r="S56" i="2" s="1"/>
  <c r="U21" i="2"/>
  <c r="U44" i="2"/>
  <c r="AI18" i="2"/>
  <c r="AI44" i="2" s="1"/>
  <c r="AK43" i="2" l="1"/>
  <c r="AK46" i="2"/>
  <c r="AK40" i="2"/>
  <c r="AK42" i="2"/>
  <c r="AK48" i="2"/>
  <c r="AK47" i="2"/>
  <c r="AK41" i="2"/>
  <c r="AK18" i="2"/>
  <c r="AK44" i="2" s="1"/>
  <c r="T22" i="2"/>
  <c r="T23" i="2" s="1"/>
  <c r="T25" i="2" s="1"/>
  <c r="AL39" i="2"/>
  <c r="AL17" i="2"/>
  <c r="U22" i="2"/>
  <c r="AI22" i="2" s="1"/>
  <c r="AI21" i="2"/>
  <c r="S27" i="2"/>
  <c r="AL47" i="2" l="1"/>
  <c r="AL41" i="2"/>
  <c r="AL42" i="2"/>
  <c r="AL48" i="2"/>
  <c r="AL40" i="2"/>
  <c r="AL46" i="2"/>
  <c r="U23" i="2"/>
  <c r="T27" i="2"/>
  <c r="T56" i="2"/>
  <c r="AL18" i="2"/>
  <c r="AL44" i="2" s="1"/>
  <c r="AL43" i="2"/>
  <c r="AM17" i="2"/>
  <c r="AN17" i="2"/>
  <c r="AM39" i="2"/>
  <c r="U25" i="2"/>
  <c r="U56" i="2" s="1"/>
  <c r="V56" i="2" s="1"/>
  <c r="AH56" i="2" s="1"/>
  <c r="AI23" i="2"/>
  <c r="AM46" i="2" l="1"/>
  <c r="AM40" i="2"/>
  <c r="AM43" i="2"/>
  <c r="AM48" i="2"/>
  <c r="AM42" i="2"/>
  <c r="AM47" i="2"/>
  <c r="AM41" i="2"/>
  <c r="AN42" i="2"/>
  <c r="AN48" i="2"/>
  <c r="AM18" i="2"/>
  <c r="AM44" i="2" s="1"/>
  <c r="U27" i="2"/>
  <c r="AI27" i="2" s="1"/>
  <c r="AI25" i="2"/>
  <c r="AN39" i="2"/>
  <c r="AN41" i="2" l="1"/>
  <c r="AN47" i="2"/>
  <c r="AN46" i="2"/>
  <c r="AN40" i="2"/>
  <c r="AO43" i="2"/>
  <c r="AN18" i="2"/>
  <c r="AN44" i="2" s="1"/>
  <c r="AN43" i="2"/>
  <c r="AI26" i="2"/>
  <c r="AJ26" i="2" s="1"/>
  <c r="AK26" i="2" s="1"/>
  <c r="AL26" i="2" s="1"/>
  <c r="AM26" i="2" s="1"/>
  <c r="AN26" i="2" s="1"/>
  <c r="AO26" i="2" s="1"/>
  <c r="AP26" i="2" s="1"/>
  <c r="AQ26" i="2" s="1"/>
  <c r="AR26" i="2" s="1"/>
  <c r="AI56" i="2"/>
  <c r="AO39" i="2"/>
  <c r="AO17" i="2"/>
  <c r="AO48" i="2" l="1"/>
  <c r="AO42" i="2"/>
  <c r="AO47" i="2"/>
  <c r="AO41" i="2"/>
  <c r="AO46" i="2"/>
  <c r="AO40" i="2"/>
  <c r="AP17" i="2"/>
  <c r="AO18" i="2"/>
  <c r="AO44" i="2" s="1"/>
  <c r="AJ21" i="2"/>
  <c r="AJ22" i="2" s="1"/>
  <c r="AJ23" i="2" s="1"/>
  <c r="AJ25" i="2" s="1"/>
  <c r="AP39" i="2"/>
  <c r="AP47" i="2" l="1"/>
  <c r="AP41" i="2"/>
  <c r="AP48" i="2"/>
  <c r="AP42" i="2"/>
  <c r="AP43" i="2"/>
  <c r="AP46" i="2"/>
  <c r="AP40" i="2"/>
  <c r="AP18" i="2"/>
  <c r="AP44" i="2" s="1"/>
  <c r="AJ56" i="2"/>
  <c r="AJ27" i="2"/>
  <c r="AK21" i="2"/>
  <c r="AQ39" i="2"/>
  <c r="AQ16" i="2"/>
  <c r="AQ17" i="2"/>
  <c r="AQ41" i="2" l="1"/>
  <c r="AQ47" i="2"/>
  <c r="AQ48" i="2"/>
  <c r="AQ42" i="2"/>
  <c r="AQ43" i="2"/>
  <c r="AQ40" i="2"/>
  <c r="AQ46" i="2"/>
  <c r="AR39" i="2"/>
  <c r="AR17" i="2"/>
  <c r="AR16" i="2"/>
  <c r="AQ18" i="2"/>
  <c r="AQ44" i="2" s="1"/>
  <c r="AK22" i="2"/>
  <c r="AK23" i="2" s="1"/>
  <c r="AK25" i="2" s="1"/>
  <c r="AK27" i="2" l="1"/>
  <c r="AR43" i="2"/>
  <c r="AR46" i="2"/>
  <c r="AR40" i="2"/>
  <c r="AR47" i="2"/>
  <c r="AR41" i="2"/>
  <c r="AR48" i="2"/>
  <c r="AR42" i="2"/>
  <c r="AR18" i="2"/>
  <c r="AR44" i="2" s="1"/>
  <c r="AK56" i="2"/>
  <c r="AL21" i="2" l="1"/>
  <c r="AL22" i="2" l="1"/>
  <c r="AL23" i="2" s="1"/>
  <c r="AL25" i="2" s="1"/>
  <c r="AL27" i="2" l="1"/>
  <c r="AL56" i="2"/>
  <c r="AM21" i="2" l="1"/>
  <c r="AM22" i="2" l="1"/>
  <c r="AM23" i="2" s="1"/>
  <c r="AM25" i="2" s="1"/>
  <c r="AM27" i="2" l="1"/>
  <c r="AM56" i="2"/>
  <c r="AN21" i="2" l="1"/>
  <c r="AN22" i="2" l="1"/>
  <c r="AN23" i="2" s="1"/>
  <c r="AN25" i="2" s="1"/>
  <c r="AN27" i="2" s="1"/>
  <c r="AN56" i="2" l="1"/>
  <c r="AO21" i="2" l="1"/>
  <c r="AO22" i="2" l="1"/>
  <c r="AO23" i="2" s="1"/>
  <c r="AO25" i="2" s="1"/>
  <c r="AO27" i="2" s="1"/>
  <c r="AO56" i="2" l="1"/>
  <c r="AP21" i="2" l="1"/>
  <c r="AP22" i="2" s="1"/>
  <c r="AP23" i="2" s="1"/>
  <c r="AP25" i="2" s="1"/>
  <c r="AP27" i="2" s="1"/>
  <c r="AP56" i="2" l="1"/>
  <c r="AQ21" i="2" l="1"/>
  <c r="AQ22" i="2" l="1"/>
  <c r="AQ23" i="2" s="1"/>
  <c r="AQ25" i="2" s="1"/>
  <c r="AQ27" i="2" l="1"/>
  <c r="AQ56" i="2"/>
  <c r="AR21" i="2" l="1"/>
  <c r="AR22" i="2" l="1"/>
  <c r="AR23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EN25" i="2" s="1"/>
  <c r="EO25" i="2" s="1"/>
  <c r="EP25" i="2" s="1"/>
  <c r="EQ25" i="2" s="1"/>
  <c r="ER25" i="2" s="1"/>
  <c r="ES25" i="2" s="1"/>
  <c r="ET25" i="2" s="1"/>
  <c r="EU25" i="2" s="1"/>
  <c r="EV25" i="2" s="1"/>
  <c r="EW25" i="2" s="1"/>
  <c r="AV31" i="2" s="1"/>
  <c r="AV33" i="2" s="1"/>
  <c r="AR27" i="2" l="1"/>
  <c r="AR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  <author>tc={8519D28F-1423-5946-A3C1-FED45520D906}</author>
    <author>tc={B458AB13-821D-394A-8296-A8D0F216230D}</author>
    <author>tc={D36FEC36-890F-DF4A-872A-5F59412151EC}</author>
  </authors>
  <commentList>
    <comment ref="AH4" authorId="0" shapeId="0" xr:uid="{44E3CA6A-1E54-954D-A98D-F9188D78AD68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lower volume fofset by higher asps.  overall lower driven by demand</t>
        </r>
      </text>
    </comment>
    <comment ref="AG5" authorId="0" shapeId="0" xr:uid="{BED6F409-D0A4-2240-9FBE-43F13A7D82E3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lower demand  in consumer and education market seg</t>
        </r>
      </text>
    </comment>
    <comment ref="AH5" authorId="0" shapeId="0" xr:uid="{872DA98C-333D-904A-ABF1-3E083944EFF7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down on lower demand + lower mix (higher demand on educations where asps are lower)</t>
        </r>
      </text>
    </comment>
    <comment ref="AH6" authorId="0" shapeId="0" xr:uid="{68671E07-EB09-1243-8DC5-1D29A56BF140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continued modem ramp down</t>
        </r>
      </text>
    </comment>
    <comment ref="S14" authorId="1" shapeId="0" xr:uid="{8519D28F-1423-5946-A3C1-FED45520D9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Guidance </t>
      </text>
    </comment>
    <comment ref="S15" authorId="2" shapeId="0" xr:uid="{B458AB13-821D-394A-8296-A8D0F216230D}">
      <text>
        <t>[Threaded comment]
Your version of Excel allows you to read this threaded comment; however, any edits to it will get removed if the file is opened in a newer version of Excel. Learn more: https://go.microsoft.com/fwlink/?linkid=870924
Comment:
    GM guidance @ 40%</t>
      </text>
    </comment>
    <comment ref="S22" authorId="3" shapeId="0" xr:uid="{D36FEC36-890F-DF4A-872A-5F59412151EC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</commentList>
</comments>
</file>

<file path=xl/sharedStrings.xml><?xml version="1.0" encoding="utf-8"?>
<sst xmlns="http://schemas.openxmlformats.org/spreadsheetml/2006/main" count="111" uniqueCount="95">
  <si>
    <t>price</t>
  </si>
  <si>
    <t>shares</t>
  </si>
  <si>
    <t>mc</t>
  </si>
  <si>
    <t>cash</t>
  </si>
  <si>
    <t>debt</t>
  </si>
  <si>
    <t>ev</t>
  </si>
  <si>
    <t xml:space="preserve">main 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</si>
  <si>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</si>
  <si>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</si>
  <si>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</si>
  <si>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</si>
  <si>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</si>
  <si>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</si>
  <si>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</si>
  <si>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</si>
  <si>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</si>
  <si>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</si>
  <si>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</si>
  <si>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</si>
  <si>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</si>
  <si>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</si>
  <si>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</si>
  <si>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</si>
  <si>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 xml:space="preserve">Net revenue </t>
  </si>
  <si>
    <t>C</t>
  </si>
  <si>
    <t>R&amp;D</t>
  </si>
  <si>
    <t>MG&amp;A</t>
  </si>
  <si>
    <t>Op Income</t>
  </si>
  <si>
    <t>Gains</t>
  </si>
  <si>
    <t>Interest/other</t>
  </si>
  <si>
    <t>EBT</t>
  </si>
  <si>
    <t>T</t>
  </si>
  <si>
    <t>Net Income</t>
  </si>
  <si>
    <t>NC</t>
  </si>
  <si>
    <t xml:space="preserve">NI </t>
  </si>
  <si>
    <t>Growth Y/Y</t>
  </si>
  <si>
    <t>DT</t>
  </si>
  <si>
    <t>NB</t>
  </si>
  <si>
    <t>Other</t>
  </si>
  <si>
    <t xml:space="preserve">CCG </t>
  </si>
  <si>
    <t xml:space="preserve">DCAI </t>
  </si>
  <si>
    <t>Network &amp; Edge</t>
  </si>
  <si>
    <t>Mobileye</t>
  </si>
  <si>
    <t xml:space="preserve">Foundry </t>
  </si>
  <si>
    <t xml:space="preserve">All other </t>
  </si>
  <si>
    <t>Diluted</t>
  </si>
  <si>
    <t>EPS</t>
  </si>
  <si>
    <t>Gross Margin %</t>
  </si>
  <si>
    <t xml:space="preserve">Op Margin % </t>
  </si>
  <si>
    <t>Q124</t>
  </si>
  <si>
    <t>Q224</t>
  </si>
  <si>
    <t>Q324</t>
  </si>
  <si>
    <t>Q424</t>
  </si>
  <si>
    <t xml:space="preserve">Terminal </t>
  </si>
  <si>
    <t>NVDA</t>
  </si>
  <si>
    <t>Data center</t>
  </si>
  <si>
    <t>ROIC</t>
  </si>
  <si>
    <t>NPV</t>
  </si>
  <si>
    <t xml:space="preserve">Cash </t>
  </si>
  <si>
    <t>investments</t>
  </si>
  <si>
    <t>A/R</t>
  </si>
  <si>
    <t>Inventories</t>
  </si>
  <si>
    <t>OCA</t>
  </si>
  <si>
    <t>PPE</t>
  </si>
  <si>
    <t>Equity investments</t>
  </si>
  <si>
    <t>Goodwill</t>
  </si>
  <si>
    <t>Intangibles</t>
  </si>
  <si>
    <t>OLTA</t>
  </si>
  <si>
    <t>TA</t>
  </si>
  <si>
    <t>Debt</t>
  </si>
  <si>
    <t>A/P</t>
  </si>
  <si>
    <t>Accrued comp</t>
  </si>
  <si>
    <t>Income tx Payable</t>
  </si>
  <si>
    <t>Other accrued</t>
  </si>
  <si>
    <t xml:space="preserve">Long term Debt </t>
  </si>
  <si>
    <t>Equity</t>
  </si>
  <si>
    <t>TL + E</t>
  </si>
  <si>
    <t>OLTL</t>
  </si>
  <si>
    <t xml:space="preserve">Net cash </t>
  </si>
  <si>
    <t xml:space="preserve">Discount </t>
  </si>
  <si>
    <t xml:space="preserve">Net Cash </t>
  </si>
  <si>
    <t xml:space="preserve">Total Value </t>
  </si>
  <si>
    <t>Shares</t>
  </si>
  <si>
    <t xml:space="preserve">Estimate </t>
  </si>
  <si>
    <t>Current</t>
  </si>
  <si>
    <t xml:space="preserve">Upside </t>
  </si>
  <si>
    <t>Fouder</t>
  </si>
  <si>
    <t>Founded</t>
  </si>
  <si>
    <t xml:space="preserve">products </t>
  </si>
  <si>
    <t>13th gen mobile/deskto processors</t>
  </si>
  <si>
    <t xml:space="preserve">Intel core 14th gen </t>
  </si>
  <si>
    <t>Intel core ultra processors</t>
  </si>
  <si>
    <t>company can't compete with nvda on data center.  Plu s integrated strategy is expensive, driving up r&amp;d spend</t>
  </si>
  <si>
    <t>ev/2023E</t>
  </si>
  <si>
    <t>ev/2024E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</si>
</sst>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ArialMT"/>
      <family val="2"/>
    </font>
    <font>
      <u/>
      <sz val="10"/>
      <color theme="10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sz val="10"/>
      <color rgb="FF00000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3" fontId="1" fillId="0" borderId="0" xfId="1" applyNumberFormat="1"/>
    <xf numFmtId="3" fontId="2" fillId="0" borderId="0" xfId="0" applyNumberFormat="1" applyFont="1"/>
    <xf numFmtId="9" fontId="0" fillId="0" borderId="0" xfId="0" applyNumberFormat="1"/>
    <xf numFmtId="3" fontId="3" fillId="0" borderId="0" xfId="0" applyNumberFormat="1" applyFont="1"/>
    <xf numFmtId="3" fontId="0" fillId="0" borderId="0" xfId="0" applyNumberFormat="1" applyFill="1"/>
    <xf numFmtId="9" fontId="0" fillId="0" borderId="0" xfId="0" applyNumberFormat="1" applyFill="1"/>
    <xf numFmtId="1" fontId="0" fillId="0" borderId="0" xfId="0" applyNumberFormat="1" applyFill="1"/>
    <xf numFmtId="9" fontId="4" fillId="0" borderId="0" xfId="0" applyNumberFormat="1" applyFont="1" applyFill="1"/>
    <xf numFmtId="1" fontId="2" fillId="0" borderId="0" xfId="0" applyNumberFormat="1" applyFont="1" applyFill="1"/>
    <xf numFmtId="3" fontId="4" fillId="0" borderId="0" xfId="0" applyNumberFormat="1" applyFont="1" applyFill="1"/>
    <xf numFmtId="3" fontId="0" fillId="2" borderId="0" xfId="0" applyNumberFormat="1" applyFill="1"/>
    <xf numFmtId="3" fontId="0" fillId="3" borderId="0" xfId="0" applyNumberFormat="1" applyFill="1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20159</xdr:colOff>
      <xdr:row>0</xdr:row>
      <xdr:rowOff>26878</xdr:rowOff>
    </xdr:from>
    <xdr:to>
      <xdr:col>18</xdr:col>
      <xdr:colOff>40317</xdr:colOff>
      <xdr:row>94</xdr:row>
      <xdr:rowOff>60476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0D0D39F-4BA4-6BF4-FEFA-BC3BEFB3EDF9}"/>
            </a:ext>
          </a:extLst>
        </xdr:cNvPr>
        <xdr:cNvCxnSpPr/>
      </xdr:nvCxnSpPr>
      <xdr:spPr>
        <a:xfrm>
          <a:off x="8957196" y="26878"/>
          <a:ext cx="20158" cy="1515264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9071</xdr:colOff>
      <xdr:row>0</xdr:row>
      <xdr:rowOff>0</xdr:rowOff>
    </xdr:from>
    <xdr:to>
      <xdr:col>34</xdr:col>
      <xdr:colOff>54428</xdr:colOff>
      <xdr:row>69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4E9F22F-314A-7A4A-B242-CEE8C7B062B2}"/>
            </a:ext>
          </a:extLst>
        </xdr:cNvPr>
        <xdr:cNvCxnSpPr/>
      </xdr:nvCxnSpPr>
      <xdr:spPr>
        <a:xfrm>
          <a:off x="14378214" y="0"/>
          <a:ext cx="45357" cy="110217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D4433D34-FCE8-0B4E-9CC6-D519A3FB5640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4" dT="2024-03-26T20:04:44.39" personId="{D4433D34-FCE8-0B4E-9CC6-D519A3FB5640}" id="{8519D28F-1423-5946-A3C1-FED45520D906}">
    <text xml:space="preserve">Guidance </text>
  </threadedComment>
  <threadedComment ref="S15" dT="2024-03-26T20:05:56.47" personId="{D4433D34-FCE8-0B4E-9CC6-D519A3FB5640}" id="{B458AB13-821D-394A-8296-A8D0F216230D}">
    <text>GM guidance @ 40%</text>
  </threadedComment>
  <threadedComment ref="S22" dT="2024-03-26T20:04:55.59" personId="{D4433D34-FCE8-0B4E-9CC6-D519A3FB5640}" id="{D36FEC36-890F-DF4A-872A-5F59412151EC}">
    <text>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BB0F-80A3-A548-96F4-551C61EFC4D6}">
  <dimension ref="B2:L22"/>
  <sheetViews>
    <sheetView topLeftCell="F1" zoomScale="232" workbookViewId="0">
      <selection activeCell="K10" sqref="K10"/>
    </sheetView>
  </sheetViews>
  <sheetFormatPr baseColWidth="10" defaultRowHeight="13"/>
  <cols>
    <col min="1" max="1" width="3.6640625" style="1" customWidth="1"/>
    <col min="2" max="4" width="10.83203125" style="1"/>
    <col min="5" max="5" width="3.6640625" style="1" customWidth="1"/>
    <col min="6" max="9" width="10.83203125" style="1"/>
    <col min="10" max="10" width="6.33203125" style="1" bestFit="1" customWidth="1"/>
    <col min="11" max="11" width="7.6640625" style="1" bestFit="1" customWidth="1"/>
    <col min="12" max="12" width="5.1640625" style="3" bestFit="1" customWidth="1"/>
    <col min="13" max="16384" width="10.83203125" style="1"/>
  </cols>
  <sheetData>
    <row r="2" spans="2:12">
      <c r="B2" s="1" t="s">
        <v>86</v>
      </c>
    </row>
    <row r="3" spans="2:12">
      <c r="B3" s="1" t="s">
        <v>87</v>
      </c>
      <c r="J3" s="1" t="s">
        <v>0</v>
      </c>
      <c r="K3" s="2">
        <v>42.06</v>
      </c>
    </row>
    <row r="4" spans="2:12">
      <c r="J4" s="1" t="s">
        <v>1</v>
      </c>
      <c r="K4" s="1">
        <v>4228</v>
      </c>
      <c r="L4" s="3">
        <v>2023</v>
      </c>
    </row>
    <row r="5" spans="2:12">
      <c r="J5" s="1" t="s">
        <v>2</v>
      </c>
      <c r="K5" s="1">
        <f>+K3*K4</f>
        <v>177829.68000000002</v>
      </c>
    </row>
    <row r="6" spans="2:12">
      <c r="J6" s="1" t="s">
        <v>3</v>
      </c>
      <c r="K6" s="1">
        <f>7079+17955</f>
        <v>25034</v>
      </c>
      <c r="L6" s="3">
        <f>+L4</f>
        <v>2023</v>
      </c>
    </row>
    <row r="7" spans="2:12">
      <c r="J7" s="1" t="s">
        <v>4</v>
      </c>
      <c r="K7" s="1">
        <f>2288+46978</f>
        <v>49266</v>
      </c>
      <c r="L7" s="3">
        <f>+L6</f>
        <v>2023</v>
      </c>
    </row>
    <row r="8" spans="2:12">
      <c r="J8" s="1" t="s">
        <v>5</v>
      </c>
      <c r="K8" s="1">
        <f>+K5-K6+K7</f>
        <v>202061.68000000002</v>
      </c>
    </row>
    <row r="9" spans="2:12">
      <c r="B9" s="7" t="s">
        <v>88</v>
      </c>
    </row>
    <row r="10" spans="2:12">
      <c r="B10" s="1" t="s">
        <v>89</v>
      </c>
      <c r="J10" s="1" t="s">
        <v>93</v>
      </c>
      <c r="K10" s="1">
        <f>+K8/model!AH25</f>
        <v>124.19279655808238</v>
      </c>
    </row>
    <row r="11" spans="2:12">
      <c r="B11" s="1" t="s">
        <v>90</v>
      </c>
      <c r="J11" s="1" t="s">
        <v>94</v>
      </c>
      <c r="K11" s="1">
        <f>+K8/model!AI25</f>
        <v>258.82769709590764</v>
      </c>
    </row>
    <row r="12" spans="2:12">
      <c r="B12" s="1" t="s">
        <v>91</v>
      </c>
    </row>
    <row r="22" spans="2:2">
      <c r="B22" s="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18BB-3063-8A4C-8BF2-646971BA7D25}">
  <dimension ref="A1:EW77"/>
  <sheetViews>
    <sheetView tabSelected="1" zoomScale="120" zoomScaleNormal="120" workbookViewId="0">
      <pane xSplit="2" ySplit="3" topLeftCell="AB4" activePane="bottomRight" state="frozen"/>
      <selection pane="topRight" activeCell="C1" sqref="C1"/>
      <selection pane="bottomLeft" activeCell="A4" sqref="A4"/>
      <selection pane="bottomRight" activeCell="AG25" sqref="AG25"/>
    </sheetView>
  </sheetViews>
  <sheetFormatPr baseColWidth="10" defaultRowHeight="13"/>
  <cols>
    <col min="1" max="1" width="5.33203125" style="1" bestFit="1" customWidth="1"/>
    <col min="2" max="2" width="15.6640625" style="1" bestFit="1" customWidth="1"/>
    <col min="3" max="10" width="5.5" style="1" bestFit="1" customWidth="1"/>
    <col min="11" max="17" width="6.6640625" style="1" bestFit="1" customWidth="1"/>
    <col min="18" max="18" width="7.6640625" style="1" bestFit="1" customWidth="1"/>
    <col min="19" max="22" width="7.1640625" style="1" bestFit="1" customWidth="1"/>
    <col min="23" max="23" width="6.6640625" style="1" customWidth="1"/>
    <col min="24" max="25" width="10.83203125" style="1"/>
    <col min="26" max="27" width="5.1640625" style="1" bestFit="1" customWidth="1"/>
    <col min="28" max="33" width="6.6640625" style="1" bestFit="1" customWidth="1"/>
    <col min="34" max="41" width="7.1640625" style="1" bestFit="1" customWidth="1"/>
    <col min="42" max="44" width="7.6640625" style="1" bestFit="1" customWidth="1"/>
    <col min="45" max="46" width="5.6640625" style="1" bestFit="1" customWidth="1"/>
    <col min="47" max="47" width="10.5" style="1" bestFit="1" customWidth="1"/>
    <col min="48" max="48" width="7.1640625" style="1" bestFit="1" customWidth="1"/>
    <col min="49" max="153" width="5.6640625" style="1" bestFit="1" customWidth="1"/>
    <col min="154" max="16384" width="10.83203125" style="1"/>
  </cols>
  <sheetData>
    <row r="1" spans="1:44">
      <c r="A1" s="4" t="s">
        <v>6</v>
      </c>
    </row>
    <row r="3" spans="1:44" s="3" customFormat="1"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3" t="s">
        <v>19</v>
      </c>
      <c r="P3" s="3" t="s">
        <v>20</v>
      </c>
      <c r="Q3" s="3" t="s">
        <v>21</v>
      </c>
      <c r="R3" s="3" t="s">
        <v>22</v>
      </c>
      <c r="S3" s="3" t="s">
        <v>49</v>
      </c>
      <c r="T3" s="3" t="s">
        <v>50</v>
      </c>
      <c r="U3" s="3" t="s">
        <v>51</v>
      </c>
      <c r="V3" s="3" t="s">
        <v>52</v>
      </c>
      <c r="Z3" s="3">
        <v>2015</v>
      </c>
      <c r="AA3" s="3">
        <f>+Z3+1</f>
        <v>2016</v>
      </c>
      <c r="AB3" s="3">
        <f t="shared" ref="AB3:AR3" si="0">+AA3+1</f>
        <v>2017</v>
      </c>
      <c r="AC3" s="3">
        <f t="shared" si="0"/>
        <v>2018</v>
      </c>
      <c r="AD3" s="3">
        <f t="shared" si="0"/>
        <v>2019</v>
      </c>
      <c r="AE3" s="3">
        <f t="shared" si="0"/>
        <v>2020</v>
      </c>
      <c r="AF3" s="3">
        <f t="shared" si="0"/>
        <v>2021</v>
      </c>
      <c r="AG3" s="3">
        <f t="shared" si="0"/>
        <v>2022</v>
      </c>
      <c r="AH3" s="3">
        <f t="shared" si="0"/>
        <v>2023</v>
      </c>
      <c r="AI3" s="3">
        <f t="shared" si="0"/>
        <v>2024</v>
      </c>
      <c r="AJ3" s="3">
        <f t="shared" si="0"/>
        <v>2025</v>
      </c>
      <c r="AK3" s="3">
        <f t="shared" si="0"/>
        <v>2026</v>
      </c>
      <c r="AL3" s="3">
        <f t="shared" si="0"/>
        <v>2027</v>
      </c>
      <c r="AM3" s="3">
        <f t="shared" si="0"/>
        <v>2028</v>
      </c>
      <c r="AN3" s="3">
        <f t="shared" si="0"/>
        <v>2029</v>
      </c>
      <c r="AO3" s="3">
        <f t="shared" si="0"/>
        <v>2030</v>
      </c>
      <c r="AP3" s="3">
        <f t="shared" si="0"/>
        <v>2031</v>
      </c>
      <c r="AQ3" s="3">
        <f t="shared" si="0"/>
        <v>2032</v>
      </c>
      <c r="AR3" s="3">
        <f t="shared" si="0"/>
        <v>2033</v>
      </c>
    </row>
    <row r="4" spans="1:44">
      <c r="B4" s="1" t="s">
        <v>36</v>
      </c>
      <c r="K4" s="1">
        <v>2641</v>
      </c>
      <c r="L4" s="1">
        <v>2289</v>
      </c>
      <c r="M4" s="1">
        <v>3222</v>
      </c>
      <c r="N4" s="1">
        <v>2509</v>
      </c>
      <c r="O4" s="1">
        <v>1879</v>
      </c>
      <c r="P4" s="1">
        <v>2370</v>
      </c>
      <c r="Q4" s="1">
        <v>2753</v>
      </c>
      <c r="R4" s="1">
        <v>3164</v>
      </c>
      <c r="AF4" s="1">
        <v>12437</v>
      </c>
      <c r="AG4" s="1">
        <f>SUM(K4:N4)</f>
        <v>10661</v>
      </c>
      <c r="AH4" s="1">
        <f>SUM(O4:R4)</f>
        <v>10166</v>
      </c>
    </row>
    <row r="5" spans="1:44">
      <c r="B5" s="1" t="s">
        <v>37</v>
      </c>
      <c r="K5" s="1">
        <v>5959</v>
      </c>
      <c r="L5" s="1">
        <v>4751</v>
      </c>
      <c r="M5" s="1">
        <v>4408</v>
      </c>
      <c r="N5" s="1">
        <v>3663</v>
      </c>
      <c r="O5" s="1">
        <v>3407</v>
      </c>
      <c r="P5" s="1">
        <v>3896</v>
      </c>
      <c r="Q5" s="1">
        <v>4503</v>
      </c>
      <c r="R5" s="1">
        <v>5185</v>
      </c>
      <c r="AF5" s="1">
        <v>25443</v>
      </c>
      <c r="AG5" s="1">
        <f>SUM(K5:N5)</f>
        <v>18781</v>
      </c>
      <c r="AH5" s="1">
        <f>SUM(O5:R5)</f>
        <v>16991</v>
      </c>
    </row>
    <row r="6" spans="1:44">
      <c r="B6" s="1" t="s">
        <v>38</v>
      </c>
      <c r="K6" s="1">
        <v>722</v>
      </c>
      <c r="L6" s="1">
        <v>638</v>
      </c>
      <c r="M6" s="1">
        <v>498</v>
      </c>
      <c r="N6" s="1">
        <v>473</v>
      </c>
      <c r="O6" s="1">
        <v>481</v>
      </c>
      <c r="P6" s="1">
        <v>514</v>
      </c>
      <c r="Q6" s="1">
        <v>611</v>
      </c>
      <c r="R6" s="1">
        <v>495</v>
      </c>
      <c r="AF6" s="1">
        <v>3187</v>
      </c>
      <c r="AG6" s="1">
        <f>SUM(K6:N6)</f>
        <v>2331</v>
      </c>
      <c r="AH6" s="1">
        <f>SUM(O6:R6)</f>
        <v>2101</v>
      </c>
    </row>
    <row r="7" spans="1:44" s="5" customFormat="1">
      <c r="B7" s="5" t="s">
        <v>39</v>
      </c>
      <c r="K7" s="5">
        <f>SUM(K4:K6)</f>
        <v>9322</v>
      </c>
      <c r="L7" s="5">
        <f>SUM(L4:L6)</f>
        <v>7678</v>
      </c>
      <c r="M7" s="5">
        <f>SUM(M4:M6)</f>
        <v>8128</v>
      </c>
      <c r="N7" s="5">
        <f>SUM(N4:N6)</f>
        <v>6645</v>
      </c>
      <c r="O7" s="5">
        <f>SUM(O4:O6)</f>
        <v>5767</v>
      </c>
      <c r="P7" s="5">
        <f>SUM(P4:P6)</f>
        <v>6780</v>
      </c>
      <c r="Q7" s="5">
        <f>SUM(Q4:Q6)</f>
        <v>7867</v>
      </c>
      <c r="R7" s="5">
        <f>SUM(R4:R6)</f>
        <v>8844</v>
      </c>
      <c r="AF7" s="5">
        <f>SUM(AF4:AF6)</f>
        <v>41067</v>
      </c>
      <c r="AG7" s="5">
        <f>SUM(K7:N7)</f>
        <v>31773</v>
      </c>
      <c r="AH7" s="5">
        <f>SUM(O7:R7)</f>
        <v>29258</v>
      </c>
    </row>
    <row r="8" spans="1:44">
      <c r="B8" s="1" t="s">
        <v>40</v>
      </c>
      <c r="K8" s="1">
        <v>6074</v>
      </c>
      <c r="L8" s="1">
        <v>4695</v>
      </c>
      <c r="M8" s="1">
        <v>4255</v>
      </c>
      <c r="N8" s="1">
        <v>4421</v>
      </c>
      <c r="O8" s="1">
        <v>3718</v>
      </c>
      <c r="P8" s="1">
        <v>4004</v>
      </c>
      <c r="Q8" s="1">
        <v>3814</v>
      </c>
      <c r="R8" s="1">
        <v>3985</v>
      </c>
      <c r="AF8" s="1">
        <v>22691</v>
      </c>
      <c r="AG8" s="1">
        <f>SUM(K8:N8)</f>
        <v>19445</v>
      </c>
      <c r="AH8" s="1">
        <f>SUM(O8:R8)</f>
        <v>15521</v>
      </c>
    </row>
    <row r="9" spans="1:44">
      <c r="B9" s="1" t="s">
        <v>41</v>
      </c>
      <c r="K9" s="1">
        <v>2139</v>
      </c>
      <c r="L9" s="1">
        <v>2211</v>
      </c>
      <c r="M9" s="1">
        <v>2133</v>
      </c>
      <c r="N9" s="1">
        <v>1926</v>
      </c>
      <c r="O9" s="1">
        <v>1489</v>
      </c>
      <c r="P9" s="1">
        <v>1364</v>
      </c>
      <c r="Q9" s="1">
        <v>1450</v>
      </c>
      <c r="R9" s="1">
        <v>1471</v>
      </c>
      <c r="AF9" s="1">
        <v>7976</v>
      </c>
      <c r="AG9" s="1">
        <f>SUM(K9:N9)</f>
        <v>8409</v>
      </c>
      <c r="AH9" s="1">
        <f>SUM(O9:R9)</f>
        <v>5774</v>
      </c>
    </row>
    <row r="10" spans="1:44">
      <c r="B10" s="1" t="s">
        <v>42</v>
      </c>
      <c r="K10" s="1">
        <v>394</v>
      </c>
      <c r="L10" s="1">
        <v>460</v>
      </c>
      <c r="M10" s="1">
        <v>450</v>
      </c>
      <c r="N10" s="1">
        <v>565</v>
      </c>
      <c r="O10" s="1">
        <v>458</v>
      </c>
      <c r="P10" s="1">
        <v>454</v>
      </c>
      <c r="Q10" s="1">
        <v>530</v>
      </c>
      <c r="R10" s="1">
        <v>637</v>
      </c>
      <c r="AF10" s="1">
        <v>1386</v>
      </c>
      <c r="AG10" s="1">
        <f>SUM(K10:N10)</f>
        <v>1869</v>
      </c>
      <c r="AH10" s="1">
        <f>SUM(O10:R10)</f>
        <v>2079</v>
      </c>
    </row>
    <row r="11" spans="1:44">
      <c r="AF11" s="1">
        <v>774</v>
      </c>
    </row>
    <row r="12" spans="1:44">
      <c r="B12" s="1" t="s">
        <v>43</v>
      </c>
      <c r="K12" s="1">
        <v>156</v>
      </c>
      <c r="L12" s="1">
        <v>57</v>
      </c>
      <c r="M12" s="1">
        <v>78</v>
      </c>
      <c r="N12" s="1">
        <v>178</v>
      </c>
      <c r="O12" s="1">
        <v>118</v>
      </c>
      <c r="P12" s="1">
        <v>232</v>
      </c>
      <c r="Q12" s="1">
        <v>311</v>
      </c>
      <c r="R12" s="1">
        <v>291</v>
      </c>
      <c r="AF12" s="1">
        <v>786</v>
      </c>
      <c r="AG12" s="1">
        <f>SUM(K12:N12)</f>
        <v>469</v>
      </c>
      <c r="AH12" s="1">
        <f>SUM(O12:R12)</f>
        <v>952</v>
      </c>
    </row>
    <row r="13" spans="1:44">
      <c r="B13" s="1" t="s">
        <v>44</v>
      </c>
      <c r="K13" s="1">
        <v>268</v>
      </c>
      <c r="L13" s="1">
        <v>220</v>
      </c>
      <c r="M13" s="1">
        <v>294</v>
      </c>
      <c r="N13" s="1">
        <v>307</v>
      </c>
      <c r="O13" s="1">
        <v>165</v>
      </c>
      <c r="P13" s="1">
        <v>115</v>
      </c>
      <c r="Q13" s="1">
        <v>186</v>
      </c>
      <c r="R13" s="1">
        <v>178</v>
      </c>
      <c r="AF13" s="1">
        <v>5019</v>
      </c>
      <c r="AG13" s="1">
        <f>SUM(K13:N13)</f>
        <v>1089</v>
      </c>
      <c r="AH13" s="1">
        <f>SUM(O13:R13)</f>
        <v>644</v>
      </c>
    </row>
    <row r="14" spans="1:44" s="5" customFormat="1">
      <c r="B14" s="5" t="s">
        <v>23</v>
      </c>
      <c r="K14" s="5">
        <f>SUM(K7:K13)</f>
        <v>18353</v>
      </c>
      <c r="L14" s="5">
        <f>SUM(L7:L13)</f>
        <v>15321</v>
      </c>
      <c r="M14" s="5">
        <f>SUM(M7:M13)</f>
        <v>15338</v>
      </c>
      <c r="N14" s="5">
        <f>SUM(N7:N13)</f>
        <v>14042</v>
      </c>
      <c r="O14" s="5">
        <f>SUM(O7:O13)</f>
        <v>11715</v>
      </c>
      <c r="P14" s="5">
        <f>SUM(P7:P13)</f>
        <v>12949</v>
      </c>
      <c r="Q14" s="5">
        <f>SUM(Q7:Q13)</f>
        <v>14158</v>
      </c>
      <c r="R14" s="5">
        <f>SUM(R7:R13)</f>
        <v>15406</v>
      </c>
      <c r="S14" s="5">
        <f>AVERAGE(12.2,13.2)*1000</f>
        <v>12700</v>
      </c>
      <c r="T14" s="5">
        <f>+P14*1.08</f>
        <v>13984.92</v>
      </c>
      <c r="U14" s="5">
        <f>+Q14*1.08</f>
        <v>15290.640000000001</v>
      </c>
      <c r="V14" s="5">
        <f>+R14*1.08</f>
        <v>16638.48</v>
      </c>
      <c r="AB14" s="5">
        <v>62761</v>
      </c>
      <c r="AC14" s="5">
        <v>70848</v>
      </c>
      <c r="AD14" s="5">
        <v>71965</v>
      </c>
      <c r="AE14" s="5">
        <v>77867</v>
      </c>
      <c r="AF14" s="5">
        <v>79024</v>
      </c>
      <c r="AG14" s="5">
        <v>63054</v>
      </c>
      <c r="AH14" s="5">
        <v>54228</v>
      </c>
      <c r="AI14" s="5">
        <f>SUM(S14:V14)</f>
        <v>58614.039999999994</v>
      </c>
      <c r="AJ14" s="5">
        <f>+AI14*1.08</f>
        <v>63303.163199999995</v>
      </c>
      <c r="AK14" s="5">
        <f t="shared" ref="AK14:AR14" si="1">+AJ14*1.08</f>
        <v>68367.416255999997</v>
      </c>
      <c r="AL14" s="5">
        <f t="shared" si="1"/>
        <v>73836.809556480002</v>
      </c>
      <c r="AM14" s="5">
        <f t="shared" si="1"/>
        <v>79743.754320998414</v>
      </c>
      <c r="AN14" s="5">
        <f t="shared" si="1"/>
        <v>86123.254666678287</v>
      </c>
      <c r="AO14" s="5">
        <f t="shared" si="1"/>
        <v>93013.115040012563</v>
      </c>
      <c r="AP14" s="5">
        <f t="shared" si="1"/>
        <v>100454.16424321357</v>
      </c>
      <c r="AQ14" s="5">
        <f t="shared" si="1"/>
        <v>108490.49738267067</v>
      </c>
      <c r="AR14" s="5">
        <f t="shared" si="1"/>
        <v>117169.73717328433</v>
      </c>
    </row>
    <row r="15" spans="1:44">
      <c r="B15" s="1" t="s">
        <v>24</v>
      </c>
      <c r="K15" s="1">
        <v>9109</v>
      </c>
      <c r="L15" s="1">
        <v>9734</v>
      </c>
      <c r="M15" s="1">
        <v>8803</v>
      </c>
      <c r="N15" s="1">
        <v>8542</v>
      </c>
      <c r="O15" s="1">
        <v>7707</v>
      </c>
      <c r="P15" s="1">
        <v>8311</v>
      </c>
      <c r="Q15" s="1">
        <v>8140</v>
      </c>
      <c r="R15" s="1">
        <v>8359</v>
      </c>
      <c r="S15" s="1">
        <f>+S14*0.6</f>
        <v>7620</v>
      </c>
      <c r="T15" s="1">
        <f>+T14*0.6</f>
        <v>8390.9519999999993</v>
      </c>
      <c r="U15" s="1">
        <f>+U14*0.6</f>
        <v>9174.384</v>
      </c>
      <c r="V15" s="1">
        <f>+V14*0.6</f>
        <v>9983.0879999999997</v>
      </c>
      <c r="AB15" s="1">
        <v>23663</v>
      </c>
      <c r="AC15" s="1">
        <v>27111</v>
      </c>
      <c r="AD15" s="1">
        <v>29825</v>
      </c>
      <c r="AE15" s="1">
        <v>34255</v>
      </c>
      <c r="AF15" s="1">
        <v>35209</v>
      </c>
      <c r="AG15" s="1">
        <v>36188</v>
      </c>
      <c r="AH15" s="1">
        <v>32517</v>
      </c>
      <c r="AI15" s="1">
        <f>SUM(S15:V15)</f>
        <v>35168.423999999999</v>
      </c>
      <c r="AJ15" s="1">
        <f>+AJ$14*(AI15/AI$14)</f>
        <v>37981.897920000003</v>
      </c>
      <c r="AK15" s="15">
        <f>+AK14*0.59</f>
        <v>40336.775591039994</v>
      </c>
      <c r="AL15" s="15">
        <f>+AL14*0.58</f>
        <v>42825.349542758398</v>
      </c>
      <c r="AM15" s="15">
        <f>+AM14*0.58</f>
        <v>46251.37750617908</v>
      </c>
      <c r="AN15" s="15">
        <f>+AN14*0.57</f>
        <v>49090.255160006622</v>
      </c>
      <c r="AO15" s="15">
        <f t="shared" ref="AO15:AR15" si="2">+AO14*0.57</f>
        <v>53017.475572807154</v>
      </c>
      <c r="AP15" s="15">
        <f t="shared" si="2"/>
        <v>57258.873618631733</v>
      </c>
      <c r="AQ15" s="15">
        <f t="shared" si="2"/>
        <v>61839.583508122276</v>
      </c>
      <c r="AR15" s="15">
        <f t="shared" si="2"/>
        <v>66786.750188772057</v>
      </c>
    </row>
    <row r="16" spans="1:44">
      <c r="B16" s="1" t="s">
        <v>25</v>
      </c>
      <c r="K16" s="1">
        <v>4362</v>
      </c>
      <c r="L16" s="1">
        <v>4400</v>
      </c>
      <c r="M16" s="1">
        <v>4302</v>
      </c>
      <c r="N16" s="1">
        <v>4464</v>
      </c>
      <c r="O16" s="1">
        <v>4109</v>
      </c>
      <c r="P16" s="1">
        <v>4080</v>
      </c>
      <c r="Q16" s="1">
        <v>3870</v>
      </c>
      <c r="R16" s="1">
        <v>3987</v>
      </c>
      <c r="S16" s="1">
        <f>+S$14*(O16/O$14)</f>
        <v>4454.485702091336</v>
      </c>
      <c r="T16" s="1">
        <f>+T$14*(P16/P$14)</f>
        <v>4406.4000000000005</v>
      </c>
      <c r="U16" s="1">
        <f>+U$14*(Q16/Q$14)</f>
        <v>4179.6000000000004</v>
      </c>
      <c r="V16" s="1">
        <f>+V$14*(R16/R$14)</f>
        <v>4305.96</v>
      </c>
      <c r="AB16" s="1">
        <v>13035</v>
      </c>
      <c r="AC16" s="1">
        <v>13543</v>
      </c>
      <c r="AD16" s="1">
        <v>13362</v>
      </c>
      <c r="AE16" s="1">
        <v>13556</v>
      </c>
      <c r="AF16" s="1">
        <v>15190</v>
      </c>
      <c r="AG16" s="1">
        <v>17528</v>
      </c>
      <c r="AH16" s="1">
        <v>16046</v>
      </c>
      <c r="AI16" s="1">
        <f t="shared" ref="AI16:AI25" si="3">SUM(S16:V16)</f>
        <v>17346.445702091336</v>
      </c>
      <c r="AJ16" s="1">
        <f t="shared" ref="AJ16:AR17" si="4">+AJ$14*(AI16/AI$14)</f>
        <v>18734.161358258643</v>
      </c>
      <c r="AK16" s="15">
        <f>+AK14*0.29</f>
        <v>19826.550714239998</v>
      </c>
      <c r="AL16" s="15">
        <f>+AL14*0.29</f>
        <v>21412.674771379199</v>
      </c>
      <c r="AM16" s="15">
        <f>+AM14*0.27</f>
        <v>21530.813666669572</v>
      </c>
      <c r="AN16" s="15">
        <f>+AN$14*0.26</f>
        <v>22392.046213336354</v>
      </c>
      <c r="AO16" s="15">
        <f>+AO14*0.2</f>
        <v>18602.623008002513</v>
      </c>
      <c r="AP16" s="15">
        <f>+AP14*0.19</f>
        <v>19086.291206210579</v>
      </c>
      <c r="AQ16" s="15">
        <f t="shared" si="4"/>
        <v>20613.194502707429</v>
      </c>
      <c r="AR16" s="15">
        <f t="shared" si="4"/>
        <v>22262.250062924024</v>
      </c>
    </row>
    <row r="17" spans="2:153">
      <c r="B17" s="1" t="s">
        <v>26</v>
      </c>
      <c r="K17" s="1">
        <v>1752</v>
      </c>
      <c r="L17" s="1">
        <v>1800</v>
      </c>
      <c r="M17" s="1">
        <v>1744</v>
      </c>
      <c r="N17" s="1">
        <v>1706</v>
      </c>
      <c r="O17" s="1">
        <v>1303</v>
      </c>
      <c r="P17" s="1">
        <v>1374</v>
      </c>
      <c r="Q17" s="1">
        <v>1340</v>
      </c>
      <c r="R17" s="1">
        <v>1617</v>
      </c>
      <c r="S17" s="1">
        <f>+S$14*(O17/O$14)</f>
        <v>1412.5565514297909</v>
      </c>
      <c r="T17" s="1">
        <f>+T$14*(P17/P$14)</f>
        <v>1483.92</v>
      </c>
      <c r="U17" s="1">
        <f>+U$14*(Q17/Q$14)</f>
        <v>1447.2</v>
      </c>
      <c r="V17" s="1">
        <f>+V$14*(R17/R$14)</f>
        <v>1746.3600000000001</v>
      </c>
      <c r="AB17" s="1">
        <v>7452</v>
      </c>
      <c r="AC17" s="1">
        <v>6750</v>
      </c>
      <c r="AD17" s="1">
        <v>6350</v>
      </c>
      <c r="AE17" s="1">
        <v>6180</v>
      </c>
      <c r="AF17" s="1">
        <v>6543</v>
      </c>
      <c r="AG17" s="1">
        <v>7002</v>
      </c>
      <c r="AH17" s="1">
        <v>5634</v>
      </c>
      <c r="AI17" s="1">
        <f t="shared" si="3"/>
        <v>6090.0365514297919</v>
      </c>
      <c r="AJ17" s="1">
        <f t="shared" si="4"/>
        <v>6577.2394755441755</v>
      </c>
      <c r="AK17" s="15">
        <f>+AK14*0.09</f>
        <v>6153.0674630399999</v>
      </c>
      <c r="AL17" s="15">
        <f t="shared" si="4"/>
        <v>6645.3128600831997</v>
      </c>
      <c r="AM17" s="15">
        <f t="shared" si="4"/>
        <v>7176.9378888898573</v>
      </c>
      <c r="AN17" s="15">
        <f t="shared" si="4"/>
        <v>7751.092920001046</v>
      </c>
      <c r="AO17" s="15">
        <f t="shared" si="4"/>
        <v>8371.1803536011303</v>
      </c>
      <c r="AP17" s="15">
        <f t="shared" si="4"/>
        <v>9040.8747818892207</v>
      </c>
      <c r="AQ17" s="15">
        <f t="shared" si="4"/>
        <v>9764.1447644403597</v>
      </c>
      <c r="AR17" s="15">
        <f t="shared" si="4"/>
        <v>10545.27634559559</v>
      </c>
    </row>
    <row r="18" spans="2:153">
      <c r="B18" s="1" t="s">
        <v>27</v>
      </c>
      <c r="K18" s="1">
        <f>+K14-SUM(K15:K17)</f>
        <v>3130</v>
      </c>
      <c r="L18" s="1">
        <f>+L14-SUM(L15:L17)</f>
        <v>-613</v>
      </c>
      <c r="M18" s="1">
        <f>+M14-SUM(M15:M17)</f>
        <v>489</v>
      </c>
      <c r="N18" s="1">
        <f>+N14-SUM(N15:N17)</f>
        <v>-670</v>
      </c>
      <c r="O18" s="1">
        <f>+O14-SUM(O15:O17)</f>
        <v>-1404</v>
      </c>
      <c r="P18" s="1">
        <f>+P14-SUM(P15:P17)</f>
        <v>-816</v>
      </c>
      <c r="Q18" s="1">
        <f>+Q14-SUM(Q15:Q17)</f>
        <v>808</v>
      </c>
      <c r="R18" s="1">
        <f>+R14-SUM(R15:R17)</f>
        <v>1443</v>
      </c>
      <c r="S18" s="1">
        <f>+S14-SUM(S15:S17)</f>
        <v>-787.04225352112735</v>
      </c>
      <c r="T18" s="1">
        <f>+T14-SUM(T15:T17)</f>
        <v>-296.35199999999895</v>
      </c>
      <c r="U18" s="1">
        <f>+U14-SUM(U15:U17)</f>
        <v>489.45600000000013</v>
      </c>
      <c r="V18" s="1">
        <f>+V14-SUM(V15:V17)</f>
        <v>603.07200000000012</v>
      </c>
      <c r="AB18" s="1">
        <f>+AB14-SUM(AB15:AB17)</f>
        <v>18611</v>
      </c>
      <c r="AC18" s="1">
        <f>+AC14-SUM(AC15:AC17)</f>
        <v>23444</v>
      </c>
      <c r="AD18" s="1">
        <f>+AD14-SUM(AD15:AD17)</f>
        <v>22428</v>
      </c>
      <c r="AE18" s="1">
        <f>+AE14-SUM(AE15:AE17)</f>
        <v>23876</v>
      </c>
      <c r="AF18" s="1">
        <f>+AF14-SUM(AF15:AF17)</f>
        <v>22082</v>
      </c>
      <c r="AG18" s="1">
        <f>+AG14-SUM(AG15:AG17)</f>
        <v>2336</v>
      </c>
      <c r="AH18" s="1">
        <f>+AH14-SUM(AH15:AH17)</f>
        <v>31</v>
      </c>
      <c r="AI18" s="1">
        <f t="shared" si="3"/>
        <v>9.1337464788739453</v>
      </c>
      <c r="AJ18" s="1">
        <f>+AJ14-SUM(AJ15:AJ17)</f>
        <v>9.8644461971707642</v>
      </c>
      <c r="AK18" s="1">
        <f t="shared" ref="AK18:AR18" si="5">+AK14-SUM(AK15:AK17)</f>
        <v>2051.0224876800057</v>
      </c>
      <c r="AL18" s="1">
        <f t="shared" si="5"/>
        <v>2953.4723822592059</v>
      </c>
      <c r="AM18" s="1">
        <f t="shared" si="5"/>
        <v>4784.6252592598903</v>
      </c>
      <c r="AN18" s="1">
        <f t="shared" si="5"/>
        <v>6889.8603733342607</v>
      </c>
      <c r="AO18" s="1">
        <f t="shared" si="5"/>
        <v>13021.836105601775</v>
      </c>
      <c r="AP18" s="1">
        <f t="shared" si="5"/>
        <v>15068.12463648204</v>
      </c>
      <c r="AQ18" s="1">
        <f t="shared" si="5"/>
        <v>16273.574607400602</v>
      </c>
      <c r="AR18" s="1">
        <f t="shared" si="5"/>
        <v>17575.460575992664</v>
      </c>
    </row>
    <row r="19" spans="2:153">
      <c r="B19" s="1" t="s">
        <v>28</v>
      </c>
      <c r="K19" s="1">
        <v>4323</v>
      </c>
      <c r="L19" s="1">
        <v>-90</v>
      </c>
      <c r="M19" s="1">
        <v>-151</v>
      </c>
      <c r="N19" s="1">
        <v>186</v>
      </c>
      <c r="O19" s="1">
        <v>169</v>
      </c>
      <c r="P19" s="1">
        <v>-24</v>
      </c>
      <c r="Q19" s="1">
        <v>-191</v>
      </c>
      <c r="R19" s="1">
        <v>86</v>
      </c>
      <c r="S19" s="1">
        <f>+R19</f>
        <v>86</v>
      </c>
      <c r="T19" s="1">
        <f>+S19</f>
        <v>86</v>
      </c>
      <c r="U19" s="1">
        <f>+T19</f>
        <v>86</v>
      </c>
      <c r="V19" s="1">
        <f>+U19</f>
        <v>86</v>
      </c>
      <c r="AB19" s="1">
        <v>2651</v>
      </c>
      <c r="AC19" s="1">
        <v>-125</v>
      </c>
      <c r="AD19" s="1">
        <v>1539</v>
      </c>
      <c r="AE19" s="1">
        <v>1904</v>
      </c>
      <c r="AF19" s="1">
        <v>2729</v>
      </c>
      <c r="AG19" s="1">
        <v>4268</v>
      </c>
      <c r="AH19" s="1">
        <v>40</v>
      </c>
      <c r="AI19" s="1">
        <f t="shared" si="3"/>
        <v>344</v>
      </c>
      <c r="AJ19" s="1">
        <f>+AI19</f>
        <v>344</v>
      </c>
      <c r="AK19" s="1">
        <f t="shared" ref="AK19:AR19" si="6">+AJ19</f>
        <v>344</v>
      </c>
      <c r="AL19" s="1">
        <f t="shared" si="6"/>
        <v>344</v>
      </c>
      <c r="AM19" s="1">
        <f t="shared" si="6"/>
        <v>344</v>
      </c>
      <c r="AN19" s="1">
        <f t="shared" si="6"/>
        <v>344</v>
      </c>
      <c r="AO19" s="1">
        <f t="shared" si="6"/>
        <v>344</v>
      </c>
      <c r="AP19" s="1">
        <f t="shared" si="6"/>
        <v>344</v>
      </c>
      <c r="AQ19" s="1">
        <f t="shared" si="6"/>
        <v>344</v>
      </c>
      <c r="AR19" s="1">
        <f t="shared" si="6"/>
        <v>344</v>
      </c>
    </row>
    <row r="20" spans="2:153">
      <c r="B20" s="1" t="s">
        <v>29</v>
      </c>
      <c r="K20" s="1">
        <v>997</v>
      </c>
      <c r="L20" s="1">
        <v>-119</v>
      </c>
      <c r="M20" s="1">
        <v>138</v>
      </c>
      <c r="N20" s="1">
        <v>150</v>
      </c>
      <c r="O20" s="1">
        <v>141</v>
      </c>
      <c r="P20" s="1">
        <v>224</v>
      </c>
      <c r="Q20" s="1">
        <v>147</v>
      </c>
      <c r="R20" s="1">
        <v>117</v>
      </c>
      <c r="S20" s="1">
        <f>+SUM(R57,R58)*$AV$28</f>
        <v>250.34</v>
      </c>
      <c r="T20" s="1">
        <f>+SUM(S57,S58)*$AV$28</f>
        <v>252.8434</v>
      </c>
      <c r="U20" s="1">
        <f>+SUM(T57,T58)*$AV$28</f>
        <v>255.37183399999998</v>
      </c>
      <c r="V20" s="1">
        <f>+SUM(U57,U58)*$AV$28</f>
        <v>257.92555234000002</v>
      </c>
      <c r="AB20" s="1">
        <v>-349</v>
      </c>
      <c r="AC20" s="1">
        <v>126</v>
      </c>
      <c r="AD20" s="1">
        <v>484</v>
      </c>
      <c r="AE20" s="1">
        <v>-504</v>
      </c>
      <c r="AF20" s="1">
        <v>-482</v>
      </c>
      <c r="AG20" s="1">
        <v>1166</v>
      </c>
      <c r="AH20" s="1">
        <v>629</v>
      </c>
      <c r="AI20" s="14">
        <f>+AH20</f>
        <v>629</v>
      </c>
      <c r="AJ20" s="14">
        <f t="shared" ref="AJ20:AR20" si="7">+AI20</f>
        <v>629</v>
      </c>
      <c r="AK20" s="14">
        <f t="shared" si="7"/>
        <v>629</v>
      </c>
      <c r="AL20" s="14">
        <f t="shared" si="7"/>
        <v>629</v>
      </c>
      <c r="AM20" s="14">
        <f t="shared" si="7"/>
        <v>629</v>
      </c>
      <c r="AN20" s="14">
        <f t="shared" si="7"/>
        <v>629</v>
      </c>
      <c r="AO20" s="14">
        <f t="shared" si="7"/>
        <v>629</v>
      </c>
      <c r="AP20" s="14">
        <f t="shared" si="7"/>
        <v>629</v>
      </c>
      <c r="AQ20" s="14">
        <f t="shared" si="7"/>
        <v>629</v>
      </c>
      <c r="AR20" s="14">
        <f t="shared" si="7"/>
        <v>629</v>
      </c>
    </row>
    <row r="21" spans="2:153">
      <c r="B21" s="1" t="s">
        <v>30</v>
      </c>
      <c r="K21" s="1">
        <f>SUM(K18:K20)</f>
        <v>8450</v>
      </c>
      <c r="L21" s="1">
        <f>SUM(L18:L20)</f>
        <v>-822</v>
      </c>
      <c r="M21" s="1">
        <f>SUM(M18:M20)</f>
        <v>476</v>
      </c>
      <c r="N21" s="1">
        <f>SUM(N18:N20)</f>
        <v>-334</v>
      </c>
      <c r="O21" s="1">
        <f>SUM(O18:O20)</f>
        <v>-1094</v>
      </c>
      <c r="P21" s="1">
        <f>SUM(P18:P20)</f>
        <v>-616</v>
      </c>
      <c r="Q21" s="1">
        <f>SUM(Q18:Q20)</f>
        <v>764</v>
      </c>
      <c r="R21" s="1">
        <f>SUM(R18:R20)</f>
        <v>1646</v>
      </c>
      <c r="S21" s="1">
        <f>SUM(S18:S20)</f>
        <v>-450.70225352112732</v>
      </c>
      <c r="T21" s="1">
        <f>SUM(T18:T20)</f>
        <v>42.49140000000105</v>
      </c>
      <c r="U21" s="1">
        <f>SUM(U18:U20)</f>
        <v>830.82783400000017</v>
      </c>
      <c r="V21" s="1">
        <f>SUM(V18:V20)</f>
        <v>946.99755234000008</v>
      </c>
      <c r="AB21" s="1">
        <f>SUM(AB18:AB20)</f>
        <v>20913</v>
      </c>
      <c r="AC21" s="1">
        <f>SUM(AC18:AC20)</f>
        <v>23445</v>
      </c>
      <c r="AD21" s="1">
        <f>SUM(AD18:AD20)</f>
        <v>24451</v>
      </c>
      <c r="AE21" s="1">
        <f>SUM(AE18:AE20)</f>
        <v>25276</v>
      </c>
      <c r="AF21" s="1">
        <f>SUM(AF18:AF20)</f>
        <v>24329</v>
      </c>
      <c r="AG21" s="1">
        <f>SUM(AG18:AG20)</f>
        <v>7770</v>
      </c>
      <c r="AH21" s="1">
        <f>SUM(AH18:AH20)</f>
        <v>700</v>
      </c>
      <c r="AI21" s="1">
        <f t="shared" si="3"/>
        <v>1369.6145328188741</v>
      </c>
      <c r="AJ21" s="1">
        <f>SUM(AJ18:AJ20)</f>
        <v>982.86444619717076</v>
      </c>
      <c r="AK21" s="1">
        <f t="shared" ref="AK21:AR21" si="8">SUM(AK18:AK20)</f>
        <v>3024.0224876800057</v>
      </c>
      <c r="AL21" s="1">
        <f t="shared" si="8"/>
        <v>3926.4723822592059</v>
      </c>
      <c r="AM21" s="1">
        <f t="shared" si="8"/>
        <v>5757.6252592598903</v>
      </c>
      <c r="AN21" s="1">
        <f t="shared" si="8"/>
        <v>7862.8603733342607</v>
      </c>
      <c r="AO21" s="1">
        <f t="shared" si="8"/>
        <v>13994.836105601775</v>
      </c>
      <c r="AP21" s="1">
        <f t="shared" si="8"/>
        <v>16041.12463648204</v>
      </c>
      <c r="AQ21" s="1">
        <f t="shared" si="8"/>
        <v>17246.574607400602</v>
      </c>
      <c r="AR21" s="1">
        <f t="shared" si="8"/>
        <v>18548.460575992664</v>
      </c>
    </row>
    <row r="22" spans="2:153">
      <c r="B22" s="1" t="s">
        <v>31</v>
      </c>
      <c r="K22" s="1">
        <v>1548</v>
      </c>
      <c r="L22" s="1">
        <v>-455</v>
      </c>
      <c r="M22" s="1">
        <v>-1207</v>
      </c>
      <c r="N22" s="1">
        <v>-135</v>
      </c>
      <c r="O22" s="1">
        <v>1610</v>
      </c>
      <c r="P22" s="1">
        <v>-2289</v>
      </c>
      <c r="Q22" s="1">
        <v>-362</v>
      </c>
      <c r="R22" s="1">
        <v>128</v>
      </c>
      <c r="S22" s="1">
        <f>+S21*0.43</f>
        <v>-193.80196901408473</v>
      </c>
      <c r="T22" s="1">
        <f t="shared" ref="T22:V22" si="9">+T21*0.43</f>
        <v>18.27130200000045</v>
      </c>
      <c r="U22" s="1">
        <f t="shared" si="9"/>
        <v>357.25596862000009</v>
      </c>
      <c r="V22" s="1">
        <f t="shared" si="9"/>
        <v>407.20894750620005</v>
      </c>
      <c r="AB22" s="1">
        <v>10751</v>
      </c>
      <c r="AC22" s="1">
        <v>2264</v>
      </c>
      <c r="AD22" s="1">
        <v>3010</v>
      </c>
      <c r="AE22" s="1">
        <v>4179</v>
      </c>
      <c r="AF22" s="1">
        <v>1835</v>
      </c>
      <c r="AG22" s="1">
        <v>-249</v>
      </c>
      <c r="AH22" s="1">
        <v>-913</v>
      </c>
      <c r="AI22" s="1">
        <f t="shared" si="3"/>
        <v>588.93424911211582</v>
      </c>
      <c r="AJ22" s="1">
        <f>+AJ21*(AI22/AI21)</f>
        <v>422.63171186478343</v>
      </c>
      <c r="AK22" s="1">
        <f t="shared" ref="AK22:AR22" si="10">+AK21*(AJ22/AJ21)</f>
        <v>1300.3296697024025</v>
      </c>
      <c r="AL22" s="1">
        <f t="shared" si="10"/>
        <v>1688.3831243714585</v>
      </c>
      <c r="AM22" s="1">
        <f t="shared" si="10"/>
        <v>2475.7788614817528</v>
      </c>
      <c r="AN22" s="1">
        <f t="shared" si="10"/>
        <v>3381.0299605337318</v>
      </c>
      <c r="AO22" s="1">
        <f t="shared" si="10"/>
        <v>6017.7795254087623</v>
      </c>
      <c r="AP22" s="1">
        <f t="shared" si="10"/>
        <v>6897.6835936872758</v>
      </c>
      <c r="AQ22" s="1">
        <f t="shared" si="10"/>
        <v>7416.0270811822575</v>
      </c>
      <c r="AR22" s="1">
        <f t="shared" si="10"/>
        <v>7975.8380476768443</v>
      </c>
    </row>
    <row r="23" spans="2:153">
      <c r="B23" s="1" t="s">
        <v>32</v>
      </c>
      <c r="K23" s="1">
        <f>+K21-K22</f>
        <v>6902</v>
      </c>
      <c r="L23" s="1">
        <f>+L21-L22</f>
        <v>-367</v>
      </c>
      <c r="M23" s="1">
        <f>+M21-M22</f>
        <v>1683</v>
      </c>
      <c r="N23" s="1">
        <f>+N21-N22</f>
        <v>-199</v>
      </c>
      <c r="O23" s="1">
        <f>+O21-O22</f>
        <v>-2704</v>
      </c>
      <c r="P23" s="1">
        <f>+P21-P22</f>
        <v>1673</v>
      </c>
      <c r="Q23" s="1">
        <f>+Q21-Q22</f>
        <v>1126</v>
      </c>
      <c r="R23" s="1">
        <f>+R21-R22</f>
        <v>1518</v>
      </c>
      <c r="S23" s="1">
        <f>+S21-S22</f>
        <v>-256.90028450704256</v>
      </c>
      <c r="T23" s="1">
        <f>+T21-T22</f>
        <v>24.220098000000601</v>
      </c>
      <c r="U23" s="1">
        <f>+U21-U22</f>
        <v>473.57186538000008</v>
      </c>
      <c r="V23" s="1">
        <f>+V21-V22</f>
        <v>539.78860483380004</v>
      </c>
      <c r="AB23" s="1">
        <f>+AB21-AB22</f>
        <v>10162</v>
      </c>
      <c r="AC23" s="1">
        <f>+AC21-AC22</f>
        <v>21181</v>
      </c>
      <c r="AD23" s="1">
        <f>+AD21-AD22</f>
        <v>21441</v>
      </c>
      <c r="AE23" s="1">
        <f>+AE21-AE22</f>
        <v>21097</v>
      </c>
      <c r="AF23" s="1">
        <f>+AF21-AF22</f>
        <v>22494</v>
      </c>
      <c r="AG23" s="1">
        <f>+AG21-AG22</f>
        <v>8019</v>
      </c>
      <c r="AH23" s="1">
        <f>+AH21-AH22</f>
        <v>1613</v>
      </c>
      <c r="AI23" s="1">
        <f t="shared" si="3"/>
        <v>780.68028370675813</v>
      </c>
      <c r="AJ23" s="1">
        <f>+AJ21-AJ22</f>
        <v>560.23273433238728</v>
      </c>
      <c r="AK23" s="1">
        <f t="shared" ref="AK23:AR23" si="11">+AK21-AK22</f>
        <v>1723.6928179776032</v>
      </c>
      <c r="AL23" s="1">
        <f t="shared" si="11"/>
        <v>2238.0892578877474</v>
      </c>
      <c r="AM23" s="1">
        <f t="shared" si="11"/>
        <v>3281.8463977781375</v>
      </c>
      <c r="AN23" s="1">
        <f t="shared" si="11"/>
        <v>4481.8304128005293</v>
      </c>
      <c r="AO23" s="1">
        <f t="shared" si="11"/>
        <v>7977.0565801930125</v>
      </c>
      <c r="AP23" s="1">
        <f t="shared" si="11"/>
        <v>9143.4410427947641</v>
      </c>
      <c r="AQ23" s="1">
        <f t="shared" si="11"/>
        <v>9830.5475262183445</v>
      </c>
      <c r="AR23" s="1">
        <f t="shared" si="11"/>
        <v>10572.62252831582</v>
      </c>
    </row>
    <row r="24" spans="2:153">
      <c r="B24" s="1" t="s">
        <v>33</v>
      </c>
      <c r="K24" s="1">
        <v>0</v>
      </c>
      <c r="L24" s="1">
        <v>0</v>
      </c>
      <c r="M24" s="1">
        <v>0</v>
      </c>
      <c r="N24" s="1">
        <v>3</v>
      </c>
      <c r="O24" s="1">
        <v>-10</v>
      </c>
      <c r="P24" s="1">
        <v>-8</v>
      </c>
      <c r="Q24" s="1">
        <v>13</v>
      </c>
      <c r="R24" s="1">
        <v>-9</v>
      </c>
      <c r="AB24" s="1">
        <v>0</v>
      </c>
      <c r="AC24" s="1">
        <v>0</v>
      </c>
      <c r="AD24" s="1">
        <v>0</v>
      </c>
      <c r="AE24" s="1">
        <v>4179</v>
      </c>
      <c r="AF24" s="1">
        <v>0</v>
      </c>
      <c r="AG24" s="1">
        <v>3</v>
      </c>
      <c r="AH24" s="1">
        <v>-14</v>
      </c>
    </row>
    <row r="25" spans="2:153" s="5" customFormat="1">
      <c r="B25" s="5" t="s">
        <v>34</v>
      </c>
      <c r="K25" s="5">
        <f>+K23-K24</f>
        <v>6902</v>
      </c>
      <c r="L25" s="5">
        <f>+L23-L24</f>
        <v>-367</v>
      </c>
      <c r="M25" s="5">
        <f>+M23-M24</f>
        <v>1683</v>
      </c>
      <c r="N25" s="5">
        <f>+N23-N24</f>
        <v>-202</v>
      </c>
      <c r="O25" s="5">
        <f>+O23-O24</f>
        <v>-2694</v>
      </c>
      <c r="P25" s="5">
        <f>+P23-P24</f>
        <v>1681</v>
      </c>
      <c r="Q25" s="5">
        <f>+Q23-Q24</f>
        <v>1113</v>
      </c>
      <c r="R25" s="5">
        <f>+R23-R24</f>
        <v>1527</v>
      </c>
      <c r="S25" s="5">
        <f>+S23-S24</f>
        <v>-256.90028450704256</v>
      </c>
      <c r="T25" s="5">
        <f>+T23-T24</f>
        <v>24.220098000000601</v>
      </c>
      <c r="U25" s="5">
        <f>+U23-U24</f>
        <v>473.57186538000008</v>
      </c>
      <c r="V25" s="5">
        <f>+V23-V24</f>
        <v>539.78860483380004</v>
      </c>
      <c r="AB25" s="5">
        <f>+AB23-AB24</f>
        <v>10162</v>
      </c>
      <c r="AC25" s="5">
        <f>+AC23-AC24</f>
        <v>21181</v>
      </c>
      <c r="AD25" s="5">
        <f>+AD23-AD24</f>
        <v>21441</v>
      </c>
      <c r="AE25" s="5">
        <f>+AE23-AE24</f>
        <v>16918</v>
      </c>
      <c r="AF25" s="5">
        <f>+AF23-AF24</f>
        <v>22494</v>
      </c>
      <c r="AG25" s="5">
        <f>+AG23-AG24</f>
        <v>8016</v>
      </c>
      <c r="AH25" s="5">
        <f>+AH23-AH24</f>
        <v>1627</v>
      </c>
      <c r="AI25" s="1">
        <f t="shared" si="3"/>
        <v>780.68028370675813</v>
      </c>
      <c r="AJ25" s="5">
        <f>+AJ23-AJ24</f>
        <v>560.23273433238728</v>
      </c>
      <c r="AK25" s="5">
        <f t="shared" ref="AK25:AR25" si="12">+AK23-AK24</f>
        <v>1723.6928179776032</v>
      </c>
      <c r="AL25" s="5">
        <f t="shared" si="12"/>
        <v>2238.0892578877474</v>
      </c>
      <c r="AM25" s="5">
        <f t="shared" si="12"/>
        <v>3281.8463977781375</v>
      </c>
      <c r="AN25" s="5">
        <f t="shared" si="12"/>
        <v>4481.8304128005293</v>
      </c>
      <c r="AO25" s="5">
        <f t="shared" si="12"/>
        <v>7977.0565801930125</v>
      </c>
      <c r="AP25" s="5">
        <f t="shared" si="12"/>
        <v>9143.4410427947641</v>
      </c>
      <c r="AQ25" s="5">
        <f t="shared" si="12"/>
        <v>9830.5475262183445</v>
      </c>
      <c r="AR25" s="5">
        <f t="shared" si="12"/>
        <v>10572.62252831582</v>
      </c>
      <c r="AS25" s="5">
        <f>+AR25*(1+$AV$29)</f>
        <v>10678.348753598979</v>
      </c>
      <c r="AT25" s="5">
        <f t="shared" ref="AT25:DE25" si="13">+AS25*(1+$AV$29)</f>
        <v>10785.132241134968</v>
      </c>
      <c r="AU25" s="5">
        <f t="shared" si="13"/>
        <v>10892.983563546319</v>
      </c>
      <c r="AV25" s="5">
        <f t="shared" si="13"/>
        <v>11001.913399181782</v>
      </c>
      <c r="AW25" s="5">
        <f t="shared" si="13"/>
        <v>11111.9325331736</v>
      </c>
      <c r="AX25" s="5">
        <f t="shared" si="13"/>
        <v>11223.051858505336</v>
      </c>
      <c r="AY25" s="5">
        <f t="shared" si="13"/>
        <v>11335.282377090389</v>
      </c>
      <c r="AZ25" s="5">
        <f t="shared" si="13"/>
        <v>11448.635200861292</v>
      </c>
      <c r="BA25" s="5">
        <f t="shared" si="13"/>
        <v>11563.121552869905</v>
      </c>
      <c r="BB25" s="5">
        <f t="shared" si="13"/>
        <v>11678.752768398605</v>
      </c>
      <c r="BC25" s="5">
        <f t="shared" si="13"/>
        <v>11795.54029608259</v>
      </c>
      <c r="BD25" s="5">
        <f t="shared" si="13"/>
        <v>11913.495699043417</v>
      </c>
      <c r="BE25" s="5">
        <f t="shared" si="13"/>
        <v>12032.630656033851</v>
      </c>
      <c r="BF25" s="5">
        <f t="shared" si="13"/>
        <v>12152.956962594189</v>
      </c>
      <c r="BG25" s="5">
        <f t="shared" si="13"/>
        <v>12274.486532220131</v>
      </c>
      <c r="BH25" s="5">
        <f t="shared" si="13"/>
        <v>12397.231397542333</v>
      </c>
      <c r="BI25" s="5">
        <f t="shared" si="13"/>
        <v>12521.203711517757</v>
      </c>
      <c r="BJ25" s="5">
        <f t="shared" si="13"/>
        <v>12646.415748632935</v>
      </c>
      <c r="BK25" s="5">
        <f t="shared" si="13"/>
        <v>12772.879906119264</v>
      </c>
      <c r="BL25" s="5">
        <f t="shared" si="13"/>
        <v>12900.608705180457</v>
      </c>
      <c r="BM25" s="5">
        <f t="shared" si="13"/>
        <v>13029.614792232262</v>
      </c>
      <c r="BN25" s="5">
        <f t="shared" si="13"/>
        <v>13159.910940154585</v>
      </c>
      <c r="BO25" s="5">
        <f t="shared" si="13"/>
        <v>13291.510049556131</v>
      </c>
      <c r="BP25" s="5">
        <f t="shared" si="13"/>
        <v>13424.425150051693</v>
      </c>
      <c r="BQ25" s="5">
        <f t="shared" si="13"/>
        <v>13558.66940155221</v>
      </c>
      <c r="BR25" s="5">
        <f t="shared" si="13"/>
        <v>13694.256095567733</v>
      </c>
      <c r="BS25" s="5">
        <f t="shared" si="13"/>
        <v>13831.198656523411</v>
      </c>
      <c r="BT25" s="5">
        <f t="shared" si="13"/>
        <v>13969.510643088644</v>
      </c>
      <c r="BU25" s="5">
        <f t="shared" si="13"/>
        <v>14109.205749519531</v>
      </c>
      <c r="BV25" s="5">
        <f t="shared" si="13"/>
        <v>14250.297807014727</v>
      </c>
      <c r="BW25" s="5">
        <f t="shared" si="13"/>
        <v>14392.800785084875</v>
      </c>
      <c r="BX25" s="5">
        <f t="shared" si="13"/>
        <v>14536.728792935724</v>
      </c>
      <c r="BY25" s="5">
        <f t="shared" si="13"/>
        <v>14682.096080865082</v>
      </c>
      <c r="BZ25" s="5">
        <f t="shared" si="13"/>
        <v>14828.917041673732</v>
      </c>
      <c r="CA25" s="5">
        <f t="shared" si="13"/>
        <v>14977.20621209047</v>
      </c>
      <c r="CB25" s="5">
        <f t="shared" si="13"/>
        <v>15126.978274211375</v>
      </c>
      <c r="CC25" s="5">
        <f t="shared" si="13"/>
        <v>15278.248056953489</v>
      </c>
      <c r="CD25" s="5">
        <f t="shared" si="13"/>
        <v>15431.030537523024</v>
      </c>
      <c r="CE25" s="5">
        <f t="shared" si="13"/>
        <v>15585.340842898255</v>
      </c>
      <c r="CF25" s="5">
        <f t="shared" si="13"/>
        <v>15741.194251327237</v>
      </c>
      <c r="CG25" s="5">
        <f t="shared" si="13"/>
        <v>15898.606193840509</v>
      </c>
      <c r="CH25" s="5">
        <f t="shared" si="13"/>
        <v>16057.592255778914</v>
      </c>
      <c r="CI25" s="5">
        <f t="shared" si="13"/>
        <v>16218.168178336704</v>
      </c>
      <c r="CJ25" s="5">
        <f t="shared" si="13"/>
        <v>16380.349860120072</v>
      </c>
      <c r="CK25" s="5">
        <f t="shared" si="13"/>
        <v>16544.153358721273</v>
      </c>
      <c r="CL25" s="5">
        <f t="shared" si="13"/>
        <v>16709.594892308487</v>
      </c>
      <c r="CM25" s="5">
        <f t="shared" si="13"/>
        <v>16876.690841231572</v>
      </c>
      <c r="CN25" s="5">
        <f t="shared" si="13"/>
        <v>17045.457749643887</v>
      </c>
      <c r="CO25" s="5">
        <f t="shared" si="13"/>
        <v>17215.912327140326</v>
      </c>
      <c r="CP25" s="5">
        <f t="shared" si="13"/>
        <v>17388.071450411728</v>
      </c>
      <c r="CQ25" s="5">
        <f t="shared" si="13"/>
        <v>17561.952164915845</v>
      </c>
      <c r="CR25" s="5">
        <f t="shared" si="13"/>
        <v>17737.571686565003</v>
      </c>
      <c r="CS25" s="5">
        <f t="shared" si="13"/>
        <v>17914.947403430651</v>
      </c>
      <c r="CT25" s="5">
        <f t="shared" si="13"/>
        <v>18094.096877464959</v>
      </c>
      <c r="CU25" s="5">
        <f t="shared" si="13"/>
        <v>18275.037846239607</v>
      </c>
      <c r="CV25" s="5">
        <f t="shared" si="13"/>
        <v>18457.788224702002</v>
      </c>
      <c r="CW25" s="5">
        <f t="shared" si="13"/>
        <v>18642.366106949023</v>
      </c>
      <c r="CX25" s="5">
        <f t="shared" si="13"/>
        <v>18828.789768018512</v>
      </c>
      <c r="CY25" s="5">
        <f t="shared" si="13"/>
        <v>19017.077665698696</v>
      </c>
      <c r="CZ25" s="5">
        <f t="shared" si="13"/>
        <v>19207.248442355685</v>
      </c>
      <c r="DA25" s="5">
        <f t="shared" si="13"/>
        <v>19399.320926779241</v>
      </c>
      <c r="DB25" s="5">
        <f t="shared" si="13"/>
        <v>19593.314136047033</v>
      </c>
      <c r="DC25" s="5">
        <f t="shared" si="13"/>
        <v>19789.247277407503</v>
      </c>
      <c r="DD25" s="5">
        <f t="shared" si="13"/>
        <v>19987.139750181577</v>
      </c>
      <c r="DE25" s="5">
        <f t="shared" si="13"/>
        <v>20187.011147683392</v>
      </c>
      <c r="DF25" s="5">
        <f t="shared" ref="DF25:EW25" si="14">+DE25*(1+$AV$29)</f>
        <v>20388.881259160225</v>
      </c>
      <c r="DG25" s="5">
        <f t="shared" si="14"/>
        <v>20592.770071751827</v>
      </c>
      <c r="DH25" s="5">
        <f t="shared" si="14"/>
        <v>20798.697772469346</v>
      </c>
      <c r="DI25" s="5">
        <f t="shared" si="14"/>
        <v>21006.684750194039</v>
      </c>
      <c r="DJ25" s="5">
        <f t="shared" si="14"/>
        <v>21216.75159769598</v>
      </c>
      <c r="DK25" s="5">
        <f t="shared" si="14"/>
        <v>21428.919113672939</v>
      </c>
      <c r="DL25" s="5">
        <f t="shared" si="14"/>
        <v>21643.208304809668</v>
      </c>
      <c r="DM25" s="5">
        <f t="shared" si="14"/>
        <v>21859.640387857766</v>
      </c>
      <c r="DN25" s="5">
        <f t="shared" si="14"/>
        <v>22078.236791736344</v>
      </c>
      <c r="DO25" s="5">
        <f t="shared" si="14"/>
        <v>22299.019159653708</v>
      </c>
      <c r="DP25" s="5">
        <f t="shared" si="14"/>
        <v>22522.009351250246</v>
      </c>
      <c r="DQ25" s="5">
        <f t="shared" si="14"/>
        <v>22747.22944476275</v>
      </c>
      <c r="DR25" s="5">
        <f t="shared" si="14"/>
        <v>22974.701739210377</v>
      </c>
      <c r="DS25" s="5">
        <f t="shared" si="14"/>
        <v>23204.44875660248</v>
      </c>
      <c r="DT25" s="5">
        <f t="shared" si="14"/>
        <v>23436.493244168505</v>
      </c>
      <c r="DU25" s="5">
        <f t="shared" si="14"/>
        <v>23670.858176610189</v>
      </c>
      <c r="DV25" s="5">
        <f t="shared" si="14"/>
        <v>23907.566758376292</v>
      </c>
      <c r="DW25" s="5">
        <f t="shared" si="14"/>
        <v>24146.642425960054</v>
      </c>
      <c r="DX25" s="5">
        <f t="shared" si="14"/>
        <v>24388.108850219654</v>
      </c>
      <c r="DY25" s="5">
        <f t="shared" si="14"/>
        <v>24631.98993872185</v>
      </c>
      <c r="DZ25" s="5">
        <f t="shared" si="14"/>
        <v>24878.309838109068</v>
      </c>
      <c r="EA25" s="5">
        <f t="shared" si="14"/>
        <v>25127.09293649016</v>
      </c>
      <c r="EB25" s="5">
        <f t="shared" si="14"/>
        <v>25378.363865855063</v>
      </c>
      <c r="EC25" s="5">
        <f t="shared" si="14"/>
        <v>25632.147504513614</v>
      </c>
      <c r="ED25" s="5">
        <f t="shared" si="14"/>
        <v>25888.468979558751</v>
      </c>
      <c r="EE25" s="5">
        <f t="shared" si="14"/>
        <v>26147.353669354339</v>
      </c>
      <c r="EF25" s="5">
        <f t="shared" si="14"/>
        <v>26408.827206047881</v>
      </c>
      <c r="EG25" s="5">
        <f t="shared" si="14"/>
        <v>26672.91547810836</v>
      </c>
      <c r="EH25" s="5">
        <f t="shared" si="14"/>
        <v>26939.644632889445</v>
      </c>
      <c r="EI25" s="5">
        <f t="shared" si="14"/>
        <v>27209.041079218339</v>
      </c>
      <c r="EJ25" s="5">
        <f t="shared" si="14"/>
        <v>27481.131490010524</v>
      </c>
      <c r="EK25" s="5">
        <f t="shared" si="14"/>
        <v>27755.942804910628</v>
      </c>
      <c r="EL25" s="5">
        <f t="shared" si="14"/>
        <v>28033.502232959734</v>
      </c>
      <c r="EM25" s="5">
        <f t="shared" si="14"/>
        <v>28313.837255289331</v>
      </c>
      <c r="EN25" s="5">
        <f t="shared" si="14"/>
        <v>28596.975627842225</v>
      </c>
      <c r="EO25" s="5">
        <f t="shared" si="14"/>
        <v>28882.945384120649</v>
      </c>
      <c r="EP25" s="5">
        <f t="shared" si="14"/>
        <v>29171.774837961857</v>
      </c>
      <c r="EQ25" s="5">
        <f t="shared" si="14"/>
        <v>29463.492586341476</v>
      </c>
      <c r="ER25" s="5">
        <f t="shared" si="14"/>
        <v>29758.12751220489</v>
      </c>
      <c r="ES25" s="5">
        <f t="shared" si="14"/>
        <v>30055.708787326937</v>
      </c>
      <c r="ET25" s="5">
        <f t="shared" si="14"/>
        <v>30356.265875200206</v>
      </c>
      <c r="EU25" s="5">
        <f t="shared" si="14"/>
        <v>30659.828533952208</v>
      </c>
      <c r="EV25" s="5">
        <f t="shared" si="14"/>
        <v>30966.42681929173</v>
      </c>
      <c r="EW25" s="5">
        <f t="shared" si="14"/>
        <v>31276.091087484649</v>
      </c>
    </row>
    <row r="26" spans="2:153">
      <c r="B26" s="1" t="s">
        <v>45</v>
      </c>
      <c r="K26" s="1">
        <v>4107</v>
      </c>
      <c r="L26" s="1">
        <v>4100</v>
      </c>
      <c r="M26" s="1">
        <v>4125</v>
      </c>
      <c r="N26" s="1">
        <v>4133</v>
      </c>
      <c r="O26" s="1">
        <v>4154</v>
      </c>
      <c r="P26" s="1">
        <v>4196</v>
      </c>
      <c r="Q26" s="1">
        <v>4229</v>
      </c>
      <c r="R26" s="1">
        <v>4260</v>
      </c>
      <c r="S26" s="1">
        <f>+R26</f>
        <v>4260</v>
      </c>
      <c r="T26" s="1">
        <f>+S26</f>
        <v>4260</v>
      </c>
      <c r="U26" s="1">
        <f>+T26</f>
        <v>4260</v>
      </c>
      <c r="V26" s="1">
        <f>+U26</f>
        <v>4260</v>
      </c>
      <c r="AB26" s="1">
        <v>4835</v>
      </c>
      <c r="AC26" s="1">
        <v>4701</v>
      </c>
      <c r="AD26" s="1">
        <v>4473</v>
      </c>
      <c r="AE26" s="1">
        <v>4232</v>
      </c>
      <c r="AF26" s="1">
        <v>4090</v>
      </c>
      <c r="AG26" s="1">
        <v>4123</v>
      </c>
      <c r="AH26" s="1">
        <v>4212</v>
      </c>
      <c r="AI26" s="1">
        <f>+AI25/AI27</f>
        <v>4260</v>
      </c>
      <c r="AJ26" s="1">
        <f>+AI26</f>
        <v>4260</v>
      </c>
      <c r="AK26" s="1">
        <f t="shared" ref="AK26:AR26" si="15">+AJ26</f>
        <v>4260</v>
      </c>
      <c r="AL26" s="1">
        <f t="shared" si="15"/>
        <v>4260</v>
      </c>
      <c r="AM26" s="1">
        <f t="shared" si="15"/>
        <v>4260</v>
      </c>
      <c r="AN26" s="1">
        <f t="shared" si="15"/>
        <v>4260</v>
      </c>
      <c r="AO26" s="1">
        <f t="shared" si="15"/>
        <v>4260</v>
      </c>
      <c r="AP26" s="1">
        <f t="shared" si="15"/>
        <v>4260</v>
      </c>
      <c r="AQ26" s="1">
        <f t="shared" si="15"/>
        <v>4260</v>
      </c>
      <c r="AR26" s="1">
        <f t="shared" si="15"/>
        <v>4260</v>
      </c>
    </row>
    <row r="27" spans="2:153" s="2" customFormat="1">
      <c r="B27" s="2" t="s">
        <v>46</v>
      </c>
      <c r="K27" s="2">
        <f>+K25/K26</f>
        <v>1.68054541027514</v>
      </c>
      <c r="L27" s="2">
        <f>+L25/L26</f>
        <v>-8.9512195121951216E-2</v>
      </c>
      <c r="M27" s="2">
        <f>+M25/M26</f>
        <v>0.40799999999999997</v>
      </c>
      <c r="N27" s="2">
        <f>+N25/N26</f>
        <v>-4.8874909266876362E-2</v>
      </c>
      <c r="O27" s="2">
        <f>+O25/O26</f>
        <v>-0.64853153586904189</v>
      </c>
      <c r="P27" s="2">
        <f>+P25/P26</f>
        <v>0.40061963775023834</v>
      </c>
      <c r="Q27" s="2">
        <f>+Q25/Q26</f>
        <v>0.26318278552849372</v>
      </c>
      <c r="R27" s="2">
        <f>+R25/R26</f>
        <v>0.35845070422535213</v>
      </c>
      <c r="S27" s="2">
        <f>+S25/S26</f>
        <v>-6.0305231104939565E-2</v>
      </c>
      <c r="T27" s="2">
        <f>+T25/T26</f>
        <v>5.6854690140846478E-3</v>
      </c>
      <c r="U27" s="2">
        <f>+U25/U26</f>
        <v>0.11116710454929579</v>
      </c>
      <c r="V27" s="2">
        <f>+V25/V26</f>
        <v>0.12671094010183098</v>
      </c>
      <c r="AB27" s="2">
        <f>+AB25/AB26</f>
        <v>2.1017580144777663</v>
      </c>
      <c r="AC27" s="2">
        <f>+AC25/AC26</f>
        <v>4.5056370984896832</v>
      </c>
      <c r="AD27" s="2">
        <f>+AD25/AD26</f>
        <v>4.793427230046948</v>
      </c>
      <c r="AE27" s="2">
        <f>+AE25/AE26</f>
        <v>3.9976370510396975</v>
      </c>
      <c r="AF27" s="2">
        <f>+AF25/AF26</f>
        <v>5.4997555012224941</v>
      </c>
      <c r="AG27" s="2">
        <f>+AG25/AG26</f>
        <v>1.9442153771525588</v>
      </c>
      <c r="AH27" s="2">
        <f>+AH25/AH26</f>
        <v>0.38627730294396961</v>
      </c>
      <c r="AI27" s="1">
        <f>SUM(S27:V27)</f>
        <v>0.18325828256027185</v>
      </c>
      <c r="AJ27" s="2">
        <f>+AJ25/AJ26</f>
        <v>0.13151003153342425</v>
      </c>
      <c r="AK27" s="2">
        <f>+AK25/AK26</f>
        <v>0.40462272722478948</v>
      </c>
      <c r="AL27" s="2">
        <f>+AL25/AL26</f>
        <v>0.52537306523186555</v>
      </c>
      <c r="AM27" s="2">
        <f>+AM25/AM26</f>
        <v>0.77038647835167551</v>
      </c>
      <c r="AN27" s="2">
        <f>+AN25/AN26</f>
        <v>1.0520728668545845</v>
      </c>
      <c r="AO27" s="2">
        <f>+AO25/AO26</f>
        <v>1.8725484930030545</v>
      </c>
      <c r="AP27" s="2">
        <f t="shared" ref="AP27:AR27" si="16">+AP25/AP26</f>
        <v>2.1463476626278788</v>
      </c>
      <c r="AQ27" s="2">
        <f t="shared" si="16"/>
        <v>2.3076402643705034</v>
      </c>
      <c r="AR27" s="2">
        <f t="shared" si="16"/>
        <v>2.4818362742525397</v>
      </c>
    </row>
    <row r="28" spans="2:153">
      <c r="S28" s="8"/>
      <c r="T28" s="8"/>
      <c r="U28" s="8"/>
      <c r="V28" s="8"/>
      <c r="W28" s="8"/>
      <c r="AU28" s="1" t="s">
        <v>56</v>
      </c>
      <c r="AV28" s="6">
        <v>0.01</v>
      </c>
    </row>
    <row r="29" spans="2:153">
      <c r="B29" s="7" t="s">
        <v>35</v>
      </c>
      <c r="S29" s="8"/>
      <c r="T29" s="8"/>
      <c r="U29" s="8"/>
      <c r="V29" s="8"/>
      <c r="W29" s="8"/>
      <c r="AU29" s="1" t="s">
        <v>53</v>
      </c>
      <c r="AV29" s="6">
        <v>0.01</v>
      </c>
    </row>
    <row r="30" spans="2:153" s="8" customFormat="1">
      <c r="B30" s="10" t="s">
        <v>36</v>
      </c>
      <c r="O30" s="9">
        <f>+O4/K4-1</f>
        <v>-0.28852707307837944</v>
      </c>
      <c r="P30" s="9">
        <f>+P4/L4-1</f>
        <v>3.5386631716906924E-2</v>
      </c>
      <c r="Q30" s="9">
        <f>+Q4/M4-1</f>
        <v>-0.14556176288019862</v>
      </c>
      <c r="R30" s="9">
        <f>+R4/N4-1</f>
        <v>0.26106018333997616</v>
      </c>
      <c r="S30" s="9"/>
      <c r="T30" s="9"/>
      <c r="U30" s="9"/>
      <c r="V30" s="9"/>
      <c r="W30" s="9"/>
      <c r="AF30" s="11"/>
      <c r="AG30" s="11">
        <f>+AG4/AF4-1</f>
        <v>-0.14279971054112728</v>
      </c>
      <c r="AH30" s="11">
        <f>+AH4/AG4-1</f>
        <v>-4.6430916424350488E-2</v>
      </c>
      <c r="AU30" s="8" t="s">
        <v>79</v>
      </c>
      <c r="AV30" s="9">
        <v>0.06</v>
      </c>
    </row>
    <row r="31" spans="2:153" s="8" customFormat="1">
      <c r="B31" s="10" t="s">
        <v>37</v>
      </c>
      <c r="O31" s="9">
        <f>+O5/K5-1</f>
        <v>-0.42825977513005542</v>
      </c>
      <c r="P31" s="9">
        <f>+P5/L5-1</f>
        <v>-0.17996211323931799</v>
      </c>
      <c r="Q31" s="9">
        <f>+Q5/M5-1</f>
        <v>2.155172413793105E-2</v>
      </c>
      <c r="R31" s="9">
        <f>+R5/N5-1</f>
        <v>0.41550641550641543</v>
      </c>
      <c r="S31" s="9"/>
      <c r="T31" s="9"/>
      <c r="U31" s="9"/>
      <c r="V31" s="9"/>
      <c r="W31" s="9"/>
      <c r="AF31" s="11"/>
      <c r="AG31" s="11">
        <f>+AG5/AF5-1</f>
        <v>-0.26184019180128126</v>
      </c>
      <c r="AH31" s="11">
        <f>+AH5/AG5-1</f>
        <v>-9.5309088972898137E-2</v>
      </c>
      <c r="AU31" s="8" t="s">
        <v>57</v>
      </c>
      <c r="AV31" s="8">
        <f>NPV(AV30,AI25:EW25)</f>
        <v>151470.57910504023</v>
      </c>
    </row>
    <row r="32" spans="2:153" s="8" customFormat="1">
      <c r="B32" s="10" t="s">
        <v>38</v>
      </c>
      <c r="O32" s="9">
        <f>+O6/K6-1</f>
        <v>-0.33379501385041555</v>
      </c>
      <c r="P32" s="9">
        <f>+P6/L6-1</f>
        <v>-0.19435736677115989</v>
      </c>
      <c r="Q32" s="9">
        <f>+Q6/M6-1</f>
        <v>0.22690763052208829</v>
      </c>
      <c r="R32" s="9">
        <f>+R6/N6-1</f>
        <v>4.6511627906976827E-2</v>
      </c>
      <c r="S32" s="9"/>
      <c r="T32" s="9"/>
      <c r="U32" s="9"/>
      <c r="V32" s="9"/>
      <c r="W32" s="9"/>
      <c r="AF32" s="11"/>
      <c r="AG32" s="11">
        <f>+AG6/AF6-1</f>
        <v>-0.2685911515531848</v>
      </c>
      <c r="AH32" s="11">
        <f>+AH6/AG6-1</f>
        <v>-9.8670098670098683E-2</v>
      </c>
      <c r="AU32" s="8" t="s">
        <v>80</v>
      </c>
      <c r="AV32" s="8">
        <f>+R56</f>
        <v>-24232</v>
      </c>
    </row>
    <row r="33" spans="1:48" s="8" customFormat="1">
      <c r="B33" s="12" t="s">
        <v>39</v>
      </c>
      <c r="O33" s="9">
        <f>+O7/K7-1</f>
        <v>-0.38135593220338981</v>
      </c>
      <c r="P33" s="9">
        <f>+P7/L7-1</f>
        <v>-0.11695754102630895</v>
      </c>
      <c r="Q33" s="9">
        <f>+Q7/M7-1</f>
        <v>-3.2111220472440971E-2</v>
      </c>
      <c r="R33" s="9">
        <f>+R7/N7-1</f>
        <v>0.33092550790067721</v>
      </c>
      <c r="S33" s="9"/>
      <c r="T33" s="9"/>
      <c r="U33" s="9"/>
      <c r="V33" s="9"/>
      <c r="W33" s="9"/>
      <c r="AF33" s="11"/>
      <c r="AG33" s="11">
        <f>+AG7/AF7-1</f>
        <v>-0.22631309810796996</v>
      </c>
      <c r="AH33" s="11">
        <f>+AH7/AG7-1</f>
        <v>-7.9155257608661489E-2</v>
      </c>
      <c r="AU33" s="8" t="s">
        <v>81</v>
      </c>
      <c r="AV33" s="8">
        <f>+SUM(AV31:AV32)</f>
        <v>127238.57910504023</v>
      </c>
    </row>
    <row r="34" spans="1:48" s="8" customFormat="1">
      <c r="B34" s="10" t="s">
        <v>40</v>
      </c>
      <c r="O34" s="9">
        <f>+O8/K8-1</f>
        <v>-0.38788277905828117</v>
      </c>
      <c r="P34" s="9">
        <f>+P8/L8-1</f>
        <v>-0.14717784877529283</v>
      </c>
      <c r="Q34" s="9">
        <f>+Q8/M8-1</f>
        <v>-0.10364277320799065</v>
      </c>
      <c r="R34" s="9">
        <f>+R8/N8-1</f>
        <v>-9.8620221669305619E-2</v>
      </c>
      <c r="S34" s="9"/>
      <c r="T34" s="9"/>
      <c r="U34" s="9"/>
      <c r="V34" s="9"/>
      <c r="W34" s="9"/>
      <c r="AF34" s="11"/>
      <c r="AG34" s="11">
        <f>+AG8/AF8-1</f>
        <v>-0.14305231148913666</v>
      </c>
      <c r="AH34" s="11">
        <f>+AH8/AG8-1</f>
        <v>-0.20179994857289796</v>
      </c>
      <c r="AU34" s="8" t="s">
        <v>82</v>
      </c>
      <c r="AV34" s="8">
        <f>+main!K4</f>
        <v>4228</v>
      </c>
    </row>
    <row r="35" spans="1:48" s="8" customFormat="1">
      <c r="B35" s="10" t="s">
        <v>41</v>
      </c>
      <c r="O35" s="9">
        <f>+O9/K9-1</f>
        <v>-0.30388031790556336</v>
      </c>
      <c r="P35" s="9">
        <f>+P9/L9-1</f>
        <v>-0.38308457711442789</v>
      </c>
      <c r="Q35" s="9">
        <f>+Q9/M9-1</f>
        <v>-0.32020628223159864</v>
      </c>
      <c r="R35" s="9">
        <f>+R9/N9-1</f>
        <v>-0.23624091381100731</v>
      </c>
      <c r="S35" s="9"/>
      <c r="T35" s="9"/>
      <c r="U35" s="9"/>
      <c r="V35" s="9"/>
      <c r="W35" s="9"/>
      <c r="AF35" s="11"/>
      <c r="AG35" s="11">
        <f>+AG9/AF9-1</f>
        <v>5.4287863590772423E-2</v>
      </c>
      <c r="AH35" s="11">
        <f>+AH9/AG9-1</f>
        <v>-0.31335473897015098</v>
      </c>
      <c r="AU35" s="8" t="s">
        <v>83</v>
      </c>
      <c r="AV35" s="8">
        <f>+AV33/AV34</f>
        <v>30.094271311504311</v>
      </c>
    </row>
    <row r="36" spans="1:48" s="8" customFormat="1">
      <c r="B36" s="10" t="s">
        <v>42</v>
      </c>
      <c r="O36" s="9">
        <f>+O10/K10-1</f>
        <v>0.1624365482233503</v>
      </c>
      <c r="P36" s="9">
        <f>+P10/L10-1</f>
        <v>-1.3043478260869601E-2</v>
      </c>
      <c r="Q36" s="9">
        <f>+Q10/M10-1</f>
        <v>0.17777777777777781</v>
      </c>
      <c r="R36" s="9">
        <f>+R10/N10-1</f>
        <v>0.12743362831858418</v>
      </c>
      <c r="S36" s="9"/>
      <c r="T36" s="9"/>
      <c r="U36" s="9"/>
      <c r="V36" s="9"/>
      <c r="W36" s="9"/>
      <c r="AF36" s="11"/>
      <c r="AG36" s="11">
        <f>+AG10/AF10-1</f>
        <v>0.3484848484848484</v>
      </c>
      <c r="AH36" s="11">
        <f>+AH10/AG10-1</f>
        <v>0.11235955056179781</v>
      </c>
      <c r="AU36" s="8" t="s">
        <v>84</v>
      </c>
      <c r="AV36" s="8">
        <f>+main!K3</f>
        <v>42.06</v>
      </c>
    </row>
    <row r="37" spans="1:48" s="8" customFormat="1">
      <c r="B37" s="10" t="s">
        <v>43</v>
      </c>
      <c r="O37" s="9">
        <f t="shared" ref="O37:V42" si="17">+O12/K12-1</f>
        <v>-0.24358974358974361</v>
      </c>
      <c r="P37" s="9">
        <f>+P12/L12-1</f>
        <v>3.0701754385964914</v>
      </c>
      <c r="Q37" s="9">
        <f t="shared" si="17"/>
        <v>2.9871794871794872</v>
      </c>
      <c r="R37" s="9">
        <f t="shared" si="17"/>
        <v>0.63483146067415741</v>
      </c>
      <c r="S37" s="9"/>
      <c r="T37" s="9"/>
      <c r="U37" s="9"/>
      <c r="V37" s="9"/>
      <c r="W37" s="9"/>
      <c r="AF37" s="11"/>
      <c r="AG37" s="11">
        <f t="shared" ref="AG37:AH37" si="18">+AG12/AF12-1</f>
        <v>-0.40330788804071249</v>
      </c>
      <c r="AH37" s="11">
        <f t="shared" si="18"/>
        <v>1.0298507462686568</v>
      </c>
      <c r="AU37" s="8" t="s">
        <v>85</v>
      </c>
      <c r="AV37" s="9">
        <f>+AV35/AV36-1</f>
        <v>-0.2844918851282856</v>
      </c>
    </row>
    <row r="38" spans="1:48" s="8" customFormat="1">
      <c r="B38" s="10" t="s">
        <v>44</v>
      </c>
      <c r="O38" s="9">
        <f t="shared" si="17"/>
        <v>-0.38432835820895528</v>
      </c>
      <c r="P38" s="9">
        <f t="shared" si="17"/>
        <v>-0.47727272727272729</v>
      </c>
      <c r="Q38" s="9">
        <f t="shared" si="17"/>
        <v>-0.36734693877551017</v>
      </c>
      <c r="R38" s="9">
        <f t="shared" si="17"/>
        <v>-0.42019543973941365</v>
      </c>
      <c r="S38" s="9"/>
      <c r="T38" s="9"/>
      <c r="U38" s="9"/>
      <c r="V38" s="9"/>
      <c r="W38" s="9"/>
      <c r="AF38" s="11"/>
      <c r="AG38" s="11">
        <f t="shared" ref="AG38:AH38" si="19">+AG13/AF13-1</f>
        <v>-0.78302450687387926</v>
      </c>
      <c r="AH38" s="11">
        <f t="shared" si="19"/>
        <v>-0.40863177226813585</v>
      </c>
    </row>
    <row r="39" spans="1:48" s="8" customFormat="1">
      <c r="A39" s="11"/>
      <c r="B39" s="13" t="s">
        <v>23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9">
        <f t="shared" si="17"/>
        <v>-0.36168473818994173</v>
      </c>
      <c r="P39" s="9">
        <f t="shared" si="17"/>
        <v>-0.15482018145029697</v>
      </c>
      <c r="Q39" s="9">
        <f t="shared" si="17"/>
        <v>-7.6933107315164895E-2</v>
      </c>
      <c r="R39" s="9">
        <f t="shared" si="17"/>
        <v>9.7137159948725182E-2</v>
      </c>
      <c r="S39" s="9">
        <f t="shared" si="17"/>
        <v>8.4080239009816538E-2</v>
      </c>
      <c r="T39" s="9">
        <f t="shared" si="17"/>
        <v>8.0000000000000071E-2</v>
      </c>
      <c r="U39" s="9">
        <f t="shared" si="17"/>
        <v>8.0000000000000071E-2</v>
      </c>
      <c r="V39" s="9">
        <f t="shared" si="17"/>
        <v>8.0000000000000071E-2</v>
      </c>
      <c r="W39" s="9"/>
      <c r="X39" s="11"/>
      <c r="Y39" s="11"/>
      <c r="Z39" s="11"/>
      <c r="AA39" s="11"/>
      <c r="AB39" s="11"/>
      <c r="AC39" s="11">
        <f>+AC14/AB14-1</f>
        <v>0.12885390608817571</v>
      </c>
      <c r="AD39" s="11">
        <f>+AD14/AC14-1</f>
        <v>1.576614724480585E-2</v>
      </c>
      <c r="AE39" s="11">
        <f>+AE14/AD14-1</f>
        <v>8.2012089210032668E-2</v>
      </c>
      <c r="AF39" s="11">
        <f>+AF14/AE14-1</f>
        <v>1.4858669269395275E-2</v>
      </c>
      <c r="AG39" s="11">
        <f>+AG14/AF14-1</f>
        <v>-0.20209050415063778</v>
      </c>
      <c r="AH39" s="11">
        <f>+AH14/AG14-1</f>
        <v>-0.13997525930155108</v>
      </c>
      <c r="AI39" s="11">
        <f>+AI14/AH14-1</f>
        <v>8.0881463450615865E-2</v>
      </c>
      <c r="AJ39" s="11">
        <f t="shared" ref="AJ39:AR39" si="20">+AJ14/AI14-1</f>
        <v>8.0000000000000071E-2</v>
      </c>
      <c r="AK39" s="11">
        <f t="shared" si="20"/>
        <v>8.0000000000000071E-2</v>
      </c>
      <c r="AL39" s="11">
        <f t="shared" si="20"/>
        <v>8.0000000000000071E-2</v>
      </c>
      <c r="AM39" s="11">
        <f t="shared" si="20"/>
        <v>8.0000000000000071E-2</v>
      </c>
      <c r="AN39" s="11">
        <f t="shared" si="20"/>
        <v>8.0000000000000071E-2</v>
      </c>
      <c r="AO39" s="11">
        <f t="shared" si="20"/>
        <v>8.0000000000000071E-2</v>
      </c>
      <c r="AP39" s="11">
        <f t="shared" si="20"/>
        <v>8.0000000000000071E-2</v>
      </c>
      <c r="AQ39" s="11">
        <f t="shared" si="20"/>
        <v>8.0000000000000071E-2</v>
      </c>
      <c r="AR39" s="11">
        <f t="shared" si="20"/>
        <v>8.0000000000000071E-2</v>
      </c>
    </row>
    <row r="40" spans="1:48" s="9" customFormat="1">
      <c r="A40" s="13"/>
      <c r="B40" s="13" t="s">
        <v>24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9">
        <f t="shared" si="17"/>
        <v>-0.15391371171368973</v>
      </c>
      <c r="P40" s="9">
        <f t="shared" si="17"/>
        <v>-0.14618861721799881</v>
      </c>
      <c r="Q40" s="9">
        <f t="shared" si="17"/>
        <v>-7.5315233443144392E-2</v>
      </c>
      <c r="R40" s="9">
        <f t="shared" si="17"/>
        <v>-2.1423554202762873E-2</v>
      </c>
      <c r="S40" s="9">
        <f t="shared" si="17"/>
        <v>-1.1288439081354573E-2</v>
      </c>
      <c r="T40" s="9">
        <f t="shared" si="17"/>
        <v>9.6200216580435427E-3</v>
      </c>
      <c r="U40" s="9">
        <f t="shared" si="17"/>
        <v>0.12707420147420145</v>
      </c>
      <c r="V40" s="9">
        <f t="shared" si="17"/>
        <v>0.19429214020815877</v>
      </c>
      <c r="X40" s="13"/>
      <c r="Y40" s="13"/>
      <c r="Z40" s="13"/>
      <c r="AA40" s="13"/>
      <c r="AB40" s="13"/>
      <c r="AC40" s="11">
        <f t="shared" ref="AC40" si="21">+AC15/AB15-1</f>
        <v>0.1457127160545999</v>
      </c>
      <c r="AD40" s="11">
        <f t="shared" ref="AD40" si="22">+AD15/AC15-1</f>
        <v>0.10010696765150673</v>
      </c>
      <c r="AE40" s="11">
        <f t="shared" ref="AE40:AF40" si="23">+AE15/AD15-1</f>
        <v>0.14853310980720869</v>
      </c>
      <c r="AF40" s="11">
        <f t="shared" si="23"/>
        <v>2.7849948912567424E-2</v>
      </c>
      <c r="AG40" s="11">
        <f t="shared" ref="AG40:AH42" si="24">+AG15/AF15-1</f>
        <v>2.7805390667158925E-2</v>
      </c>
      <c r="AH40" s="11">
        <f t="shared" si="24"/>
        <v>-0.10144246711617111</v>
      </c>
      <c r="AI40" s="11">
        <f t="shared" ref="AI40:AR40" si="25">+AI15/AH15-1</f>
        <v>8.1539625426699791E-2</v>
      </c>
      <c r="AJ40" s="11">
        <f t="shared" si="25"/>
        <v>8.0000000000000071E-2</v>
      </c>
      <c r="AK40" s="11">
        <f t="shared" si="25"/>
        <v>6.1999999999999833E-2</v>
      </c>
      <c r="AL40" s="11">
        <f t="shared" si="25"/>
        <v>6.1694915254237426E-2</v>
      </c>
      <c r="AM40" s="11">
        <f t="shared" si="25"/>
        <v>8.0000000000000293E-2</v>
      </c>
      <c r="AN40" s="11">
        <f t="shared" si="25"/>
        <v>6.1379310344827465E-2</v>
      </c>
      <c r="AO40" s="11">
        <f t="shared" si="25"/>
        <v>8.0000000000000071E-2</v>
      </c>
      <c r="AP40" s="11">
        <f t="shared" si="25"/>
        <v>8.0000000000000071E-2</v>
      </c>
      <c r="AQ40" s="11">
        <f t="shared" si="25"/>
        <v>8.0000000000000071E-2</v>
      </c>
      <c r="AR40" s="11">
        <f t="shared" si="25"/>
        <v>8.0000000000000071E-2</v>
      </c>
    </row>
    <row r="41" spans="1:48" s="8" customFormat="1">
      <c r="A41" s="13"/>
      <c r="B41" s="13" t="s">
        <v>25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9">
        <f t="shared" si="17"/>
        <v>-5.8000917010545661E-2</v>
      </c>
      <c r="P41" s="9">
        <f t="shared" si="17"/>
        <v>-7.2727272727272751E-2</v>
      </c>
      <c r="Q41" s="9">
        <f t="shared" si="17"/>
        <v>-0.10041841004184104</v>
      </c>
      <c r="R41" s="9">
        <f t="shared" si="17"/>
        <v>-0.10685483870967738</v>
      </c>
      <c r="S41" s="9">
        <f t="shared" si="17"/>
        <v>8.4080239009816538E-2</v>
      </c>
      <c r="T41" s="9">
        <f t="shared" si="17"/>
        <v>8.0000000000000071E-2</v>
      </c>
      <c r="U41" s="9">
        <f t="shared" si="17"/>
        <v>8.0000000000000071E-2</v>
      </c>
      <c r="V41" s="9">
        <f t="shared" si="17"/>
        <v>8.0000000000000071E-2</v>
      </c>
      <c r="W41" s="9"/>
      <c r="X41" s="13"/>
      <c r="Y41" s="13"/>
      <c r="Z41" s="13"/>
      <c r="AA41" s="13"/>
      <c r="AB41" s="13"/>
      <c r="AC41" s="11">
        <f t="shared" ref="AC41" si="26">+AC16/AB16-1</f>
        <v>3.8971998465669344E-2</v>
      </c>
      <c r="AD41" s="11">
        <f t="shared" ref="AD41" si="27">+AD16/AC16-1</f>
        <v>-1.3364837923650619E-2</v>
      </c>
      <c r="AE41" s="11">
        <f t="shared" ref="AE41:AF41" si="28">+AE16/AD16-1</f>
        <v>1.451878461308187E-2</v>
      </c>
      <c r="AF41" s="11">
        <f t="shared" si="28"/>
        <v>0.12053703157273521</v>
      </c>
      <c r="AG41" s="11">
        <f t="shared" si="24"/>
        <v>0.15391705069124417</v>
      </c>
      <c r="AH41" s="11">
        <f t="shared" si="24"/>
        <v>-8.4550433591967122E-2</v>
      </c>
      <c r="AI41" s="11">
        <f t="shared" ref="AI41:AR41" si="29">+AI16/AH16-1</f>
        <v>8.1044852429972281E-2</v>
      </c>
      <c r="AJ41" s="11">
        <f t="shared" si="29"/>
        <v>8.0000000000000071E-2</v>
      </c>
      <c r="AK41" s="11">
        <f t="shared" si="29"/>
        <v>5.8310021734695461E-2</v>
      </c>
      <c r="AL41" s="11">
        <f t="shared" si="29"/>
        <v>8.0000000000000071E-2</v>
      </c>
      <c r="AM41" s="11">
        <f t="shared" si="29"/>
        <v>5.5172413793105335E-3</v>
      </c>
      <c r="AN41" s="11">
        <f t="shared" si="29"/>
        <v>4.0000000000000036E-2</v>
      </c>
      <c r="AO41" s="11">
        <f t="shared" si="29"/>
        <v>-0.16923076923076907</v>
      </c>
      <c r="AP41" s="11">
        <f t="shared" si="29"/>
        <v>2.6000000000000023E-2</v>
      </c>
      <c r="AQ41" s="11">
        <f t="shared" si="29"/>
        <v>8.0000000000000293E-2</v>
      </c>
      <c r="AR41" s="11">
        <f t="shared" si="29"/>
        <v>8.0000000000000071E-2</v>
      </c>
    </row>
    <row r="42" spans="1:48" s="8" customFormat="1">
      <c r="A42" s="13"/>
      <c r="B42" s="13" t="s">
        <v>26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9">
        <f t="shared" si="17"/>
        <v>-0.25627853881278539</v>
      </c>
      <c r="P42" s="9">
        <f t="shared" si="17"/>
        <v>-0.23666666666666669</v>
      </c>
      <c r="Q42" s="9">
        <f t="shared" si="17"/>
        <v>-0.23165137614678899</v>
      </c>
      <c r="R42" s="9">
        <f t="shared" si="17"/>
        <v>-5.216881594372802E-2</v>
      </c>
      <c r="S42" s="9">
        <f t="shared" si="17"/>
        <v>8.4080239009816538E-2</v>
      </c>
      <c r="T42" s="9">
        <f t="shared" si="17"/>
        <v>8.0000000000000071E-2</v>
      </c>
      <c r="U42" s="9">
        <f t="shared" si="17"/>
        <v>8.0000000000000071E-2</v>
      </c>
      <c r="V42" s="9">
        <f t="shared" si="17"/>
        <v>8.0000000000000071E-2</v>
      </c>
      <c r="W42" s="9"/>
      <c r="X42" s="13"/>
      <c r="Y42" s="13"/>
      <c r="Z42" s="13"/>
      <c r="AA42" s="13"/>
      <c r="AB42" s="13"/>
      <c r="AC42" s="11">
        <f t="shared" ref="AC42" si="30">+AC17/AB17-1</f>
        <v>-9.4202898550724612E-2</v>
      </c>
      <c r="AD42" s="11">
        <f t="shared" ref="AD42" si="31">+AD17/AC17-1</f>
        <v>-5.9259259259259234E-2</v>
      </c>
      <c r="AE42" s="11">
        <f t="shared" ref="AE42:AF42" si="32">+AE17/AD17-1</f>
        <v>-2.6771653543307128E-2</v>
      </c>
      <c r="AF42" s="11">
        <f t="shared" si="32"/>
        <v>5.8737864077669899E-2</v>
      </c>
      <c r="AG42" s="11">
        <f t="shared" si="24"/>
        <v>7.0151306740027453E-2</v>
      </c>
      <c r="AH42" s="11">
        <f t="shared" si="24"/>
        <v>-0.19537275064267356</v>
      </c>
      <c r="AI42" s="11">
        <f t="shared" ref="AI42:AR42" si="33">+AI17/AH17-1</f>
        <v>8.0943654850868185E-2</v>
      </c>
      <c r="AJ42" s="11">
        <f t="shared" si="33"/>
        <v>8.0000000000000071E-2</v>
      </c>
      <c r="AK42" s="11">
        <f t="shared" si="33"/>
        <v>-6.4490887716853518E-2</v>
      </c>
      <c r="AL42" s="11">
        <f t="shared" si="33"/>
        <v>8.0000000000000071E-2</v>
      </c>
      <c r="AM42" s="11">
        <f t="shared" si="33"/>
        <v>8.0000000000000293E-2</v>
      </c>
      <c r="AN42" s="11">
        <f t="shared" si="33"/>
        <v>8.0000000000000071E-2</v>
      </c>
      <c r="AO42" s="11">
        <f t="shared" si="33"/>
        <v>8.0000000000000071E-2</v>
      </c>
      <c r="AP42" s="11">
        <f t="shared" si="33"/>
        <v>8.0000000000000071E-2</v>
      </c>
      <c r="AQ42" s="11">
        <f t="shared" si="33"/>
        <v>8.0000000000000071E-2</v>
      </c>
      <c r="AR42" s="11">
        <f t="shared" si="33"/>
        <v>8.0000000000000071E-2</v>
      </c>
    </row>
    <row r="43" spans="1:48">
      <c r="B43" s="1" t="s">
        <v>47</v>
      </c>
      <c r="J43" s="6">
        <f>IFERROR((J14-J15)/J14,0)</f>
        <v>0</v>
      </c>
      <c r="K43" s="6">
        <f>IFERROR((K14-K15)/K14,0)</f>
        <v>0.50367787282733067</v>
      </c>
      <c r="L43" s="6">
        <f>IFERROR((L14-L15)/L14,0)</f>
        <v>0.36466288101298872</v>
      </c>
      <c r="M43" s="6">
        <f>IFERROR((M14-M15)/M14,0)</f>
        <v>0.42606597991915501</v>
      </c>
      <c r="N43" s="6">
        <f>IFERROR((N14-N15)/N14,0)</f>
        <v>0.39168209656744052</v>
      </c>
      <c r="O43" s="6">
        <f>IFERROR((O14-O15)/O14,0)</f>
        <v>0.34212548015364919</v>
      </c>
      <c r="P43" s="6">
        <f>IFERROR((P14-P15)/P14,0)</f>
        <v>0.35817437639972199</v>
      </c>
      <c r="Q43" s="6">
        <f>IFERROR((Q14-Q15)/Q14,0)</f>
        <v>0.42506003672835146</v>
      </c>
      <c r="R43" s="6">
        <f>IFERROR((R14-R15)/R14,0)</f>
        <v>0.45741918732961184</v>
      </c>
      <c r="S43" s="6">
        <f>IFERROR((S14-S15)/S14,0)</f>
        <v>0.4</v>
      </c>
      <c r="T43" s="6">
        <f>IFERROR((T14-T15)/T14,0)</f>
        <v>0.40000000000000008</v>
      </c>
      <c r="U43" s="6">
        <f>IFERROR((U14-U15)/U14,0)</f>
        <v>0.4</v>
      </c>
      <c r="V43" s="6">
        <f>IFERROR((V14-V15)/V14,0)</f>
        <v>0.4</v>
      </c>
      <c r="W43" s="6"/>
      <c r="AC43" s="6">
        <f>IFERROR((AC14-AC15)/AC14,0)</f>
        <v>0.61733570460704612</v>
      </c>
      <c r="AD43" s="6">
        <f>IFERROR((AD14-AD15)/AD14,0)</f>
        <v>0.5855624261793928</v>
      </c>
      <c r="AE43" s="6">
        <f>IFERROR((AE14-AE15)/AE14,0)</f>
        <v>0.5600832188218372</v>
      </c>
      <c r="AF43" s="6">
        <f>IFERROR((AF14-AF15)/AF14,0)</f>
        <v>0.5544518121077141</v>
      </c>
      <c r="AG43" s="6">
        <f>IFERROR((AG14-AG15)/AG14,0)</f>
        <v>0.42607923367272499</v>
      </c>
      <c r="AH43" s="6">
        <f>IFERROR((AH14-AH15)/AH14,0)</f>
        <v>0.40036512502766097</v>
      </c>
      <c r="AI43" s="6">
        <f>IFERROR((AI14-AI15)/AI14,0)</f>
        <v>0.39999999999999997</v>
      </c>
      <c r="AJ43" s="6">
        <f>IFERROR((AJ14-AJ15)/AJ14,0)</f>
        <v>0.39999999999999991</v>
      </c>
      <c r="AK43" s="6">
        <f>IFERROR((AK14-AK15)/AK14,0)</f>
        <v>0.41000000000000009</v>
      </c>
      <c r="AL43" s="6">
        <f>IFERROR((AL14-AL15)/AL14,0)</f>
        <v>0.42000000000000004</v>
      </c>
      <c r="AM43" s="6">
        <f>IFERROR((AM14-AM15)/AM14,0)</f>
        <v>0.42</v>
      </c>
      <c r="AN43" s="6">
        <f>IFERROR((AN14-AN15)/AN14,0)</f>
        <v>0.43000000000000005</v>
      </c>
      <c r="AO43" s="6">
        <f>IFERROR((AO14-AO15)/AO14,0)</f>
        <v>0.43000000000000005</v>
      </c>
      <c r="AP43" s="6">
        <f>IFERROR((AP14-AP15)/AP14,0)</f>
        <v>0.43000000000000005</v>
      </c>
      <c r="AQ43" s="6">
        <f>IFERROR((AQ14-AQ15)/AQ14,0)</f>
        <v>0.43000000000000005</v>
      </c>
      <c r="AR43" s="6">
        <f>IFERROR((AR14-AR15)/AR14,0)</f>
        <v>0.4300000000000001</v>
      </c>
    </row>
    <row r="44" spans="1:48">
      <c r="B44" s="1" t="s">
        <v>48</v>
      </c>
      <c r="J44" s="6">
        <f>+IFERROR(J18/J14,0)</f>
        <v>0</v>
      </c>
      <c r="K44" s="6">
        <f>+IFERROR(K18/K14,0)</f>
        <v>0.17054432517844495</v>
      </c>
      <c r="L44" s="6">
        <f>+IFERROR(L18/L14,0)</f>
        <v>-4.0010443182559884E-2</v>
      </c>
      <c r="M44" s="6">
        <f>+IFERROR(M18/M14,0)</f>
        <v>3.1881601251792929E-2</v>
      </c>
      <c r="N44" s="6">
        <f>+IFERROR(N18/N14,0)</f>
        <v>-4.7714000854579122E-2</v>
      </c>
      <c r="O44" s="6">
        <f>+IFERROR(O18/O14,0)</f>
        <v>-0.11984635083226633</v>
      </c>
      <c r="P44" s="6">
        <f>+IFERROR(P18/P14,0)</f>
        <v>-6.3016449146652248E-2</v>
      </c>
      <c r="Q44" s="6">
        <f>+IFERROR(Q18/Q14,0)</f>
        <v>5.707020765644865E-2</v>
      </c>
      <c r="R44" s="6">
        <f>+IFERROR(R18/R14,0)</f>
        <v>9.3664805919771513E-2</v>
      </c>
      <c r="S44" s="6">
        <f>+IFERROR(S18/S14,0)</f>
        <v>-6.1971830985915542E-2</v>
      </c>
      <c r="T44" s="6">
        <f>+IFERROR(T18/T14,0)</f>
        <v>-2.1190825546374161E-2</v>
      </c>
      <c r="U44" s="6">
        <f>+IFERROR(U18/U14,0)</f>
        <v>3.2010170928097194E-2</v>
      </c>
      <c r="V44" s="6">
        <f>+IFERROR(V18/V14,0)</f>
        <v>3.6245618590159685E-2</v>
      </c>
      <c r="W44" s="6"/>
      <c r="AC44" s="6">
        <f>+IFERROR(AC18/AC14,0)</f>
        <v>0.33090560072267389</v>
      </c>
      <c r="AD44" s="6">
        <f>+IFERROR(AD18/AD14,0)</f>
        <v>0.31165149725561037</v>
      </c>
      <c r="AE44" s="6">
        <f>+IFERROR(AE18/AE14,0)</f>
        <v>0.30662539972003544</v>
      </c>
      <c r="AF44" s="6">
        <f>+IFERROR(AF18/AF14,0)</f>
        <v>0.27943409597084429</v>
      </c>
      <c r="AG44" s="6">
        <f>+IFERROR(AG18/AG14,0)</f>
        <v>3.7047609985092142E-2</v>
      </c>
      <c r="AH44" s="6">
        <f>+IFERROR(AH18/AH14,0)</f>
        <v>5.716603968429593E-4</v>
      </c>
      <c r="AI44" s="6">
        <f>+IFERROR(AI18/AI14,0)</f>
        <v>1.5582864581376656E-4</v>
      </c>
      <c r="AJ44" s="6">
        <f>+IFERROR(AJ18/AJ14,0)</f>
        <v>1.5582864581355967E-4</v>
      </c>
      <c r="AK44" s="6">
        <f>+IFERROR(AK18/AK14,0)</f>
        <v>3.0000000000000086E-2</v>
      </c>
      <c r="AL44" s="6">
        <f>+IFERROR(AL18/AL14,0)</f>
        <v>4.0000000000000077E-2</v>
      </c>
      <c r="AM44" s="6">
        <f>+IFERROR(AM18/AM14,0)</f>
        <v>5.9999999999999817E-2</v>
      </c>
      <c r="AN44" s="6">
        <f>+IFERROR(AN18/AN14,0)</f>
        <v>7.9999999999999974E-2</v>
      </c>
      <c r="AO44" s="6">
        <f>+IFERROR(AO18/AO14,0)</f>
        <v>0.14000000000000018</v>
      </c>
      <c r="AP44" s="6">
        <f>+IFERROR(AP18/AP14,0)</f>
        <v>0.15000000000000005</v>
      </c>
      <c r="AQ44" s="6">
        <f>+IFERROR(AQ18/AQ14,0)</f>
        <v>0.15000000000000002</v>
      </c>
      <c r="AR44" s="6">
        <f>+IFERROR(AR18/AR14,0)</f>
        <v>0.15000000000000011</v>
      </c>
    </row>
    <row r="45" spans="1:48"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8">
      <c r="B46" s="1" t="s">
        <v>24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AB46" s="6">
        <f>+AB15/AB$14</f>
        <v>0.37703350807029845</v>
      </c>
      <c r="AC46" s="6">
        <f>+AC15/AC$14</f>
        <v>0.38266429539295393</v>
      </c>
      <c r="AD46" s="6">
        <f>+AD15/AD$14</f>
        <v>0.41443757382060725</v>
      </c>
      <c r="AE46" s="6">
        <f>+AE15/AE$14</f>
        <v>0.43991678117816274</v>
      </c>
      <c r="AF46" s="6">
        <f>+AF15/AF$14</f>
        <v>0.4455481878922859</v>
      </c>
      <c r="AG46" s="6">
        <f>+AG15/AG$14</f>
        <v>0.57392076632727507</v>
      </c>
      <c r="AH46" s="6">
        <f>+AH15/AH$14</f>
        <v>0.59963487497233903</v>
      </c>
      <c r="AI46" s="6">
        <f>+AI15/AI$14</f>
        <v>0.60000000000000009</v>
      </c>
      <c r="AJ46" s="6">
        <f>+AJ15/AJ$14</f>
        <v>0.60000000000000009</v>
      </c>
      <c r="AK46" s="6">
        <f>+AK15/AK$14</f>
        <v>0.59</v>
      </c>
      <c r="AL46" s="6">
        <f>+AL15/AL$14</f>
        <v>0.57999999999999996</v>
      </c>
      <c r="AM46" s="6">
        <f>+AM15/AM$14</f>
        <v>0.57999999999999996</v>
      </c>
      <c r="AN46" s="6">
        <f>+AN15/AN$14</f>
        <v>0.56999999999999995</v>
      </c>
      <c r="AO46" s="6">
        <f>+AO15/AO$14</f>
        <v>0.56999999999999995</v>
      </c>
      <c r="AP46" s="6">
        <f>+AP15/AP$14</f>
        <v>0.56999999999999995</v>
      </c>
      <c r="AQ46" s="6">
        <f>+AQ15/AQ$14</f>
        <v>0.56999999999999995</v>
      </c>
      <c r="AR46" s="6">
        <f>+AR15/AR$14</f>
        <v>0.56999999999999995</v>
      </c>
    </row>
    <row r="47" spans="1:48">
      <c r="B47" s="1" t="s">
        <v>25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AB47" s="6">
        <f t="shared" ref="AB47" si="34">+AB16/AB$14</f>
        <v>0.20769267538758146</v>
      </c>
      <c r="AC47" s="6">
        <f t="shared" ref="AC47" si="35">+AC16/AC$14</f>
        <v>0.19115571364046974</v>
      </c>
      <c r="AD47" s="6">
        <f t="shared" ref="AD47" si="36">+AD16/AD$14</f>
        <v>0.18567359132911831</v>
      </c>
      <c r="AE47" s="6">
        <f t="shared" ref="AE47" si="37">+AE16/AE$14</f>
        <v>0.17409172049777183</v>
      </c>
      <c r="AF47" s="6">
        <f t="shared" ref="AF47" si="38">+AF16/AF$14</f>
        <v>0.19222008503745697</v>
      </c>
      <c r="AG47" s="6">
        <f t="shared" ref="AG47:AH51" si="39">+AG16/AG$14</f>
        <v>0.27798395026485234</v>
      </c>
      <c r="AH47" s="6">
        <f t="shared" si="39"/>
        <v>0.29589879766910082</v>
      </c>
      <c r="AI47" s="6">
        <f t="shared" ref="AI47:AR47" si="40">+AI16/AI$14</f>
        <v>0.29594352653547407</v>
      </c>
      <c r="AJ47" s="6">
        <f t="shared" si="40"/>
        <v>0.29594352653547407</v>
      </c>
      <c r="AK47" s="6">
        <f t="shared" si="40"/>
        <v>0.28999999999999998</v>
      </c>
      <c r="AL47" s="6">
        <f t="shared" si="40"/>
        <v>0.28999999999999998</v>
      </c>
      <c r="AM47" s="6">
        <f t="shared" si="40"/>
        <v>0.27</v>
      </c>
      <c r="AN47" s="6">
        <f t="shared" si="40"/>
        <v>0.26</v>
      </c>
      <c r="AO47" s="6">
        <f t="shared" si="40"/>
        <v>0.2</v>
      </c>
      <c r="AP47" s="6">
        <f t="shared" si="40"/>
        <v>0.19</v>
      </c>
      <c r="AQ47" s="6">
        <f t="shared" si="40"/>
        <v>0.19</v>
      </c>
      <c r="AR47" s="6">
        <f t="shared" si="40"/>
        <v>0.19</v>
      </c>
    </row>
    <row r="48" spans="1:48">
      <c r="B48" s="1" t="s">
        <v>26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AB48" s="6">
        <f t="shared" ref="AB48" si="41">+AB17/AB$14</f>
        <v>0.11873615780500629</v>
      </c>
      <c r="AC48" s="6">
        <f t="shared" ref="AC48" si="42">+AC17/AC$14</f>
        <v>9.527439024390244E-2</v>
      </c>
      <c r="AD48" s="6">
        <f t="shared" ref="AD48" si="43">+AD17/AD$14</f>
        <v>8.8237337594664067E-2</v>
      </c>
      <c r="AE48" s="6">
        <f t="shared" ref="AE48" si="44">+AE17/AE$14</f>
        <v>7.9366098604029947E-2</v>
      </c>
      <c r="AF48" s="6">
        <f t="shared" ref="AF48" si="45">+AF17/AF$14</f>
        <v>8.2797631099412836E-2</v>
      </c>
      <c r="AG48" s="6">
        <f t="shared" si="39"/>
        <v>0.11104767342278048</v>
      </c>
      <c r="AH48" s="6">
        <f t="shared" si="39"/>
        <v>0.10389466696171719</v>
      </c>
      <c r="AI48" s="6">
        <f t="shared" ref="AI48:AR48" si="46">+AI17/AI$14</f>
        <v>0.10390064481871225</v>
      </c>
      <c r="AJ48" s="6">
        <f t="shared" si="46"/>
        <v>0.10390064481871225</v>
      </c>
      <c r="AK48" s="6">
        <f t="shared" si="46"/>
        <v>0.09</v>
      </c>
      <c r="AL48" s="6">
        <f t="shared" si="46"/>
        <v>0.09</v>
      </c>
      <c r="AM48" s="6">
        <f t="shared" si="46"/>
        <v>0.09</v>
      </c>
      <c r="AN48" s="6">
        <f t="shared" si="46"/>
        <v>0.09</v>
      </c>
      <c r="AO48" s="6">
        <f t="shared" si="46"/>
        <v>0.09</v>
      </c>
      <c r="AP48" s="6">
        <f t="shared" si="46"/>
        <v>0.09</v>
      </c>
      <c r="AQ48" s="6">
        <f t="shared" si="46"/>
        <v>0.09</v>
      </c>
      <c r="AR48" s="6">
        <f t="shared" si="46"/>
        <v>0.09</v>
      </c>
    </row>
    <row r="49" spans="2:44">
      <c r="AH49" s="6"/>
    </row>
    <row r="50" spans="2:44">
      <c r="AH50" s="6"/>
    </row>
    <row r="51" spans="2:44">
      <c r="AH51" s="6"/>
    </row>
    <row r="53" spans="2:44">
      <c r="B53" s="7" t="s">
        <v>54</v>
      </c>
    </row>
    <row r="54" spans="2:44">
      <c r="B54" s="1" t="s">
        <v>55</v>
      </c>
      <c r="AH54" s="1">
        <v>47500</v>
      </c>
    </row>
    <row r="56" spans="2:44" s="5" customFormat="1">
      <c r="B56" s="5" t="s">
        <v>78</v>
      </c>
      <c r="R56" s="5">
        <f>SUM(R57:R58)-SUM(R69,R74)</f>
        <v>-24232</v>
      </c>
      <c r="S56" s="5">
        <f>+R56+S25</f>
        <v>-24488.900284507043</v>
      </c>
      <c r="T56" s="5">
        <f t="shared" ref="T56:V56" si="47">+S56+T25</f>
        <v>-24464.680186507041</v>
      </c>
      <c r="U56" s="5">
        <f t="shared" si="47"/>
        <v>-23991.108321127042</v>
      </c>
      <c r="V56" s="5">
        <f t="shared" si="47"/>
        <v>-23451.319716293241</v>
      </c>
      <c r="AH56" s="5">
        <f>+V56</f>
        <v>-23451.319716293241</v>
      </c>
      <c r="AI56" s="5">
        <f>+AH56+AI25</f>
        <v>-22670.639432586482</v>
      </c>
      <c r="AJ56" s="5">
        <f t="shared" ref="AJ56:AR56" si="48">+AI56+AJ25</f>
        <v>-22110.406698254093</v>
      </c>
      <c r="AK56" s="5">
        <f t="shared" si="48"/>
        <v>-20386.713880276489</v>
      </c>
      <c r="AL56" s="5">
        <f t="shared" si="48"/>
        <v>-18148.624622388743</v>
      </c>
      <c r="AM56" s="5">
        <f t="shared" si="48"/>
        <v>-14866.778224610605</v>
      </c>
      <c r="AN56" s="5">
        <f t="shared" si="48"/>
        <v>-10384.947811810076</v>
      </c>
      <c r="AO56" s="5">
        <f t="shared" si="48"/>
        <v>-2407.8912316170636</v>
      </c>
      <c r="AP56" s="5">
        <f t="shared" si="48"/>
        <v>6735.5498111777006</v>
      </c>
      <c r="AQ56" s="5">
        <f t="shared" si="48"/>
        <v>16566.097337396044</v>
      </c>
      <c r="AR56" s="5">
        <f t="shared" si="48"/>
        <v>27138.719865711864</v>
      </c>
    </row>
    <row r="57" spans="2:44">
      <c r="B57" s="1" t="s">
        <v>58</v>
      </c>
      <c r="R57" s="1">
        <v>7079</v>
      </c>
      <c r="S57" s="1">
        <f>+R57*1.01</f>
        <v>7149.79</v>
      </c>
      <c r="T57" s="1">
        <f t="shared" ref="T57:V57" si="49">+S57*1.01</f>
        <v>7221.2879000000003</v>
      </c>
      <c r="U57" s="1">
        <f t="shared" si="49"/>
        <v>7293.500779</v>
      </c>
      <c r="V57" s="1">
        <f t="shared" si="49"/>
        <v>7366.4357867899998</v>
      </c>
      <c r="AH57" s="1">
        <f>+V57</f>
        <v>7366.4357867899998</v>
      </c>
    </row>
    <row r="58" spans="2:44">
      <c r="B58" s="1" t="s">
        <v>59</v>
      </c>
      <c r="R58" s="1">
        <v>17955</v>
      </c>
      <c r="S58" s="1">
        <f>+R58*1.01</f>
        <v>18134.55</v>
      </c>
      <c r="T58" s="1">
        <f t="shared" ref="T58:V58" si="50">+S58*1.01</f>
        <v>18315.895499999999</v>
      </c>
      <c r="U58" s="1">
        <f t="shared" si="50"/>
        <v>18499.054454999998</v>
      </c>
      <c r="V58" s="1">
        <f t="shared" si="50"/>
        <v>18684.044999549998</v>
      </c>
      <c r="AH58" s="1">
        <f>+V58</f>
        <v>18684.044999549998</v>
      </c>
    </row>
    <row r="59" spans="2:44">
      <c r="B59" s="1" t="s">
        <v>60</v>
      </c>
      <c r="R59" s="1">
        <v>3402</v>
      </c>
    </row>
    <row r="60" spans="2:44">
      <c r="B60" s="1" t="s">
        <v>61</v>
      </c>
      <c r="R60" s="1">
        <v>11127</v>
      </c>
    </row>
    <row r="61" spans="2:44">
      <c r="B61" s="1" t="s">
        <v>62</v>
      </c>
      <c r="R61" s="1">
        <v>3706</v>
      </c>
    </row>
    <row r="62" spans="2:44">
      <c r="B62" s="1" t="s">
        <v>63</v>
      </c>
      <c r="R62" s="1">
        <v>96647</v>
      </c>
    </row>
    <row r="63" spans="2:44">
      <c r="B63" s="1" t="s">
        <v>64</v>
      </c>
      <c r="R63" s="1">
        <v>5829</v>
      </c>
    </row>
    <row r="64" spans="2:44">
      <c r="B64" s="1" t="s">
        <v>65</v>
      </c>
      <c r="R64" s="1">
        <v>27591</v>
      </c>
    </row>
    <row r="65" spans="2:18">
      <c r="B65" s="1" t="s">
        <v>66</v>
      </c>
      <c r="R65" s="1">
        <v>4589</v>
      </c>
    </row>
    <row r="66" spans="2:18">
      <c r="B66" s="1" t="s">
        <v>67</v>
      </c>
      <c r="R66" s="1">
        <v>13647</v>
      </c>
    </row>
    <row r="67" spans="2:18" s="5" customFormat="1">
      <c r="B67" s="5" t="s">
        <v>68</v>
      </c>
      <c r="R67" s="5">
        <f>+SUM(R57:R66)</f>
        <v>191572</v>
      </c>
    </row>
    <row r="69" spans="2:18">
      <c r="B69" s="1" t="s">
        <v>69</v>
      </c>
      <c r="R69" s="1">
        <v>2288</v>
      </c>
    </row>
    <row r="70" spans="2:18">
      <c r="B70" s="1" t="s">
        <v>70</v>
      </c>
      <c r="R70" s="1">
        <v>8578</v>
      </c>
    </row>
    <row r="71" spans="2:18">
      <c r="B71" s="1" t="s">
        <v>71</v>
      </c>
      <c r="R71" s="1">
        <v>3655</v>
      </c>
    </row>
    <row r="72" spans="2:18">
      <c r="B72" s="1" t="s">
        <v>72</v>
      </c>
      <c r="R72" s="1">
        <v>1107</v>
      </c>
    </row>
    <row r="73" spans="2:18">
      <c r="B73" s="1" t="s">
        <v>73</v>
      </c>
      <c r="R73" s="1">
        <v>12425</v>
      </c>
    </row>
    <row r="74" spans="2:18">
      <c r="B74" s="1" t="s">
        <v>74</v>
      </c>
      <c r="R74" s="1">
        <v>46978</v>
      </c>
    </row>
    <row r="75" spans="2:18">
      <c r="B75" s="1" t="s">
        <v>77</v>
      </c>
      <c r="R75" s="1">
        <v>6576</v>
      </c>
    </row>
    <row r="76" spans="2:18">
      <c r="B76" s="1" t="s">
        <v>75</v>
      </c>
      <c r="R76" s="1">
        <v>109965</v>
      </c>
    </row>
    <row r="77" spans="2:18" s="5" customFormat="1">
      <c r="B77" s="5" t="s">
        <v>76</v>
      </c>
      <c r="R77" s="5">
        <f>+SUM(R69:R76)</f>
        <v>191572</v>
      </c>
    </row>
  </sheetData>
  <hyperlinks>
    <hyperlink ref="A1" location="main!A1" display="main " xr:uid="{FD4480CF-6F6C-3B42-A6E4-F0874F7C51FF}"/>
  </hyperlinks>
  <pageMargins left="0.7" right="0.7" top="0.75" bottom="0.75" header="0.3" footer="0.3"/>
  <ignoredErrors>
    <ignoredError sqref="AG12:AH13 AG4:AH10" formulaRange="1"/>
    <ignoredError sqref="AI18:AI19 AI20:AI23 AI28:AI29 AI25:AI2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2024-03-18T23:36:42Z</dcterms:created>
  <dcterms:modified xsi:type="dcterms:W3CDTF">2024-03-26T20:51:36Z</dcterms:modified>
</cp:coreProperties>
</file>