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B75EE2C3-71E3-F84D-949E-65088A68B4C6}" xr6:coauthVersionLast="47" xr6:coauthVersionMax="47" xr10:uidLastSave="{00000000-0000-0000-0000-000000000000}"/>
  <bookViews>
    <workbookView xWindow="640" yWindow="2120" windowWidth="46240" windowHeight="28300" xr2:uid="{E7FCA903-EE33-ED45-9A74-1F5B1FA6FF09}"/>
  </bookViews>
  <sheets>
    <sheet name="model" sheetId="1" r:id="rId1"/>
    <sheet name="ma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3" i="1" l="1"/>
  <c r="X81" i="1"/>
  <c r="X80" i="1"/>
  <c r="X79" i="1"/>
  <c r="X78" i="1"/>
  <c r="V75" i="1"/>
  <c r="W75" i="1"/>
  <c r="X75" i="1"/>
  <c r="W68" i="1"/>
  <c r="X68" i="1"/>
  <c r="X59" i="1"/>
  <c r="X38" i="1"/>
  <c r="W38" i="1"/>
  <c r="W57" i="1"/>
  <c r="W49" i="1"/>
  <c r="X57" i="1"/>
  <c r="X49" i="1"/>
  <c r="AK38" i="1"/>
  <c r="AK36" i="1"/>
  <c r="AK34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Y9" i="1"/>
  <c r="Z9" i="1" s="1"/>
  <c r="W32" i="1"/>
  <c r="W31" i="1"/>
  <c r="W30" i="1"/>
  <c r="W29" i="1"/>
  <c r="X32" i="1"/>
  <c r="X31" i="1"/>
  <c r="X30" i="1"/>
  <c r="X29" i="1"/>
  <c r="V9" i="1"/>
  <c r="V13" i="1" s="1"/>
  <c r="V19" i="1" s="1"/>
  <c r="W9" i="1"/>
  <c r="W13" i="1" s="1"/>
  <c r="W19" i="1" s="1"/>
  <c r="W22" i="1" s="1"/>
  <c r="W24" i="1" s="1"/>
  <c r="W26" i="1" s="1"/>
  <c r="X9" i="1"/>
  <c r="X33" i="1" s="1"/>
  <c r="G6" i="2"/>
  <c r="G7" i="2" s="1"/>
  <c r="F5" i="2"/>
  <c r="F8" i="2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Z33" i="1" l="1"/>
  <c r="AA9" i="1"/>
  <c r="Z16" i="1"/>
  <c r="Y33" i="1"/>
  <c r="Y18" i="1"/>
  <c r="Z18" i="1" s="1"/>
  <c r="Y12" i="1"/>
  <c r="Z12" i="1" s="1"/>
  <c r="Y14" i="1"/>
  <c r="Z14" i="1" s="1"/>
  <c r="Y15" i="1"/>
  <c r="Z15" i="1" s="1"/>
  <c r="W33" i="1"/>
  <c r="Y16" i="1"/>
  <c r="X13" i="1"/>
  <c r="X19" i="1" s="1"/>
  <c r="Y10" i="1"/>
  <c r="Z10" i="1" s="1"/>
  <c r="Y17" i="1"/>
  <c r="Z17" i="1" s="1"/>
  <c r="Y11" i="1"/>
  <c r="Z11" i="1" s="1"/>
  <c r="V22" i="1"/>
  <c r="V24" i="1" s="1"/>
  <c r="V26" i="1" s="1"/>
  <c r="X22" i="1" l="1"/>
  <c r="X24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X60" i="1"/>
  <c r="X61" i="1" s="1"/>
  <c r="AA11" i="1"/>
  <c r="AA17" i="1"/>
  <c r="AA18" i="1"/>
  <c r="AA15" i="1"/>
  <c r="AA12" i="1"/>
  <c r="AA10" i="1"/>
  <c r="AA13" i="1" s="1"/>
  <c r="Z13" i="1"/>
  <c r="Z19" i="1" s="1"/>
  <c r="Y13" i="1"/>
  <c r="Y19" i="1" s="1"/>
  <c r="Y21" i="1" s="1"/>
  <c r="Z21" i="1" s="1"/>
  <c r="AB9" i="1"/>
  <c r="AA33" i="1"/>
  <c r="AA16" i="1"/>
  <c r="AB16" i="1" s="1"/>
  <c r="AA14" i="1"/>
  <c r="AC9" i="1" l="1"/>
  <c r="AB33" i="1"/>
  <c r="AB10" i="1"/>
  <c r="AB17" i="1"/>
  <c r="AC17" i="1" s="1"/>
  <c r="AB15" i="1"/>
  <c r="AC15" i="1" s="1"/>
  <c r="AB12" i="1"/>
  <c r="AC12" i="1" s="1"/>
  <c r="AA19" i="1"/>
  <c r="Y20" i="1"/>
  <c r="Z20" i="1" s="1"/>
  <c r="Z22" i="1" s="1"/>
  <c r="AB18" i="1"/>
  <c r="AC18" i="1" s="1"/>
  <c r="AB14" i="1"/>
  <c r="AC14" i="1" s="1"/>
  <c r="AB11" i="1"/>
  <c r="AC11" i="1" s="1"/>
  <c r="AA20" i="1" l="1"/>
  <c r="AA21" i="1"/>
  <c r="Y22" i="1"/>
  <c r="Y23" i="1" s="1"/>
  <c r="Y24" i="1" s="1"/>
  <c r="AB13" i="1"/>
  <c r="AB19" i="1" s="1"/>
  <c r="AB21" i="1" s="1"/>
  <c r="AD9" i="1"/>
  <c r="AC33" i="1"/>
  <c r="AC10" i="1"/>
  <c r="AC13" i="1" s="1"/>
  <c r="AC19" i="1" s="1"/>
  <c r="AC21" i="1" s="1"/>
  <c r="AD11" i="1"/>
  <c r="AC16" i="1"/>
  <c r="AA22" i="1" l="1"/>
  <c r="Z23" i="1"/>
  <c r="Z24" i="1" s="1"/>
  <c r="Y25" i="1"/>
  <c r="Y38" i="1"/>
  <c r="Z38" i="1" s="1"/>
  <c r="AB20" i="1"/>
  <c r="AB22" i="1" s="1"/>
  <c r="AE9" i="1"/>
  <c r="AE11" i="1" s="1"/>
  <c r="AD33" i="1"/>
  <c r="AD10" i="1"/>
  <c r="AD13" i="1" s="1"/>
  <c r="AD14" i="1"/>
  <c r="AD17" i="1"/>
  <c r="AD16" i="1"/>
  <c r="AD15" i="1"/>
  <c r="AD18" i="1"/>
  <c r="AE18" i="1" s="1"/>
  <c r="AD12" i="1"/>
  <c r="AE12" i="1" s="1"/>
  <c r="Z25" i="1"/>
  <c r="AA23" i="1" l="1"/>
  <c r="AC20" i="1"/>
  <c r="AC22" i="1" s="1"/>
  <c r="AE14" i="1"/>
  <c r="AE17" i="1"/>
  <c r="AB23" i="1"/>
  <c r="AB24" i="1" s="1"/>
  <c r="AB25" i="1" s="1"/>
  <c r="AE15" i="1"/>
  <c r="AD19" i="1"/>
  <c r="AF9" i="1"/>
  <c r="AE33" i="1"/>
  <c r="AE10" i="1"/>
  <c r="AE13" i="1" s="1"/>
  <c r="AE16" i="1"/>
  <c r="AA24" i="1"/>
  <c r="AA38" i="1" s="1"/>
  <c r="AC23" i="1"/>
  <c r="AC24" i="1" s="1"/>
  <c r="AC25" i="1" s="1"/>
  <c r="AB38" i="1" l="1"/>
  <c r="AC38" i="1" s="1"/>
  <c r="AG9" i="1"/>
  <c r="AF33" i="1"/>
  <c r="AF10" i="1"/>
  <c r="AF12" i="1"/>
  <c r="AG12" i="1" s="1"/>
  <c r="AF15" i="1"/>
  <c r="AG15" i="1" s="1"/>
  <c r="AF16" i="1"/>
  <c r="AG16" i="1" s="1"/>
  <c r="AF17" i="1"/>
  <c r="AF18" i="1"/>
  <c r="AF14" i="1"/>
  <c r="AG14" i="1" s="1"/>
  <c r="AD21" i="1"/>
  <c r="AD20" i="1"/>
  <c r="AD22" i="1" s="1"/>
  <c r="AD23" i="1" s="1"/>
  <c r="AD24" i="1" s="1"/>
  <c r="AD25" i="1" s="1"/>
  <c r="AE19" i="1"/>
  <c r="AF11" i="1"/>
  <c r="AG11" i="1" s="1"/>
  <c r="AA25" i="1"/>
  <c r="AF13" i="1" l="1"/>
  <c r="AF19" i="1" s="1"/>
  <c r="AG18" i="1"/>
  <c r="AD38" i="1"/>
  <c r="AG17" i="1"/>
  <c r="AE21" i="1"/>
  <c r="AF21" i="1" s="1"/>
  <c r="AE20" i="1"/>
  <c r="AE22" i="1" s="1"/>
  <c r="AF20" i="1"/>
  <c r="AH9" i="1"/>
  <c r="AG33" i="1"/>
  <c r="AG10" i="1"/>
  <c r="AG13" i="1" s="1"/>
  <c r="AG19" i="1" l="1"/>
  <c r="AG20" i="1" s="1"/>
  <c r="AH18" i="1"/>
  <c r="AH15" i="1"/>
  <c r="AF22" i="1"/>
  <c r="AE23" i="1"/>
  <c r="AE24" i="1" s="1"/>
  <c r="AE25" i="1" s="1"/>
  <c r="AF23" i="1"/>
  <c r="AF24" i="1" s="1"/>
  <c r="AF25" i="1" s="1"/>
  <c r="AH33" i="1"/>
  <c r="AH10" i="1"/>
  <c r="AH13" i="1" s="1"/>
  <c r="AH14" i="1"/>
  <c r="AH16" i="1"/>
  <c r="AG21" i="1"/>
  <c r="AG22" i="1" s="1"/>
  <c r="AH11" i="1"/>
  <c r="AH17" i="1"/>
  <c r="AH12" i="1"/>
  <c r="AG23" i="1" l="1"/>
  <c r="AE38" i="1"/>
  <c r="AF38" i="1" s="1"/>
  <c r="AH19" i="1"/>
  <c r="AG24" i="1"/>
  <c r="AG38" i="1" l="1"/>
  <c r="AH20" i="1"/>
  <c r="AH21" i="1"/>
  <c r="AH22" i="1"/>
  <c r="AH23" i="1" s="1"/>
  <c r="AH24" i="1" s="1"/>
  <c r="AG25" i="1"/>
  <c r="AH38" i="1" l="1"/>
  <c r="AH25" i="1"/>
  <c r="AI24" i="1"/>
  <c r="AJ24" i="1" l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HO24" i="1" s="1"/>
  <c r="HP24" i="1" s="1"/>
  <c r="AK33" i="1" l="1"/>
  <c r="AK35" i="1" s="1"/>
  <c r="AK37" i="1" s="1"/>
  <c r="AK39" i="1" s="1"/>
</calcChain>
</file>

<file path=xl/sharedStrings.xml><?xml version="1.0" encoding="utf-8"?>
<sst xmlns="http://schemas.openxmlformats.org/spreadsheetml/2006/main" count="93" uniqueCount="88">
  <si>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</si>
  <si>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</si>
  <si>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</si>
  <si>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</si>
  <si>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</si>
  <si>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</si>
  <si>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</si>
  <si>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</si>
  <si>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</si>
  <si>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</si>
  <si>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</si>
  <si>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</si>
  <si>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P</t>
  </si>
  <si>
    <t>S</t>
  </si>
  <si>
    <t>MC</t>
  </si>
  <si>
    <t>C</t>
  </si>
  <si>
    <t>D</t>
  </si>
  <si>
    <t>EV</t>
  </si>
  <si>
    <t>10K</t>
  </si>
  <si>
    <t>Founder</t>
  </si>
  <si>
    <t>Founded</t>
  </si>
  <si>
    <t>Lease R and Fees</t>
  </si>
  <si>
    <t>Retail Sales</t>
  </si>
  <si>
    <t>Non-Retail Sales</t>
  </si>
  <si>
    <t>Franchise Loyalties</t>
  </si>
  <si>
    <t>Depreciation</t>
  </si>
  <si>
    <t>Retail C of sales</t>
  </si>
  <si>
    <t xml:space="preserve">Total Revenue </t>
  </si>
  <si>
    <t>Non retail C of sales</t>
  </si>
  <si>
    <t xml:space="preserve">Gross Profit </t>
  </si>
  <si>
    <t>Personnel C</t>
  </si>
  <si>
    <t>Other Opex</t>
  </si>
  <si>
    <t>Provision for lease merch</t>
  </si>
  <si>
    <t>Seperation costs</t>
  </si>
  <si>
    <t>Acquisition Related C</t>
  </si>
  <si>
    <t xml:space="preserve">Operating Profit </t>
  </si>
  <si>
    <t>Interest E</t>
  </si>
  <si>
    <t>Other NonOp</t>
  </si>
  <si>
    <t>EBT</t>
  </si>
  <si>
    <t>T</t>
  </si>
  <si>
    <t>Net Income</t>
  </si>
  <si>
    <t>EPS</t>
  </si>
  <si>
    <t>Diluted</t>
  </si>
  <si>
    <t>Maturity</t>
  </si>
  <si>
    <t>Discount</t>
  </si>
  <si>
    <t>NPV</t>
  </si>
  <si>
    <t xml:space="preserve">Net cash </t>
  </si>
  <si>
    <t xml:space="preserve">Total Value </t>
  </si>
  <si>
    <t>Shares</t>
  </si>
  <si>
    <t>Estimate</t>
  </si>
  <si>
    <t>Current</t>
  </si>
  <si>
    <t>Upside</t>
  </si>
  <si>
    <t>Units</t>
  </si>
  <si>
    <t xml:space="preserve">Cash </t>
  </si>
  <si>
    <t>A/R</t>
  </si>
  <si>
    <t>Lease Merchandise</t>
  </si>
  <si>
    <t>Merchandise Inventories</t>
  </si>
  <si>
    <t>PPE</t>
  </si>
  <si>
    <t>Op lease</t>
  </si>
  <si>
    <t>Goodwill</t>
  </si>
  <si>
    <t>Intagibles</t>
  </si>
  <si>
    <t>Icome tax Rec</t>
  </si>
  <si>
    <t>Prepaid E</t>
  </si>
  <si>
    <t xml:space="preserve">Total Assets. </t>
  </si>
  <si>
    <t>A/P</t>
  </si>
  <si>
    <t>Deferred Icome Tx Payable</t>
  </si>
  <si>
    <t>Customer Deposits/Advance P</t>
  </si>
  <si>
    <t>Op Lease</t>
  </si>
  <si>
    <t>Debt</t>
  </si>
  <si>
    <t>Equity</t>
  </si>
  <si>
    <t>Total Liabilities + E</t>
  </si>
  <si>
    <t xml:space="preserve">Net Cash </t>
  </si>
  <si>
    <t>ROIC</t>
  </si>
  <si>
    <t xml:space="preserve">SOFR </t>
  </si>
  <si>
    <t>2.75-1.00</t>
  </si>
  <si>
    <t>fixed charge coverage 1.75 to 1.00</t>
  </si>
  <si>
    <t xml:space="preserve">total net debt to ebitda </t>
  </si>
  <si>
    <t>Net Debt</t>
  </si>
  <si>
    <t>EBITDA</t>
  </si>
  <si>
    <t>CFFO</t>
  </si>
  <si>
    <t>Capex</t>
  </si>
  <si>
    <t xml:space="preserve">Free Cash Flow </t>
  </si>
  <si>
    <t>Debt repayments</t>
  </si>
  <si>
    <t>Proceeds from Revolver and Term Loan</t>
  </si>
  <si>
    <t>Repayments on Revolver, Term Loan and Fin lease</t>
  </si>
  <si>
    <t>Repayments on Inventory Loan Program</t>
  </si>
  <si>
    <t>Debt Changes</t>
  </si>
  <si>
    <t>Debt issuance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</si>
</sst>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000"/>
  </numFmts>
  <fonts count="7">
    <font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8" fontId="0" fillId="0" borderId="4" xfId="0" applyNumberFormat="1" applyBorder="1"/>
    <xf numFmtId="3" fontId="0" fillId="0" borderId="3" xfId="0" applyNumberFormat="1" applyBorder="1"/>
    <xf numFmtId="3" fontId="0" fillId="0" borderId="4" xfId="0" applyNumberFormat="1" applyBorder="1"/>
    <xf numFmtId="4" fontId="0" fillId="0" borderId="4" xfId="0" applyNumberFormat="1" applyBorder="1"/>
    <xf numFmtId="3" fontId="0" fillId="0" borderId="5" xfId="0" applyNumberFormat="1" applyBorder="1"/>
    <xf numFmtId="9" fontId="0" fillId="0" borderId="6" xfId="0" applyNumberFormat="1" applyBorder="1"/>
    <xf numFmtId="3" fontId="1" fillId="0" borderId="3" xfId="0" applyNumberFormat="1" applyFont="1" applyBorder="1"/>
    <xf numFmtId="4" fontId="1" fillId="0" borderId="4" xfId="0" applyNumberFormat="1" applyFont="1" applyBorder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6" fillId="0" borderId="0" xfId="0" applyNumberFormat="1" applyFont="1"/>
    <xf numFmtId="3" fontId="5" fillId="0" borderId="0" xfId="0" applyNumberFormat="1" applyFont="1"/>
    <xf numFmtId="3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14033</xdr:colOff>
      <xdr:row>0</xdr:row>
      <xdr:rowOff>28066</xdr:rowOff>
    </xdr:from>
    <xdr:to>
      <xdr:col>24</xdr:col>
      <xdr:colOff>29308</xdr:colOff>
      <xdr:row>96</xdr:row>
      <xdr:rowOff>78154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7FEAE19-BA34-E122-8E4C-BDDF0560BC05}"/>
            </a:ext>
          </a:extLst>
        </xdr:cNvPr>
        <xdr:cNvCxnSpPr/>
      </xdr:nvCxnSpPr>
      <xdr:spPr>
        <a:xfrm>
          <a:off x="12420956" y="28066"/>
          <a:ext cx="15275" cy="158273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6F2C-113E-DA44-A8D7-1D0D6AB6C595}">
  <dimension ref="B1:HP83"/>
  <sheetViews>
    <sheetView tabSelected="1" zoomScale="130" zoomScaleNormal="13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T9" sqref="T9"/>
    </sheetView>
  </sheetViews>
  <sheetFormatPr baseColWidth="10" defaultRowHeight="13"/>
  <cols>
    <col min="1" max="1" width="2.33203125" style="20" customWidth="1"/>
    <col min="2" max="2" width="41.6640625" style="20" bestFit="1" customWidth="1"/>
    <col min="3" max="14" width="5.5" style="20" bestFit="1" customWidth="1"/>
    <col min="15" max="15" width="10.83203125" style="20"/>
    <col min="16" max="21" width="5.1640625" style="20" bestFit="1" customWidth="1"/>
    <col min="22" max="23" width="9.1640625" style="20" bestFit="1" customWidth="1"/>
    <col min="24" max="24" width="9.33203125" style="20" customWidth="1"/>
    <col min="25" max="34" width="9.1640625" style="20" bestFit="1" customWidth="1"/>
    <col min="35" max="35" width="6.6640625" style="20" bestFit="1" customWidth="1"/>
    <col min="36" max="36" width="10.5" style="20" bestFit="1" customWidth="1"/>
    <col min="37" max="37" width="11.6640625" style="20" bestFit="1" customWidth="1"/>
    <col min="38" max="214" width="6.6640625" style="20" bestFit="1" customWidth="1"/>
    <col min="215" max="224" width="7.6640625" style="20" bestFit="1" customWidth="1"/>
    <col min="225" max="16384" width="10.83203125" style="20"/>
  </cols>
  <sheetData>
    <row r="1" spans="2:224" s="1" customFormat="1">
      <c r="Y1" s="1">
        <v>1</v>
      </c>
      <c r="Z1" s="1">
        <f>+Y1+1</f>
        <v>2</v>
      </c>
      <c r="AA1" s="1">
        <f t="shared" ref="AA1:AI1" si="0">+Z1+1</f>
        <v>3</v>
      </c>
      <c r="AB1" s="1">
        <f t="shared" si="0"/>
        <v>4</v>
      </c>
      <c r="AC1" s="1">
        <f t="shared" si="0"/>
        <v>5</v>
      </c>
      <c r="AD1" s="1">
        <f t="shared" si="0"/>
        <v>6</v>
      </c>
      <c r="AE1" s="1">
        <f t="shared" si="0"/>
        <v>7</v>
      </c>
      <c r="AF1" s="1">
        <f t="shared" si="0"/>
        <v>8</v>
      </c>
      <c r="AG1" s="1">
        <f t="shared" si="0"/>
        <v>9</v>
      </c>
      <c r="AH1" s="1">
        <f t="shared" si="0"/>
        <v>10</v>
      </c>
      <c r="AI1" s="1">
        <f t="shared" si="0"/>
        <v>11</v>
      </c>
      <c r="AJ1" s="1">
        <f t="shared" ref="AJ1:CU1" si="1">+AI1+1</f>
        <v>12</v>
      </c>
      <c r="AK1" s="1">
        <f t="shared" si="1"/>
        <v>13</v>
      </c>
      <c r="AL1" s="1">
        <f t="shared" si="1"/>
        <v>14</v>
      </c>
      <c r="AM1" s="1">
        <f t="shared" si="1"/>
        <v>15</v>
      </c>
      <c r="AN1" s="1">
        <f t="shared" si="1"/>
        <v>16</v>
      </c>
      <c r="AO1" s="1">
        <f t="shared" si="1"/>
        <v>17</v>
      </c>
      <c r="AP1" s="1">
        <f t="shared" si="1"/>
        <v>18</v>
      </c>
      <c r="AQ1" s="1">
        <f t="shared" si="1"/>
        <v>19</v>
      </c>
      <c r="AR1" s="1">
        <f t="shared" si="1"/>
        <v>20</v>
      </c>
      <c r="AS1" s="1">
        <f t="shared" si="1"/>
        <v>21</v>
      </c>
      <c r="AT1" s="1">
        <f t="shared" si="1"/>
        <v>22</v>
      </c>
      <c r="AU1" s="1">
        <f t="shared" si="1"/>
        <v>23</v>
      </c>
      <c r="AV1" s="1">
        <f t="shared" si="1"/>
        <v>24</v>
      </c>
      <c r="AW1" s="1">
        <f t="shared" si="1"/>
        <v>25</v>
      </c>
      <c r="AX1" s="1">
        <f t="shared" si="1"/>
        <v>26</v>
      </c>
      <c r="AY1" s="1">
        <f t="shared" si="1"/>
        <v>27</v>
      </c>
      <c r="AZ1" s="1">
        <f t="shared" si="1"/>
        <v>28</v>
      </c>
      <c r="BA1" s="1">
        <f t="shared" si="1"/>
        <v>29</v>
      </c>
      <c r="BB1" s="1">
        <f t="shared" si="1"/>
        <v>30</v>
      </c>
      <c r="BC1" s="1">
        <f t="shared" si="1"/>
        <v>31</v>
      </c>
      <c r="BD1" s="1">
        <f t="shared" si="1"/>
        <v>32</v>
      </c>
      <c r="BE1" s="1">
        <f t="shared" si="1"/>
        <v>33</v>
      </c>
      <c r="BF1" s="1">
        <f t="shared" si="1"/>
        <v>34</v>
      </c>
      <c r="BG1" s="1">
        <f t="shared" si="1"/>
        <v>35</v>
      </c>
      <c r="BH1" s="1">
        <f t="shared" si="1"/>
        <v>36</v>
      </c>
      <c r="BI1" s="1">
        <f t="shared" si="1"/>
        <v>37</v>
      </c>
      <c r="BJ1" s="1">
        <f t="shared" si="1"/>
        <v>38</v>
      </c>
      <c r="BK1" s="1">
        <f t="shared" si="1"/>
        <v>39</v>
      </c>
      <c r="BL1" s="1">
        <f t="shared" si="1"/>
        <v>40</v>
      </c>
      <c r="BM1" s="1">
        <f t="shared" si="1"/>
        <v>41</v>
      </c>
      <c r="BN1" s="1">
        <f t="shared" si="1"/>
        <v>42</v>
      </c>
      <c r="BO1" s="1">
        <f t="shared" si="1"/>
        <v>43</v>
      </c>
      <c r="BP1" s="1">
        <f t="shared" si="1"/>
        <v>44</v>
      </c>
      <c r="BQ1" s="1">
        <f t="shared" si="1"/>
        <v>45</v>
      </c>
      <c r="BR1" s="1">
        <f t="shared" si="1"/>
        <v>46</v>
      </c>
      <c r="BS1" s="1">
        <f t="shared" si="1"/>
        <v>47</v>
      </c>
      <c r="BT1" s="1">
        <f t="shared" si="1"/>
        <v>48</v>
      </c>
      <c r="BU1" s="1">
        <f t="shared" si="1"/>
        <v>49</v>
      </c>
      <c r="BV1" s="1">
        <f t="shared" si="1"/>
        <v>50</v>
      </c>
      <c r="BW1" s="1">
        <f t="shared" si="1"/>
        <v>51</v>
      </c>
      <c r="BX1" s="1">
        <f t="shared" si="1"/>
        <v>52</v>
      </c>
      <c r="BY1" s="1">
        <f t="shared" si="1"/>
        <v>53</v>
      </c>
      <c r="BZ1" s="1">
        <f t="shared" si="1"/>
        <v>54</v>
      </c>
      <c r="CA1" s="1">
        <f t="shared" si="1"/>
        <v>55</v>
      </c>
      <c r="CB1" s="1">
        <f t="shared" si="1"/>
        <v>56</v>
      </c>
      <c r="CC1" s="1">
        <f t="shared" si="1"/>
        <v>57</v>
      </c>
      <c r="CD1" s="1">
        <f t="shared" si="1"/>
        <v>58</v>
      </c>
      <c r="CE1" s="1">
        <f t="shared" si="1"/>
        <v>59</v>
      </c>
      <c r="CF1" s="1">
        <f t="shared" si="1"/>
        <v>60</v>
      </c>
      <c r="CG1" s="1">
        <f t="shared" si="1"/>
        <v>61</v>
      </c>
      <c r="CH1" s="1">
        <f t="shared" si="1"/>
        <v>62</v>
      </c>
      <c r="CI1" s="1">
        <f t="shared" si="1"/>
        <v>63</v>
      </c>
      <c r="CJ1" s="1">
        <f t="shared" si="1"/>
        <v>64</v>
      </c>
      <c r="CK1" s="1">
        <f t="shared" si="1"/>
        <v>65</v>
      </c>
      <c r="CL1" s="1">
        <f t="shared" si="1"/>
        <v>66</v>
      </c>
      <c r="CM1" s="1">
        <f t="shared" si="1"/>
        <v>67</v>
      </c>
      <c r="CN1" s="1">
        <f t="shared" si="1"/>
        <v>68</v>
      </c>
      <c r="CO1" s="1">
        <f t="shared" si="1"/>
        <v>69</v>
      </c>
      <c r="CP1" s="1">
        <f t="shared" si="1"/>
        <v>70</v>
      </c>
      <c r="CQ1" s="1">
        <f t="shared" si="1"/>
        <v>71</v>
      </c>
      <c r="CR1" s="1">
        <f t="shared" si="1"/>
        <v>72</v>
      </c>
      <c r="CS1" s="1">
        <f t="shared" si="1"/>
        <v>73</v>
      </c>
      <c r="CT1" s="1">
        <f t="shared" si="1"/>
        <v>74</v>
      </c>
      <c r="CU1" s="1">
        <f t="shared" si="1"/>
        <v>75</v>
      </c>
      <c r="CV1" s="1">
        <f t="shared" ref="CV1:FG1" si="2">+CU1+1</f>
        <v>76</v>
      </c>
      <c r="CW1" s="1">
        <f t="shared" si="2"/>
        <v>77</v>
      </c>
      <c r="CX1" s="1">
        <f t="shared" si="2"/>
        <v>78</v>
      </c>
      <c r="CY1" s="1">
        <f t="shared" si="2"/>
        <v>79</v>
      </c>
      <c r="CZ1" s="1">
        <f t="shared" si="2"/>
        <v>80</v>
      </c>
      <c r="DA1" s="1">
        <f t="shared" si="2"/>
        <v>81</v>
      </c>
      <c r="DB1" s="1">
        <f t="shared" si="2"/>
        <v>82</v>
      </c>
      <c r="DC1" s="1">
        <f t="shared" si="2"/>
        <v>83</v>
      </c>
      <c r="DD1" s="1">
        <f t="shared" si="2"/>
        <v>84</v>
      </c>
      <c r="DE1" s="1">
        <f t="shared" si="2"/>
        <v>85</v>
      </c>
      <c r="DF1" s="1">
        <f t="shared" si="2"/>
        <v>86</v>
      </c>
      <c r="DG1" s="1">
        <f t="shared" si="2"/>
        <v>87</v>
      </c>
      <c r="DH1" s="1">
        <f t="shared" si="2"/>
        <v>88</v>
      </c>
      <c r="DI1" s="1">
        <f t="shared" si="2"/>
        <v>89</v>
      </c>
      <c r="DJ1" s="1">
        <f t="shared" si="2"/>
        <v>90</v>
      </c>
      <c r="DK1" s="1">
        <f t="shared" si="2"/>
        <v>91</v>
      </c>
      <c r="DL1" s="1">
        <f t="shared" si="2"/>
        <v>92</v>
      </c>
      <c r="DM1" s="1">
        <f t="shared" si="2"/>
        <v>93</v>
      </c>
      <c r="DN1" s="1">
        <f t="shared" si="2"/>
        <v>94</v>
      </c>
      <c r="DO1" s="1">
        <f t="shared" si="2"/>
        <v>95</v>
      </c>
      <c r="DP1" s="1">
        <f t="shared" si="2"/>
        <v>96</v>
      </c>
      <c r="DQ1" s="1">
        <f t="shared" si="2"/>
        <v>97</v>
      </c>
      <c r="DR1" s="1">
        <f t="shared" si="2"/>
        <v>98</v>
      </c>
      <c r="DS1" s="1">
        <f t="shared" si="2"/>
        <v>99</v>
      </c>
      <c r="DT1" s="1">
        <f t="shared" si="2"/>
        <v>100</v>
      </c>
      <c r="DU1" s="1">
        <f t="shared" si="2"/>
        <v>101</v>
      </c>
      <c r="DV1" s="1">
        <f t="shared" si="2"/>
        <v>102</v>
      </c>
      <c r="DW1" s="1">
        <f t="shared" si="2"/>
        <v>103</v>
      </c>
      <c r="DX1" s="1">
        <f t="shared" si="2"/>
        <v>104</v>
      </c>
      <c r="DY1" s="1">
        <f t="shared" si="2"/>
        <v>105</v>
      </c>
      <c r="DZ1" s="1">
        <f t="shared" si="2"/>
        <v>106</v>
      </c>
      <c r="EA1" s="1">
        <f t="shared" si="2"/>
        <v>107</v>
      </c>
      <c r="EB1" s="1">
        <f t="shared" si="2"/>
        <v>108</v>
      </c>
      <c r="EC1" s="1">
        <f t="shared" si="2"/>
        <v>109</v>
      </c>
      <c r="ED1" s="1">
        <f t="shared" si="2"/>
        <v>110</v>
      </c>
      <c r="EE1" s="1">
        <f t="shared" si="2"/>
        <v>111</v>
      </c>
      <c r="EF1" s="1">
        <f t="shared" si="2"/>
        <v>112</v>
      </c>
      <c r="EG1" s="1">
        <f t="shared" si="2"/>
        <v>113</v>
      </c>
      <c r="EH1" s="1">
        <f t="shared" si="2"/>
        <v>114</v>
      </c>
      <c r="EI1" s="1">
        <f t="shared" si="2"/>
        <v>115</v>
      </c>
      <c r="EJ1" s="1">
        <f t="shared" si="2"/>
        <v>116</v>
      </c>
      <c r="EK1" s="1">
        <f t="shared" si="2"/>
        <v>117</v>
      </c>
      <c r="EL1" s="1">
        <f t="shared" si="2"/>
        <v>118</v>
      </c>
      <c r="EM1" s="1">
        <f t="shared" si="2"/>
        <v>119</v>
      </c>
      <c r="EN1" s="1">
        <f t="shared" si="2"/>
        <v>120</v>
      </c>
      <c r="EO1" s="1">
        <f t="shared" si="2"/>
        <v>121</v>
      </c>
      <c r="EP1" s="1">
        <f t="shared" si="2"/>
        <v>122</v>
      </c>
      <c r="EQ1" s="1">
        <f t="shared" si="2"/>
        <v>123</v>
      </c>
      <c r="ER1" s="1">
        <f t="shared" si="2"/>
        <v>124</v>
      </c>
      <c r="ES1" s="1">
        <f t="shared" si="2"/>
        <v>125</v>
      </c>
      <c r="ET1" s="1">
        <f t="shared" si="2"/>
        <v>126</v>
      </c>
      <c r="EU1" s="1">
        <f t="shared" si="2"/>
        <v>127</v>
      </c>
      <c r="EV1" s="1">
        <f t="shared" si="2"/>
        <v>128</v>
      </c>
      <c r="EW1" s="1">
        <f t="shared" si="2"/>
        <v>129</v>
      </c>
      <c r="EX1" s="1">
        <f t="shared" si="2"/>
        <v>130</v>
      </c>
      <c r="EY1" s="1">
        <f t="shared" si="2"/>
        <v>131</v>
      </c>
      <c r="EZ1" s="1">
        <f t="shared" si="2"/>
        <v>132</v>
      </c>
      <c r="FA1" s="1">
        <f t="shared" si="2"/>
        <v>133</v>
      </c>
      <c r="FB1" s="1">
        <f t="shared" si="2"/>
        <v>134</v>
      </c>
      <c r="FC1" s="1">
        <f t="shared" si="2"/>
        <v>135</v>
      </c>
      <c r="FD1" s="1">
        <f t="shared" si="2"/>
        <v>136</v>
      </c>
      <c r="FE1" s="1">
        <f t="shared" si="2"/>
        <v>137</v>
      </c>
      <c r="FF1" s="1">
        <f t="shared" si="2"/>
        <v>138</v>
      </c>
      <c r="FG1" s="1">
        <f t="shared" si="2"/>
        <v>139</v>
      </c>
      <c r="FH1" s="1">
        <f t="shared" ref="FH1:HL1" si="3">+FG1+1</f>
        <v>140</v>
      </c>
      <c r="FI1" s="1">
        <f t="shared" si="3"/>
        <v>141</v>
      </c>
      <c r="FJ1" s="1">
        <f t="shared" si="3"/>
        <v>142</v>
      </c>
      <c r="FK1" s="1">
        <f t="shared" si="3"/>
        <v>143</v>
      </c>
      <c r="FL1" s="1">
        <f t="shared" si="3"/>
        <v>144</v>
      </c>
      <c r="FM1" s="1">
        <f t="shared" si="3"/>
        <v>145</v>
      </c>
      <c r="FN1" s="1">
        <f t="shared" si="3"/>
        <v>146</v>
      </c>
      <c r="FO1" s="1">
        <f t="shared" si="3"/>
        <v>147</v>
      </c>
      <c r="FP1" s="1">
        <f t="shared" si="3"/>
        <v>148</v>
      </c>
      <c r="FQ1" s="1">
        <f t="shared" si="3"/>
        <v>149</v>
      </c>
      <c r="FR1" s="1">
        <f t="shared" si="3"/>
        <v>150</v>
      </c>
      <c r="FS1" s="1">
        <f t="shared" si="3"/>
        <v>151</v>
      </c>
      <c r="FT1" s="1">
        <f t="shared" si="3"/>
        <v>152</v>
      </c>
      <c r="FU1" s="1">
        <f t="shared" si="3"/>
        <v>153</v>
      </c>
      <c r="FV1" s="1">
        <f t="shared" si="3"/>
        <v>154</v>
      </c>
      <c r="FW1" s="1">
        <f t="shared" si="3"/>
        <v>155</v>
      </c>
      <c r="FX1" s="1">
        <f t="shared" si="3"/>
        <v>156</v>
      </c>
      <c r="FY1" s="1">
        <f t="shared" si="3"/>
        <v>157</v>
      </c>
      <c r="FZ1" s="1">
        <f t="shared" si="3"/>
        <v>158</v>
      </c>
      <c r="GA1" s="1">
        <f t="shared" si="3"/>
        <v>159</v>
      </c>
      <c r="GB1" s="1">
        <f t="shared" si="3"/>
        <v>160</v>
      </c>
      <c r="GC1" s="1">
        <f t="shared" si="3"/>
        <v>161</v>
      </c>
      <c r="GD1" s="1">
        <f t="shared" si="3"/>
        <v>162</v>
      </c>
      <c r="GE1" s="1">
        <f t="shared" si="3"/>
        <v>163</v>
      </c>
      <c r="GF1" s="1">
        <f t="shared" si="3"/>
        <v>164</v>
      </c>
      <c r="GG1" s="1">
        <f t="shared" si="3"/>
        <v>165</v>
      </c>
      <c r="GH1" s="1">
        <f t="shared" si="3"/>
        <v>166</v>
      </c>
      <c r="GI1" s="1">
        <f t="shared" si="3"/>
        <v>167</v>
      </c>
      <c r="GJ1" s="1">
        <f t="shared" si="3"/>
        <v>168</v>
      </c>
      <c r="GK1" s="1">
        <f t="shared" si="3"/>
        <v>169</v>
      </c>
      <c r="GL1" s="1">
        <f t="shared" si="3"/>
        <v>170</v>
      </c>
      <c r="GM1" s="1">
        <f t="shared" si="3"/>
        <v>171</v>
      </c>
      <c r="GN1" s="1">
        <f t="shared" si="3"/>
        <v>172</v>
      </c>
      <c r="GO1" s="1">
        <f t="shared" si="3"/>
        <v>173</v>
      </c>
      <c r="GP1" s="1">
        <f t="shared" si="3"/>
        <v>174</v>
      </c>
      <c r="GQ1" s="1">
        <f t="shared" si="3"/>
        <v>175</v>
      </c>
      <c r="GR1" s="1">
        <f t="shared" si="3"/>
        <v>176</v>
      </c>
      <c r="GS1" s="1">
        <f t="shared" si="3"/>
        <v>177</v>
      </c>
      <c r="GT1" s="1">
        <f t="shared" si="3"/>
        <v>178</v>
      </c>
      <c r="GU1" s="1">
        <f t="shared" si="3"/>
        <v>179</v>
      </c>
      <c r="GV1" s="1">
        <f t="shared" si="3"/>
        <v>180</v>
      </c>
      <c r="GW1" s="1">
        <f t="shared" si="3"/>
        <v>181</v>
      </c>
      <c r="GX1" s="1">
        <f t="shared" si="3"/>
        <v>182</v>
      </c>
      <c r="GY1" s="1">
        <f t="shared" si="3"/>
        <v>183</v>
      </c>
      <c r="GZ1" s="1">
        <f t="shared" si="3"/>
        <v>184</v>
      </c>
      <c r="HA1" s="1">
        <f t="shared" si="3"/>
        <v>185</v>
      </c>
      <c r="HB1" s="1">
        <f t="shared" si="3"/>
        <v>186</v>
      </c>
      <c r="HC1" s="1">
        <f t="shared" si="3"/>
        <v>187</v>
      </c>
      <c r="HD1" s="1">
        <f t="shared" si="3"/>
        <v>188</v>
      </c>
      <c r="HE1" s="1">
        <f t="shared" si="3"/>
        <v>189</v>
      </c>
      <c r="HF1" s="1">
        <f t="shared" si="3"/>
        <v>190</v>
      </c>
      <c r="HG1" s="1">
        <f t="shared" si="3"/>
        <v>191</v>
      </c>
      <c r="HH1" s="1">
        <f t="shared" si="3"/>
        <v>192</v>
      </c>
      <c r="HI1" s="1">
        <f t="shared" si="3"/>
        <v>193</v>
      </c>
      <c r="HJ1" s="1">
        <f t="shared" si="3"/>
        <v>194</v>
      </c>
      <c r="HK1" s="1">
        <f t="shared" si="3"/>
        <v>195</v>
      </c>
      <c r="HL1" s="1">
        <f t="shared" si="3"/>
        <v>196</v>
      </c>
      <c r="HM1" s="1">
        <f t="shared" ref="HM1:HP1" si="4">+HL1+1</f>
        <v>197</v>
      </c>
      <c r="HN1" s="1">
        <f t="shared" si="4"/>
        <v>198</v>
      </c>
      <c r="HO1" s="1">
        <f t="shared" si="4"/>
        <v>199</v>
      </c>
      <c r="HP1" s="1">
        <f t="shared" si="4"/>
        <v>200</v>
      </c>
    </row>
    <row r="2" spans="2:224" s="1" customFormat="1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P2" s="2">
        <v>2015</v>
      </c>
      <c r="Q2" s="2">
        <f>+P2+1</f>
        <v>2016</v>
      </c>
      <c r="R2" s="2">
        <f t="shared" ref="R2:AH2" si="5">+Q2+1</f>
        <v>2017</v>
      </c>
      <c r="S2" s="2">
        <f t="shared" si="5"/>
        <v>2018</v>
      </c>
      <c r="T2" s="2">
        <f t="shared" si="5"/>
        <v>2019</v>
      </c>
      <c r="U2" s="2">
        <f t="shared" si="5"/>
        <v>2020</v>
      </c>
      <c r="V2" s="2">
        <f t="shared" si="5"/>
        <v>2021</v>
      </c>
      <c r="W2" s="2">
        <f t="shared" si="5"/>
        <v>2022</v>
      </c>
      <c r="X2" s="2">
        <f t="shared" si="5"/>
        <v>2023</v>
      </c>
      <c r="Y2" s="2">
        <f t="shared" si="5"/>
        <v>2024</v>
      </c>
      <c r="Z2" s="2">
        <f t="shared" si="5"/>
        <v>2025</v>
      </c>
      <c r="AA2" s="2">
        <f t="shared" si="5"/>
        <v>2026</v>
      </c>
      <c r="AB2" s="2">
        <f t="shared" si="5"/>
        <v>2027</v>
      </c>
      <c r="AC2" s="2">
        <f t="shared" si="5"/>
        <v>2028</v>
      </c>
      <c r="AD2" s="2">
        <f t="shared" si="5"/>
        <v>2029</v>
      </c>
      <c r="AE2" s="2">
        <f t="shared" si="5"/>
        <v>2030</v>
      </c>
      <c r="AF2" s="2">
        <f t="shared" si="5"/>
        <v>2031</v>
      </c>
      <c r="AG2" s="2">
        <f t="shared" si="5"/>
        <v>2032</v>
      </c>
      <c r="AH2" s="2">
        <f t="shared" si="5"/>
        <v>2033</v>
      </c>
    </row>
    <row r="3" spans="2:224" s="1" customFormat="1">
      <c r="B3" s="1" t="s">
        <v>52</v>
      </c>
      <c r="V3" s="1">
        <v>1310</v>
      </c>
      <c r="W3" s="1">
        <v>1276</v>
      </c>
      <c r="X3" s="1">
        <v>1254</v>
      </c>
    </row>
    <row r="4" spans="2:224" s="1" customFormat="1"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2:224" s="1" customFormat="1">
      <c r="B5" s="1" t="s">
        <v>21</v>
      </c>
      <c r="V5" s="1">
        <v>1633489</v>
      </c>
      <c r="W5" s="1">
        <v>1529125</v>
      </c>
      <c r="X5" s="1">
        <v>1399514</v>
      </c>
    </row>
    <row r="6" spans="2:224" s="1" customFormat="1">
      <c r="B6" s="1" t="s">
        <v>22</v>
      </c>
      <c r="V6" s="1">
        <v>57568</v>
      </c>
      <c r="W6" s="1">
        <v>585624</v>
      </c>
      <c r="X6" s="1">
        <v>620665</v>
      </c>
    </row>
    <row r="7" spans="2:224" s="1" customFormat="1">
      <c r="B7" s="1" t="s">
        <v>23</v>
      </c>
      <c r="V7" s="1">
        <v>128299</v>
      </c>
      <c r="W7" s="1">
        <v>110531</v>
      </c>
      <c r="X7" s="1">
        <v>96710</v>
      </c>
    </row>
    <row r="8" spans="2:224" s="1" customFormat="1">
      <c r="B8" s="1" t="s">
        <v>24</v>
      </c>
      <c r="V8" s="1">
        <v>26148</v>
      </c>
      <c r="W8" s="1">
        <v>24154</v>
      </c>
      <c r="X8" s="1">
        <v>23001</v>
      </c>
    </row>
    <row r="9" spans="2:224" s="1" customFormat="1">
      <c r="B9" s="4" t="s">
        <v>27</v>
      </c>
      <c r="V9" s="1">
        <f>+SUM(V5:V8)</f>
        <v>1845504</v>
      </c>
      <c r="W9" s="1">
        <f>+SUM(W5:W8)</f>
        <v>2249434</v>
      </c>
      <c r="X9" s="1">
        <f>+SUM(X5:X8)</f>
        <v>2139890</v>
      </c>
      <c r="Y9" s="1">
        <f>AVERAGE(2.055,2.155)*1000000</f>
        <v>2105000</v>
      </c>
      <c r="Z9" s="1">
        <f>+Y9*1.01</f>
        <v>2126050</v>
      </c>
      <c r="AA9" s="1">
        <f t="shared" ref="AA9:AH9" si="6">+Z9*1.01</f>
        <v>2147310.5</v>
      </c>
      <c r="AB9" s="1">
        <f t="shared" si="6"/>
        <v>2168783.605</v>
      </c>
      <c r="AC9" s="1">
        <f t="shared" si="6"/>
        <v>2190471.44105</v>
      </c>
      <c r="AD9" s="1">
        <f t="shared" si="6"/>
        <v>2212376.1554605002</v>
      </c>
      <c r="AE9" s="1">
        <f t="shared" si="6"/>
        <v>2234499.917015105</v>
      </c>
      <c r="AF9" s="1">
        <f t="shared" si="6"/>
        <v>2256844.9161852561</v>
      </c>
      <c r="AG9" s="1">
        <f t="shared" si="6"/>
        <v>2279413.3653471088</v>
      </c>
      <c r="AH9" s="1">
        <f t="shared" si="6"/>
        <v>2302207.4990005801</v>
      </c>
    </row>
    <row r="10" spans="2:224" s="1" customFormat="1">
      <c r="B10" s="1" t="s">
        <v>25</v>
      </c>
      <c r="V10" s="1">
        <v>531859</v>
      </c>
      <c r="W10" s="1">
        <v>513659</v>
      </c>
      <c r="X10" s="1">
        <v>466648</v>
      </c>
      <c r="Y10" s="1">
        <f>+Y$9*(X10/X$9)</f>
        <v>459039.50203047821</v>
      </c>
      <c r="Z10" s="1">
        <f t="shared" ref="Z10:AH10" si="7">+Z$9*(Y10/Y$9)</f>
        <v>463629.89705078298</v>
      </c>
      <c r="AA10" s="1">
        <f t="shared" si="7"/>
        <v>468266.19602129085</v>
      </c>
      <c r="AB10" s="1">
        <f t="shared" si="7"/>
        <v>472948.85798150371</v>
      </c>
      <c r="AC10" s="1">
        <f t="shared" si="7"/>
        <v>477678.34656131879</v>
      </c>
      <c r="AD10" s="1">
        <f t="shared" si="7"/>
        <v>482455.13002693199</v>
      </c>
      <c r="AE10" s="1">
        <f t="shared" si="7"/>
        <v>487279.68132720131</v>
      </c>
      <c r="AF10" s="1">
        <f t="shared" si="7"/>
        <v>492152.47814047331</v>
      </c>
      <c r="AG10" s="1">
        <f t="shared" si="7"/>
        <v>497074.00292187807</v>
      </c>
      <c r="AH10" s="1">
        <f t="shared" si="7"/>
        <v>502044.74295109691</v>
      </c>
    </row>
    <row r="11" spans="2:224" s="1" customFormat="1">
      <c r="B11" s="1" t="s">
        <v>26</v>
      </c>
      <c r="V11" s="1">
        <v>38033</v>
      </c>
      <c r="W11" s="1">
        <v>474879</v>
      </c>
      <c r="X11" s="1">
        <v>471946</v>
      </c>
      <c r="Y11" s="1">
        <f>+Y$9*(X11/X$9)</f>
        <v>464251.12038469268</v>
      </c>
      <c r="Z11" s="1">
        <f t="shared" ref="Z11:AH11" si="8">+Z$9*(Y11/Y$9)</f>
        <v>468893.63158853963</v>
      </c>
      <c r="AA11" s="1">
        <f t="shared" si="8"/>
        <v>473582.56790442503</v>
      </c>
      <c r="AB11" s="1">
        <f t="shared" si="8"/>
        <v>478318.39358346927</v>
      </c>
      <c r="AC11" s="1">
        <f t="shared" si="8"/>
        <v>483101.57751930394</v>
      </c>
      <c r="AD11" s="1">
        <f t="shared" si="8"/>
        <v>487932.59329449706</v>
      </c>
      <c r="AE11" s="1">
        <f t="shared" si="8"/>
        <v>492811.91922744195</v>
      </c>
      <c r="AF11" s="1">
        <f t="shared" si="8"/>
        <v>497740.03841971641</v>
      </c>
      <c r="AG11" s="1">
        <f t="shared" si="8"/>
        <v>502717.4388039136</v>
      </c>
      <c r="AH11" s="1">
        <f t="shared" si="8"/>
        <v>507744.61319195275</v>
      </c>
    </row>
    <row r="12" spans="2:224" s="1" customFormat="1">
      <c r="B12" s="1" t="s">
        <v>28</v>
      </c>
      <c r="V12" s="1">
        <v>116123</v>
      </c>
      <c r="W12" s="1">
        <v>99123</v>
      </c>
      <c r="X12" s="1">
        <v>81977</v>
      </c>
      <c r="Y12" s="1">
        <f>+Y$9*(X12/X$9)</f>
        <v>80640.399740173554</v>
      </c>
      <c r="Z12" s="1">
        <f t="shared" ref="Z12:AH12" si="9">+Z$9*(Y12/Y$9)</f>
        <v>81446.80373757529</v>
      </c>
      <c r="AA12" s="1">
        <f t="shared" si="9"/>
        <v>82261.271774951048</v>
      </c>
      <c r="AB12" s="1">
        <f t="shared" si="9"/>
        <v>83083.884492700556</v>
      </c>
      <c r="AC12" s="1">
        <f t="shared" si="9"/>
        <v>83914.723337627554</v>
      </c>
      <c r="AD12" s="1">
        <f t="shared" si="9"/>
        <v>84753.870571003848</v>
      </c>
      <c r="AE12" s="1">
        <f t="shared" si="9"/>
        <v>85601.409276713879</v>
      </c>
      <c r="AF12" s="1">
        <f t="shared" si="9"/>
        <v>86457.42336948101</v>
      </c>
      <c r="AG12" s="1">
        <f t="shared" si="9"/>
        <v>87321.997603175827</v>
      </c>
      <c r="AH12" s="1">
        <f t="shared" si="9"/>
        <v>88195.217579207601</v>
      </c>
    </row>
    <row r="13" spans="2:224" s="1" customFormat="1">
      <c r="B13" s="1" t="s">
        <v>29</v>
      </c>
      <c r="V13" s="1">
        <f>+V9-SUM(V10:V12)</f>
        <v>1159489</v>
      </c>
      <c r="W13" s="1">
        <f>+W9-SUM(W10:W12)</f>
        <v>1161773</v>
      </c>
      <c r="X13" s="1">
        <f>+X9-SUM(X10:X12)</f>
        <v>1119319</v>
      </c>
      <c r="Y13" s="1">
        <f>+Y9-SUM(Y10:Y12)</f>
        <v>1101068.9778446555</v>
      </c>
      <c r="Z13" s="1">
        <f t="shared" ref="Z13:AH13" si="10">+Z9-SUM(Z10:Z12)</f>
        <v>1112079.6676231022</v>
      </c>
      <c r="AA13" s="1">
        <f t="shared" si="10"/>
        <v>1123200.4642993333</v>
      </c>
      <c r="AB13" s="1">
        <f t="shared" si="10"/>
        <v>1134432.4689423265</v>
      </c>
      <c r="AC13" s="1">
        <f t="shared" si="10"/>
        <v>1145776.7936317497</v>
      </c>
      <c r="AD13" s="1">
        <f t="shared" si="10"/>
        <v>1157234.5615680674</v>
      </c>
      <c r="AE13" s="1">
        <f t="shared" si="10"/>
        <v>1168806.907183748</v>
      </c>
      <c r="AF13" s="1">
        <f t="shared" si="10"/>
        <v>1180494.9762555854</v>
      </c>
      <c r="AG13" s="1">
        <f t="shared" si="10"/>
        <v>1192299.9260181412</v>
      </c>
      <c r="AH13" s="1">
        <f t="shared" si="10"/>
        <v>1204222.9252783228</v>
      </c>
    </row>
    <row r="14" spans="2:224" s="1" customFormat="1">
      <c r="B14" s="1" t="s">
        <v>30</v>
      </c>
      <c r="V14" s="1">
        <v>495411</v>
      </c>
      <c r="W14" s="1">
        <v>515144</v>
      </c>
      <c r="X14" s="1">
        <v>507819</v>
      </c>
      <c r="Y14" s="1">
        <f t="shared" ref="Y14:AH14" si="11">+Y$9*(X14/X$9)</f>
        <v>499539.2263153714</v>
      </c>
      <c r="Z14" s="1">
        <f t="shared" si="11"/>
        <v>504534.61857852509</v>
      </c>
      <c r="AA14" s="1">
        <f t="shared" si="11"/>
        <v>509579.96476431034</v>
      </c>
      <c r="AB14" s="1">
        <f t="shared" si="11"/>
        <v>514675.76441195345</v>
      </c>
      <c r="AC14" s="1">
        <f t="shared" si="11"/>
        <v>519822.52205607301</v>
      </c>
      <c r="AD14" s="1">
        <f t="shared" si="11"/>
        <v>525020.74727663375</v>
      </c>
      <c r="AE14" s="1">
        <f t="shared" si="11"/>
        <v>530270.95474940003</v>
      </c>
      <c r="AF14" s="1">
        <f t="shared" si="11"/>
        <v>535573.6642968941</v>
      </c>
      <c r="AG14" s="1">
        <f t="shared" si="11"/>
        <v>540929.40093986306</v>
      </c>
      <c r="AH14" s="1">
        <f t="shared" si="11"/>
        <v>546338.69494926173</v>
      </c>
    </row>
    <row r="15" spans="2:224" s="1" customFormat="1">
      <c r="B15" s="1" t="s">
        <v>31</v>
      </c>
      <c r="V15" s="1">
        <v>434491</v>
      </c>
      <c r="W15" s="1">
        <v>490143</v>
      </c>
      <c r="X15" s="1">
        <v>498019</v>
      </c>
      <c r="Y15" s="1">
        <f t="shared" ref="Y15:AH15" si="12">+Y$9*(X15/X$9)</f>
        <v>489899.01116412529</v>
      </c>
      <c r="Z15" s="1">
        <f t="shared" si="12"/>
        <v>494798.00127576652</v>
      </c>
      <c r="AA15" s="1">
        <f t="shared" si="12"/>
        <v>499745.98128852417</v>
      </c>
      <c r="AB15" s="1">
        <f t="shared" si="12"/>
        <v>504743.44110140944</v>
      </c>
      <c r="AC15" s="1">
        <f t="shared" si="12"/>
        <v>509790.87551242352</v>
      </c>
      <c r="AD15" s="1">
        <f t="shared" si="12"/>
        <v>514888.78426754777</v>
      </c>
      <c r="AE15" s="1">
        <f t="shared" si="12"/>
        <v>520037.67211022321</v>
      </c>
      <c r="AF15" s="1">
        <f t="shared" si="12"/>
        <v>525238.04883132549</v>
      </c>
      <c r="AG15" s="1">
        <f t="shared" si="12"/>
        <v>530490.42931963876</v>
      </c>
      <c r="AH15" s="1">
        <f t="shared" si="12"/>
        <v>535795.33361283515</v>
      </c>
    </row>
    <row r="16" spans="2:224" s="1" customFormat="1">
      <c r="B16" s="1" t="s">
        <v>32</v>
      </c>
      <c r="V16" s="1">
        <v>67888</v>
      </c>
      <c r="W16" s="1">
        <v>97564</v>
      </c>
      <c r="X16" s="1">
        <v>81495</v>
      </c>
      <c r="Y16" s="1">
        <f t="shared" ref="Y16:AH16" si="13">+Y$9*(X16/X$9)</f>
        <v>80166.258546000026</v>
      </c>
      <c r="Z16" s="1">
        <f t="shared" si="13"/>
        <v>80967.921131460025</v>
      </c>
      <c r="AA16" s="1">
        <f t="shared" si="13"/>
        <v>81777.600342774633</v>
      </c>
      <c r="AB16" s="1">
        <f t="shared" si="13"/>
        <v>82595.376346202378</v>
      </c>
      <c r="AC16" s="1">
        <f t="shared" si="13"/>
        <v>83421.330109664399</v>
      </c>
      <c r="AD16" s="1">
        <f t="shared" si="13"/>
        <v>84255.543410761049</v>
      </c>
      <c r="AE16" s="1">
        <f t="shared" si="13"/>
        <v>85098.098844868655</v>
      </c>
      <c r="AF16" s="1">
        <f t="shared" si="13"/>
        <v>85949.079833317344</v>
      </c>
      <c r="AG16" s="1">
        <f t="shared" si="13"/>
        <v>86808.570631650524</v>
      </c>
      <c r="AH16" s="1">
        <f t="shared" si="13"/>
        <v>87676.656337967041</v>
      </c>
    </row>
    <row r="17" spans="2:224" s="1" customFormat="1">
      <c r="B17" s="1" t="s">
        <v>33</v>
      </c>
      <c r="V17" s="1">
        <v>6732</v>
      </c>
      <c r="W17" s="1">
        <v>1204</v>
      </c>
      <c r="X17" s="1">
        <v>201</v>
      </c>
      <c r="Y17" s="1">
        <f t="shared" ref="Y17:AH17" si="14">+Y$9*(X17/X$9)</f>
        <v>197.72278014290453</v>
      </c>
      <c r="Z17" s="1">
        <f t="shared" si="14"/>
        <v>199.70000794433358</v>
      </c>
      <c r="AA17" s="1">
        <f t="shared" si="14"/>
        <v>201.69700802377693</v>
      </c>
      <c r="AB17" s="1">
        <f t="shared" si="14"/>
        <v>203.71397810401467</v>
      </c>
      <c r="AC17" s="1">
        <f t="shared" si="14"/>
        <v>205.75111788505484</v>
      </c>
      <c r="AD17" s="1">
        <f t="shared" si="14"/>
        <v>207.80862906390539</v>
      </c>
      <c r="AE17" s="1">
        <f t="shared" si="14"/>
        <v>209.88671535454444</v>
      </c>
      <c r="AF17" s="1">
        <f t="shared" si="14"/>
        <v>211.98558250808989</v>
      </c>
      <c r="AG17" s="1">
        <f t="shared" si="14"/>
        <v>214.10543833317081</v>
      </c>
      <c r="AH17" s="1">
        <f t="shared" si="14"/>
        <v>216.24649271650253</v>
      </c>
    </row>
    <row r="18" spans="2:224" s="1" customFormat="1">
      <c r="B18" s="1" t="s">
        <v>34</v>
      </c>
      <c r="V18" s="1">
        <v>0</v>
      </c>
      <c r="W18" s="1">
        <v>14616</v>
      </c>
      <c r="X18" s="1">
        <v>3638</v>
      </c>
      <c r="Y18" s="1">
        <f t="shared" ref="Y18:AH18" si="15">+Y$9*(X18/X$9)</f>
        <v>3578.6839510442123</v>
      </c>
      <c r="Z18" s="1">
        <f t="shared" si="15"/>
        <v>3614.4707905546543</v>
      </c>
      <c r="AA18" s="1">
        <f t="shared" si="15"/>
        <v>3650.6154984602008</v>
      </c>
      <c r="AB18" s="1">
        <f t="shared" si="15"/>
        <v>3687.1216534448031</v>
      </c>
      <c r="AC18" s="1">
        <f t="shared" si="15"/>
        <v>3723.9928699792513</v>
      </c>
      <c r="AD18" s="1">
        <f t="shared" si="15"/>
        <v>3761.2327986790438</v>
      </c>
      <c r="AE18" s="1">
        <f t="shared" si="15"/>
        <v>3798.845126665834</v>
      </c>
      <c r="AF18" s="1">
        <f t="shared" si="15"/>
        <v>3836.8335779324925</v>
      </c>
      <c r="AG18" s="1">
        <f t="shared" si="15"/>
        <v>3875.2019137118177</v>
      </c>
      <c r="AH18" s="1">
        <f t="shared" si="15"/>
        <v>3913.9539328489359</v>
      </c>
    </row>
    <row r="19" spans="2:224" s="4" customFormat="1">
      <c r="B19" s="4" t="s">
        <v>35</v>
      </c>
      <c r="V19" s="4">
        <f>+V13-SUM(V14:V18)</f>
        <v>154967</v>
      </c>
      <c r="W19" s="4">
        <f>+W13-SUM(W14:W18)</f>
        <v>43102</v>
      </c>
      <c r="X19" s="4">
        <f>+X13-SUM(X14:X18)</f>
        <v>28147</v>
      </c>
      <c r="Y19" s="4">
        <f>+Y13-SUM(Y14:Y18)</f>
        <v>27688.07508797152</v>
      </c>
      <c r="Z19" s="4">
        <f t="shared" ref="Z19:AH19" si="16">+Z13-SUM(Z14:Z18)</f>
        <v>27964.955838851398</v>
      </c>
      <c r="AA19" s="4">
        <f t="shared" si="16"/>
        <v>28244.605397240259</v>
      </c>
      <c r="AB19" s="4">
        <f t="shared" si="16"/>
        <v>28527.051451212261</v>
      </c>
      <c r="AC19" s="4">
        <f t="shared" si="16"/>
        <v>28812.321965724463</v>
      </c>
      <c r="AD19" s="4">
        <f t="shared" si="16"/>
        <v>29100.445185381919</v>
      </c>
      <c r="AE19" s="4">
        <f t="shared" si="16"/>
        <v>29391.449637235608</v>
      </c>
      <c r="AF19" s="4">
        <f t="shared" si="16"/>
        <v>29685.364133607829</v>
      </c>
      <c r="AG19" s="4">
        <f t="shared" si="16"/>
        <v>29982.217774943681</v>
      </c>
      <c r="AH19" s="4">
        <f t="shared" si="16"/>
        <v>30282.039952693274</v>
      </c>
    </row>
    <row r="20" spans="2:224" s="1" customFormat="1">
      <c r="B20" s="1" t="s">
        <v>36</v>
      </c>
      <c r="V20" s="1">
        <v>-1460</v>
      </c>
      <c r="W20" s="1">
        <v>-9875</v>
      </c>
      <c r="X20" s="1">
        <v>-15512</v>
      </c>
      <c r="Y20" s="1">
        <f>+Y$19*(X20/X$19)</f>
        <v>-15259.083410829369</v>
      </c>
      <c r="Z20" s="1">
        <f t="shared" ref="Z20:AH20" si="17">+Z$19*(Y20/Y$19)</f>
        <v>-15411.674244937753</v>
      </c>
      <c r="AA20" s="1">
        <f t="shared" si="17"/>
        <v>-15565.790987387321</v>
      </c>
      <c r="AB20" s="1">
        <f t="shared" si="17"/>
        <v>-15721.448897260974</v>
      </c>
      <c r="AC20" s="1">
        <f t="shared" si="17"/>
        <v>-15878.663386233628</v>
      </c>
      <c r="AD20" s="1">
        <f t="shared" si="17"/>
        <v>-16037.450020096081</v>
      </c>
      <c r="AE20" s="1">
        <f t="shared" si="17"/>
        <v>-16197.82452029697</v>
      </c>
      <c r="AF20" s="1">
        <f t="shared" si="17"/>
        <v>-16359.802765499864</v>
      </c>
      <c r="AG20" s="1">
        <f t="shared" si="17"/>
        <v>-16523.400793154738</v>
      </c>
      <c r="AH20" s="1">
        <f t="shared" si="17"/>
        <v>-16688.634801086373</v>
      </c>
    </row>
    <row r="21" spans="2:224" s="1" customFormat="1">
      <c r="B21" s="1" t="s">
        <v>37</v>
      </c>
      <c r="V21" s="1">
        <v>1581</v>
      </c>
      <c r="W21" s="1">
        <v>-2320</v>
      </c>
      <c r="X21" s="1">
        <v>1904</v>
      </c>
      <c r="Y21" s="1">
        <f>+Y$19*(X21/X$19)</f>
        <v>1872.9560865277924</v>
      </c>
      <c r="Z21" s="1">
        <f t="shared" ref="Z21:AH21" si="18">+Z$19*(Y21/Y$19)</f>
        <v>1891.6856473930814</v>
      </c>
      <c r="AA21" s="1">
        <f t="shared" si="18"/>
        <v>1910.6025038670357</v>
      </c>
      <c r="AB21" s="1">
        <f t="shared" si="18"/>
        <v>1929.7085289056788</v>
      </c>
      <c r="AC21" s="1">
        <f t="shared" si="18"/>
        <v>1949.0056141947409</v>
      </c>
      <c r="AD21" s="1">
        <f t="shared" si="18"/>
        <v>1968.4956703367027</v>
      </c>
      <c r="AE21" s="1">
        <f t="shared" si="18"/>
        <v>1988.1806270400609</v>
      </c>
      <c r="AF21" s="1">
        <f t="shared" si="18"/>
        <v>2008.0624333104524</v>
      </c>
      <c r="AG21" s="1">
        <f t="shared" si="18"/>
        <v>2028.1430576435416</v>
      </c>
      <c r="AH21" s="1">
        <f t="shared" si="18"/>
        <v>2048.4244882199878</v>
      </c>
    </row>
    <row r="22" spans="2:224" s="1" customFormat="1">
      <c r="B22" s="1" t="s">
        <v>38</v>
      </c>
      <c r="V22" s="1">
        <f>+SUM(V19:V21)</f>
        <v>155088</v>
      </c>
      <c r="W22" s="1">
        <f>+SUM(W19:W21)</f>
        <v>30907</v>
      </c>
      <c r="X22" s="1">
        <f>+SUM(X19:X21)</f>
        <v>14539</v>
      </c>
      <c r="Y22" s="1">
        <f>+SUM(Y19:Y21)</f>
        <v>14301.947763669943</v>
      </c>
      <c r="Z22" s="1">
        <f t="shared" ref="Z22:AH22" si="19">+SUM(Z19:Z21)</f>
        <v>14444.967241306727</v>
      </c>
      <c r="AA22" s="1">
        <f t="shared" si="19"/>
        <v>14589.416913719973</v>
      </c>
      <c r="AB22" s="1">
        <f t="shared" si="19"/>
        <v>14735.311082856966</v>
      </c>
      <c r="AC22" s="1">
        <f t="shared" si="19"/>
        <v>14882.664193685576</v>
      </c>
      <c r="AD22" s="1">
        <f t="shared" si="19"/>
        <v>15031.490835622541</v>
      </c>
      <c r="AE22" s="1">
        <f t="shared" si="19"/>
        <v>15181.805743978699</v>
      </c>
      <c r="AF22" s="1">
        <f t="shared" si="19"/>
        <v>15333.623801418416</v>
      </c>
      <c r="AG22" s="1">
        <f t="shared" si="19"/>
        <v>15486.960039432484</v>
      </c>
      <c r="AH22" s="1">
        <f t="shared" si="19"/>
        <v>15641.829639826889</v>
      </c>
    </row>
    <row r="23" spans="2:224" s="1" customFormat="1">
      <c r="B23" s="1" t="s">
        <v>39</v>
      </c>
      <c r="V23" s="1">
        <v>35936</v>
      </c>
      <c r="W23" s="1">
        <v>-9463</v>
      </c>
      <c r="X23" s="1">
        <v>-3881</v>
      </c>
      <c r="Y23" s="1">
        <f>+Y22*(X23/X22)</f>
        <v>-3817.7219389781317</v>
      </c>
      <c r="Z23" s="1">
        <f t="shared" ref="Z23:AH23" si="20">+Z22*(Y23/Y22)</f>
        <v>-3855.8991583679353</v>
      </c>
      <c r="AA23" s="1">
        <f t="shared" si="20"/>
        <v>-3894.4581499516626</v>
      </c>
      <c r="AB23" s="1">
        <f t="shared" si="20"/>
        <v>-3933.4027314511241</v>
      </c>
      <c r="AC23" s="1">
        <f t="shared" si="20"/>
        <v>-3972.7367587656458</v>
      </c>
      <c r="AD23" s="1">
        <f t="shared" si="20"/>
        <v>-4012.4641263533313</v>
      </c>
      <c r="AE23" s="1">
        <f t="shared" si="20"/>
        <v>-4052.5887676168468</v>
      </c>
      <c r="AF23" s="1">
        <f t="shared" si="20"/>
        <v>-4093.1146552929968</v>
      </c>
      <c r="AG23" s="1">
        <f t="shared" si="20"/>
        <v>-4134.0458018458958</v>
      </c>
      <c r="AH23" s="1">
        <f t="shared" si="20"/>
        <v>-4175.3862598643755</v>
      </c>
    </row>
    <row r="24" spans="2:224" s="4" customFormat="1">
      <c r="B24" s="4" t="s">
        <v>40</v>
      </c>
      <c r="V24" s="4">
        <f>+V22-V23</f>
        <v>119152</v>
      </c>
      <c r="W24" s="4">
        <f>+W22-W23</f>
        <v>40370</v>
      </c>
      <c r="X24" s="4">
        <f>+X22-X23</f>
        <v>18420</v>
      </c>
      <c r="Y24" s="4">
        <f>+Y22-Y23</f>
        <v>18119.669702648076</v>
      </c>
      <c r="Z24" s="4">
        <f t="shared" ref="Z24:AH24" si="21">+Z22-Z23</f>
        <v>18300.866399674662</v>
      </c>
      <c r="AA24" s="4">
        <f t="shared" si="21"/>
        <v>18483.875063671636</v>
      </c>
      <c r="AB24" s="4">
        <f t="shared" si="21"/>
        <v>18668.713814308088</v>
      </c>
      <c r="AC24" s="4">
        <f t="shared" si="21"/>
        <v>18855.400952451222</v>
      </c>
      <c r="AD24" s="4">
        <f t="shared" si="21"/>
        <v>19043.954961975873</v>
      </c>
      <c r="AE24" s="4">
        <f t="shared" si="21"/>
        <v>19234.394511595547</v>
      </c>
      <c r="AF24" s="4">
        <f t="shared" si="21"/>
        <v>19426.738456711413</v>
      </c>
      <c r="AG24" s="4">
        <f t="shared" si="21"/>
        <v>19621.00584127838</v>
      </c>
      <c r="AH24" s="4">
        <f t="shared" si="21"/>
        <v>19817.215899691262</v>
      </c>
      <c r="AI24" s="4">
        <f>+AH24*(1+$AK$31)</f>
        <v>20015.388058688175</v>
      </c>
      <c r="AJ24" s="4">
        <f t="shared" ref="AJ24:CU24" si="22">+AI24*(1+$AK$31)</f>
        <v>20215.541939275055</v>
      </c>
      <c r="AK24" s="4">
        <f t="shared" si="22"/>
        <v>20417.697358667807</v>
      </c>
      <c r="AL24" s="4">
        <f t="shared" si="22"/>
        <v>20621.874332254483</v>
      </c>
      <c r="AM24" s="4">
        <f t="shared" si="22"/>
        <v>20828.093075577028</v>
      </c>
      <c r="AN24" s="4">
        <f t="shared" si="22"/>
        <v>21036.374006332797</v>
      </c>
      <c r="AO24" s="4">
        <f t="shared" si="22"/>
        <v>21246.737746396124</v>
      </c>
      <c r="AP24" s="4">
        <f t="shared" si="22"/>
        <v>21459.205123860087</v>
      </c>
      <c r="AQ24" s="4">
        <f t="shared" si="22"/>
        <v>21673.797175098687</v>
      </c>
      <c r="AR24" s="4">
        <f t="shared" si="22"/>
        <v>21890.535146849674</v>
      </c>
      <c r="AS24" s="4">
        <f t="shared" si="22"/>
        <v>22109.44049831817</v>
      </c>
      <c r="AT24" s="4">
        <f t="shared" si="22"/>
        <v>22330.534903301352</v>
      </c>
      <c r="AU24" s="4">
        <f t="shared" si="22"/>
        <v>22553.840252334365</v>
      </c>
      <c r="AV24" s="4">
        <f t="shared" si="22"/>
        <v>22779.378654857708</v>
      </c>
      <c r="AW24" s="4">
        <f t="shared" si="22"/>
        <v>23007.172441406285</v>
      </c>
      <c r="AX24" s="4">
        <f t="shared" si="22"/>
        <v>23237.244165820346</v>
      </c>
      <c r="AY24" s="4">
        <f t="shared" si="22"/>
        <v>23469.616607478551</v>
      </c>
      <c r="AZ24" s="4">
        <f t="shared" si="22"/>
        <v>23704.312773553338</v>
      </c>
      <c r="BA24" s="4">
        <f t="shared" si="22"/>
        <v>23941.355901288873</v>
      </c>
      <c r="BB24" s="4">
        <f t="shared" si="22"/>
        <v>24180.769460301763</v>
      </c>
      <c r="BC24" s="4">
        <f t="shared" si="22"/>
        <v>24422.577154904782</v>
      </c>
      <c r="BD24" s="4">
        <f t="shared" si="22"/>
        <v>24666.802926453831</v>
      </c>
      <c r="BE24" s="4">
        <f t="shared" si="22"/>
        <v>24913.470955718371</v>
      </c>
      <c r="BF24" s="4">
        <f t="shared" si="22"/>
        <v>25162.605665275554</v>
      </c>
      <c r="BG24" s="4">
        <f t="shared" si="22"/>
        <v>25414.23172192831</v>
      </c>
      <c r="BH24" s="4">
        <f t="shared" si="22"/>
        <v>25668.374039147595</v>
      </c>
      <c r="BI24" s="4">
        <f t="shared" si="22"/>
        <v>25925.057779539071</v>
      </c>
      <c r="BJ24" s="4">
        <f t="shared" si="22"/>
        <v>26184.308357334463</v>
      </c>
      <c r="BK24" s="4">
        <f t="shared" si="22"/>
        <v>26446.151440907808</v>
      </c>
      <c r="BL24" s="4">
        <f t="shared" si="22"/>
        <v>26710.612955316887</v>
      </c>
      <c r="BM24" s="4">
        <f t="shared" si="22"/>
        <v>26977.719084870056</v>
      </c>
      <c r="BN24" s="4">
        <f t="shared" si="22"/>
        <v>27247.496275718757</v>
      </c>
      <c r="BO24" s="4">
        <f t="shared" si="22"/>
        <v>27519.971238475944</v>
      </c>
      <c r="BP24" s="4">
        <f t="shared" si="22"/>
        <v>27795.170950860705</v>
      </c>
      <c r="BQ24" s="4">
        <f t="shared" si="22"/>
        <v>28073.122660369314</v>
      </c>
      <c r="BR24" s="4">
        <f t="shared" si="22"/>
        <v>28353.853886973007</v>
      </c>
      <c r="BS24" s="4">
        <f t="shared" si="22"/>
        <v>28637.392425842736</v>
      </c>
      <c r="BT24" s="4">
        <f t="shared" si="22"/>
        <v>28923.766350101163</v>
      </c>
      <c r="BU24" s="4">
        <f t="shared" si="22"/>
        <v>29213.004013602174</v>
      </c>
      <c r="BV24" s="4">
        <f t="shared" si="22"/>
        <v>29505.134053738195</v>
      </c>
      <c r="BW24" s="4">
        <f t="shared" si="22"/>
        <v>29800.185394275577</v>
      </c>
      <c r="BX24" s="4">
        <f t="shared" si="22"/>
        <v>30098.187248218332</v>
      </c>
      <c r="BY24" s="4">
        <f t="shared" si="22"/>
        <v>30399.169120700517</v>
      </c>
      <c r="BZ24" s="4">
        <f t="shared" si="22"/>
        <v>30703.160811907521</v>
      </c>
      <c r="CA24" s="4">
        <f t="shared" si="22"/>
        <v>31010.192420026597</v>
      </c>
      <c r="CB24" s="4">
        <f t="shared" si="22"/>
        <v>31320.294344226862</v>
      </c>
      <c r="CC24" s="4">
        <f t="shared" si="22"/>
        <v>31633.497287669132</v>
      </c>
      <c r="CD24" s="4">
        <f t="shared" si="22"/>
        <v>31949.832260545823</v>
      </c>
      <c r="CE24" s="4">
        <f t="shared" si="22"/>
        <v>32269.330583151281</v>
      </c>
      <c r="CF24" s="4">
        <f t="shared" si="22"/>
        <v>32592.023888982792</v>
      </c>
      <c r="CG24" s="4">
        <f t="shared" si="22"/>
        <v>32917.944127872623</v>
      </c>
      <c r="CH24" s="4">
        <f t="shared" si="22"/>
        <v>33247.12356915135</v>
      </c>
      <c r="CI24" s="4">
        <f t="shared" si="22"/>
        <v>33579.594804842862</v>
      </c>
      <c r="CJ24" s="4">
        <f t="shared" si="22"/>
        <v>33915.39075289129</v>
      </c>
      <c r="CK24" s="4">
        <f t="shared" si="22"/>
        <v>34254.544660420201</v>
      </c>
      <c r="CL24" s="4">
        <f t="shared" si="22"/>
        <v>34597.0901070244</v>
      </c>
      <c r="CM24" s="4">
        <f t="shared" si="22"/>
        <v>34943.061008094643</v>
      </c>
      <c r="CN24" s="4">
        <f t="shared" si="22"/>
        <v>35292.491618175591</v>
      </c>
      <c r="CO24" s="4">
        <f t="shared" si="22"/>
        <v>35645.416534357348</v>
      </c>
      <c r="CP24" s="4">
        <f t="shared" si="22"/>
        <v>36001.870699700921</v>
      </c>
      <c r="CQ24" s="4">
        <f t="shared" si="22"/>
        <v>36361.889406697934</v>
      </c>
      <c r="CR24" s="4">
        <f t="shared" si="22"/>
        <v>36725.508300764915</v>
      </c>
      <c r="CS24" s="4">
        <f t="shared" si="22"/>
        <v>37092.763383772566</v>
      </c>
      <c r="CT24" s="4">
        <f t="shared" si="22"/>
        <v>37463.69101761029</v>
      </c>
      <c r="CU24" s="4">
        <f t="shared" si="22"/>
        <v>37838.327927786391</v>
      </c>
      <c r="CV24" s="4">
        <f t="shared" ref="CV24:FG24" si="23">+CU24*(1+$AK$31)</f>
        <v>38216.711207064254</v>
      </c>
      <c r="CW24" s="4">
        <f t="shared" si="23"/>
        <v>38598.878319134899</v>
      </c>
      <c r="CX24" s="4">
        <f t="shared" si="23"/>
        <v>38984.86710232625</v>
      </c>
      <c r="CY24" s="4">
        <f t="shared" si="23"/>
        <v>39374.715773349511</v>
      </c>
      <c r="CZ24" s="4">
        <f t="shared" si="23"/>
        <v>39768.462931083006</v>
      </c>
      <c r="DA24" s="4">
        <f t="shared" si="23"/>
        <v>40166.147560393838</v>
      </c>
      <c r="DB24" s="4">
        <f t="shared" si="23"/>
        <v>40567.80903599778</v>
      </c>
      <c r="DC24" s="4">
        <f t="shared" si="23"/>
        <v>40973.487126357759</v>
      </c>
      <c r="DD24" s="4">
        <f t="shared" si="23"/>
        <v>41383.221997621338</v>
      </c>
      <c r="DE24" s="4">
        <f t="shared" si="23"/>
        <v>41797.05421759755</v>
      </c>
      <c r="DF24" s="4">
        <f t="shared" si="23"/>
        <v>42215.024759773529</v>
      </c>
      <c r="DG24" s="4">
        <f t="shared" si="23"/>
        <v>42637.175007371261</v>
      </c>
      <c r="DH24" s="4">
        <f t="shared" si="23"/>
        <v>43063.546757444972</v>
      </c>
      <c r="DI24" s="4">
        <f t="shared" si="23"/>
        <v>43494.182225019424</v>
      </c>
      <c r="DJ24" s="4">
        <f t="shared" si="23"/>
        <v>43929.124047269615</v>
      </c>
      <c r="DK24" s="4">
        <f t="shared" si="23"/>
        <v>44368.415287742311</v>
      </c>
      <c r="DL24" s="4">
        <f t="shared" si="23"/>
        <v>44812.099440619735</v>
      </c>
      <c r="DM24" s="4">
        <f t="shared" si="23"/>
        <v>45260.220435025934</v>
      </c>
      <c r="DN24" s="4">
        <f t="shared" si="23"/>
        <v>45712.822639376194</v>
      </c>
      <c r="DO24" s="4">
        <f t="shared" si="23"/>
        <v>46169.950865769955</v>
      </c>
      <c r="DP24" s="4">
        <f t="shared" si="23"/>
        <v>46631.650374427656</v>
      </c>
      <c r="DQ24" s="4">
        <f t="shared" si="23"/>
        <v>47097.96687817193</v>
      </c>
      <c r="DR24" s="4">
        <f t="shared" si="23"/>
        <v>47568.946546953652</v>
      </c>
      <c r="DS24" s="4">
        <f t="shared" si="23"/>
        <v>48044.636012423187</v>
      </c>
      <c r="DT24" s="4">
        <f t="shared" si="23"/>
        <v>48525.082372547418</v>
      </c>
      <c r="DU24" s="4">
        <f t="shared" si="23"/>
        <v>49010.333196272892</v>
      </c>
      <c r="DV24" s="4">
        <f t="shared" si="23"/>
        <v>49500.436528235623</v>
      </c>
      <c r="DW24" s="4">
        <f t="shared" si="23"/>
        <v>49995.440893517982</v>
      </c>
      <c r="DX24" s="4">
        <f t="shared" si="23"/>
        <v>50495.395302453166</v>
      </c>
      <c r="DY24" s="4">
        <f t="shared" si="23"/>
        <v>51000.349255477697</v>
      </c>
      <c r="DZ24" s="4">
        <f t="shared" si="23"/>
        <v>51510.352748032477</v>
      </c>
      <c r="EA24" s="4">
        <f t="shared" si="23"/>
        <v>52025.456275512799</v>
      </c>
      <c r="EB24" s="4">
        <f t="shared" si="23"/>
        <v>52545.710838267929</v>
      </c>
      <c r="EC24" s="4">
        <f t="shared" si="23"/>
        <v>53071.16794665061</v>
      </c>
      <c r="ED24" s="4">
        <f t="shared" si="23"/>
        <v>53601.879626117116</v>
      </c>
      <c r="EE24" s="4">
        <f t="shared" si="23"/>
        <v>54137.89842237829</v>
      </c>
      <c r="EF24" s="4">
        <f t="shared" si="23"/>
        <v>54679.277406602072</v>
      </c>
      <c r="EG24" s="4">
        <f t="shared" si="23"/>
        <v>55226.070180668095</v>
      </c>
      <c r="EH24" s="4">
        <f t="shared" si="23"/>
        <v>55778.33088247478</v>
      </c>
      <c r="EI24" s="4">
        <f t="shared" si="23"/>
        <v>56336.11419129953</v>
      </c>
      <c r="EJ24" s="4">
        <f t="shared" si="23"/>
        <v>56899.475333212526</v>
      </c>
      <c r="EK24" s="4">
        <f t="shared" si="23"/>
        <v>57468.47008654465</v>
      </c>
      <c r="EL24" s="4">
        <f t="shared" si="23"/>
        <v>58043.154787410094</v>
      </c>
      <c r="EM24" s="4">
        <f t="shared" si="23"/>
        <v>58623.586335284199</v>
      </c>
      <c r="EN24" s="4">
        <f t="shared" si="23"/>
        <v>59209.822198637041</v>
      </c>
      <c r="EO24" s="4">
        <f t="shared" si="23"/>
        <v>59801.920420623414</v>
      </c>
      <c r="EP24" s="4">
        <f t="shared" si="23"/>
        <v>60399.939624829647</v>
      </c>
      <c r="EQ24" s="4">
        <f t="shared" si="23"/>
        <v>61003.939021077946</v>
      </c>
      <c r="ER24" s="4">
        <f t="shared" si="23"/>
        <v>61613.978411288728</v>
      </c>
      <c r="ES24" s="4">
        <f t="shared" si="23"/>
        <v>62230.118195401614</v>
      </c>
      <c r="ET24" s="4">
        <f t="shared" si="23"/>
        <v>62852.419377355633</v>
      </c>
      <c r="EU24" s="4">
        <f t="shared" si="23"/>
        <v>63480.943571129188</v>
      </c>
      <c r="EV24" s="4">
        <f t="shared" si="23"/>
        <v>64115.753006840481</v>
      </c>
      <c r="EW24" s="4">
        <f t="shared" si="23"/>
        <v>64756.910536908887</v>
      </c>
      <c r="EX24" s="4">
        <f t="shared" si="23"/>
        <v>65404.479642277976</v>
      </c>
      <c r="EY24" s="4">
        <f t="shared" si="23"/>
        <v>66058.524438700755</v>
      </c>
      <c r="EZ24" s="4">
        <f t="shared" si="23"/>
        <v>66719.109683087765</v>
      </c>
      <c r="FA24" s="4">
        <f t="shared" si="23"/>
        <v>67386.300779918645</v>
      </c>
      <c r="FB24" s="4">
        <f t="shared" si="23"/>
        <v>68060.163787717829</v>
      </c>
      <c r="FC24" s="4">
        <f t="shared" si="23"/>
        <v>68740.765425595004</v>
      </c>
      <c r="FD24" s="4">
        <f t="shared" si="23"/>
        <v>69428.173079850952</v>
      </c>
      <c r="FE24" s="4">
        <f t="shared" si="23"/>
        <v>70122.454810649462</v>
      </c>
      <c r="FF24" s="4">
        <f t="shared" si="23"/>
        <v>70823.679358755951</v>
      </c>
      <c r="FG24" s="4">
        <f t="shared" si="23"/>
        <v>71531.916152343518</v>
      </c>
      <c r="FH24" s="4">
        <f t="shared" ref="FH24:HL24" si="24">+FG24*(1+$AK$31)</f>
        <v>72247.235313866957</v>
      </c>
      <c r="FI24" s="4">
        <f t="shared" si="24"/>
        <v>72969.707667005627</v>
      </c>
      <c r="FJ24" s="4">
        <f t="shared" si="24"/>
        <v>73699.404743675681</v>
      </c>
      <c r="FK24" s="4">
        <f t="shared" si="24"/>
        <v>74436.398791112442</v>
      </c>
      <c r="FL24" s="4">
        <f t="shared" si="24"/>
        <v>75180.762779023571</v>
      </c>
      <c r="FM24" s="4">
        <f t="shared" si="24"/>
        <v>75932.5704068138</v>
      </c>
      <c r="FN24" s="4">
        <f t="shared" si="24"/>
        <v>76691.896110881935</v>
      </c>
      <c r="FO24" s="4">
        <f t="shared" si="24"/>
        <v>77458.815071990757</v>
      </c>
      <c r="FP24" s="4">
        <f t="shared" si="24"/>
        <v>78233.403222710665</v>
      </c>
      <c r="FQ24" s="4">
        <f t="shared" si="24"/>
        <v>79015.737254937776</v>
      </c>
      <c r="FR24" s="4">
        <f t="shared" si="24"/>
        <v>79805.894627487156</v>
      </c>
      <c r="FS24" s="4">
        <f t="shared" si="24"/>
        <v>80603.953573762032</v>
      </c>
      <c r="FT24" s="4">
        <f t="shared" si="24"/>
        <v>81409.993109499657</v>
      </c>
      <c r="FU24" s="4">
        <f t="shared" si="24"/>
        <v>82224.093040594656</v>
      </c>
      <c r="FV24" s="4">
        <f t="shared" si="24"/>
        <v>83046.333971000597</v>
      </c>
      <c r="FW24" s="4">
        <f t="shared" si="24"/>
        <v>83876.797310710608</v>
      </c>
      <c r="FX24" s="4">
        <f t="shared" si="24"/>
        <v>84715.565283817719</v>
      </c>
      <c r="FY24" s="4">
        <f t="shared" si="24"/>
        <v>85562.720936655896</v>
      </c>
      <c r="FZ24" s="4">
        <f t="shared" si="24"/>
        <v>86418.348146022458</v>
      </c>
      <c r="GA24" s="4">
        <f t="shared" si="24"/>
        <v>87282.531627482676</v>
      </c>
      <c r="GB24" s="4">
        <f t="shared" si="24"/>
        <v>88155.356943757506</v>
      </c>
      <c r="GC24" s="4">
        <f t="shared" si="24"/>
        <v>89036.910513195078</v>
      </c>
      <c r="GD24" s="4">
        <f t="shared" si="24"/>
        <v>89927.279618327026</v>
      </c>
      <c r="GE24" s="4">
        <f t="shared" si="24"/>
        <v>90826.552414510297</v>
      </c>
      <c r="GF24" s="4">
        <f t="shared" si="24"/>
        <v>91734.817938655397</v>
      </c>
      <c r="GG24" s="4">
        <f t="shared" si="24"/>
        <v>92652.166118041947</v>
      </c>
      <c r="GH24" s="4">
        <f t="shared" si="24"/>
        <v>93578.687779222368</v>
      </c>
      <c r="GI24" s="4">
        <f t="shared" si="24"/>
        <v>94514.474657014594</v>
      </c>
      <c r="GJ24" s="4">
        <f t="shared" si="24"/>
        <v>95459.619403584744</v>
      </c>
      <c r="GK24" s="4">
        <f t="shared" si="24"/>
        <v>96414.215597620598</v>
      </c>
      <c r="GL24" s="4">
        <f t="shared" si="24"/>
        <v>97378.357753596807</v>
      </c>
      <c r="GM24" s="4">
        <f t="shared" si="24"/>
        <v>98352.141331132778</v>
      </c>
      <c r="GN24" s="4">
        <f t="shared" si="24"/>
        <v>99335.662744444111</v>
      </c>
      <c r="GO24" s="4">
        <f t="shared" si="24"/>
        <v>100329.01937188856</v>
      </c>
      <c r="GP24" s="4">
        <f t="shared" si="24"/>
        <v>101332.30956560744</v>
      </c>
      <c r="GQ24" s="4">
        <f t="shared" si="24"/>
        <v>102345.63266126352</v>
      </c>
      <c r="GR24" s="4">
        <f t="shared" si="24"/>
        <v>103369.08898787615</v>
      </c>
      <c r="GS24" s="4">
        <f t="shared" si="24"/>
        <v>104402.77987775492</v>
      </c>
      <c r="GT24" s="4">
        <f t="shared" si="24"/>
        <v>105446.80767653247</v>
      </c>
      <c r="GU24" s="4">
        <f t="shared" si="24"/>
        <v>106501.27575329778</v>
      </c>
      <c r="GV24" s="4">
        <f t="shared" si="24"/>
        <v>107566.28851083077</v>
      </c>
      <c r="GW24" s="4">
        <f t="shared" si="24"/>
        <v>108641.95139593908</v>
      </c>
      <c r="GX24" s="4">
        <f t="shared" si="24"/>
        <v>109728.37090989847</v>
      </c>
      <c r="GY24" s="4">
        <f t="shared" si="24"/>
        <v>110825.65461899746</v>
      </c>
      <c r="GZ24" s="4">
        <f t="shared" si="24"/>
        <v>111933.91116518744</v>
      </c>
      <c r="HA24" s="4">
        <f t="shared" si="24"/>
        <v>113053.25027683932</v>
      </c>
      <c r="HB24" s="4">
        <f t="shared" si="24"/>
        <v>114183.78277960772</v>
      </c>
      <c r="HC24" s="4">
        <f t="shared" si="24"/>
        <v>115325.62060740379</v>
      </c>
      <c r="HD24" s="4">
        <f t="shared" si="24"/>
        <v>116478.87681347784</v>
      </c>
      <c r="HE24" s="4">
        <f t="shared" si="24"/>
        <v>117643.66558161261</v>
      </c>
      <c r="HF24" s="4">
        <f t="shared" si="24"/>
        <v>118820.10223742874</v>
      </c>
      <c r="HG24" s="4">
        <f t="shared" si="24"/>
        <v>120008.30325980303</v>
      </c>
      <c r="HH24" s="4">
        <f t="shared" si="24"/>
        <v>121208.38629240106</v>
      </c>
      <c r="HI24" s="4">
        <f t="shared" si="24"/>
        <v>122420.47015532508</v>
      </c>
      <c r="HJ24" s="4">
        <f t="shared" si="24"/>
        <v>123644.67485687834</v>
      </c>
      <c r="HK24" s="4">
        <f t="shared" si="24"/>
        <v>124881.12160544712</v>
      </c>
      <c r="HL24" s="4">
        <f t="shared" si="24"/>
        <v>126129.93282150158</v>
      </c>
      <c r="HM24" s="4">
        <f t="shared" ref="HM24:HP24" si="25">+HL24*(1+$AK$31)</f>
        <v>127391.2321497166</v>
      </c>
      <c r="HN24" s="4">
        <f t="shared" si="25"/>
        <v>128665.14447121376</v>
      </c>
      <c r="HO24" s="4">
        <f t="shared" si="25"/>
        <v>129951.7959159259</v>
      </c>
      <c r="HP24" s="4">
        <f t="shared" si="25"/>
        <v>131251.31387508515</v>
      </c>
    </row>
    <row r="25" spans="2:224" s="3" customFormat="1">
      <c r="B25" s="3" t="s">
        <v>41</v>
      </c>
      <c r="V25" s="3">
        <v>3.26</v>
      </c>
      <c r="W25" s="3">
        <v>-0.17</v>
      </c>
      <c r="X25" s="3">
        <v>0.09</v>
      </c>
      <c r="Y25" s="3">
        <f>+Y24/Y26</f>
        <v>8.8532588123687653E-2</v>
      </c>
      <c r="Z25" s="3">
        <f>+Z24/Z26</f>
        <v>8.9417914004925048E-2</v>
      </c>
      <c r="AA25" s="3">
        <f>+AA24/AA26</f>
        <v>9.0312093144975417E-2</v>
      </c>
      <c r="AB25" s="3">
        <f t="shared" ref="AB25:AH25" si="26">+AB24/AB26</f>
        <v>9.121521407642387E-2</v>
      </c>
      <c r="AC25" s="3">
        <f t="shared" si="26"/>
        <v>9.2127366217188367E-2</v>
      </c>
      <c r="AD25" s="3">
        <f t="shared" si="26"/>
        <v>9.3048639879360934E-2</v>
      </c>
      <c r="AE25" s="3">
        <f t="shared" si="26"/>
        <v>9.3979126278154121E-2</v>
      </c>
      <c r="AF25" s="3">
        <f t="shared" si="26"/>
        <v>9.4918917540935233E-2</v>
      </c>
      <c r="AG25" s="3">
        <f t="shared" si="26"/>
        <v>9.5868106716343868E-2</v>
      </c>
      <c r="AH25" s="3">
        <f t="shared" si="26"/>
        <v>9.6826787783507784E-2</v>
      </c>
    </row>
    <row r="26" spans="2:224" s="1" customFormat="1">
      <c r="B26" s="1" t="s">
        <v>42</v>
      </c>
      <c r="V26" s="1">
        <f>+V24/V25</f>
        <v>36549.693251533747</v>
      </c>
      <c r="W26" s="1">
        <f>+W24/W25</f>
        <v>-237470.5882352941</v>
      </c>
      <c r="X26" s="1">
        <f>+X24/X25</f>
        <v>204666.66666666669</v>
      </c>
      <c r="Y26" s="1">
        <f>+X26</f>
        <v>204666.66666666669</v>
      </c>
      <c r="Z26" s="1">
        <f t="shared" ref="Z26:AH26" si="27">+Y26</f>
        <v>204666.66666666669</v>
      </c>
      <c r="AA26" s="1">
        <f t="shared" si="27"/>
        <v>204666.66666666669</v>
      </c>
      <c r="AB26" s="1">
        <f t="shared" si="27"/>
        <v>204666.66666666669</v>
      </c>
      <c r="AC26" s="1">
        <f t="shared" si="27"/>
        <v>204666.66666666669</v>
      </c>
      <c r="AD26" s="1">
        <f t="shared" si="27"/>
        <v>204666.66666666669</v>
      </c>
      <c r="AE26" s="1">
        <f t="shared" si="27"/>
        <v>204666.66666666669</v>
      </c>
      <c r="AF26" s="1">
        <f t="shared" si="27"/>
        <v>204666.66666666669</v>
      </c>
      <c r="AG26" s="1">
        <f t="shared" si="27"/>
        <v>204666.66666666669</v>
      </c>
      <c r="AH26" s="1">
        <f t="shared" si="27"/>
        <v>204666.66666666669</v>
      </c>
    </row>
    <row r="27" spans="2:224" s="1" customFormat="1"/>
    <row r="28" spans="2:224" s="1" customFormat="1"/>
    <row r="29" spans="2:224" s="5" customFormat="1">
      <c r="B29" s="1" t="s">
        <v>21</v>
      </c>
      <c r="W29" s="5">
        <f>+W5/V5-1</f>
        <v>-6.3890237399823357E-2</v>
      </c>
      <c r="X29" s="5">
        <f>+X5/W5-1</f>
        <v>-8.47615466361481E-2</v>
      </c>
      <c r="AJ29" s="5" t="s">
        <v>72</v>
      </c>
    </row>
    <row r="30" spans="2:224" s="5" customFormat="1">
      <c r="B30" s="1" t="s">
        <v>22</v>
      </c>
      <c r="W30" s="5">
        <f t="shared" ref="W30:AH33" si="28">+W6/V6-1</f>
        <v>9.1727348526959425</v>
      </c>
      <c r="X30" s="5">
        <f t="shared" si="28"/>
        <v>5.9835320956791449E-2</v>
      </c>
    </row>
    <row r="31" spans="2:224" s="5" customFormat="1">
      <c r="B31" s="1" t="s">
        <v>23</v>
      </c>
      <c r="W31" s="5">
        <f t="shared" si="28"/>
        <v>-0.13848899835540418</v>
      </c>
      <c r="X31" s="5">
        <f t="shared" si="28"/>
        <v>-0.12504184346472935</v>
      </c>
      <c r="AJ31" s="6" t="s">
        <v>43</v>
      </c>
      <c r="AK31" s="7">
        <v>0.01</v>
      </c>
    </row>
    <row r="32" spans="2:224" s="5" customFormat="1">
      <c r="B32" s="1" t="s">
        <v>24</v>
      </c>
      <c r="W32" s="5">
        <f t="shared" si="28"/>
        <v>-7.6258222426189404E-2</v>
      </c>
      <c r="X32" s="5">
        <f t="shared" si="28"/>
        <v>-4.7735364742899744E-2</v>
      </c>
      <c r="AJ32" s="8" t="s">
        <v>44</v>
      </c>
      <c r="AK32" s="9">
        <v>7.0000000000000007E-2</v>
      </c>
    </row>
    <row r="33" spans="2:37" s="5" customFormat="1">
      <c r="B33" s="4" t="s">
        <v>27</v>
      </c>
      <c r="W33" s="5">
        <f t="shared" si="28"/>
        <v>0.21887245977250669</v>
      </c>
      <c r="X33" s="5">
        <f t="shared" si="28"/>
        <v>-4.8698472593550202E-2</v>
      </c>
      <c r="Y33" s="5">
        <f t="shared" si="28"/>
        <v>-1.6304576403459947E-2</v>
      </c>
      <c r="Z33" s="5">
        <f t="shared" si="28"/>
        <v>1.0000000000000009E-2</v>
      </c>
      <c r="AA33" s="5">
        <f t="shared" si="28"/>
        <v>1.0000000000000009E-2</v>
      </c>
      <c r="AB33" s="5">
        <f t="shared" si="28"/>
        <v>1.0000000000000009E-2</v>
      </c>
      <c r="AC33" s="5">
        <f t="shared" si="28"/>
        <v>1.0000000000000009E-2</v>
      </c>
      <c r="AD33" s="5">
        <f t="shared" si="28"/>
        <v>1.0000000000000009E-2</v>
      </c>
      <c r="AE33" s="5">
        <f t="shared" si="28"/>
        <v>1.0000000000000009E-2</v>
      </c>
      <c r="AF33" s="5">
        <f t="shared" si="28"/>
        <v>1.0000000000000009E-2</v>
      </c>
      <c r="AG33" s="5">
        <f t="shared" si="28"/>
        <v>1.0000000000000009E-2</v>
      </c>
      <c r="AH33" s="5">
        <f t="shared" si="28"/>
        <v>1.0000000000000009E-2</v>
      </c>
      <c r="AJ33" s="8" t="s">
        <v>45</v>
      </c>
      <c r="AK33" s="10">
        <f>NPV(AK32,Y24:HP24)</f>
        <v>301991.56065135211</v>
      </c>
    </row>
    <row r="34" spans="2:37" s="1" customFormat="1">
      <c r="AJ34" s="11" t="s">
        <v>46</v>
      </c>
      <c r="AK34" s="12">
        <f>+(main!F6-main!F7)*1000</f>
        <v>-134928</v>
      </c>
    </row>
    <row r="35" spans="2:37" s="1" customFormat="1">
      <c r="AJ35" s="11" t="s">
        <v>47</v>
      </c>
      <c r="AK35" s="12">
        <f>SUM(AK33:AK34)</f>
        <v>167063.56065135211</v>
      </c>
    </row>
    <row r="36" spans="2:37" s="1" customFormat="1">
      <c r="AJ36" s="11" t="s">
        <v>48</v>
      </c>
      <c r="AK36" s="12">
        <f>+main!F4*1000</f>
        <v>30361.433999999997</v>
      </c>
    </row>
    <row r="37" spans="2:37" s="1" customFormat="1">
      <c r="AJ37" s="11" t="s">
        <v>49</v>
      </c>
      <c r="AK37" s="13">
        <f>+AK35/AK36</f>
        <v>5.5024924267856425</v>
      </c>
    </row>
    <row r="38" spans="2:37" s="4" customFormat="1">
      <c r="B38" s="4" t="s">
        <v>71</v>
      </c>
      <c r="W38" s="4">
        <f>+W39-W55</f>
        <v>-214697</v>
      </c>
      <c r="X38" s="4">
        <f>+X39-X55</f>
        <v>-134928</v>
      </c>
      <c r="Y38" s="4">
        <f>+X38+Y24</f>
        <v>-116808.33029735193</v>
      </c>
      <c r="Z38" s="4">
        <f t="shared" ref="Z38:AH38" si="29">+Y38+Z24</f>
        <v>-98507.463897677269</v>
      </c>
      <c r="AA38" s="4">
        <f t="shared" si="29"/>
        <v>-80023.588834005641</v>
      </c>
      <c r="AB38" s="4">
        <f t="shared" si="29"/>
        <v>-61354.875019697552</v>
      </c>
      <c r="AC38" s="4">
        <f t="shared" si="29"/>
        <v>-42499.47406724633</v>
      </c>
      <c r="AD38" s="4">
        <f t="shared" si="29"/>
        <v>-23455.519105270458</v>
      </c>
      <c r="AE38" s="4">
        <f t="shared" si="29"/>
        <v>-4221.124593674911</v>
      </c>
      <c r="AF38" s="4">
        <f t="shared" si="29"/>
        <v>15205.613863036502</v>
      </c>
      <c r="AG38" s="4">
        <f t="shared" si="29"/>
        <v>34826.619704314886</v>
      </c>
      <c r="AH38" s="4">
        <f t="shared" si="29"/>
        <v>54643.835604006148</v>
      </c>
      <c r="AJ38" s="16" t="s">
        <v>50</v>
      </c>
      <c r="AK38" s="17">
        <f>+main!F3</f>
        <v>7.59</v>
      </c>
    </row>
    <row r="39" spans="2:37" s="1" customFormat="1">
      <c r="B39" s="1" t="s">
        <v>53</v>
      </c>
      <c r="W39" s="1">
        <v>27716</v>
      </c>
      <c r="X39" s="1">
        <v>59035</v>
      </c>
      <c r="AJ39" s="14" t="s">
        <v>51</v>
      </c>
      <c r="AK39" s="15">
        <f>+AK37/AK38-1</f>
        <v>-0.27503393586486924</v>
      </c>
    </row>
    <row r="40" spans="2:37" s="1" customFormat="1">
      <c r="B40" s="1" t="s">
        <v>54</v>
      </c>
      <c r="W40" s="1">
        <v>38191</v>
      </c>
      <c r="X40" s="1">
        <v>39782</v>
      </c>
    </row>
    <row r="41" spans="2:37" s="1" customFormat="1">
      <c r="B41" s="1" t="s">
        <v>55</v>
      </c>
      <c r="W41" s="1">
        <v>693795</v>
      </c>
      <c r="X41" s="1">
        <v>622262</v>
      </c>
    </row>
    <row r="42" spans="2:37" s="1" customFormat="1">
      <c r="B42" s="1" t="s">
        <v>56</v>
      </c>
      <c r="W42" s="1">
        <v>95964</v>
      </c>
      <c r="X42" s="1">
        <v>90172</v>
      </c>
    </row>
    <row r="43" spans="2:37" s="1" customFormat="1">
      <c r="B43" s="1" t="s">
        <v>57</v>
      </c>
      <c r="W43" s="1">
        <v>267457</v>
      </c>
      <c r="X43" s="1">
        <v>269833</v>
      </c>
    </row>
    <row r="44" spans="2:37" s="1" customFormat="1">
      <c r="B44" s="1" t="s">
        <v>58</v>
      </c>
      <c r="W44" s="1">
        <v>459950</v>
      </c>
      <c r="X44" s="1">
        <v>465824</v>
      </c>
    </row>
    <row r="45" spans="2:37" s="1" customFormat="1">
      <c r="B45" s="1" t="s">
        <v>59</v>
      </c>
      <c r="W45" s="1">
        <v>54710</v>
      </c>
      <c r="X45" s="1">
        <v>55750</v>
      </c>
    </row>
    <row r="46" spans="2:37" s="1" customFormat="1">
      <c r="B46" s="1" t="s">
        <v>60</v>
      </c>
      <c r="W46" s="1">
        <v>118528</v>
      </c>
      <c r="X46" s="1">
        <v>108158</v>
      </c>
    </row>
    <row r="47" spans="2:37" s="1" customFormat="1">
      <c r="B47" s="1" t="s">
        <v>61</v>
      </c>
      <c r="W47" s="1">
        <v>5716</v>
      </c>
      <c r="X47" s="1">
        <v>10363</v>
      </c>
    </row>
    <row r="48" spans="2:37" s="1" customFormat="1">
      <c r="B48" s="1" t="s">
        <v>62</v>
      </c>
      <c r="W48" s="1">
        <v>96436</v>
      </c>
      <c r="X48" s="1">
        <v>105397</v>
      </c>
    </row>
    <row r="49" spans="2:25" s="4" customFormat="1">
      <c r="B49" s="4" t="s">
        <v>63</v>
      </c>
      <c r="W49" s="4">
        <f>+SUM(W39:W48)</f>
        <v>1858463</v>
      </c>
      <c r="X49" s="4">
        <f>+SUM(X39:X48)</f>
        <v>1826576</v>
      </c>
    </row>
    <row r="50" spans="2:25" s="1" customFormat="1"/>
    <row r="51" spans="2:25" s="1" customFormat="1">
      <c r="B51" s="1" t="s">
        <v>64</v>
      </c>
      <c r="W51" s="1">
        <v>264043</v>
      </c>
      <c r="X51" s="1">
        <v>292175</v>
      </c>
    </row>
    <row r="52" spans="2:25" s="1" customFormat="1">
      <c r="B52" s="1" t="s">
        <v>65</v>
      </c>
      <c r="W52" s="1">
        <v>87008</v>
      </c>
      <c r="X52" s="1">
        <v>83217</v>
      </c>
    </row>
    <row r="53" spans="2:25" s="1" customFormat="1">
      <c r="B53" s="1" t="s">
        <v>66</v>
      </c>
      <c r="W53" s="1">
        <v>73196</v>
      </c>
      <c r="X53" s="1">
        <v>68391</v>
      </c>
    </row>
    <row r="54" spans="2:25" s="1" customFormat="1">
      <c r="B54" s="1" t="s">
        <v>67</v>
      </c>
      <c r="W54" s="1">
        <v>496401</v>
      </c>
      <c r="X54" s="1">
        <v>502692</v>
      </c>
    </row>
    <row r="55" spans="2:25" s="1" customFormat="1">
      <c r="B55" s="1" t="s">
        <v>68</v>
      </c>
      <c r="W55" s="1">
        <v>242413</v>
      </c>
      <c r="X55" s="1">
        <v>193963</v>
      </c>
    </row>
    <row r="56" spans="2:25" s="1" customFormat="1">
      <c r="B56" s="1" t="s">
        <v>69</v>
      </c>
      <c r="W56" s="1">
        <v>695402</v>
      </c>
      <c r="X56" s="1">
        <v>686138</v>
      </c>
    </row>
    <row r="57" spans="2:25" s="4" customFormat="1">
      <c r="B57" s="4" t="s">
        <v>70</v>
      </c>
      <c r="W57" s="4">
        <f>+SUM(W51:W56)</f>
        <v>1858463</v>
      </c>
      <c r="X57" s="4">
        <f>+SUM(X51:X56)</f>
        <v>1826576</v>
      </c>
    </row>
    <row r="58" spans="2:25" s="1" customFormat="1"/>
    <row r="59" spans="2:25" s="1" customFormat="1">
      <c r="B59" s="1" t="s">
        <v>77</v>
      </c>
      <c r="X59" s="1">
        <f>+X55-X39</f>
        <v>134928</v>
      </c>
    </row>
    <row r="60" spans="2:25" s="1" customFormat="1">
      <c r="B60" s="1" t="s">
        <v>78</v>
      </c>
      <c r="X60" s="1">
        <f>+X19+X10</f>
        <v>494795</v>
      </c>
    </row>
    <row r="61" spans="2:25" s="3" customFormat="1">
      <c r="X61" s="3">
        <f>+X59/X60</f>
        <v>0.27269475237219454</v>
      </c>
    </row>
    <row r="62" spans="2:25" s="1" customFormat="1">
      <c r="B62" s="1" t="s">
        <v>73</v>
      </c>
      <c r="X62" s="18"/>
    </row>
    <row r="63" spans="2:25" s="1" customFormat="1">
      <c r="X63" s="19" t="s">
        <v>74</v>
      </c>
      <c r="Y63" s="1" t="s">
        <v>76</v>
      </c>
    </row>
    <row r="64" spans="2:25" s="1" customFormat="1">
      <c r="X64" s="19" t="s">
        <v>75</v>
      </c>
    </row>
    <row r="65" spans="2:24">
      <c r="X65" s="19"/>
    </row>
    <row r="66" spans="2:24">
      <c r="B66" s="20" t="s">
        <v>79</v>
      </c>
      <c r="W66" s="1">
        <v>170432</v>
      </c>
      <c r="X66" s="1">
        <v>180414</v>
      </c>
    </row>
    <row r="67" spans="2:24">
      <c r="B67" s="20" t="s">
        <v>80</v>
      </c>
      <c r="W67" s="1">
        <v>-107980</v>
      </c>
      <c r="X67" s="1">
        <v>-94415</v>
      </c>
    </row>
    <row r="68" spans="2:24" s="21" customFormat="1">
      <c r="B68" s="21" t="s">
        <v>81</v>
      </c>
      <c r="W68" s="22">
        <f>+SUM(W66:W67)</f>
        <v>62452</v>
      </c>
      <c r="X68" s="22">
        <f>+SUM(X66:X67)</f>
        <v>85999</v>
      </c>
    </row>
    <row r="69" spans="2:24">
      <c r="X69" s="19"/>
    </row>
    <row r="70" spans="2:24">
      <c r="B70" s="20" t="s">
        <v>82</v>
      </c>
      <c r="V70" s="20">
        <v>0</v>
      </c>
      <c r="W70" s="20">
        <v>9250</v>
      </c>
      <c r="X70" s="20">
        <v>-19250</v>
      </c>
    </row>
    <row r="71" spans="2:24">
      <c r="B71" s="20" t="s">
        <v>83</v>
      </c>
      <c r="V71" s="20">
        <v>0</v>
      </c>
      <c r="W71" s="20">
        <v>291700</v>
      </c>
      <c r="X71" s="20">
        <v>71094</v>
      </c>
    </row>
    <row r="72" spans="2:24">
      <c r="B72" s="20" t="s">
        <v>84</v>
      </c>
      <c r="V72" s="20">
        <v>9260</v>
      </c>
      <c r="W72" s="20">
        <v>-67793</v>
      </c>
      <c r="X72" s="23">
        <v>-100469</v>
      </c>
    </row>
    <row r="73" spans="2:24">
      <c r="B73" s="20" t="s">
        <v>85</v>
      </c>
      <c r="V73" s="20">
        <v>0</v>
      </c>
      <c r="W73" s="20">
        <v>-15541</v>
      </c>
      <c r="X73" s="23">
        <v>0</v>
      </c>
    </row>
    <row r="74" spans="2:24">
      <c r="B74" s="20" t="s">
        <v>87</v>
      </c>
      <c r="V74" s="20">
        <v>0</v>
      </c>
      <c r="W74" s="20">
        <v>-2758</v>
      </c>
      <c r="X74" s="23">
        <v>0</v>
      </c>
    </row>
    <row r="75" spans="2:24" s="21" customFormat="1">
      <c r="B75" s="21" t="s">
        <v>86</v>
      </c>
      <c r="V75" s="21">
        <f>SUM(V70:V74)</f>
        <v>9260</v>
      </c>
      <c r="W75" s="21">
        <f>SUM(W70:W74)</f>
        <v>214858</v>
      </c>
      <c r="X75" s="21">
        <f>SUM(X70:X74)</f>
        <v>-48625</v>
      </c>
    </row>
    <row r="76" spans="2:24">
      <c r="X76" s="22"/>
    </row>
    <row r="77" spans="2:24">
      <c r="X77" s="23"/>
    </row>
    <row r="78" spans="2:24">
      <c r="X78" s="23">
        <f>+X70+X72</f>
        <v>-119719</v>
      </c>
    </row>
    <row r="79" spans="2:24">
      <c r="X79" s="20">
        <f>+W55+X78</f>
        <v>122694</v>
      </c>
    </row>
    <row r="80" spans="2:24">
      <c r="X80" s="20">
        <f>+X79+X71</f>
        <v>193788</v>
      </c>
    </row>
    <row r="81" spans="24:24">
      <c r="X81" s="24">
        <f>+X80-X55</f>
        <v>-175</v>
      </c>
    </row>
    <row r="83" spans="24:24">
      <c r="X83" s="20">
        <f>+X39-W39</f>
        <v>31319</v>
      </c>
    </row>
  </sheetData>
  <pageMargins left="0.7" right="0.7" top="0.75" bottom="0.75" header="0.3" footer="0.3"/>
  <ignoredErrors>
    <ignoredError sqref="Y13:AH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2C8B-7EE8-B447-870B-EB44D86119D6}">
  <dimension ref="B3:G8"/>
  <sheetViews>
    <sheetView zoomScale="200" workbookViewId="0">
      <selection activeCell="F4" sqref="F4"/>
    </sheetView>
  </sheetViews>
  <sheetFormatPr baseColWidth="10" defaultRowHeight="13"/>
  <cols>
    <col min="1" max="1" width="1.33203125" style="1" customWidth="1"/>
    <col min="2" max="4" width="10.83203125" style="1"/>
    <col min="5" max="5" width="3.6640625" style="1" bestFit="1" customWidth="1"/>
    <col min="6" max="6" width="4.6640625" style="1" bestFit="1" customWidth="1"/>
    <col min="7" max="7" width="4.33203125" style="1" bestFit="1" customWidth="1"/>
    <col min="8" max="16384" width="10.83203125" style="1"/>
  </cols>
  <sheetData>
    <row r="3" spans="2:7">
      <c r="B3" s="1" t="s">
        <v>19</v>
      </c>
      <c r="E3" s="1" t="s">
        <v>12</v>
      </c>
      <c r="F3" s="3">
        <v>7.59</v>
      </c>
    </row>
    <row r="4" spans="2:7">
      <c r="B4" s="1" t="s">
        <v>20</v>
      </c>
      <c r="C4" s="2">
        <v>1955</v>
      </c>
      <c r="E4" s="1" t="s">
        <v>13</v>
      </c>
      <c r="F4" s="1">
        <v>30.361433999999999</v>
      </c>
      <c r="G4" s="1" t="s">
        <v>18</v>
      </c>
    </row>
    <row r="5" spans="2:7">
      <c r="E5" s="1" t="s">
        <v>14</v>
      </c>
      <c r="F5" s="1">
        <f>+F3*F4</f>
        <v>230.44328406</v>
      </c>
    </row>
    <row r="6" spans="2:7">
      <c r="E6" s="1" t="s">
        <v>15</v>
      </c>
      <c r="F6" s="1">
        <v>59.034999999999997</v>
      </c>
      <c r="G6" s="1" t="str">
        <f>+G4</f>
        <v>10K</v>
      </c>
    </row>
    <row r="7" spans="2:7">
      <c r="E7" s="1" t="s">
        <v>16</v>
      </c>
      <c r="F7" s="1">
        <v>193.96299999999999</v>
      </c>
      <c r="G7" s="1" t="str">
        <f>+G6</f>
        <v>10K</v>
      </c>
    </row>
    <row r="8" spans="2:7">
      <c r="E8" s="1" t="s">
        <v>17</v>
      </c>
      <c r="F8" s="1">
        <f>+F5-F6+F7</f>
        <v>365.37128405999999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2024-04-04T00:11:09Z</dcterms:created>
  <dcterms:modified xsi:type="dcterms:W3CDTF">2024-05-18T03:45:02Z</dcterms:modified>
</cp:coreProperties>
</file>