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elbrannon/Dropbox/Models/"/>
    </mc:Choice>
  </mc:AlternateContent>
  <xr:revisionPtr revIDLastSave="0" documentId="13_ncr:1_{AFA6966E-BA8C-0841-ACAE-F47791769308}" xr6:coauthVersionLast="47" xr6:coauthVersionMax="47" xr10:uidLastSave="{00000000-0000-0000-0000-000000000000}"/>
  <bookViews>
    <workbookView xWindow="5640" yWindow="540" windowWidth="36940" windowHeight="24660" activeTab="1" xr2:uid="{8F60BFAF-A7A0-7042-83AD-DF9A17BAF2EC}"/>
  </bookViews>
  <sheets>
    <sheet name="O" sheetId="2" r:id="rId1"/>
    <sheet name="E" sheetId="1" r:id="rId2"/>
    <sheet name="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31" i="1" l="1"/>
  <c r="AC31" i="1"/>
  <c r="AC12" i="1"/>
  <c r="AD9" i="1"/>
  <c r="AE9" i="1" s="1"/>
  <c r="AF9" i="1" s="1"/>
  <c r="AG9" i="1" s="1"/>
  <c r="AH9" i="1" s="1"/>
  <c r="AI9" i="1" s="1"/>
  <c r="AJ9" i="1" s="1"/>
  <c r="AK9" i="1" s="1"/>
  <c r="AD8" i="1"/>
  <c r="AE8" i="1" s="1"/>
  <c r="AF8" i="1" s="1"/>
  <c r="AG8" i="1" s="1"/>
  <c r="AH8" i="1" s="1"/>
  <c r="AI8" i="1" s="1"/>
  <c r="AJ8" i="1" s="1"/>
  <c r="AK8" i="1" s="1"/>
  <c r="AD6" i="1"/>
  <c r="AE6" i="1" s="1"/>
  <c r="AF6" i="1" s="1"/>
  <c r="AG6" i="1" s="1"/>
  <c r="AH6" i="1" s="1"/>
  <c r="AI6" i="1" s="1"/>
  <c r="AJ6" i="1" s="1"/>
  <c r="AK6" i="1" s="1"/>
  <c r="AD5" i="1"/>
  <c r="AE5" i="1" s="1"/>
  <c r="AF5" i="1" s="1"/>
  <c r="AG5" i="1" s="1"/>
  <c r="AH5" i="1" s="1"/>
  <c r="AI5" i="1" s="1"/>
  <c r="AJ5" i="1" s="1"/>
  <c r="AK5" i="1" s="1"/>
  <c r="AD4" i="1"/>
  <c r="AE4" i="1" s="1"/>
  <c r="AF4" i="1" s="1"/>
  <c r="AG4" i="1" s="1"/>
  <c r="AH4" i="1" s="1"/>
  <c r="AI4" i="1" s="1"/>
  <c r="AJ4" i="1" s="1"/>
  <c r="AK4" i="1" s="1"/>
  <c r="AC9" i="1"/>
  <c r="AC8" i="1"/>
  <c r="AC6" i="1"/>
  <c r="AC4" i="1"/>
  <c r="AC5" i="1"/>
  <c r="AD12" i="1"/>
  <c r="AE12" i="1" s="1"/>
  <c r="AF12" i="1" s="1"/>
  <c r="AG12" i="1" s="1"/>
  <c r="AH12" i="1" s="1"/>
  <c r="AI12" i="1" s="1"/>
  <c r="AJ12" i="1" s="1"/>
  <c r="AK12" i="1" s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Q14" i="1"/>
  <c r="X6" i="1"/>
  <c r="X5" i="1"/>
  <c r="X4" i="1"/>
  <c r="AC67" i="1"/>
  <c r="AD67" i="1" s="1"/>
  <c r="AE67" i="1" s="1"/>
  <c r="AF67" i="1" s="1"/>
  <c r="AG67" i="1" s="1"/>
  <c r="AH67" i="1" s="1"/>
  <c r="AI67" i="1" s="1"/>
  <c r="AJ67" i="1" s="1"/>
  <c r="AK67" i="1" s="1"/>
  <c r="AB67" i="1"/>
  <c r="AC28" i="1"/>
  <c r="AB28" i="1"/>
  <c r="AB36" i="1"/>
  <c r="AB35" i="1"/>
  <c r="AB34" i="1"/>
  <c r="AB33" i="1"/>
  <c r="AB32" i="1"/>
  <c r="AB31" i="1"/>
  <c r="AB30" i="1"/>
  <c r="AB29" i="1"/>
  <c r="AB27" i="1"/>
  <c r="AB26" i="1"/>
  <c r="AB25" i="1"/>
  <c r="AB24" i="1"/>
  <c r="AB23" i="1"/>
  <c r="AB22" i="1"/>
  <c r="AB21" i="1"/>
  <c r="AB20" i="1"/>
  <c r="AB19" i="1"/>
  <c r="R36" i="1"/>
  <c r="R35" i="1"/>
  <c r="R34" i="1"/>
  <c r="R33" i="1"/>
  <c r="R32" i="1"/>
  <c r="R31" i="1"/>
  <c r="R30" i="1"/>
  <c r="R29" i="1"/>
  <c r="R28" i="1"/>
  <c r="R26" i="1"/>
  <c r="R27" i="1" s="1"/>
  <c r="R25" i="1"/>
  <c r="R24" i="1"/>
  <c r="R23" i="1"/>
  <c r="R22" i="1"/>
  <c r="R21" i="1"/>
  <c r="R20" i="1"/>
  <c r="R19" i="1"/>
  <c r="AA67" i="1"/>
  <c r="AB18" i="1"/>
  <c r="AB17" i="1"/>
  <c r="AB16" i="1"/>
  <c r="R17" i="1"/>
  <c r="R16" i="1"/>
  <c r="R18" i="1"/>
  <c r="R12" i="1"/>
  <c r="AB9" i="1"/>
  <c r="AB8" i="1"/>
  <c r="AB7" i="1"/>
  <c r="AB6" i="1"/>
  <c r="AB5" i="1"/>
  <c r="AB4" i="1"/>
  <c r="R9" i="1"/>
  <c r="R8" i="1"/>
  <c r="R7" i="1"/>
  <c r="R6" i="1"/>
  <c r="R10" i="1" s="1"/>
  <c r="R4" i="1"/>
  <c r="R5" i="1"/>
  <c r="AA52" i="1"/>
  <c r="Z52" i="1"/>
  <c r="Y52" i="1"/>
  <c r="AA51" i="1"/>
  <c r="Z51" i="1"/>
  <c r="Y51" i="1"/>
  <c r="AA50" i="1"/>
  <c r="Z50" i="1"/>
  <c r="Y50" i="1"/>
  <c r="AA49" i="1"/>
  <c r="Z49" i="1"/>
  <c r="Y49" i="1"/>
  <c r="AA48" i="1"/>
  <c r="Z48" i="1"/>
  <c r="Y48" i="1"/>
  <c r="AA47" i="1"/>
  <c r="Z47" i="1"/>
  <c r="Y47" i="1"/>
  <c r="AA46" i="1"/>
  <c r="Z46" i="1"/>
  <c r="Y46" i="1"/>
  <c r="AA45" i="1"/>
  <c r="Z45" i="1"/>
  <c r="Y45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Q51" i="1"/>
  <c r="P51" i="1"/>
  <c r="O51" i="1"/>
  <c r="M51" i="1"/>
  <c r="L51" i="1"/>
  <c r="K51" i="1"/>
  <c r="I51" i="1"/>
  <c r="H51" i="1"/>
  <c r="G51" i="1"/>
  <c r="Q50" i="1"/>
  <c r="P50" i="1"/>
  <c r="O50" i="1"/>
  <c r="M50" i="1"/>
  <c r="L50" i="1"/>
  <c r="K50" i="1"/>
  <c r="I50" i="1"/>
  <c r="H50" i="1"/>
  <c r="G50" i="1"/>
  <c r="Q49" i="1"/>
  <c r="P49" i="1"/>
  <c r="O49" i="1"/>
  <c r="M49" i="1"/>
  <c r="L49" i="1"/>
  <c r="K49" i="1"/>
  <c r="I49" i="1"/>
  <c r="H49" i="1"/>
  <c r="G49" i="1"/>
  <c r="Q48" i="1"/>
  <c r="P48" i="1"/>
  <c r="O48" i="1"/>
  <c r="M48" i="1"/>
  <c r="L48" i="1"/>
  <c r="K48" i="1"/>
  <c r="I48" i="1"/>
  <c r="H48" i="1"/>
  <c r="G48" i="1"/>
  <c r="Q47" i="1"/>
  <c r="P47" i="1"/>
  <c r="O47" i="1"/>
  <c r="M47" i="1"/>
  <c r="L47" i="1"/>
  <c r="K47" i="1"/>
  <c r="I47" i="1"/>
  <c r="H47" i="1"/>
  <c r="G47" i="1"/>
  <c r="Q46" i="1"/>
  <c r="P46" i="1"/>
  <c r="O46" i="1"/>
  <c r="M46" i="1"/>
  <c r="L46" i="1"/>
  <c r="K46" i="1"/>
  <c r="I46" i="1"/>
  <c r="H46" i="1"/>
  <c r="G46" i="1"/>
  <c r="Q45" i="1"/>
  <c r="P45" i="1"/>
  <c r="O45" i="1"/>
  <c r="M45" i="1"/>
  <c r="L45" i="1"/>
  <c r="K45" i="1"/>
  <c r="I45" i="1"/>
  <c r="H45" i="1"/>
  <c r="G45" i="1"/>
  <c r="Q168" i="1"/>
  <c r="Q166" i="1"/>
  <c r="Q167" i="1" s="1"/>
  <c r="AA147" i="1"/>
  <c r="AA137" i="1"/>
  <c r="AA130" i="1"/>
  <c r="AA154" i="1" s="1"/>
  <c r="P139" i="1"/>
  <c r="Q139" i="1" s="1"/>
  <c r="Q102" i="1" s="1"/>
  <c r="P146" i="1"/>
  <c r="Q146" i="1" s="1"/>
  <c r="P145" i="1"/>
  <c r="P143" i="1"/>
  <c r="P144" i="1"/>
  <c r="Q144" i="1" s="1"/>
  <c r="P142" i="1"/>
  <c r="Q142" i="1" s="1"/>
  <c r="P136" i="1"/>
  <c r="Q136" i="1" s="1"/>
  <c r="P135" i="1"/>
  <c r="P134" i="1"/>
  <c r="Q134" i="1" s="1"/>
  <c r="P133" i="1"/>
  <c r="Q133" i="1" s="1"/>
  <c r="P132" i="1"/>
  <c r="Q132" i="1" s="1"/>
  <c r="P129" i="1"/>
  <c r="Q129" i="1" s="1"/>
  <c r="P128" i="1"/>
  <c r="Q128" i="1" s="1"/>
  <c r="P127" i="1"/>
  <c r="Q127" i="1" s="1"/>
  <c r="P126" i="1"/>
  <c r="Q126" i="1" s="1"/>
  <c r="P125" i="1"/>
  <c r="Q125" i="1" s="1"/>
  <c r="P124" i="1"/>
  <c r="Q124" i="1" s="1"/>
  <c r="P123" i="1"/>
  <c r="Q123" i="1" s="1"/>
  <c r="P122" i="1"/>
  <c r="Q122" i="1" s="1"/>
  <c r="P121" i="1"/>
  <c r="Q121" i="1" s="1"/>
  <c r="P120" i="1"/>
  <c r="Q120" i="1" s="1"/>
  <c r="P119" i="1"/>
  <c r="Q119" i="1" s="1"/>
  <c r="P118" i="1"/>
  <c r="Q118" i="1" s="1"/>
  <c r="P117" i="1"/>
  <c r="Q117" i="1" s="1"/>
  <c r="P116" i="1"/>
  <c r="Q116" i="1" s="1"/>
  <c r="P115" i="1"/>
  <c r="Q115" i="1" s="1"/>
  <c r="P114" i="1"/>
  <c r="Q114" i="1" s="1"/>
  <c r="P113" i="1"/>
  <c r="Q113" i="1" s="1"/>
  <c r="P112" i="1"/>
  <c r="Q112" i="1" s="1"/>
  <c r="P111" i="1"/>
  <c r="Q111" i="1" s="1"/>
  <c r="P110" i="1"/>
  <c r="Q110" i="1" s="1"/>
  <c r="P109" i="1"/>
  <c r="Q109" i="1" s="1"/>
  <c r="O147" i="1"/>
  <c r="O137" i="1"/>
  <c r="O130" i="1"/>
  <c r="O154" i="1" s="1"/>
  <c r="F154" i="1"/>
  <c r="E154" i="1"/>
  <c r="D154" i="1"/>
  <c r="C154" i="1"/>
  <c r="Q150" i="1"/>
  <c r="P150" i="1"/>
  <c r="O150" i="1"/>
  <c r="N150" i="1"/>
  <c r="Q143" i="1"/>
  <c r="E105" i="1"/>
  <c r="D105" i="1"/>
  <c r="C105" i="1"/>
  <c r="Q103" i="1"/>
  <c r="P103" i="1"/>
  <c r="O103" i="1"/>
  <c r="N103" i="1"/>
  <c r="O102" i="1"/>
  <c r="Q101" i="1"/>
  <c r="P101" i="1"/>
  <c r="O101" i="1"/>
  <c r="N101" i="1"/>
  <c r="O89" i="1"/>
  <c r="O95" i="1" s="1"/>
  <c r="O97" i="1" s="1"/>
  <c r="O73" i="1"/>
  <c r="O79" i="1" s="1"/>
  <c r="P89" i="1"/>
  <c r="P95" i="1" s="1"/>
  <c r="P97" i="1" s="1"/>
  <c r="P73" i="1"/>
  <c r="P79" i="1" s="1"/>
  <c r="N89" i="1"/>
  <c r="N95" i="1" s="1"/>
  <c r="N97" i="1" s="1"/>
  <c r="N73" i="1"/>
  <c r="N79" i="1" s="1"/>
  <c r="P67" i="1"/>
  <c r="Q67" i="1"/>
  <c r="Q89" i="1"/>
  <c r="Q95" i="1" s="1"/>
  <c r="Q97" i="1" s="1"/>
  <c r="Q73" i="1"/>
  <c r="Q79" i="1" s="1"/>
  <c r="N67" i="1"/>
  <c r="O67" i="1"/>
  <c r="M67" i="1"/>
  <c r="Q63" i="1"/>
  <c r="P63" i="1"/>
  <c r="O63" i="1"/>
  <c r="Q62" i="1"/>
  <c r="P62" i="1"/>
  <c r="O62" i="1"/>
  <c r="Q61" i="1"/>
  <c r="P61" i="1"/>
  <c r="O61" i="1"/>
  <c r="Q43" i="1"/>
  <c r="P43" i="1"/>
  <c r="O43" i="1"/>
  <c r="Q42" i="1"/>
  <c r="P42" i="1"/>
  <c r="O42" i="1"/>
  <c r="P10" i="1"/>
  <c r="P26" i="1"/>
  <c r="P18" i="1"/>
  <c r="P57" i="1" s="1"/>
  <c r="Q26" i="1"/>
  <c r="Q18" i="1"/>
  <c r="Q56" i="1" s="1"/>
  <c r="Q10" i="1"/>
  <c r="AA9" i="1"/>
  <c r="AA8" i="1"/>
  <c r="AA6" i="1"/>
  <c r="AA5" i="1"/>
  <c r="AA4" i="1"/>
  <c r="N33" i="1"/>
  <c r="N31" i="1"/>
  <c r="N29" i="1"/>
  <c r="N28" i="1"/>
  <c r="N25" i="1"/>
  <c r="N51" i="1" s="1"/>
  <c r="N24" i="1"/>
  <c r="N50" i="1" s="1"/>
  <c r="N23" i="1"/>
  <c r="N49" i="1" s="1"/>
  <c r="N22" i="1"/>
  <c r="N48" i="1" s="1"/>
  <c r="N21" i="1"/>
  <c r="N20" i="1"/>
  <c r="N19" i="1"/>
  <c r="N17" i="1"/>
  <c r="N16" i="1"/>
  <c r="AA26" i="1"/>
  <c r="AA18" i="1"/>
  <c r="O26" i="1"/>
  <c r="O18" i="1"/>
  <c r="O57" i="1" s="1"/>
  <c r="O10" i="1"/>
  <c r="AN47" i="1"/>
  <c r="AN45" i="1"/>
  <c r="Z63" i="1"/>
  <c r="Y63" i="1"/>
  <c r="Z62" i="1"/>
  <c r="Y62" i="1"/>
  <c r="Z61" i="1"/>
  <c r="Y61" i="1"/>
  <c r="Z42" i="1"/>
  <c r="Y42" i="1"/>
  <c r="N35" i="1"/>
  <c r="M62" i="1"/>
  <c r="L62" i="1"/>
  <c r="K62" i="1"/>
  <c r="M61" i="1"/>
  <c r="L61" i="1"/>
  <c r="K61" i="1"/>
  <c r="L63" i="1"/>
  <c r="K63" i="1"/>
  <c r="I63" i="1"/>
  <c r="H63" i="1"/>
  <c r="G63" i="1"/>
  <c r="I62" i="1"/>
  <c r="H62" i="1"/>
  <c r="G62" i="1"/>
  <c r="I61" i="1"/>
  <c r="H61" i="1"/>
  <c r="G61" i="1"/>
  <c r="M63" i="1"/>
  <c r="Z9" i="1"/>
  <c r="Y9" i="1"/>
  <c r="Z8" i="1"/>
  <c r="Y8" i="1"/>
  <c r="Z6" i="1"/>
  <c r="Y6" i="1"/>
  <c r="Z5" i="1"/>
  <c r="Y5" i="1"/>
  <c r="Y4" i="1"/>
  <c r="Z4" i="1"/>
  <c r="L10" i="1"/>
  <c r="K10" i="1"/>
  <c r="J10" i="1"/>
  <c r="I10" i="1"/>
  <c r="H10" i="1"/>
  <c r="G10" i="1"/>
  <c r="F10" i="1"/>
  <c r="E10" i="1"/>
  <c r="D10" i="1"/>
  <c r="C10" i="1"/>
  <c r="M10" i="1"/>
  <c r="M103" i="1"/>
  <c r="L103" i="1"/>
  <c r="K103" i="1"/>
  <c r="J103" i="1"/>
  <c r="I103" i="1"/>
  <c r="H103" i="1"/>
  <c r="K102" i="1"/>
  <c r="G102" i="1"/>
  <c r="J101" i="1"/>
  <c r="I101" i="1"/>
  <c r="H101" i="1"/>
  <c r="G101" i="1"/>
  <c r="L101" i="1"/>
  <c r="K101" i="1"/>
  <c r="M101" i="1"/>
  <c r="J150" i="1"/>
  <c r="Z147" i="1"/>
  <c r="Y147" i="1"/>
  <c r="X147" i="1"/>
  <c r="Z137" i="1"/>
  <c r="X137" i="1"/>
  <c r="Y132" i="1"/>
  <c r="Y137" i="1" s="1"/>
  <c r="Z130" i="1"/>
  <c r="Z154" i="1" s="1"/>
  <c r="Y130" i="1"/>
  <c r="X130" i="1"/>
  <c r="X154" i="1" s="1"/>
  <c r="I150" i="1"/>
  <c r="H150" i="1"/>
  <c r="H139" i="1"/>
  <c r="H102" i="1" s="1"/>
  <c r="H146" i="1"/>
  <c r="I146" i="1" s="1"/>
  <c r="H145" i="1"/>
  <c r="I145" i="1" s="1"/>
  <c r="H144" i="1"/>
  <c r="I144" i="1" s="1"/>
  <c r="H143" i="1"/>
  <c r="I143" i="1" s="1"/>
  <c r="H142" i="1"/>
  <c r="I142" i="1" s="1"/>
  <c r="H141" i="1"/>
  <c r="I141" i="1" s="1"/>
  <c r="H140" i="1"/>
  <c r="I140" i="1" s="1"/>
  <c r="H136" i="1"/>
  <c r="H135" i="1"/>
  <c r="I135" i="1" s="1"/>
  <c r="H134" i="1"/>
  <c r="I134" i="1" s="1"/>
  <c r="H133" i="1"/>
  <c r="I133" i="1" s="1"/>
  <c r="H132" i="1"/>
  <c r="I132" i="1" s="1"/>
  <c r="H129" i="1"/>
  <c r="I129" i="1" s="1"/>
  <c r="H128" i="1"/>
  <c r="H127" i="1"/>
  <c r="I127" i="1" s="1"/>
  <c r="H126" i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H110" i="1"/>
  <c r="H109" i="1"/>
  <c r="M150" i="1"/>
  <c r="M136" i="1"/>
  <c r="N136" i="1" s="1"/>
  <c r="L150" i="1"/>
  <c r="L143" i="1"/>
  <c r="M143" i="1" s="1"/>
  <c r="L139" i="1"/>
  <c r="M139" i="1" s="1"/>
  <c r="M102" i="1" s="1"/>
  <c r="L146" i="1"/>
  <c r="M146" i="1" s="1"/>
  <c r="L145" i="1"/>
  <c r="M145" i="1" s="1"/>
  <c r="L144" i="1"/>
  <c r="M144" i="1" s="1"/>
  <c r="L142" i="1"/>
  <c r="M142" i="1" s="1"/>
  <c r="L141" i="1"/>
  <c r="M141" i="1" s="1"/>
  <c r="L140" i="1"/>
  <c r="M140" i="1" s="1"/>
  <c r="L135" i="1"/>
  <c r="M135" i="1" s="1"/>
  <c r="L134" i="1"/>
  <c r="M134" i="1" s="1"/>
  <c r="L133" i="1"/>
  <c r="M133" i="1" s="1"/>
  <c r="L132" i="1"/>
  <c r="M132" i="1" s="1"/>
  <c r="L129" i="1"/>
  <c r="M129" i="1" s="1"/>
  <c r="L128" i="1"/>
  <c r="M128" i="1" s="1"/>
  <c r="L127" i="1"/>
  <c r="M127" i="1" s="1"/>
  <c r="L126" i="1"/>
  <c r="M126" i="1" s="1"/>
  <c r="L125" i="1"/>
  <c r="M125" i="1" s="1"/>
  <c r="L124" i="1"/>
  <c r="M124" i="1" s="1"/>
  <c r="L123" i="1"/>
  <c r="M123" i="1" s="1"/>
  <c r="L122" i="1"/>
  <c r="M122" i="1" s="1"/>
  <c r="L121" i="1"/>
  <c r="M121" i="1" s="1"/>
  <c r="L120" i="1"/>
  <c r="M120" i="1" s="1"/>
  <c r="L119" i="1"/>
  <c r="M119" i="1" s="1"/>
  <c r="L118" i="1"/>
  <c r="M118" i="1" s="1"/>
  <c r="L117" i="1"/>
  <c r="M117" i="1" s="1"/>
  <c r="L116" i="1"/>
  <c r="M116" i="1" s="1"/>
  <c r="L115" i="1"/>
  <c r="M115" i="1" s="1"/>
  <c r="L114" i="1"/>
  <c r="M114" i="1" s="1"/>
  <c r="L113" i="1"/>
  <c r="M113" i="1" s="1"/>
  <c r="L112" i="1"/>
  <c r="M112" i="1" s="1"/>
  <c r="L111" i="1"/>
  <c r="M111" i="1" s="1"/>
  <c r="L110" i="1"/>
  <c r="M110" i="1" s="1"/>
  <c r="L109" i="1"/>
  <c r="M109" i="1" s="1"/>
  <c r="G150" i="1"/>
  <c r="G147" i="1"/>
  <c r="G137" i="1"/>
  <c r="G130" i="1"/>
  <c r="G154" i="1" s="1"/>
  <c r="K150" i="1"/>
  <c r="K147" i="1"/>
  <c r="K137" i="1"/>
  <c r="K130" i="1"/>
  <c r="K154" i="1" s="1"/>
  <c r="L67" i="1"/>
  <c r="K67" i="1"/>
  <c r="J67" i="1"/>
  <c r="I67" i="1"/>
  <c r="H67" i="1"/>
  <c r="G67" i="1"/>
  <c r="F67" i="1"/>
  <c r="G89" i="1"/>
  <c r="G95" i="1" s="1"/>
  <c r="G97" i="1" s="1"/>
  <c r="G73" i="1"/>
  <c r="G79" i="1" s="1"/>
  <c r="H89" i="1"/>
  <c r="H95" i="1" s="1"/>
  <c r="H97" i="1" s="1"/>
  <c r="H73" i="1"/>
  <c r="H79" i="1" s="1"/>
  <c r="E97" i="1"/>
  <c r="D97" i="1"/>
  <c r="C97" i="1"/>
  <c r="F89" i="1"/>
  <c r="F95" i="1" s="1"/>
  <c r="F97" i="1" s="1"/>
  <c r="F73" i="1"/>
  <c r="F79" i="1" s="1"/>
  <c r="I89" i="1"/>
  <c r="I95" i="1" s="1"/>
  <c r="I97" i="1" s="1"/>
  <c r="I73" i="1"/>
  <c r="I79" i="1" s="1"/>
  <c r="K89" i="1"/>
  <c r="K95" i="1" s="1"/>
  <c r="K97" i="1" s="1"/>
  <c r="K73" i="1"/>
  <c r="K79" i="1" s="1"/>
  <c r="L89" i="1"/>
  <c r="L95" i="1" s="1"/>
  <c r="L97" i="1" s="1"/>
  <c r="L73" i="1"/>
  <c r="L79" i="1" s="1"/>
  <c r="J89" i="1"/>
  <c r="J95" i="1" s="1"/>
  <c r="J97" i="1" s="1"/>
  <c r="M89" i="1"/>
  <c r="M95" i="1" s="1"/>
  <c r="M97" i="1" s="1"/>
  <c r="E79" i="1"/>
  <c r="D79" i="1"/>
  <c r="C79" i="1"/>
  <c r="J73" i="1"/>
  <c r="J79" i="1" s="1"/>
  <c r="M73" i="1"/>
  <c r="M79" i="1" s="1"/>
  <c r="F33" i="1"/>
  <c r="F31" i="1"/>
  <c r="F29" i="1"/>
  <c r="F28" i="1"/>
  <c r="F25" i="1"/>
  <c r="F24" i="1"/>
  <c r="F23" i="1"/>
  <c r="F22" i="1"/>
  <c r="F21" i="1"/>
  <c r="F20" i="1"/>
  <c r="F19" i="1"/>
  <c r="F17" i="1"/>
  <c r="F16" i="1"/>
  <c r="J33" i="1"/>
  <c r="J31" i="1"/>
  <c r="J29" i="1"/>
  <c r="J28" i="1"/>
  <c r="J25" i="1"/>
  <c r="J51" i="1" s="1"/>
  <c r="J24" i="1"/>
  <c r="J50" i="1" s="1"/>
  <c r="J23" i="1"/>
  <c r="J49" i="1" s="1"/>
  <c r="J22" i="1"/>
  <c r="J48" i="1" s="1"/>
  <c r="J21" i="1"/>
  <c r="J47" i="1" s="1"/>
  <c r="J20" i="1"/>
  <c r="J46" i="1" s="1"/>
  <c r="J19" i="1"/>
  <c r="J17" i="1"/>
  <c r="J16" i="1"/>
  <c r="Y43" i="1"/>
  <c r="Z43" i="1"/>
  <c r="X26" i="1"/>
  <c r="X18" i="1"/>
  <c r="X57" i="1" s="1"/>
  <c r="Z26" i="1"/>
  <c r="Z18" i="1"/>
  <c r="Z57" i="1" s="1"/>
  <c r="Y26" i="1"/>
  <c r="Y18" i="1"/>
  <c r="Y58" i="1" s="1"/>
  <c r="U3" i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H43" i="1"/>
  <c r="G43" i="1"/>
  <c r="H42" i="1"/>
  <c r="G42" i="1"/>
  <c r="C26" i="1"/>
  <c r="C18" i="1"/>
  <c r="C55" i="1" s="1"/>
  <c r="D26" i="1"/>
  <c r="D18" i="1"/>
  <c r="I43" i="1"/>
  <c r="I42" i="1"/>
  <c r="E26" i="1"/>
  <c r="E18" i="1"/>
  <c r="E58" i="1" s="1"/>
  <c r="G26" i="1"/>
  <c r="G18" i="1"/>
  <c r="K43" i="1"/>
  <c r="K42" i="1"/>
  <c r="K26" i="1"/>
  <c r="K18" i="1"/>
  <c r="K56" i="1" s="1"/>
  <c r="L43" i="1"/>
  <c r="L42" i="1"/>
  <c r="H26" i="1"/>
  <c r="H18" i="1"/>
  <c r="H55" i="1" s="1"/>
  <c r="L26" i="1"/>
  <c r="L18" i="1"/>
  <c r="M43" i="1"/>
  <c r="M42" i="1"/>
  <c r="I26" i="1"/>
  <c r="I18" i="1"/>
  <c r="I55" i="1" s="1"/>
  <c r="M26" i="1"/>
  <c r="M18" i="1"/>
  <c r="M55" i="1" s="1"/>
  <c r="H8" i="2"/>
  <c r="H11" i="2" s="1"/>
  <c r="I9" i="2"/>
  <c r="I10" i="2" s="1"/>
  <c r="N47" i="1" l="1"/>
  <c r="N45" i="1"/>
  <c r="J45" i="1"/>
  <c r="N46" i="1"/>
  <c r="N144" i="1"/>
  <c r="N133" i="1"/>
  <c r="N123" i="1"/>
  <c r="N132" i="1"/>
  <c r="N145" i="1"/>
  <c r="N146" i="1"/>
  <c r="Y154" i="1"/>
  <c r="P102" i="1"/>
  <c r="P104" i="1" s="1"/>
  <c r="N114" i="1"/>
  <c r="N115" i="1"/>
  <c r="N122" i="1"/>
  <c r="N142" i="1"/>
  <c r="N143" i="1"/>
  <c r="N116" i="1"/>
  <c r="N124" i="1"/>
  <c r="N109" i="1"/>
  <c r="N117" i="1"/>
  <c r="N125" i="1"/>
  <c r="N135" i="1"/>
  <c r="N134" i="1"/>
  <c r="N118" i="1"/>
  <c r="N111" i="1"/>
  <c r="N119" i="1"/>
  <c r="N127" i="1"/>
  <c r="N139" i="1"/>
  <c r="N102" i="1" s="1"/>
  <c r="N104" i="1" s="1"/>
  <c r="N126" i="1"/>
  <c r="N128" i="1"/>
  <c r="N110" i="1"/>
  <c r="AA149" i="1"/>
  <c r="N112" i="1"/>
  <c r="N120" i="1"/>
  <c r="N140" i="1"/>
  <c r="N113" i="1"/>
  <c r="N121" i="1"/>
  <c r="N129" i="1"/>
  <c r="N141" i="1"/>
  <c r="O149" i="1"/>
  <c r="O151" i="1" s="1"/>
  <c r="P147" i="1"/>
  <c r="Q145" i="1"/>
  <c r="Q147" i="1" s="1"/>
  <c r="P137" i="1"/>
  <c r="Q135" i="1"/>
  <c r="Q137" i="1" s="1"/>
  <c r="Q130" i="1"/>
  <c r="Q154" i="1" s="1"/>
  <c r="P130" i="1"/>
  <c r="P105" i="1"/>
  <c r="F105" i="1"/>
  <c r="K105" i="1"/>
  <c r="N105" i="1"/>
  <c r="L105" i="1"/>
  <c r="M105" i="1"/>
  <c r="J105" i="1"/>
  <c r="G105" i="1"/>
  <c r="O105" i="1"/>
  <c r="H105" i="1"/>
  <c r="I105" i="1"/>
  <c r="Q105" i="1"/>
  <c r="Q55" i="1"/>
  <c r="N18" i="1"/>
  <c r="P12" i="1"/>
  <c r="O44" i="1"/>
  <c r="O58" i="1"/>
  <c r="Q12" i="1"/>
  <c r="Q44" i="1"/>
  <c r="Q57" i="1"/>
  <c r="O55" i="1"/>
  <c r="P44" i="1"/>
  <c r="P55" i="1"/>
  <c r="P58" i="1"/>
  <c r="O56" i="1"/>
  <c r="Q58" i="1"/>
  <c r="O104" i="1"/>
  <c r="N26" i="1"/>
  <c r="P56" i="1"/>
  <c r="Q104" i="1"/>
  <c r="P27" i="1"/>
  <c r="Q27" i="1"/>
  <c r="AA27" i="1"/>
  <c r="O12" i="1"/>
  <c r="O27" i="1"/>
  <c r="J63" i="1"/>
  <c r="J62" i="1"/>
  <c r="Y55" i="1"/>
  <c r="Z56" i="1"/>
  <c r="Y57" i="1"/>
  <c r="L12" i="1"/>
  <c r="D12" i="1"/>
  <c r="J61" i="1"/>
  <c r="X58" i="1"/>
  <c r="X55" i="1"/>
  <c r="Y56" i="1"/>
  <c r="Z58" i="1"/>
  <c r="Z55" i="1"/>
  <c r="X56" i="1"/>
  <c r="C57" i="1"/>
  <c r="K57" i="1"/>
  <c r="L57" i="1"/>
  <c r="L55" i="1"/>
  <c r="N10" i="1"/>
  <c r="AA10" i="1" s="1"/>
  <c r="I58" i="1"/>
  <c r="E56" i="1"/>
  <c r="K55" i="1"/>
  <c r="M56" i="1"/>
  <c r="D57" i="1"/>
  <c r="G44" i="1"/>
  <c r="C58" i="1"/>
  <c r="C56" i="1"/>
  <c r="D56" i="1"/>
  <c r="L56" i="1"/>
  <c r="H58" i="1"/>
  <c r="D55" i="1"/>
  <c r="G56" i="1"/>
  <c r="E57" i="1"/>
  <c r="M57" i="1"/>
  <c r="K58" i="1"/>
  <c r="E55" i="1"/>
  <c r="H56" i="1"/>
  <c r="D58" i="1"/>
  <c r="L58" i="1"/>
  <c r="I56" i="1"/>
  <c r="G57" i="1"/>
  <c r="M58" i="1"/>
  <c r="G55" i="1"/>
  <c r="H57" i="1"/>
  <c r="I57" i="1"/>
  <c r="G58" i="1"/>
  <c r="E12" i="1"/>
  <c r="K12" i="1"/>
  <c r="H12" i="1"/>
  <c r="Y10" i="1"/>
  <c r="Y12" i="1" s="1"/>
  <c r="I12" i="1"/>
  <c r="Z10" i="1"/>
  <c r="Z12" i="1" s="1"/>
  <c r="M12" i="1"/>
  <c r="C12" i="1"/>
  <c r="M104" i="1"/>
  <c r="G12" i="1"/>
  <c r="K104" i="1"/>
  <c r="L102" i="1"/>
  <c r="L104" i="1" s="1"/>
  <c r="H104" i="1"/>
  <c r="J123" i="1"/>
  <c r="J124" i="1"/>
  <c r="J134" i="1"/>
  <c r="I128" i="1"/>
  <c r="J128" i="1" s="1"/>
  <c r="J133" i="1"/>
  <c r="I136" i="1"/>
  <c r="J136" i="1" s="1"/>
  <c r="J143" i="1"/>
  <c r="X149" i="1"/>
  <c r="X151" i="1" s="1"/>
  <c r="Y149" i="1"/>
  <c r="Y151" i="1" s="1"/>
  <c r="J115" i="1"/>
  <c r="J145" i="1"/>
  <c r="J144" i="1"/>
  <c r="Z149" i="1"/>
  <c r="Z151" i="1" s="1"/>
  <c r="AA150" i="1" s="1"/>
  <c r="J116" i="1"/>
  <c r="J142" i="1"/>
  <c r="J117" i="1"/>
  <c r="I110" i="1"/>
  <c r="J110" i="1" s="1"/>
  <c r="J118" i="1"/>
  <c r="J126" i="1"/>
  <c r="I111" i="1"/>
  <c r="J111" i="1" s="1"/>
  <c r="J119" i="1"/>
  <c r="J127" i="1"/>
  <c r="J146" i="1"/>
  <c r="M147" i="1"/>
  <c r="J135" i="1"/>
  <c r="J112" i="1"/>
  <c r="J113" i="1"/>
  <c r="J121" i="1"/>
  <c r="J129" i="1"/>
  <c r="J140" i="1"/>
  <c r="J125" i="1"/>
  <c r="J120" i="1"/>
  <c r="J114" i="1"/>
  <c r="J122" i="1"/>
  <c r="J141" i="1"/>
  <c r="M137" i="1"/>
  <c r="H137" i="1"/>
  <c r="L147" i="1"/>
  <c r="H130" i="1"/>
  <c r="H154" i="1" s="1"/>
  <c r="H147" i="1"/>
  <c r="I109" i="1"/>
  <c r="J109" i="1" s="1"/>
  <c r="M130" i="1"/>
  <c r="M154" i="1" s="1"/>
  <c r="L137" i="1"/>
  <c r="I139" i="1"/>
  <c r="Y44" i="1"/>
  <c r="L130" i="1"/>
  <c r="L154" i="1" s="1"/>
  <c r="G149" i="1"/>
  <c r="G151" i="1" s="1"/>
  <c r="K149" i="1"/>
  <c r="K151" i="1" s="1"/>
  <c r="L44" i="1"/>
  <c r="H44" i="1"/>
  <c r="J18" i="1"/>
  <c r="J58" i="1" s="1"/>
  <c r="J42" i="1"/>
  <c r="J43" i="1"/>
  <c r="J26" i="1"/>
  <c r="F18" i="1"/>
  <c r="I44" i="1"/>
  <c r="F26" i="1"/>
  <c r="Z44" i="1"/>
  <c r="M44" i="1"/>
  <c r="X27" i="1"/>
  <c r="Z27" i="1"/>
  <c r="Y27" i="1"/>
  <c r="Y38" i="1" s="1"/>
  <c r="C27" i="1"/>
  <c r="C38" i="1" s="1"/>
  <c r="D27" i="1"/>
  <c r="D38" i="1" s="1"/>
  <c r="E27" i="1"/>
  <c r="E38" i="1" s="1"/>
  <c r="G27" i="1"/>
  <c r="G38" i="1" s="1"/>
  <c r="K44" i="1"/>
  <c r="K27" i="1"/>
  <c r="K38" i="1" s="1"/>
  <c r="H27" i="1"/>
  <c r="H38" i="1" s="1"/>
  <c r="L27" i="1"/>
  <c r="L38" i="1" s="1"/>
  <c r="M27" i="1"/>
  <c r="M38" i="1" s="1"/>
  <c r="I27" i="1"/>
  <c r="I38" i="1" s="1"/>
  <c r="N137" i="1" l="1"/>
  <c r="Q13" i="1"/>
  <c r="N130" i="1"/>
  <c r="AA151" i="1"/>
  <c r="N147" i="1"/>
  <c r="P149" i="1"/>
  <c r="P151" i="1" s="1"/>
  <c r="Q149" i="1"/>
  <c r="Q151" i="1" s="1"/>
  <c r="P154" i="1"/>
  <c r="N27" i="1"/>
  <c r="P13" i="1"/>
  <c r="Q30" i="1"/>
  <c r="Q32" i="1" s="1"/>
  <c r="Q34" i="1" s="1"/>
  <c r="Q155" i="1" s="1"/>
  <c r="Q38" i="1"/>
  <c r="Q65" i="1"/>
  <c r="P30" i="1"/>
  <c r="P32" i="1" s="1"/>
  <c r="P34" i="1" s="1"/>
  <c r="P155" i="1" s="1"/>
  <c r="P38" i="1"/>
  <c r="P65" i="1"/>
  <c r="O30" i="1"/>
  <c r="O32" i="1" s="1"/>
  <c r="O34" i="1" s="1"/>
  <c r="O155" i="1" s="1"/>
  <c r="O65" i="1"/>
  <c r="X65" i="1"/>
  <c r="X38" i="1"/>
  <c r="O13" i="1"/>
  <c r="Z65" i="1"/>
  <c r="Z38" i="1"/>
  <c r="AA38" i="1"/>
  <c r="AA30" i="1"/>
  <c r="AA32" i="1" s="1"/>
  <c r="AA34" i="1" s="1"/>
  <c r="O38" i="1"/>
  <c r="H13" i="1"/>
  <c r="M13" i="1"/>
  <c r="L13" i="1"/>
  <c r="K13" i="1"/>
  <c r="AB10" i="1"/>
  <c r="Y30" i="1"/>
  <c r="Y32" i="1" s="1"/>
  <c r="Y65" i="1"/>
  <c r="F12" i="1"/>
  <c r="F56" i="1"/>
  <c r="F58" i="1"/>
  <c r="F57" i="1"/>
  <c r="J57" i="1"/>
  <c r="J55" i="1"/>
  <c r="I13" i="1"/>
  <c r="J56" i="1"/>
  <c r="F55" i="1"/>
  <c r="G13" i="1"/>
  <c r="J12" i="1"/>
  <c r="I147" i="1"/>
  <c r="I102" i="1"/>
  <c r="I104" i="1" s="1"/>
  <c r="I137" i="1"/>
  <c r="H149" i="1"/>
  <c r="H151" i="1" s="1"/>
  <c r="J130" i="1"/>
  <c r="J132" i="1"/>
  <c r="J137" i="1" s="1"/>
  <c r="I130" i="1"/>
  <c r="I154" i="1" s="1"/>
  <c r="M149" i="1"/>
  <c r="M151" i="1" s="1"/>
  <c r="J139" i="1"/>
  <c r="J44" i="1"/>
  <c r="L149" i="1"/>
  <c r="L151" i="1" s="1"/>
  <c r="H30" i="1"/>
  <c r="H32" i="1" s="1"/>
  <c r="H34" i="1" s="1"/>
  <c r="H65" i="1"/>
  <c r="L30" i="1"/>
  <c r="L32" i="1" s="1"/>
  <c r="L34" i="1" s="1"/>
  <c r="L155" i="1" s="1"/>
  <c r="L65" i="1"/>
  <c r="K30" i="1"/>
  <c r="K32" i="1" s="1"/>
  <c r="K34" i="1" s="1"/>
  <c r="K155" i="1" s="1"/>
  <c r="K65" i="1"/>
  <c r="D30" i="1"/>
  <c r="D32" i="1" s="1"/>
  <c r="D34" i="1" s="1"/>
  <c r="D155" i="1" s="1"/>
  <c r="D65" i="1"/>
  <c r="F27" i="1"/>
  <c r="Z30" i="1"/>
  <c r="J27" i="1"/>
  <c r="X30" i="1"/>
  <c r="X32" i="1" s="1"/>
  <c r="X34" i="1" s="1"/>
  <c r="G30" i="1"/>
  <c r="G32" i="1" s="1"/>
  <c r="G34" i="1" s="1"/>
  <c r="G65" i="1"/>
  <c r="E30" i="1"/>
  <c r="E32" i="1" s="1"/>
  <c r="E34" i="1" s="1"/>
  <c r="E155" i="1" s="1"/>
  <c r="E65" i="1"/>
  <c r="I30" i="1"/>
  <c r="I32" i="1" s="1"/>
  <c r="I34" i="1" s="1"/>
  <c r="I65" i="1"/>
  <c r="M30" i="1"/>
  <c r="M32" i="1" s="1"/>
  <c r="M34" i="1" s="1"/>
  <c r="M155" i="1" s="1"/>
  <c r="M65" i="1"/>
  <c r="C30" i="1"/>
  <c r="C32" i="1" s="1"/>
  <c r="C34" i="1" s="1"/>
  <c r="C155" i="1" s="1"/>
  <c r="C65" i="1"/>
  <c r="H108" i="1" l="1"/>
  <c r="H155" i="1"/>
  <c r="N149" i="1"/>
  <c r="N151" i="1" s="1"/>
  <c r="N154" i="1"/>
  <c r="G108" i="1"/>
  <c r="G155" i="1"/>
  <c r="X36" i="1"/>
  <c r="X155" i="1"/>
  <c r="J154" i="1"/>
  <c r="M157" i="1" s="1"/>
  <c r="I108" i="1"/>
  <c r="I155" i="1"/>
  <c r="AA36" i="1"/>
  <c r="AA155" i="1"/>
  <c r="O36" i="1"/>
  <c r="O108" i="1"/>
  <c r="P36" i="1"/>
  <c r="P108" i="1"/>
  <c r="Q36" i="1"/>
  <c r="Q108" i="1"/>
  <c r="J65" i="1"/>
  <c r="J38" i="1"/>
  <c r="F65" i="1"/>
  <c r="F38" i="1"/>
  <c r="N12" i="1"/>
  <c r="J13" i="1"/>
  <c r="AC10" i="1"/>
  <c r="I149" i="1"/>
  <c r="I151" i="1" s="1"/>
  <c r="J147" i="1"/>
  <c r="J149" i="1" s="1"/>
  <c r="J151" i="1" s="1"/>
  <c r="J102" i="1"/>
  <c r="J104" i="1" s="1"/>
  <c r="K36" i="1"/>
  <c r="K108" i="1"/>
  <c r="L36" i="1"/>
  <c r="L108" i="1"/>
  <c r="D36" i="1"/>
  <c r="D108" i="1"/>
  <c r="E36" i="1"/>
  <c r="E108" i="1"/>
  <c r="M36" i="1"/>
  <c r="M108" i="1"/>
  <c r="C36" i="1"/>
  <c r="C108" i="1"/>
  <c r="I36" i="1"/>
  <c r="G36" i="1"/>
  <c r="H36" i="1"/>
  <c r="Z32" i="1"/>
  <c r="J30" i="1"/>
  <c r="F30" i="1"/>
  <c r="Y34" i="1"/>
  <c r="Y155" i="1" s="1"/>
  <c r="F32" i="1"/>
  <c r="K157" i="1" l="1"/>
  <c r="Q157" i="1"/>
  <c r="P157" i="1"/>
  <c r="O157" i="1"/>
  <c r="N157" i="1"/>
  <c r="L157" i="1"/>
  <c r="J157" i="1"/>
  <c r="AD10" i="1"/>
  <c r="N13" i="1"/>
  <c r="Y36" i="1"/>
  <c r="F36" i="1" s="1"/>
  <c r="F34" i="1"/>
  <c r="F155" i="1" s="1"/>
  <c r="Z34" i="1"/>
  <c r="Z155" i="1" s="1"/>
  <c r="J32" i="1"/>
  <c r="N44" i="1" l="1"/>
  <c r="AE10" i="1"/>
  <c r="F108" i="1"/>
  <c r="H100" i="1"/>
  <c r="F35" i="1"/>
  <c r="I100" i="1"/>
  <c r="Z36" i="1"/>
  <c r="J36" i="1" s="1"/>
  <c r="J34" i="1"/>
  <c r="J155" i="1" s="1"/>
  <c r="M158" i="1" l="1"/>
  <c r="K158" i="1"/>
  <c r="J158" i="1"/>
  <c r="L158" i="1"/>
  <c r="J108" i="1"/>
  <c r="M100" i="1"/>
  <c r="AF10" i="1"/>
  <c r="N62" i="1"/>
  <c r="AA56" i="1"/>
  <c r="N56" i="1"/>
  <c r="N43" i="1"/>
  <c r="AA43" i="1"/>
  <c r="AA44" i="1"/>
  <c r="AA12" i="1"/>
  <c r="N57" i="1"/>
  <c r="AA57" i="1"/>
  <c r="N63" i="1"/>
  <c r="N58" i="1"/>
  <c r="AA58" i="1"/>
  <c r="AA42" i="1"/>
  <c r="N42" i="1"/>
  <c r="N61" i="1"/>
  <c r="AA55" i="1"/>
  <c r="N55" i="1"/>
  <c r="J35" i="1"/>
  <c r="J100" i="1"/>
  <c r="L100" i="1"/>
  <c r="K100" i="1"/>
  <c r="N38" i="1" l="1"/>
  <c r="AG10" i="1"/>
  <c r="AH10" i="1" l="1"/>
  <c r="AA65" i="1"/>
  <c r="N65" i="1"/>
  <c r="N30" i="1" l="1"/>
  <c r="AI10" i="1"/>
  <c r="AJ10" i="1" l="1"/>
  <c r="AK10" i="1"/>
  <c r="N32" i="1"/>
  <c r="N34" i="1" s="1"/>
  <c r="N155" i="1" s="1"/>
  <c r="Q158" i="1" l="1"/>
  <c r="N158" i="1"/>
  <c r="O158" i="1"/>
  <c r="P158" i="1"/>
  <c r="N36" i="1"/>
  <c r="N108" i="1"/>
  <c r="Q100" i="1"/>
  <c r="P100" i="1"/>
  <c r="O100" i="1"/>
  <c r="N100" i="1"/>
  <c r="AC33" i="1"/>
  <c r="AD33" i="1" s="1"/>
  <c r="AE33" i="1" s="1"/>
  <c r="AF33" i="1" s="1"/>
  <c r="AG33" i="1" s="1"/>
  <c r="AH33" i="1" s="1"/>
  <c r="AI33" i="1" s="1"/>
  <c r="AJ33" i="1" s="1"/>
  <c r="AK33" i="1" s="1"/>
  <c r="AC35" i="1" l="1"/>
  <c r="AD35" i="1" s="1"/>
  <c r="AE35" i="1" s="1"/>
  <c r="AF35" i="1" s="1"/>
  <c r="AG35" i="1" s="1"/>
  <c r="AH35" i="1" s="1"/>
  <c r="AI35" i="1" s="1"/>
  <c r="AJ35" i="1" s="1"/>
  <c r="AK35" i="1" s="1"/>
  <c r="AB42" i="1" l="1"/>
  <c r="AB43" i="1"/>
  <c r="AB51" i="1"/>
  <c r="AB57" i="1"/>
  <c r="AB47" i="1"/>
  <c r="AB46" i="1"/>
  <c r="AB56" i="1"/>
  <c r="AB45" i="1"/>
  <c r="AB55" i="1"/>
  <c r="AB50" i="1"/>
  <c r="AB49" i="1"/>
  <c r="AB58" i="1"/>
  <c r="AB48" i="1"/>
  <c r="AB44" i="1"/>
  <c r="AB12" i="1"/>
  <c r="AC18" i="1" l="1"/>
  <c r="AC19" i="1" s="1"/>
  <c r="AD18" i="1"/>
  <c r="AD19" i="1" s="1"/>
  <c r="AC44" i="1" l="1"/>
  <c r="AC21" i="1"/>
  <c r="AC23" i="1"/>
  <c r="AC49" i="1" s="1"/>
  <c r="AC17" i="1"/>
  <c r="AC43" i="1" s="1"/>
  <c r="AC25" i="1"/>
  <c r="AC51" i="1" s="1"/>
  <c r="AC20" i="1"/>
  <c r="AC56" i="1" s="1"/>
  <c r="AC22" i="1"/>
  <c r="AC48" i="1" s="1"/>
  <c r="AC24" i="1"/>
  <c r="AC50" i="1" s="1"/>
  <c r="AC16" i="1"/>
  <c r="AC42" i="1" s="1"/>
  <c r="AB52" i="1"/>
  <c r="AB38" i="1"/>
  <c r="AB65" i="1"/>
  <c r="AC47" i="1"/>
  <c r="AC57" i="1"/>
  <c r="AE18" i="1"/>
  <c r="AE21" i="1" s="1"/>
  <c r="AC45" i="1"/>
  <c r="AC55" i="1"/>
  <c r="AD21" i="1"/>
  <c r="AD44" i="1"/>
  <c r="AC46" i="1" l="1"/>
  <c r="AD16" i="1"/>
  <c r="AD42" i="1" s="1"/>
  <c r="AD17" i="1"/>
  <c r="AD43" i="1" s="1"/>
  <c r="AE20" i="1"/>
  <c r="AE19" i="1"/>
  <c r="AE55" i="1" s="1"/>
  <c r="AD23" i="1"/>
  <c r="AD49" i="1" s="1"/>
  <c r="AC26" i="1"/>
  <c r="AC27" i="1" s="1"/>
  <c r="AC38" i="1" s="1"/>
  <c r="AD20" i="1"/>
  <c r="AD56" i="1" s="1"/>
  <c r="AD22" i="1"/>
  <c r="AE22" i="1" s="1"/>
  <c r="AD24" i="1"/>
  <c r="AD50" i="1" s="1"/>
  <c r="AC58" i="1"/>
  <c r="AD25" i="1"/>
  <c r="AD51" i="1" s="1"/>
  <c r="AD45" i="1"/>
  <c r="AD55" i="1"/>
  <c r="AE23" i="1"/>
  <c r="AE49" i="1" s="1"/>
  <c r="AE44" i="1"/>
  <c r="AF18" i="1"/>
  <c r="AF21" i="1" s="1"/>
  <c r="AD57" i="1"/>
  <c r="AD47" i="1"/>
  <c r="AE17" i="1" l="1"/>
  <c r="AE43" i="1" s="1"/>
  <c r="AE16" i="1"/>
  <c r="AE42" i="1" s="1"/>
  <c r="AF20" i="1"/>
  <c r="AF56" i="1" s="1"/>
  <c r="AF19" i="1"/>
  <c r="AF55" i="1" s="1"/>
  <c r="AD48" i="1"/>
  <c r="AC65" i="1"/>
  <c r="AC29" i="1"/>
  <c r="AC30" i="1" s="1"/>
  <c r="AC32" i="1" s="1"/>
  <c r="AC34" i="1" s="1"/>
  <c r="AC36" i="1" s="1"/>
  <c r="AC52" i="1"/>
  <c r="AD58" i="1"/>
  <c r="AE24" i="1"/>
  <c r="AE50" i="1" s="1"/>
  <c r="AD46" i="1"/>
  <c r="AD26" i="1"/>
  <c r="AD27" i="1" s="1"/>
  <c r="AD65" i="1" s="1"/>
  <c r="AE25" i="1"/>
  <c r="AE51" i="1" s="1"/>
  <c r="AE48" i="1"/>
  <c r="AE58" i="1"/>
  <c r="AE45" i="1"/>
  <c r="AE46" i="1"/>
  <c r="AE56" i="1"/>
  <c r="AG18" i="1"/>
  <c r="AG21" i="1" s="1"/>
  <c r="AF16" i="1"/>
  <c r="AF42" i="1" s="1"/>
  <c r="AF22" i="1"/>
  <c r="AF17" i="1"/>
  <c r="AF43" i="1" s="1"/>
  <c r="AF23" i="1"/>
  <c r="AF49" i="1" s="1"/>
  <c r="AF44" i="1"/>
  <c r="AE57" i="1"/>
  <c r="AE47" i="1"/>
  <c r="AD52" i="1" l="1"/>
  <c r="AG20" i="1"/>
  <c r="AG56" i="1" s="1"/>
  <c r="AG19" i="1"/>
  <c r="AG55" i="1" s="1"/>
  <c r="AD29" i="1"/>
  <c r="AF24" i="1"/>
  <c r="AF50" i="1" s="1"/>
  <c r="AD38" i="1"/>
  <c r="AF25" i="1"/>
  <c r="AF51" i="1" s="1"/>
  <c r="AE26" i="1"/>
  <c r="AE27" i="1" s="1"/>
  <c r="AE65" i="1" s="1"/>
  <c r="AD28" i="1"/>
  <c r="AH18" i="1"/>
  <c r="AH21" i="1" s="1"/>
  <c r="AF57" i="1"/>
  <c r="AF47" i="1"/>
  <c r="AF46" i="1"/>
  <c r="AF45" i="1"/>
  <c r="AF58" i="1"/>
  <c r="AF48" i="1"/>
  <c r="AG16" i="1"/>
  <c r="AG42" i="1" s="1"/>
  <c r="AG17" i="1"/>
  <c r="AG43" i="1" s="1"/>
  <c r="AG44" i="1"/>
  <c r="AG23" i="1"/>
  <c r="AG49" i="1" s="1"/>
  <c r="AG22" i="1"/>
  <c r="AG24" i="1" l="1"/>
  <c r="AG50" i="1" s="1"/>
  <c r="AH19" i="1"/>
  <c r="AH55" i="1" s="1"/>
  <c r="AH20" i="1"/>
  <c r="AH56" i="1" s="1"/>
  <c r="AD30" i="1"/>
  <c r="AD32" i="1" s="1"/>
  <c r="AD34" i="1" s="1"/>
  <c r="AD36" i="1" s="1"/>
  <c r="AE29" i="1"/>
  <c r="AE38" i="1"/>
  <c r="AE52" i="1"/>
  <c r="AF26" i="1"/>
  <c r="AF27" i="1" s="1"/>
  <c r="AF65" i="1" s="1"/>
  <c r="AG25" i="1"/>
  <c r="AG51" i="1" s="1"/>
  <c r="AE28" i="1"/>
  <c r="AI18" i="1"/>
  <c r="AI21" i="1" s="1"/>
  <c r="AG46" i="1"/>
  <c r="AH16" i="1"/>
  <c r="AH42" i="1" s="1"/>
  <c r="AH22" i="1"/>
  <c r="AH17" i="1"/>
  <c r="AH43" i="1" s="1"/>
  <c r="AH23" i="1"/>
  <c r="AH49" i="1" s="1"/>
  <c r="AH24" i="1"/>
  <c r="AH50" i="1" s="1"/>
  <c r="AH44" i="1"/>
  <c r="AG45" i="1"/>
  <c r="AG48" i="1"/>
  <c r="AG58" i="1"/>
  <c r="AG47" i="1"/>
  <c r="AG57" i="1"/>
  <c r="AI19" i="1" l="1"/>
  <c r="AI55" i="1" s="1"/>
  <c r="AI20" i="1"/>
  <c r="AI56" i="1" s="1"/>
  <c r="AF52" i="1"/>
  <c r="AF29" i="1"/>
  <c r="AH25" i="1"/>
  <c r="AH51" i="1" s="1"/>
  <c r="AE30" i="1"/>
  <c r="AE31" i="1" s="1"/>
  <c r="AE32" i="1" s="1"/>
  <c r="AE34" i="1" s="1"/>
  <c r="AE36" i="1" s="1"/>
  <c r="AF38" i="1"/>
  <c r="AG26" i="1"/>
  <c r="AG27" i="1" s="1"/>
  <c r="AG38" i="1" s="1"/>
  <c r="AF28" i="1"/>
  <c r="AH45" i="1"/>
  <c r="AH46" i="1"/>
  <c r="AH58" i="1"/>
  <c r="AH48" i="1"/>
  <c r="AH57" i="1"/>
  <c r="AH47" i="1"/>
  <c r="AK18" i="1"/>
  <c r="AJ18" i="1"/>
  <c r="AJ21" i="1" s="1"/>
  <c r="AK21" i="1" s="1"/>
  <c r="AI24" i="1"/>
  <c r="AI50" i="1" s="1"/>
  <c r="AI17" i="1"/>
  <c r="AI43" i="1" s="1"/>
  <c r="AI22" i="1"/>
  <c r="AI23" i="1"/>
  <c r="AI49" i="1" s="1"/>
  <c r="AI44" i="1"/>
  <c r="AI16" i="1"/>
  <c r="AI42" i="1" s="1"/>
  <c r="AJ19" i="1" l="1"/>
  <c r="AJ55" i="1" s="1"/>
  <c r="AJ20" i="1"/>
  <c r="AJ56" i="1" s="1"/>
  <c r="AK20" i="1"/>
  <c r="AK56" i="1" s="1"/>
  <c r="AK19" i="1"/>
  <c r="AK55" i="1" s="1"/>
  <c r="AG65" i="1"/>
  <c r="AH26" i="1"/>
  <c r="AH27" i="1" s="1"/>
  <c r="AI25" i="1"/>
  <c r="AI51" i="1" s="1"/>
  <c r="AG29" i="1"/>
  <c r="AG30" i="1" s="1"/>
  <c r="AG52" i="1"/>
  <c r="AF30" i="1"/>
  <c r="AF31" i="1" s="1"/>
  <c r="AF32" i="1" s="1"/>
  <c r="AF34" i="1" s="1"/>
  <c r="AF36" i="1" s="1"/>
  <c r="AG28" i="1"/>
  <c r="AI46" i="1"/>
  <c r="AI57" i="1"/>
  <c r="AI47" i="1"/>
  <c r="AI45" i="1"/>
  <c r="AJ22" i="1"/>
  <c r="AJ16" i="1"/>
  <c r="AJ42" i="1" s="1"/>
  <c r="AJ44" i="1"/>
  <c r="AJ23" i="1"/>
  <c r="AJ49" i="1" s="1"/>
  <c r="AJ24" i="1"/>
  <c r="AJ50" i="1" s="1"/>
  <c r="AJ17" i="1"/>
  <c r="AJ43" i="1" s="1"/>
  <c r="AK44" i="1"/>
  <c r="AI48" i="1"/>
  <c r="AI58" i="1"/>
  <c r="AG31" i="1" l="1"/>
  <c r="AG32" i="1" s="1"/>
  <c r="AG34" i="1" s="1"/>
  <c r="AH28" i="1" s="1"/>
  <c r="AI26" i="1"/>
  <c r="AI27" i="1" s="1"/>
  <c r="AI65" i="1" s="1"/>
  <c r="AJ25" i="1"/>
  <c r="AJ51" i="1" s="1"/>
  <c r="AH29" i="1"/>
  <c r="AH30" i="1" s="1"/>
  <c r="AH31" i="1" s="1"/>
  <c r="AH32" i="1" s="1"/>
  <c r="AH34" i="1" s="1"/>
  <c r="AI28" i="1" s="1"/>
  <c r="AH38" i="1"/>
  <c r="AH65" i="1"/>
  <c r="AH52" i="1"/>
  <c r="AK17" i="1"/>
  <c r="AK43" i="1" s="1"/>
  <c r="AK16" i="1"/>
  <c r="AK42" i="1" s="1"/>
  <c r="AK45" i="1"/>
  <c r="AG36" i="1"/>
  <c r="AJ48" i="1"/>
  <c r="AJ58" i="1"/>
  <c r="AK47" i="1"/>
  <c r="AK57" i="1"/>
  <c r="AK24" i="1"/>
  <c r="AK50" i="1" s="1"/>
  <c r="AK23" i="1"/>
  <c r="AK49" i="1" s="1"/>
  <c r="AJ47" i="1"/>
  <c r="AJ57" i="1"/>
  <c r="AK25" i="1"/>
  <c r="AK51" i="1" s="1"/>
  <c r="AK22" i="1"/>
  <c r="AJ46" i="1"/>
  <c r="AJ45" i="1"/>
  <c r="AI52" i="1"/>
  <c r="AI38" i="1"/>
  <c r="AK46" i="1"/>
  <c r="AI29" i="1" l="1"/>
  <c r="AI30" i="1" s="1"/>
  <c r="AJ26" i="1"/>
  <c r="AJ27" i="1" s="1"/>
  <c r="AJ65" i="1" s="1"/>
  <c r="AH36" i="1"/>
  <c r="AI31" i="1"/>
  <c r="AI32" i="1" s="1"/>
  <c r="AI34" i="1" s="1"/>
  <c r="AI36" i="1" s="1"/>
  <c r="AK58" i="1"/>
  <c r="AK48" i="1"/>
  <c r="AK26" i="1"/>
  <c r="AK27" i="1" s="1"/>
  <c r="AK65" i="1" s="1"/>
  <c r="AJ38" i="1" l="1"/>
  <c r="AJ52" i="1"/>
  <c r="AJ29" i="1"/>
  <c r="AJ28" i="1"/>
  <c r="AJ30" i="1" s="1"/>
  <c r="AJ31" i="1" s="1"/>
  <c r="AJ32" i="1" s="1"/>
  <c r="AJ34" i="1" s="1"/>
  <c r="AJ36" i="1" s="1"/>
  <c r="AK38" i="1"/>
  <c r="AK52" i="1"/>
  <c r="AK29" i="1"/>
  <c r="AK28" i="1" l="1"/>
  <c r="AK30" i="1"/>
  <c r="AK31" i="1" s="1"/>
  <c r="AK32" i="1" l="1"/>
  <c r="AK34" i="1" s="1"/>
  <c r="AK36" i="1" s="1"/>
  <c r="AL34" i="1" l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BJ34" i="1" s="1"/>
  <c r="BK34" i="1" s="1"/>
  <c r="BL34" i="1" s="1"/>
  <c r="BM34" i="1" s="1"/>
  <c r="BN34" i="1" s="1"/>
  <c r="BO34" i="1" s="1"/>
  <c r="BP34" i="1" s="1"/>
  <c r="BQ34" i="1" s="1"/>
  <c r="BR34" i="1" s="1"/>
  <c r="BS34" i="1" s="1"/>
  <c r="BT34" i="1" s="1"/>
  <c r="BU34" i="1" s="1"/>
  <c r="BV34" i="1" s="1"/>
  <c r="BW34" i="1" s="1"/>
  <c r="BX34" i="1" s="1"/>
  <c r="BY34" i="1" s="1"/>
  <c r="BZ34" i="1" s="1"/>
  <c r="CA34" i="1" s="1"/>
  <c r="CB34" i="1" s="1"/>
  <c r="CC34" i="1" s="1"/>
  <c r="CD34" i="1" s="1"/>
  <c r="CE34" i="1" s="1"/>
  <c r="CF34" i="1" s="1"/>
  <c r="CG34" i="1" s="1"/>
  <c r="CH34" i="1" s="1"/>
  <c r="CI34" i="1" s="1"/>
  <c r="CJ34" i="1" s="1"/>
  <c r="CK34" i="1" s="1"/>
  <c r="CL34" i="1" s="1"/>
  <c r="CM34" i="1" s="1"/>
  <c r="CN34" i="1" s="1"/>
  <c r="CO34" i="1" s="1"/>
  <c r="CP34" i="1" s="1"/>
  <c r="CQ34" i="1" s="1"/>
  <c r="CR34" i="1" s="1"/>
  <c r="CS34" i="1" s="1"/>
  <c r="AN44" i="1" l="1"/>
  <c r="AN46" i="1" s="1"/>
  <c r="AN4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jameelbrannon</author>
  </authors>
  <commentList>
    <comment ref="C10" authorId="0" shapeId="0" xr:uid="{9AEE3D4D-D024-CE42-8570-BD3B9DF7776D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Kentucky Governor seeded Kent with $80K initially then invested more later.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Got new investors to launch Texas Roadhouse (3 doctors invested $300K)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Death by suicide 3/18/21 @ 65 yrs</t>
        </r>
      </text>
    </comment>
    <comment ref="C12" authorId="0" shapeId="0" xr:uid="{DBA685D2-1794-9341-AC93-798CD326AFB9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Replaced Kent Taylor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jameelbrannon</author>
    <author>tc={181FE2BF-5D97-9040-9A79-41DCD5D3431E}</author>
    <author>tc={EEA51F64-BDD9-6140-84EC-2A7B3BC86000}</author>
    <author>tc={94EF839B-A07D-1346-8081-B728670734D3}</author>
    <author>tc={549443CF-B8A7-7445-A70B-59E8A18627BC}</author>
    <author>tc={6EB4B813-7C2E-B04F-AFEA-47A8048E783E}</author>
    <author>tc={1748FB86-3C2C-304B-852D-54B70EB5DDF0}</author>
    <author>tc={5B54C1E7-DE57-814C-A1C1-E49CBE92E23E}</author>
    <author>tc={726BF05F-BEEE-A64B-AA4B-764271C3FAD6}</author>
    <author>tc={7A522B55-9D23-2A45-ADDB-5BEDEA62F207}</author>
    <author>tc={E45D53CA-CB29-A546-80EC-B01E82EB41DB}</author>
  </authors>
  <commentList>
    <comment ref="AB4" authorId="0" shapeId="0" xr:uid="{18FFDCB4-BB8E-934E-AD5D-1978916CE67F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30 new openings</t>
        </r>
      </text>
    </comment>
    <comment ref="AC12" authorId="1" shapeId="0" xr:uid="{181FE2BF-5D97-9040-9A79-41DCD5D3431E}">
      <text>
        <t>[Threaded comment]
Your version of Excel allows you to read this threaded comment; however, any edits to it will get removed if the file is opened in a newer version of Excel. Learn more: https://go.microsoft.com/fwlink/?linkid=870924
Comment:
    Benefit from menu pricing actions</t>
      </text>
    </comment>
    <comment ref="AC31" authorId="2" shapeId="0" xr:uid="{EEA51F64-BDD9-6140-84EC-2A7B3BC86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14% effective TR</t>
      </text>
    </comment>
    <comment ref="AD55" authorId="3" shapeId="0" xr:uid="{94EF839B-A07D-1346-8081-B728670734D3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Lower food/bev cost as food becomes easier to produce with new technology</t>
      </text>
    </comment>
    <comment ref="AE56" authorId="4" shapeId="0" xr:uid="{549443CF-B8A7-7445-A70B-59E8A18627BC}">
      <text>
        <t>[Threaded comment]
Your version of Excel allows you to read this threaded comment; however, any edits to it will get removed if the file is opened in a newer version of Excel. Learn more: https://go.microsoft.com/fwlink/?linkid=870924
Comment:
    Labor inflation back to 2021 levels</t>
      </text>
    </comment>
    <comment ref="AF56" authorId="5" shapeId="0" xr:uid="{6EB4B813-7C2E-B04F-AFEA-47A8048E783E}">
      <text>
        <t>[Threaded comment]
Your version of Excel allows you to read this threaded comment; however, any edits to it will get removed if the file is opened in a newer version of Excel. Learn more: https://go.microsoft.com/fwlink/?linkid=870924
Comment:
    Labor inflation back to 2021 levels</t>
      </text>
    </comment>
    <comment ref="AG56" authorId="6" shapeId="0" xr:uid="{1748FB86-3C2C-304B-852D-54B70EB5DDF0}">
      <text>
        <t>[Threaded comment]
Your version of Excel allows you to read this threaded comment; however, any edits to it will get removed if the file is opened in a newer version of Excel. Learn more: https://go.microsoft.com/fwlink/?linkid=870924
Comment:
    Labor inflation back to 2021 levels</t>
      </text>
    </comment>
    <comment ref="AH56" authorId="7" shapeId="0" xr:uid="{5B54C1E7-DE57-814C-A1C1-E49CBE92E23E}">
      <text>
        <t>[Threaded comment]
Your version of Excel allows you to read this threaded comment; however, any edits to it will get removed if the file is opened in a newer version of Excel. Learn more: https://go.microsoft.com/fwlink/?linkid=870924
Comment:
    Labor inflation back to 2021 levels</t>
      </text>
    </comment>
    <comment ref="AI56" authorId="8" shapeId="0" xr:uid="{726BF05F-BEEE-A64B-AA4B-764271C3FAD6}">
      <text>
        <t>[Threaded comment]
Your version of Excel allows you to read this threaded comment; however, any edits to it will get removed if the file is opened in a newer version of Excel. Learn more: https://go.microsoft.com/fwlink/?linkid=870924
Comment:
    Labor inflation back to 2021 levels</t>
      </text>
    </comment>
    <comment ref="AJ56" authorId="9" shapeId="0" xr:uid="{7A522B55-9D23-2A45-ADDB-5BEDEA62F207}">
      <text>
        <t>[Threaded comment]
Your version of Excel allows you to read this threaded comment; however, any edits to it will get removed if the file is opened in a newer version of Excel. Learn more: https://go.microsoft.com/fwlink/?linkid=870924
Comment:
    Labor inflation back to 2021 levels</t>
      </text>
    </comment>
    <comment ref="AK56" authorId="10" shapeId="0" xr:uid="{E45D53CA-CB29-A546-80EC-B01E82EB41DB}">
      <text>
        <t>[Threaded comment]
Your version of Excel allows you to read this threaded comment; however, any edits to it will get removed if the file is opened in a newer version of Excel. Learn more: https://go.microsoft.com/fwlink/?linkid=870924
Comment:
    Labor inflation back to 2021 levels</t>
      </text>
    </comment>
  </commentList>
</comments>
</file>

<file path=xl/sharedStrings.xml><?xml version="1.0" encoding="utf-8"?>
<sst xmlns="http://schemas.openxmlformats.org/spreadsheetml/2006/main" count="198" uniqueCount="165">
  <si>
    <t>Price</t>
  </si>
  <si>
    <t>Shares</t>
  </si>
  <si>
    <t>MC</t>
  </si>
  <si>
    <t>Cash</t>
  </si>
  <si>
    <t>Debt</t>
  </si>
  <si>
    <t>EV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</si>
  <si>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</si>
  <si>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</si>
  <si>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</si>
  <si>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</si>
  <si>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</si>
  <si>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</si>
  <si>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</si>
  <si>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</si>
  <si>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</si>
  <si>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</si>
  <si>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</si>
  <si>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</si>
  <si>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TC + E</t>
  </si>
  <si>
    <t xml:space="preserve">Restaurant </t>
  </si>
  <si>
    <t>Franchise royalties</t>
  </si>
  <si>
    <t>TR</t>
  </si>
  <si>
    <t>Food/Beverage</t>
  </si>
  <si>
    <t>Labor</t>
  </si>
  <si>
    <t>Rent</t>
  </si>
  <si>
    <t>Other op</t>
  </si>
  <si>
    <t>Pre-opening</t>
  </si>
  <si>
    <t>D&amp;A</t>
  </si>
  <si>
    <t>G&amp;A</t>
  </si>
  <si>
    <t>Op Income</t>
  </si>
  <si>
    <t>Interest E</t>
  </si>
  <si>
    <t>Equity income</t>
  </si>
  <si>
    <t>EBT</t>
  </si>
  <si>
    <t>Taxes</t>
  </si>
  <si>
    <t>Net Income</t>
  </si>
  <si>
    <t>Noncontrlling</t>
  </si>
  <si>
    <t>Net, Net</t>
  </si>
  <si>
    <t>Restaurant</t>
  </si>
  <si>
    <t>Franchise Royalties</t>
  </si>
  <si>
    <t xml:space="preserve">TR </t>
  </si>
  <si>
    <t>Rev-G y/y</t>
  </si>
  <si>
    <t>D. Eps</t>
  </si>
  <si>
    <t>OM%</t>
  </si>
  <si>
    <t xml:space="preserve">Cash </t>
  </si>
  <si>
    <t>Recievables</t>
  </si>
  <si>
    <t>Inventories</t>
  </si>
  <si>
    <t>Prepaid income Tx</t>
  </si>
  <si>
    <t>Prepaid E</t>
  </si>
  <si>
    <t>CA</t>
  </si>
  <si>
    <t>TA</t>
  </si>
  <si>
    <t>PPE</t>
  </si>
  <si>
    <t>Op Lease</t>
  </si>
  <si>
    <t>Goodwill</t>
  </si>
  <si>
    <t>Intangible</t>
  </si>
  <si>
    <t>OA</t>
  </si>
  <si>
    <t>CL</t>
  </si>
  <si>
    <t>A/P</t>
  </si>
  <si>
    <t>Deferred Rev</t>
  </si>
  <si>
    <t>Accrued Wages</t>
  </si>
  <si>
    <t>Income Tx Payable</t>
  </si>
  <si>
    <t>Accrued Tx</t>
  </si>
  <si>
    <t>Other</t>
  </si>
  <si>
    <t>TL</t>
  </si>
  <si>
    <t>LTD</t>
  </si>
  <si>
    <t>Restricted Stock</t>
  </si>
  <si>
    <t>Deferred Tx L</t>
  </si>
  <si>
    <t>Equity</t>
  </si>
  <si>
    <t>TL + E</t>
  </si>
  <si>
    <t>Current Debt</t>
  </si>
  <si>
    <t>ROE</t>
  </si>
  <si>
    <t xml:space="preserve">Net Cash </t>
  </si>
  <si>
    <t>Model NI</t>
  </si>
  <si>
    <t xml:space="preserve">NI </t>
  </si>
  <si>
    <t>Cash Increase</t>
  </si>
  <si>
    <t>CFFF</t>
  </si>
  <si>
    <t>CFFI</t>
  </si>
  <si>
    <t>CFFO</t>
  </si>
  <si>
    <t>Deferred</t>
  </si>
  <si>
    <t>Loss on assets</t>
  </si>
  <si>
    <t>Impairments</t>
  </si>
  <si>
    <t>Equity inv</t>
  </si>
  <si>
    <t>Distributions</t>
  </si>
  <si>
    <t>Doubtful Provision</t>
  </si>
  <si>
    <t>SBC</t>
  </si>
  <si>
    <t>Deferred revenue</t>
  </si>
  <si>
    <t>Accrued wages</t>
  </si>
  <si>
    <t>Prepaid Income Tx</t>
  </si>
  <si>
    <t>OL</t>
  </si>
  <si>
    <t>Other accrued</t>
  </si>
  <si>
    <t>CapEx</t>
  </si>
  <si>
    <t>Acquisitions</t>
  </si>
  <si>
    <t>Sales of PPE</t>
  </si>
  <si>
    <t>Sales leaseback T</t>
  </si>
  <si>
    <t xml:space="preserve">Restricted stock </t>
  </si>
  <si>
    <t>Indirect buybacks</t>
  </si>
  <si>
    <t>Buybacks</t>
  </si>
  <si>
    <t>Dividends</t>
  </si>
  <si>
    <t>Cash @ Begin</t>
  </si>
  <si>
    <t>Cash @ End</t>
  </si>
  <si>
    <t>Sales of Invest</t>
  </si>
  <si>
    <t>Revolving CF</t>
  </si>
  <si>
    <t>Debt Issuance</t>
  </si>
  <si>
    <t>Receivables</t>
  </si>
  <si>
    <t>Cash Change  q/q</t>
  </si>
  <si>
    <t>Debt Payments</t>
  </si>
  <si>
    <t>Debt Change</t>
  </si>
  <si>
    <t>Founded</t>
  </si>
  <si>
    <t>CEO</t>
  </si>
  <si>
    <t>PR</t>
  </si>
  <si>
    <t>q3'22</t>
  </si>
  <si>
    <t>TXHR</t>
  </si>
  <si>
    <t>Bubba's</t>
  </si>
  <si>
    <t>Jaggers</t>
  </si>
  <si>
    <t>Net Units</t>
  </si>
  <si>
    <t>TXHR US F</t>
  </si>
  <si>
    <t>TXHR Int'l F</t>
  </si>
  <si>
    <t>RPU</t>
  </si>
  <si>
    <t>q2'22</t>
  </si>
  <si>
    <t>q1'22</t>
  </si>
  <si>
    <t>Brands</t>
  </si>
  <si>
    <t>Bubba</t>
  </si>
  <si>
    <t>Jagger's</t>
  </si>
  <si>
    <t>Q123</t>
  </si>
  <si>
    <t>Q223</t>
  </si>
  <si>
    <t>Q323</t>
  </si>
  <si>
    <t>Q423</t>
  </si>
  <si>
    <t>% Rev</t>
  </si>
  <si>
    <t xml:space="preserve">% Total </t>
  </si>
  <si>
    <t>Terminal</t>
  </si>
  <si>
    <t>Discount</t>
  </si>
  <si>
    <t>NPV</t>
  </si>
  <si>
    <t>E</t>
  </si>
  <si>
    <t>Current</t>
  </si>
  <si>
    <t>Delta</t>
  </si>
  <si>
    <t>ebitda</t>
  </si>
  <si>
    <t>Jaggers US F</t>
  </si>
  <si>
    <t xml:space="preserve">Check </t>
  </si>
  <si>
    <t>WC</t>
  </si>
  <si>
    <t xml:space="preserve">Ratio Analysis </t>
  </si>
  <si>
    <t>Free Cash Flow</t>
  </si>
  <si>
    <t>4Q FCF</t>
  </si>
  <si>
    <t>4Q NI</t>
  </si>
  <si>
    <t>Buyback Program</t>
  </si>
  <si>
    <t>Repurchased Shares</t>
  </si>
  <si>
    <t>Amount</t>
  </si>
  <si>
    <t>Average Price</t>
  </si>
  <si>
    <t xml:space="preserve">Jerry Morgan </t>
  </si>
  <si>
    <t>HQ</t>
  </si>
  <si>
    <t>Louisville, KY</t>
  </si>
  <si>
    <t>W. Kent Taylor</t>
  </si>
  <si>
    <t xml:space="preserve">IPO </t>
  </si>
  <si>
    <t>Founder/1st CEO</t>
  </si>
  <si>
    <t>Texas Roadhouse History</t>
  </si>
  <si>
    <t>President</t>
  </si>
  <si>
    <t>Chief Legal &amp; Admin Officer</t>
  </si>
  <si>
    <t>CTO</t>
  </si>
  <si>
    <t>CFO</t>
  </si>
  <si>
    <t>CCO</t>
  </si>
  <si>
    <t>Regina Tobin</t>
  </si>
  <si>
    <t>Hernan Mujica</t>
  </si>
  <si>
    <t>D. Christopher Monroe</t>
  </si>
  <si>
    <t>Travis Doster</t>
  </si>
  <si>
    <t>Christopher Colson</t>
  </si>
  <si>
    <t xml:space="preserve">Vendor Management </t>
  </si>
  <si>
    <t>ROIC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</si>
</sst>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%"/>
  </numFmts>
  <fonts count="8">
    <font>
      <sz val="10"/>
      <color theme="1"/>
      <name val="IntelClear-Regular"/>
      <family val="2"/>
    </font>
    <font>
      <u/>
      <sz val="10"/>
      <color theme="10"/>
      <name val="IntelClear-Regular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3" fontId="1" fillId="0" borderId="0" xfId="1" applyNumberFormat="1"/>
    <xf numFmtId="3" fontId="4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left"/>
    </xf>
    <xf numFmtId="3" fontId="5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left"/>
    </xf>
    <xf numFmtId="9" fontId="4" fillId="0" borderId="0" xfId="0" applyNumberFormat="1" applyFont="1" applyAlignment="1">
      <alignment horizontal="right"/>
    </xf>
    <xf numFmtId="10" fontId="4" fillId="0" borderId="0" xfId="0" applyNumberFormat="1" applyFont="1" applyAlignment="1">
      <alignment horizontal="right"/>
    </xf>
    <xf numFmtId="9" fontId="5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left"/>
    </xf>
    <xf numFmtId="9" fontId="5" fillId="0" borderId="0" xfId="0" applyNumberFormat="1" applyFont="1" applyAlignment="1">
      <alignment horizontal="left"/>
    </xf>
    <xf numFmtId="3" fontId="4" fillId="2" borderId="0" xfId="0" applyNumberFormat="1" applyFont="1" applyFill="1"/>
    <xf numFmtId="3" fontId="4" fillId="0" borderId="0" xfId="0" applyNumberFormat="1" applyFont="1"/>
    <xf numFmtId="0" fontId="4" fillId="2" borderId="0" xfId="0" applyFont="1" applyFill="1"/>
    <xf numFmtId="3" fontId="5" fillId="0" borderId="0" xfId="0" applyNumberFormat="1" applyFont="1"/>
    <xf numFmtId="3" fontId="7" fillId="0" borderId="0" xfId="1" applyNumberFormat="1" applyFont="1"/>
    <xf numFmtId="1" fontId="4" fillId="0" borderId="0" xfId="0" applyNumberFormat="1" applyFont="1" applyAlignment="1">
      <alignment horizontal="left"/>
    </xf>
    <xf numFmtId="3" fontId="1" fillId="0" borderId="0" xfId="1" applyNumberFormat="1" applyAlignment="1">
      <alignment horizontal="left"/>
    </xf>
    <xf numFmtId="2" fontId="4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right"/>
    </xf>
    <xf numFmtId="9" fontId="4" fillId="3" borderId="0" xfId="0" applyNumberFormat="1" applyFont="1" applyFill="1" applyAlignment="1">
      <alignment horizontal="right"/>
    </xf>
    <xf numFmtId="167" fontId="4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73026</xdr:colOff>
      <xdr:row>1</xdr:row>
      <xdr:rowOff>0</xdr:rowOff>
    </xdr:from>
    <xdr:to>
      <xdr:col>1</xdr:col>
      <xdr:colOff>1521792</xdr:colOff>
      <xdr:row>5</xdr:row>
      <xdr:rowOff>107925</xdr:rowOff>
    </xdr:to>
    <xdr:pic>
      <xdr:nvPicPr>
        <xdr:cNvPr id="2" name="Picture 1" descr="Texas Roadhouse">
          <a:extLst>
            <a:ext uri="{FF2B5EF4-FFF2-40B4-BE49-F238E27FC236}">
              <a16:creationId xmlns:a16="http://schemas.microsoft.com/office/drawing/2014/main" id="{39ACDBCB-B947-6245-B7E7-E692ACC43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526" y="0"/>
          <a:ext cx="1444624" cy="7656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680283</xdr:colOff>
      <xdr:row>0</xdr:row>
      <xdr:rowOff>0</xdr:rowOff>
    </xdr:from>
    <xdr:to>
      <xdr:col>17</xdr:col>
      <xdr:colOff>4424</xdr:colOff>
      <xdr:row>183</xdr:row>
      <xdr:rowOff>143774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59ED8A1-B0A2-3EDA-2A76-F937958ECF24}"/>
            </a:ext>
          </a:extLst>
        </xdr:cNvPr>
        <xdr:cNvCxnSpPr/>
      </xdr:nvCxnSpPr>
      <xdr:spPr>
        <a:xfrm>
          <a:off x="11299437" y="0"/>
          <a:ext cx="7987" cy="30916851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678931</xdr:colOff>
      <xdr:row>0</xdr:row>
      <xdr:rowOff>0</xdr:rowOff>
    </xdr:from>
    <xdr:to>
      <xdr:col>27</xdr:col>
      <xdr:colOff>23961</xdr:colOff>
      <xdr:row>184</xdr:row>
      <xdr:rowOff>87861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E4AC477-90C4-F145-87BD-D65E94C9B94B}"/>
            </a:ext>
          </a:extLst>
        </xdr:cNvPr>
        <xdr:cNvCxnSpPr/>
      </xdr:nvCxnSpPr>
      <xdr:spPr>
        <a:xfrm flipH="1">
          <a:off x="16326289" y="0"/>
          <a:ext cx="31949" cy="30839433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meelbrannon" id="{0A3B2AA9-F539-9749-8B14-9ED9047ACB81}" userId="jameelbranno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C12" dT="2024-01-18T04:19:32.94" personId="{0A3B2AA9-F539-9749-8B14-9ED9047ACB81}" id="{181FE2BF-5D97-9040-9A79-41DCD5D3431E}">
    <text>Benefit from menu pricing actions</text>
  </threadedComment>
  <threadedComment ref="AC31" dT="2024-01-18T04:20:01.59" personId="{0A3B2AA9-F539-9749-8B14-9ED9047ACB81}" id="{EEA51F64-BDD9-6140-84EC-2A7B3BC86000}">
    <text>14% effective TR</text>
  </threadedComment>
  <threadedComment ref="AD55" dT="2024-01-18T04:16:20.19" personId="{0A3B2AA9-F539-9749-8B14-9ED9047ACB81}" id="{94EF839B-A07D-1346-8081-B728670734D3}">
    <text>Assuming Lower food/bev cost as food becomes easier to produce with new technology</text>
  </threadedComment>
  <threadedComment ref="AE56" dT="2024-01-18T04:14:36.55" personId="{0A3B2AA9-F539-9749-8B14-9ED9047ACB81}" id="{549443CF-B8A7-7445-A70B-59E8A18627BC}">
    <text>Labor inflation back to 2021 levels</text>
  </threadedComment>
  <threadedComment ref="AF56" dT="2024-01-18T04:14:36.55" personId="{0A3B2AA9-F539-9749-8B14-9ED9047ACB81}" id="{6EB4B813-7C2E-B04F-AFEA-47A8048E783E}">
    <text>Labor inflation back to 2021 levels</text>
  </threadedComment>
  <threadedComment ref="AG56" dT="2024-01-18T04:14:36.55" personId="{0A3B2AA9-F539-9749-8B14-9ED9047ACB81}" id="{1748FB86-3C2C-304B-852D-54B70EB5DDF0}">
    <text>Labor inflation back to 2021 levels</text>
  </threadedComment>
  <threadedComment ref="AH56" dT="2024-01-18T04:14:36.55" personId="{0A3B2AA9-F539-9749-8B14-9ED9047ACB81}" id="{5B54C1E7-DE57-814C-A1C1-E49CBE92E23E}">
    <text>Labor inflation back to 2021 levels</text>
  </threadedComment>
  <threadedComment ref="AI56" dT="2024-01-18T04:14:36.55" personId="{0A3B2AA9-F539-9749-8B14-9ED9047ACB81}" id="{726BF05F-BEEE-A64B-AA4B-764271C3FAD6}">
    <text>Labor inflation back to 2021 levels</text>
  </threadedComment>
  <threadedComment ref="AJ56" dT="2024-01-18T04:14:36.55" personId="{0A3B2AA9-F539-9749-8B14-9ED9047ACB81}" id="{7A522B55-9D23-2A45-ADDB-5BEDEA62F207}">
    <text>Labor inflation back to 2021 levels</text>
  </threadedComment>
  <threadedComment ref="AK56" dT="2024-01-18T04:14:36.55" personId="{0A3B2AA9-F539-9749-8B14-9ED9047ACB81}" id="{E45D53CA-CB29-A546-80EC-B01E82EB41DB}">
    <text>Labor inflation back to 2021 levels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Wayne_Kent_Taylor" TargetMode="External"/><Relationship Id="rId3" Type="http://schemas.openxmlformats.org/officeDocument/2006/relationships/hyperlink" Target="https://www.bubbas33.com/" TargetMode="External"/><Relationship Id="rId7" Type="http://schemas.openxmlformats.org/officeDocument/2006/relationships/hyperlink" Target="https://en.wikipedia.org/wiki/Texas_Roadhouse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s://www.texasroadhouse.com/" TargetMode="External"/><Relationship Id="rId1" Type="http://schemas.openxmlformats.org/officeDocument/2006/relationships/hyperlink" Target="https://s22.q4cdn.com/200744459/files/doc_financials/2022/q3/TXRH-Q3-2022-earnings-release.pdf" TargetMode="External"/><Relationship Id="rId6" Type="http://schemas.openxmlformats.org/officeDocument/2006/relationships/hyperlink" Target="https://s22.q4cdn.com/200744459/files/doc_financials/2022/q1/TXRH-Q1-2022-earnings-release-v4.pdf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s22.q4cdn.com/200744459/files/doc_financials/2022/q2/TXRH-Q2-2022-earnings-release.pdf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www.eatjaggers.com/" TargetMode="External"/><Relationship Id="rId9" Type="http://schemas.openxmlformats.org/officeDocument/2006/relationships/hyperlink" Target="https://s22.q4cdn.com/200744459/files/doc_downloads/2022/03/Texas-Roadhouse-Vendor-Partner-Expectations-(FINAL)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49BCC-6FC0-394B-9841-D4526B4EB1E7}">
  <dimension ref="B3:I20"/>
  <sheetViews>
    <sheetView zoomScale="130" zoomScaleNormal="130" workbookViewId="0">
      <selection activeCell="H7" sqref="H7"/>
    </sheetView>
  </sheetViews>
  <sheetFormatPr baseColWidth="10" defaultRowHeight="13"/>
  <cols>
    <col min="1" max="1" width="10.83203125" style="16"/>
    <col min="2" max="2" width="21.1640625" style="16" bestFit="1" customWidth="1"/>
    <col min="3" max="3" width="18.6640625" style="16" bestFit="1" customWidth="1"/>
    <col min="4" max="6" width="10.83203125" style="16"/>
    <col min="7" max="7" width="6.33203125" style="16" bestFit="1" customWidth="1"/>
    <col min="8" max="8" width="5.5" style="16" bestFit="1" customWidth="1"/>
    <col min="9" max="9" width="5.83203125" style="16" bestFit="1" customWidth="1"/>
    <col min="10" max="16384" width="10.83203125" style="16"/>
  </cols>
  <sheetData>
    <row r="3" spans="2:9">
      <c r="B3" s="15"/>
      <c r="C3" s="15"/>
    </row>
    <row r="4" spans="2:9">
      <c r="B4" s="15"/>
      <c r="C4" s="15"/>
    </row>
    <row r="5" spans="2:9">
      <c r="B5" s="17"/>
      <c r="C5" s="15"/>
    </row>
    <row r="6" spans="2:9">
      <c r="G6" s="16" t="s">
        <v>0</v>
      </c>
      <c r="H6" s="16">
        <v>118.2</v>
      </c>
    </row>
    <row r="7" spans="2:9" ht="14">
      <c r="B7" s="1" t="s">
        <v>152</v>
      </c>
      <c r="G7" s="16" t="s">
        <v>1</v>
      </c>
      <c r="H7" s="16">
        <v>66.783122000000006</v>
      </c>
      <c r="I7" s="16" t="s">
        <v>124</v>
      </c>
    </row>
    <row r="8" spans="2:9">
      <c r="B8" s="16" t="s">
        <v>147</v>
      </c>
      <c r="C8" s="2" t="s">
        <v>148</v>
      </c>
      <c r="G8" s="16" t="s">
        <v>2</v>
      </c>
      <c r="H8" s="16">
        <f>+H6*H7</f>
        <v>7893.765020400001</v>
      </c>
    </row>
    <row r="9" spans="2:9">
      <c r="B9" s="16" t="s">
        <v>150</v>
      </c>
      <c r="C9" s="20">
        <v>2004</v>
      </c>
      <c r="G9" s="16" t="s">
        <v>3</v>
      </c>
      <c r="H9" s="16">
        <v>69.323999999999998</v>
      </c>
      <c r="I9" s="16" t="str">
        <f>+I7</f>
        <v>Q323</v>
      </c>
    </row>
    <row r="10" spans="2:9" ht="14">
      <c r="B10" s="16" t="s">
        <v>151</v>
      </c>
      <c r="C10" s="21" t="s">
        <v>149</v>
      </c>
      <c r="G10" s="16" t="s">
        <v>4</v>
      </c>
      <c r="H10" s="16">
        <v>0</v>
      </c>
      <c r="I10" s="16" t="str">
        <f>+I9</f>
        <v>Q323</v>
      </c>
    </row>
    <row r="11" spans="2:9">
      <c r="B11" s="16" t="s">
        <v>106</v>
      </c>
      <c r="C11" s="20">
        <v>1993</v>
      </c>
      <c r="G11" s="16" t="s">
        <v>5</v>
      </c>
      <c r="H11" s="16">
        <f>+H8-H9+H10</f>
        <v>7824.4410204000014</v>
      </c>
    </row>
    <row r="12" spans="2:9">
      <c r="B12" s="16" t="s">
        <v>107</v>
      </c>
      <c r="C12" s="2" t="s">
        <v>146</v>
      </c>
    </row>
    <row r="13" spans="2:9">
      <c r="B13" s="16" t="s">
        <v>153</v>
      </c>
      <c r="C13" s="16" t="s">
        <v>158</v>
      </c>
    </row>
    <row r="14" spans="2:9">
      <c r="B14" s="16" t="s">
        <v>154</v>
      </c>
      <c r="C14" s="16" t="s">
        <v>162</v>
      </c>
      <c r="D14" s="18" t="s">
        <v>108</v>
      </c>
      <c r="F14" s="18" t="s">
        <v>119</v>
      </c>
    </row>
    <row r="15" spans="2:9">
      <c r="B15" s="16" t="s">
        <v>155</v>
      </c>
      <c r="C15" s="16" t="s">
        <v>159</v>
      </c>
      <c r="D15" s="19" t="s">
        <v>109</v>
      </c>
      <c r="F15" s="19" t="s">
        <v>110</v>
      </c>
    </row>
    <row r="16" spans="2:9">
      <c r="B16" s="16" t="s">
        <v>156</v>
      </c>
      <c r="C16" s="16" t="s">
        <v>160</v>
      </c>
      <c r="D16" s="19" t="s">
        <v>117</v>
      </c>
      <c r="F16" s="19" t="s">
        <v>120</v>
      </c>
    </row>
    <row r="17" spans="2:6">
      <c r="B17" s="16" t="s">
        <v>157</v>
      </c>
      <c r="C17" s="16" t="s">
        <v>161</v>
      </c>
      <c r="D17" s="19" t="s">
        <v>118</v>
      </c>
      <c r="F17" s="19" t="s">
        <v>121</v>
      </c>
    </row>
    <row r="20" spans="2:6" ht="14">
      <c r="B20" s="1" t="s">
        <v>163</v>
      </c>
    </row>
  </sheetData>
  <hyperlinks>
    <hyperlink ref="D15" r:id="rId1" xr:uid="{828C963E-D191-3646-926B-F8F0551962E3}"/>
    <hyperlink ref="F15" r:id="rId2" xr:uid="{ABB2C3D5-77D2-554F-862B-540A516CBCCF}"/>
    <hyperlink ref="F16" r:id="rId3" xr:uid="{C26A25A5-71D4-3A4C-8B84-7015C40558BE}"/>
    <hyperlink ref="F17" r:id="rId4" xr:uid="{2349594C-13C0-8841-A13F-355434D9C1FA}"/>
    <hyperlink ref="D16" r:id="rId5" xr:uid="{088C4BB8-3266-7F4E-9915-C66FDF5B765E}"/>
    <hyperlink ref="D17" r:id="rId6" xr:uid="{A0BF39F1-9A67-3D4A-A424-33CD1D6E237C}"/>
    <hyperlink ref="B7" r:id="rId7" xr:uid="{FF46BBA4-524E-7A48-A239-1B4E2D40DF76}"/>
    <hyperlink ref="C10" r:id="rId8" xr:uid="{BA520A2B-BC0E-004E-AD1F-CB31CD323593}"/>
    <hyperlink ref="B20" r:id="rId9" xr:uid="{1E9A17EA-D669-FF4F-B60C-04D0A93B1FD9}"/>
  </hyperlinks>
  <pageMargins left="0.7" right="0.7" top="0.75" bottom="0.75" header="0.3" footer="0.3"/>
  <drawing r:id="rId10"/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0B37F-8D48-164C-B6E6-F3701C6B9DAF}">
  <dimension ref="A1:CS168"/>
  <sheetViews>
    <sheetView tabSelected="1"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O60" sqref="AO60"/>
    </sheetView>
  </sheetViews>
  <sheetFormatPr baseColWidth="10" defaultRowHeight="13"/>
  <cols>
    <col min="1" max="1" width="2" style="2" customWidth="1"/>
    <col min="2" max="2" width="17.6640625" style="2" bestFit="1" customWidth="1"/>
    <col min="3" max="5" width="7.6640625" style="4" bestFit="1" customWidth="1"/>
    <col min="6" max="18" width="9.1640625" style="4" bestFit="1" customWidth="1"/>
    <col min="19" max="19" width="3.6640625" style="4" customWidth="1"/>
    <col min="20" max="21" width="5.33203125" style="4" bestFit="1" customWidth="1"/>
    <col min="22" max="22" width="4.6640625" style="4" customWidth="1"/>
    <col min="23" max="23" width="5.33203125" style="4" bestFit="1" customWidth="1"/>
    <col min="24" max="35" width="9.1640625" style="4" bestFit="1" customWidth="1"/>
    <col min="36" max="37" width="10.1640625" style="4" bestFit="1" customWidth="1"/>
    <col min="38" max="38" width="7.6640625" style="4" bestFit="1" customWidth="1"/>
    <col min="39" max="39" width="8.1640625" style="4" bestFit="1" customWidth="1"/>
    <col min="40" max="40" width="9.1640625" style="4" bestFit="1" customWidth="1"/>
    <col min="41" max="97" width="7.6640625" style="4" bestFit="1" customWidth="1"/>
    <col min="98" max="16384" width="10.83203125" style="4"/>
  </cols>
  <sheetData>
    <row r="1" spans="1:37" s="2" customFormat="1"/>
    <row r="2" spans="1:37" s="3" customFormat="1">
      <c r="P2" s="3">
        <v>45104</v>
      </c>
    </row>
    <row r="3" spans="1:37">
      <c r="A3" s="4"/>
      <c r="B3" s="4"/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  <c r="I3" s="4" t="s">
        <v>12</v>
      </c>
      <c r="J3" s="4" t="s">
        <v>13</v>
      </c>
      <c r="K3" s="4" t="s">
        <v>14</v>
      </c>
      <c r="L3" s="4" t="s">
        <v>15</v>
      </c>
      <c r="M3" s="4" t="s">
        <v>16</v>
      </c>
      <c r="N3" s="4" t="s">
        <v>17</v>
      </c>
      <c r="O3" s="4" t="s">
        <v>122</v>
      </c>
      <c r="P3" s="4" t="s">
        <v>123</v>
      </c>
      <c r="Q3" s="4" t="s">
        <v>124</v>
      </c>
      <c r="R3" s="4" t="s">
        <v>125</v>
      </c>
      <c r="T3" s="5">
        <v>2015</v>
      </c>
      <c r="U3" s="5">
        <f>+T3+1</f>
        <v>2016</v>
      </c>
      <c r="V3" s="5">
        <f t="shared" ref="V3:AK3" si="0">+U3+1</f>
        <v>2017</v>
      </c>
      <c r="W3" s="5">
        <f t="shared" si="0"/>
        <v>2018</v>
      </c>
      <c r="X3" s="5">
        <f t="shared" si="0"/>
        <v>2019</v>
      </c>
      <c r="Y3" s="5">
        <f t="shared" si="0"/>
        <v>2020</v>
      </c>
      <c r="Z3" s="5">
        <f t="shared" si="0"/>
        <v>2021</v>
      </c>
      <c r="AA3" s="5">
        <f t="shared" si="0"/>
        <v>2022</v>
      </c>
      <c r="AB3" s="5">
        <f t="shared" si="0"/>
        <v>2023</v>
      </c>
      <c r="AC3" s="5">
        <f t="shared" si="0"/>
        <v>2024</v>
      </c>
      <c r="AD3" s="5">
        <f t="shared" si="0"/>
        <v>2025</v>
      </c>
      <c r="AE3" s="5">
        <f t="shared" si="0"/>
        <v>2026</v>
      </c>
      <c r="AF3" s="5">
        <f t="shared" si="0"/>
        <v>2027</v>
      </c>
      <c r="AG3" s="5">
        <f t="shared" si="0"/>
        <v>2028</v>
      </c>
      <c r="AH3" s="5">
        <f t="shared" si="0"/>
        <v>2029</v>
      </c>
      <c r="AI3" s="5">
        <f t="shared" si="0"/>
        <v>2030</v>
      </c>
      <c r="AJ3" s="5">
        <f t="shared" si="0"/>
        <v>2031</v>
      </c>
      <c r="AK3" s="5">
        <f t="shared" si="0"/>
        <v>2032</v>
      </c>
    </row>
    <row r="4" spans="1:37">
      <c r="B4" s="2" t="s">
        <v>110</v>
      </c>
      <c r="C4" s="4">
        <v>488</v>
      </c>
      <c r="D4" s="4">
        <v>489</v>
      </c>
      <c r="E4" s="4">
        <v>493</v>
      </c>
      <c r="F4" s="4">
        <v>503</v>
      </c>
      <c r="G4" s="4">
        <v>505</v>
      </c>
      <c r="H4" s="4">
        <v>511</v>
      </c>
      <c r="I4" s="4">
        <v>517</v>
      </c>
      <c r="J4" s="4">
        <v>526</v>
      </c>
      <c r="K4" s="4">
        <v>536</v>
      </c>
      <c r="L4" s="4">
        <v>541</v>
      </c>
      <c r="M4" s="4">
        <v>545</v>
      </c>
      <c r="N4" s="4">
        <v>552</v>
      </c>
      <c r="O4" s="4">
        <v>564</v>
      </c>
      <c r="P4" s="4">
        <v>566</v>
      </c>
      <c r="Q4" s="4">
        <v>573</v>
      </c>
      <c r="R4" s="4">
        <f>+Q4+6</f>
        <v>579</v>
      </c>
      <c r="T4" s="5"/>
      <c r="U4" s="5"/>
      <c r="V4" s="5"/>
      <c r="W4" s="5"/>
      <c r="X4" s="5">
        <f>+AA4-AB4</f>
        <v>-27</v>
      </c>
      <c r="Y4" s="5">
        <f>+F4</f>
        <v>503</v>
      </c>
      <c r="Z4" s="5">
        <f>+J4</f>
        <v>526</v>
      </c>
      <c r="AA4" s="5">
        <f>+N4</f>
        <v>552</v>
      </c>
      <c r="AB4" s="5">
        <f>+R4</f>
        <v>579</v>
      </c>
      <c r="AC4" s="5">
        <f>+AB4+27</f>
        <v>606</v>
      </c>
      <c r="AD4" s="5">
        <f t="shared" ref="AD4:AK4" si="1">+AC4+27</f>
        <v>633</v>
      </c>
      <c r="AE4" s="5">
        <f t="shared" si="1"/>
        <v>660</v>
      </c>
      <c r="AF4" s="5">
        <f t="shared" si="1"/>
        <v>687</v>
      </c>
      <c r="AG4" s="5">
        <f t="shared" si="1"/>
        <v>714</v>
      </c>
      <c r="AH4" s="5">
        <f t="shared" si="1"/>
        <v>741</v>
      </c>
      <c r="AI4" s="5">
        <f t="shared" si="1"/>
        <v>768</v>
      </c>
      <c r="AJ4" s="5">
        <f t="shared" si="1"/>
        <v>795</v>
      </c>
      <c r="AK4" s="5">
        <f t="shared" si="1"/>
        <v>822</v>
      </c>
    </row>
    <row r="5" spans="1:37">
      <c r="B5" s="2" t="s">
        <v>111</v>
      </c>
      <c r="C5" s="4">
        <v>29</v>
      </c>
      <c r="D5" s="4">
        <v>30</v>
      </c>
      <c r="E5" s="4">
        <v>31</v>
      </c>
      <c r="F5" s="4">
        <v>31</v>
      </c>
      <c r="G5" s="4">
        <v>32</v>
      </c>
      <c r="H5" s="4">
        <v>34</v>
      </c>
      <c r="I5" s="4">
        <v>35</v>
      </c>
      <c r="J5" s="4">
        <v>36</v>
      </c>
      <c r="K5" s="4">
        <v>36</v>
      </c>
      <c r="L5" s="4">
        <v>37</v>
      </c>
      <c r="M5" s="4">
        <v>38</v>
      </c>
      <c r="N5" s="4">
        <v>40</v>
      </c>
      <c r="O5" s="4">
        <v>40</v>
      </c>
      <c r="P5" s="4">
        <v>41</v>
      </c>
      <c r="Q5" s="4">
        <v>43</v>
      </c>
      <c r="R5" s="4">
        <f>+Q5+30</f>
        <v>73</v>
      </c>
      <c r="T5" s="5"/>
      <c r="U5" s="5"/>
      <c r="V5" s="5"/>
      <c r="W5" s="5"/>
      <c r="X5" s="5">
        <f>+AA5-AB5</f>
        <v>-33</v>
      </c>
      <c r="Y5" s="5">
        <f t="shared" ref="Y5:Y9" si="2">+F5</f>
        <v>31</v>
      </c>
      <c r="Z5" s="5">
        <f t="shared" ref="Z5:Z9" si="3">+J5</f>
        <v>36</v>
      </c>
      <c r="AA5" s="5">
        <f t="shared" ref="AA5:AA10" si="4">+N5</f>
        <v>40</v>
      </c>
      <c r="AB5" s="5">
        <f>+R5</f>
        <v>73</v>
      </c>
      <c r="AC5" s="5">
        <f>+AB5+33</f>
        <v>106</v>
      </c>
      <c r="AD5" s="5">
        <f t="shared" ref="AD5:AK5" si="5">+AC5+33</f>
        <v>139</v>
      </c>
      <c r="AE5" s="5">
        <f t="shared" si="5"/>
        <v>172</v>
      </c>
      <c r="AF5" s="5">
        <f t="shared" si="5"/>
        <v>205</v>
      </c>
      <c r="AG5" s="5">
        <f t="shared" si="5"/>
        <v>238</v>
      </c>
      <c r="AH5" s="5">
        <f t="shared" si="5"/>
        <v>271</v>
      </c>
      <c r="AI5" s="5">
        <f t="shared" si="5"/>
        <v>304</v>
      </c>
      <c r="AJ5" s="5">
        <f t="shared" si="5"/>
        <v>337</v>
      </c>
      <c r="AK5" s="5">
        <f t="shared" si="5"/>
        <v>370</v>
      </c>
    </row>
    <row r="6" spans="1:37">
      <c r="B6" s="2" t="s">
        <v>112</v>
      </c>
      <c r="C6" s="4">
        <v>2</v>
      </c>
      <c r="D6" s="4">
        <v>2</v>
      </c>
      <c r="E6" s="4">
        <v>2</v>
      </c>
      <c r="F6" s="4">
        <v>3</v>
      </c>
      <c r="G6" s="4">
        <v>3</v>
      </c>
      <c r="H6" s="4">
        <v>3</v>
      </c>
      <c r="I6" s="4">
        <v>3</v>
      </c>
      <c r="J6" s="4">
        <v>4</v>
      </c>
      <c r="K6" s="4">
        <v>4</v>
      </c>
      <c r="L6" s="4">
        <v>4</v>
      </c>
      <c r="M6" s="4">
        <v>4</v>
      </c>
      <c r="N6" s="4">
        <v>5</v>
      </c>
      <c r="O6" s="4">
        <v>7</v>
      </c>
      <c r="P6" s="4">
        <v>7</v>
      </c>
      <c r="Q6" s="4">
        <v>7</v>
      </c>
      <c r="R6" s="4">
        <f>+Q6</f>
        <v>7</v>
      </c>
      <c r="T6" s="5"/>
      <c r="U6" s="5"/>
      <c r="V6" s="5"/>
      <c r="W6" s="5"/>
      <c r="X6" s="5">
        <f>+AA6-AB6</f>
        <v>-2</v>
      </c>
      <c r="Y6" s="5">
        <f t="shared" si="2"/>
        <v>3</v>
      </c>
      <c r="Z6" s="5">
        <f t="shared" si="3"/>
        <v>4</v>
      </c>
      <c r="AA6" s="5">
        <f t="shared" si="4"/>
        <v>5</v>
      </c>
      <c r="AB6" s="5">
        <f>+R6</f>
        <v>7</v>
      </c>
      <c r="AC6" s="5">
        <f>+AB6+1</f>
        <v>8</v>
      </c>
      <c r="AD6" s="5">
        <f t="shared" ref="AD6:AK6" si="6">+AC6+1</f>
        <v>9</v>
      </c>
      <c r="AE6" s="5">
        <f t="shared" si="6"/>
        <v>10</v>
      </c>
      <c r="AF6" s="5">
        <f t="shared" si="6"/>
        <v>11</v>
      </c>
      <c r="AG6" s="5">
        <f t="shared" si="6"/>
        <v>12</v>
      </c>
      <c r="AH6" s="5">
        <f t="shared" si="6"/>
        <v>13</v>
      </c>
      <c r="AI6" s="5">
        <f t="shared" si="6"/>
        <v>14</v>
      </c>
      <c r="AJ6" s="5">
        <f t="shared" si="6"/>
        <v>15</v>
      </c>
      <c r="AK6" s="5">
        <f t="shared" si="6"/>
        <v>16</v>
      </c>
    </row>
    <row r="7" spans="1:37">
      <c r="B7" s="2" t="s">
        <v>135</v>
      </c>
      <c r="P7" s="4">
        <v>0</v>
      </c>
      <c r="Q7" s="4">
        <v>1</v>
      </c>
      <c r="R7" s="4">
        <f t="shared" ref="R7:R9" si="7">+Q7</f>
        <v>1</v>
      </c>
      <c r="T7" s="5"/>
      <c r="U7" s="5"/>
      <c r="V7" s="5"/>
      <c r="W7" s="5"/>
      <c r="X7" s="5"/>
      <c r="Y7" s="5"/>
      <c r="Z7" s="5"/>
      <c r="AA7" s="5"/>
      <c r="AB7" s="5">
        <f>+R7</f>
        <v>1</v>
      </c>
      <c r="AC7" s="5"/>
      <c r="AD7" s="5"/>
      <c r="AE7" s="5"/>
      <c r="AF7" s="5"/>
      <c r="AG7" s="5"/>
      <c r="AH7" s="5"/>
      <c r="AI7" s="5"/>
      <c r="AJ7" s="5"/>
      <c r="AK7" s="5"/>
    </row>
    <row r="8" spans="1:37">
      <c r="B8" s="2" t="s">
        <v>114</v>
      </c>
      <c r="C8" s="4">
        <v>70</v>
      </c>
      <c r="D8" s="4">
        <v>70</v>
      </c>
      <c r="E8" s="4">
        <v>70</v>
      </c>
      <c r="F8" s="4">
        <v>69</v>
      </c>
      <c r="G8" s="4">
        <v>69</v>
      </c>
      <c r="H8" s="4">
        <v>69</v>
      </c>
      <c r="I8" s="4">
        <v>69</v>
      </c>
      <c r="J8" s="4">
        <v>70</v>
      </c>
      <c r="K8" s="4">
        <v>63</v>
      </c>
      <c r="L8" s="4">
        <v>62</v>
      </c>
      <c r="M8" s="4">
        <v>62</v>
      </c>
      <c r="N8" s="4">
        <v>62</v>
      </c>
      <c r="O8" s="4">
        <v>54</v>
      </c>
      <c r="P8" s="4">
        <v>54</v>
      </c>
      <c r="Q8" s="4">
        <v>54</v>
      </c>
      <c r="R8" s="4">
        <f t="shared" si="7"/>
        <v>54</v>
      </c>
      <c r="T8" s="5"/>
      <c r="U8" s="5"/>
      <c r="V8" s="5"/>
      <c r="W8" s="5"/>
      <c r="X8" s="5"/>
      <c r="Y8" s="5">
        <f t="shared" si="2"/>
        <v>69</v>
      </c>
      <c r="Z8" s="5">
        <f t="shared" si="3"/>
        <v>70</v>
      </c>
      <c r="AA8" s="5">
        <f t="shared" si="4"/>
        <v>62</v>
      </c>
      <c r="AB8" s="5">
        <f>+R8</f>
        <v>54</v>
      </c>
      <c r="AC8" s="5">
        <f>+AB8</f>
        <v>54</v>
      </c>
      <c r="AD8" s="5">
        <f t="shared" ref="AD8:AK8" si="8">+AC8</f>
        <v>54</v>
      </c>
      <c r="AE8" s="5">
        <f t="shared" si="8"/>
        <v>54</v>
      </c>
      <c r="AF8" s="5">
        <f t="shared" si="8"/>
        <v>54</v>
      </c>
      <c r="AG8" s="5">
        <f t="shared" si="8"/>
        <v>54</v>
      </c>
      <c r="AH8" s="5">
        <f t="shared" si="8"/>
        <v>54</v>
      </c>
      <c r="AI8" s="5">
        <f t="shared" si="8"/>
        <v>54</v>
      </c>
      <c r="AJ8" s="5">
        <f t="shared" si="8"/>
        <v>54</v>
      </c>
      <c r="AK8" s="5">
        <f t="shared" si="8"/>
        <v>54</v>
      </c>
    </row>
    <row r="9" spans="1:37">
      <c r="B9" s="2" t="s">
        <v>115</v>
      </c>
      <c r="C9" s="4">
        <v>28</v>
      </c>
      <c r="D9" s="4">
        <v>26</v>
      </c>
      <c r="E9" s="4">
        <v>27</v>
      </c>
      <c r="F9" s="4">
        <v>28</v>
      </c>
      <c r="G9" s="4">
        <v>28</v>
      </c>
      <c r="H9" s="4">
        <v>30</v>
      </c>
      <c r="I9" s="4">
        <v>30</v>
      </c>
      <c r="J9" s="4">
        <v>31</v>
      </c>
      <c r="K9" s="4">
        <v>33</v>
      </c>
      <c r="L9" s="4">
        <v>34</v>
      </c>
      <c r="M9" s="4">
        <v>36</v>
      </c>
      <c r="N9" s="4">
        <v>38</v>
      </c>
      <c r="O9" s="4">
        <v>39</v>
      </c>
      <c r="P9" s="4">
        <v>41</v>
      </c>
      <c r="Q9" s="4">
        <v>44</v>
      </c>
      <c r="R9" s="4">
        <f t="shared" si="7"/>
        <v>44</v>
      </c>
      <c r="T9" s="5"/>
      <c r="U9" s="5"/>
      <c r="V9" s="5"/>
      <c r="W9" s="5"/>
      <c r="X9" s="5"/>
      <c r="Y9" s="5">
        <f t="shared" si="2"/>
        <v>28</v>
      </c>
      <c r="Z9" s="5">
        <f t="shared" si="3"/>
        <v>31</v>
      </c>
      <c r="AA9" s="5">
        <f t="shared" si="4"/>
        <v>38</v>
      </c>
      <c r="AB9" s="5">
        <f>+R9</f>
        <v>44</v>
      </c>
      <c r="AC9" s="5">
        <f>+AB9</f>
        <v>44</v>
      </c>
      <c r="AD9" s="5">
        <f t="shared" ref="AD9:AK9" si="9">+AC9</f>
        <v>44</v>
      </c>
      <c r="AE9" s="5">
        <f t="shared" si="9"/>
        <v>44</v>
      </c>
      <c r="AF9" s="5">
        <f t="shared" si="9"/>
        <v>44</v>
      </c>
      <c r="AG9" s="5">
        <f t="shared" si="9"/>
        <v>44</v>
      </c>
      <c r="AH9" s="5">
        <f t="shared" si="9"/>
        <v>44</v>
      </c>
      <c r="AI9" s="5">
        <f t="shared" si="9"/>
        <v>44</v>
      </c>
      <c r="AJ9" s="5">
        <f t="shared" si="9"/>
        <v>44</v>
      </c>
      <c r="AK9" s="5">
        <f t="shared" si="9"/>
        <v>44</v>
      </c>
    </row>
    <row r="10" spans="1:37" s="7" customFormat="1">
      <c r="A10" s="6"/>
      <c r="B10" s="6" t="s">
        <v>113</v>
      </c>
      <c r="C10" s="7">
        <f t="shared" ref="C10:L10" si="10">+SUM(C4:C9)</f>
        <v>617</v>
      </c>
      <c r="D10" s="7">
        <f t="shared" si="10"/>
        <v>617</v>
      </c>
      <c r="E10" s="7">
        <f t="shared" si="10"/>
        <v>623</v>
      </c>
      <c r="F10" s="7">
        <f t="shared" si="10"/>
        <v>634</v>
      </c>
      <c r="G10" s="7">
        <f>+SUM(G4:G9)</f>
        <v>637</v>
      </c>
      <c r="H10" s="7">
        <f t="shared" si="10"/>
        <v>647</v>
      </c>
      <c r="I10" s="7">
        <f t="shared" si="10"/>
        <v>654</v>
      </c>
      <c r="J10" s="7">
        <f t="shared" si="10"/>
        <v>667</v>
      </c>
      <c r="K10" s="7">
        <f t="shared" si="10"/>
        <v>672</v>
      </c>
      <c r="L10" s="7">
        <f t="shared" si="10"/>
        <v>678</v>
      </c>
      <c r="M10" s="7">
        <f>+SUM(M4:M9)</f>
        <v>685</v>
      </c>
      <c r="N10" s="7">
        <f>+SUM(N4:N9)</f>
        <v>697</v>
      </c>
      <c r="O10" s="7">
        <f t="shared" ref="O10" si="11">+SUM(O4:O9)</f>
        <v>704</v>
      </c>
      <c r="P10" s="7">
        <f>+SUM(P4:P9)</f>
        <v>709</v>
      </c>
      <c r="Q10" s="7">
        <f>+SUM(Q4:Q9)</f>
        <v>722</v>
      </c>
      <c r="R10" s="7">
        <f>+SUM(R4:R9)</f>
        <v>758</v>
      </c>
      <c r="T10" s="8"/>
      <c r="U10" s="8"/>
      <c r="V10" s="8"/>
      <c r="W10" s="8"/>
      <c r="X10" s="8"/>
      <c r="Y10" s="7">
        <f>+SUM(Y4:Y9)</f>
        <v>634</v>
      </c>
      <c r="Z10" s="7">
        <f t="shared" ref="Z10" si="12">+SUM(Z4:Z9)</f>
        <v>667</v>
      </c>
      <c r="AA10" s="8">
        <f t="shared" si="4"/>
        <v>697</v>
      </c>
      <c r="AB10" s="7">
        <f t="shared" ref="AB10" si="13">+SUM(AB4:AB9)</f>
        <v>758</v>
      </c>
      <c r="AC10" s="7">
        <f t="shared" ref="AC10" si="14">+SUM(AC4:AC9)</f>
        <v>818</v>
      </c>
      <c r="AD10" s="7">
        <f t="shared" ref="AD10" si="15">+SUM(AD4:AD9)</f>
        <v>879</v>
      </c>
      <c r="AE10" s="7">
        <f t="shared" ref="AE10" si="16">+SUM(AE4:AE9)</f>
        <v>940</v>
      </c>
      <c r="AF10" s="7">
        <f t="shared" ref="AF10" si="17">+SUM(AF4:AF9)</f>
        <v>1001</v>
      </c>
      <c r="AG10" s="7">
        <f t="shared" ref="AG10" si="18">+SUM(AG4:AG9)</f>
        <v>1062</v>
      </c>
      <c r="AH10" s="7">
        <f t="shared" ref="AH10" si="19">+SUM(AH4:AH9)</f>
        <v>1123</v>
      </c>
      <c r="AI10" s="7">
        <f t="shared" ref="AI10" si="20">+SUM(AI4:AI9)</f>
        <v>1184</v>
      </c>
      <c r="AJ10" s="7">
        <f t="shared" ref="AJ10:AK10" si="21">+SUM(AJ4:AJ9)</f>
        <v>1245</v>
      </c>
      <c r="AK10" s="7">
        <f t="shared" si="21"/>
        <v>1306</v>
      </c>
    </row>
    <row r="11" spans="1:37"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s="7" customFormat="1">
      <c r="A12" s="6"/>
      <c r="B12" s="6" t="s">
        <v>116</v>
      </c>
      <c r="C12" s="7">
        <f t="shared" ref="C12:L12" si="22">+C18/C10</f>
        <v>1057.5753646677472</v>
      </c>
      <c r="D12" s="7">
        <f t="shared" si="22"/>
        <v>772.16369529983797</v>
      </c>
      <c r="E12" s="7">
        <f t="shared" si="22"/>
        <v>1013.1380417335473</v>
      </c>
      <c r="F12" s="7">
        <f t="shared" si="22"/>
        <v>1006.2917981072555</v>
      </c>
      <c r="G12" s="7">
        <f t="shared" si="22"/>
        <v>1256.8744113029827</v>
      </c>
      <c r="H12" s="7">
        <f t="shared" si="22"/>
        <v>1389.1622874806801</v>
      </c>
      <c r="I12" s="7">
        <f t="shared" si="22"/>
        <v>1328.6590214067278</v>
      </c>
      <c r="J12" s="7">
        <f t="shared" si="22"/>
        <v>1342.7076461769116</v>
      </c>
      <c r="K12" s="7">
        <f t="shared" si="22"/>
        <v>1469.4732142857142</v>
      </c>
      <c r="L12" s="7">
        <f t="shared" si="22"/>
        <v>1511.2182890855456</v>
      </c>
      <c r="M12" s="7">
        <f>+M18/M10</f>
        <v>1450.0700729927007</v>
      </c>
      <c r="N12" s="7">
        <f>+J12*1.04</f>
        <v>1396.415952023988</v>
      </c>
      <c r="O12" s="7">
        <f t="shared" ref="O12" si="23">+O18/O10</f>
        <v>1668.1193181818182</v>
      </c>
      <c r="P12" s="7">
        <f t="shared" ref="P12" si="24">+P18/P10</f>
        <v>1651.9083215796898</v>
      </c>
      <c r="Q12" s="7">
        <f t="shared" ref="Q12" si="25">+Q18/Q10</f>
        <v>1553.6731301939058</v>
      </c>
      <c r="R12" s="7">
        <f>+N12*1.1</f>
        <v>1536.057547226387</v>
      </c>
      <c r="Y12" s="7">
        <f>+Y18/Y10</f>
        <v>3782.5283911671922</v>
      </c>
      <c r="Z12" s="7">
        <f>+Z18/Z10</f>
        <v>5193.3223388305851</v>
      </c>
      <c r="AA12" s="7">
        <f t="shared" ref="AA12:AB12" si="26">+AA18/AA10</f>
        <v>5760.2855093256812</v>
      </c>
      <c r="AB12" s="7">
        <f t="shared" si="26"/>
        <v>6110.3464654321924</v>
      </c>
      <c r="AC12" s="7">
        <f>+AB12*1.1</f>
        <v>6721.3811119754118</v>
      </c>
      <c r="AD12" s="7">
        <f>+AC12*1.02</f>
        <v>6855.8087342149202</v>
      </c>
      <c r="AE12" s="7">
        <f t="shared" ref="AE12:AK12" si="27">+AD12*1.02</f>
        <v>6992.9249088992183</v>
      </c>
      <c r="AF12" s="7">
        <f t="shared" si="27"/>
        <v>7132.7834070772024</v>
      </c>
      <c r="AG12" s="7">
        <f t="shared" si="27"/>
        <v>7275.4390752187464</v>
      </c>
      <c r="AH12" s="7">
        <f t="shared" si="27"/>
        <v>7420.9478567231217</v>
      </c>
      <c r="AI12" s="7">
        <f t="shared" si="27"/>
        <v>7569.366813857584</v>
      </c>
      <c r="AJ12" s="7">
        <f t="shared" si="27"/>
        <v>7720.7541501347359</v>
      </c>
      <c r="AK12" s="7">
        <f t="shared" si="27"/>
        <v>7875.1692331374306</v>
      </c>
    </row>
    <row r="13" spans="1:37" s="10" customFormat="1">
      <c r="A13" s="9"/>
      <c r="B13" s="9"/>
      <c r="G13" s="10">
        <f t="shared" ref="G13:I13" si="28">+G12/C12-1</f>
        <v>0.18844902528326979</v>
      </c>
      <c r="H13" s="10">
        <f t="shared" si="28"/>
        <v>0.79905154300378767</v>
      </c>
      <c r="I13" s="10">
        <f t="shared" si="28"/>
        <v>0.31142940712531431</v>
      </c>
      <c r="J13" s="10">
        <f t="shared" ref="J13:Q13" si="29">+J12/F12-1</f>
        <v>0.33431242180689935</v>
      </c>
      <c r="K13" s="10">
        <f t="shared" si="29"/>
        <v>0.16914880362814744</v>
      </c>
      <c r="L13" s="10">
        <f t="shared" si="29"/>
        <v>8.7863025583728271E-2</v>
      </c>
      <c r="M13" s="10">
        <f t="shared" si="29"/>
        <v>9.137863788214684E-2</v>
      </c>
      <c r="N13" s="10">
        <f t="shared" si="29"/>
        <v>4.0000000000000036E-2</v>
      </c>
      <c r="O13" s="10">
        <f t="shared" si="29"/>
        <v>0.13518184745726214</v>
      </c>
      <c r="P13" s="10">
        <f t="shared" si="29"/>
        <v>9.3097094913586087E-2</v>
      </c>
      <c r="Q13" s="10">
        <f t="shared" si="29"/>
        <v>7.1446931517858081E-2</v>
      </c>
    </row>
    <row r="14" spans="1:37">
      <c r="C14" s="4">
        <f t="shared" ref="C14:Q14" si="30">+C12*4</f>
        <v>4230.3014586709887</v>
      </c>
      <c r="D14" s="4">
        <f t="shared" si="30"/>
        <v>3088.6547811993519</v>
      </c>
      <c r="E14" s="4">
        <f t="shared" si="30"/>
        <v>4052.5521669341892</v>
      </c>
      <c r="F14" s="4">
        <f t="shared" si="30"/>
        <v>4025.1671924290222</v>
      </c>
      <c r="G14" s="4">
        <f t="shared" si="30"/>
        <v>5027.4976452119308</v>
      </c>
      <c r="H14" s="4">
        <f t="shared" si="30"/>
        <v>5556.6491499227204</v>
      </c>
      <c r="I14" s="4">
        <f t="shared" si="30"/>
        <v>5314.6360856269112</v>
      </c>
      <c r="J14" s="4">
        <f t="shared" si="30"/>
        <v>5370.8305847076463</v>
      </c>
      <c r="K14" s="4">
        <f t="shared" si="30"/>
        <v>5877.8928571428569</v>
      </c>
      <c r="L14" s="4">
        <f t="shared" si="30"/>
        <v>6044.8731563421825</v>
      </c>
      <c r="M14" s="4">
        <f t="shared" si="30"/>
        <v>5800.2802919708029</v>
      </c>
      <c r="N14" s="4">
        <f t="shared" si="30"/>
        <v>5585.6638080959519</v>
      </c>
      <c r="O14" s="4">
        <f t="shared" si="30"/>
        <v>6672.477272727273</v>
      </c>
      <c r="P14" s="4">
        <f t="shared" si="30"/>
        <v>6607.633286318759</v>
      </c>
      <c r="Q14" s="4">
        <f>+Q12*4</f>
        <v>6214.6925207756231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B16" s="2" t="s">
        <v>19</v>
      </c>
      <c r="C16" s="4">
        <v>647626</v>
      </c>
      <c r="D16" s="4">
        <v>473090</v>
      </c>
      <c r="E16" s="4">
        <v>626429</v>
      </c>
      <c r="F16" s="4">
        <f>+Y16-SUM(C16:E16)</f>
        <v>633032</v>
      </c>
      <c r="G16" s="4">
        <v>794923</v>
      </c>
      <c r="H16" s="4">
        <v>892444</v>
      </c>
      <c r="I16" s="4">
        <v>862757</v>
      </c>
      <c r="J16" s="4">
        <f>+Z16-SUM(G16:I16)</f>
        <v>889052</v>
      </c>
      <c r="K16" s="4">
        <v>980972</v>
      </c>
      <c r="L16" s="4">
        <v>1018057</v>
      </c>
      <c r="M16" s="4">
        <v>986999</v>
      </c>
      <c r="N16" s="4">
        <f>+AA16-SUM(K16:M16)</f>
        <v>1002763</v>
      </c>
      <c r="O16" s="4">
        <v>1167583</v>
      </c>
      <c r="P16" s="4">
        <v>1164385</v>
      </c>
      <c r="Q16" s="4">
        <v>1115224</v>
      </c>
      <c r="R16" s="4">
        <f>+R$18*(N16/N$18)</f>
        <v>1156528.112680136</v>
      </c>
      <c r="W16" s="5"/>
      <c r="X16" s="4">
        <v>2734177</v>
      </c>
      <c r="Y16" s="4">
        <v>2380177</v>
      </c>
      <c r="Z16" s="4">
        <v>3439176</v>
      </c>
      <c r="AA16" s="4">
        <v>3988791</v>
      </c>
      <c r="AB16" s="4">
        <f>SUM(O16:R16)</f>
        <v>4603720.1126801362</v>
      </c>
      <c r="AC16" s="4">
        <f t="shared" ref="AC16:AK16" si="31">+AC$18*(AB16/AB$18)</f>
        <v>5464943.7432580302</v>
      </c>
      <c r="AD16" s="4">
        <f t="shared" si="31"/>
        <v>5989925.7473475356</v>
      </c>
      <c r="AE16" s="4">
        <f t="shared" si="31"/>
        <v>6533721.0541033186</v>
      </c>
      <c r="AF16" s="4">
        <f t="shared" si="31"/>
        <v>7096872.2028303938</v>
      </c>
      <c r="AG16" s="4">
        <f t="shared" si="31"/>
        <v>7679935.9090849115</v>
      </c>
      <c r="AH16" s="4">
        <f t="shared" si="31"/>
        <v>8283483.4147084765</v>
      </c>
      <c r="AI16" s="4">
        <f t="shared" si="31"/>
        <v>8908100.8461933509</v>
      </c>
      <c r="AJ16" s="4">
        <f t="shared" si="31"/>
        <v>9554389.5815717392</v>
      </c>
      <c r="AK16" s="4">
        <f t="shared" si="31"/>
        <v>10222966.626026783</v>
      </c>
    </row>
    <row r="17" spans="2:37">
      <c r="B17" s="2" t="s">
        <v>20</v>
      </c>
      <c r="C17" s="4">
        <v>4898</v>
      </c>
      <c r="D17" s="4">
        <v>3335</v>
      </c>
      <c r="E17" s="4">
        <v>4756</v>
      </c>
      <c r="F17" s="4">
        <f t="shared" ref="F17:F36" si="32">+Y17-SUM(C17:E17)</f>
        <v>4957</v>
      </c>
      <c r="G17" s="4">
        <v>5706</v>
      </c>
      <c r="H17" s="4">
        <v>6344</v>
      </c>
      <c r="I17" s="4">
        <v>6186</v>
      </c>
      <c r="J17" s="4">
        <f t="shared" ref="J17:J36" si="33">+Z17-SUM(G17:I17)</f>
        <v>6534</v>
      </c>
      <c r="K17" s="4">
        <v>6514</v>
      </c>
      <c r="L17" s="4">
        <v>6549</v>
      </c>
      <c r="M17" s="4">
        <v>6299</v>
      </c>
      <c r="N17" s="4">
        <f>+AA17-SUM(K17:M17)</f>
        <v>6766</v>
      </c>
      <c r="O17" s="4">
        <v>6773</v>
      </c>
      <c r="P17" s="4">
        <v>6818</v>
      </c>
      <c r="Q17" s="4">
        <v>6528</v>
      </c>
      <c r="R17" s="4">
        <f>+R$18*(N17/N$18)</f>
        <v>7803.5081174652432</v>
      </c>
      <c r="X17" s="4">
        <v>21986</v>
      </c>
      <c r="Y17" s="4">
        <v>17946</v>
      </c>
      <c r="Z17" s="4">
        <v>24770</v>
      </c>
      <c r="AA17" s="4">
        <v>26128</v>
      </c>
      <c r="AB17" s="4">
        <f>SUM(O17:R17)</f>
        <v>27922.508117465244</v>
      </c>
      <c r="AC17" s="4">
        <f t="shared" ref="AC17:AK17" si="34">+AC$18*(AB17/AB$18)</f>
        <v>33146.006337856503</v>
      </c>
      <c r="AD17" s="4">
        <f t="shared" si="34"/>
        <v>36330.130027378218</v>
      </c>
      <c r="AE17" s="4">
        <f t="shared" si="34"/>
        <v>39628.360261945665</v>
      </c>
      <c r="AF17" s="4">
        <f t="shared" si="34"/>
        <v>43043.987653884855</v>
      </c>
      <c r="AG17" s="4">
        <f t="shared" si="34"/>
        <v>46580.38879739683</v>
      </c>
      <c r="AH17" s="4">
        <f t="shared" si="34"/>
        <v>50241.02839158773</v>
      </c>
      <c r="AI17" s="4">
        <f t="shared" si="34"/>
        <v>54029.461414027304</v>
      </c>
      <c r="AJ17" s="4">
        <f t="shared" si="34"/>
        <v>57949.335346007843</v>
      </c>
      <c r="AK17" s="4">
        <f t="shared" si="34"/>
        <v>62004.392450701976</v>
      </c>
    </row>
    <row r="18" spans="2:37">
      <c r="B18" s="2" t="s">
        <v>21</v>
      </c>
      <c r="C18" s="4">
        <f>SUM(C16:C17)</f>
        <v>652524</v>
      </c>
      <c r="D18" s="4">
        <f>SUM(D16:D17)</f>
        <v>476425</v>
      </c>
      <c r="E18" s="4">
        <f>SUM(E16:E17)</f>
        <v>631185</v>
      </c>
      <c r="F18" s="4">
        <f t="shared" si="32"/>
        <v>637989</v>
      </c>
      <c r="G18" s="4">
        <f>SUM(G16:G17)</f>
        <v>800629</v>
      </c>
      <c r="H18" s="4">
        <f>SUM(H16:H17)</f>
        <v>898788</v>
      </c>
      <c r="I18" s="4">
        <f>SUM(I16:I17)</f>
        <v>868943</v>
      </c>
      <c r="J18" s="4">
        <f t="shared" si="33"/>
        <v>895586</v>
      </c>
      <c r="K18" s="4">
        <f t="shared" ref="K18:Q18" si="35">SUM(K16:K17)</f>
        <v>987486</v>
      </c>
      <c r="L18" s="4">
        <f t="shared" si="35"/>
        <v>1024606</v>
      </c>
      <c r="M18" s="4">
        <f t="shared" si="35"/>
        <v>993298</v>
      </c>
      <c r="N18" s="4">
        <f t="shared" si="35"/>
        <v>1009529</v>
      </c>
      <c r="O18" s="4">
        <f t="shared" si="35"/>
        <v>1174356</v>
      </c>
      <c r="P18" s="4">
        <f t="shared" si="35"/>
        <v>1171203</v>
      </c>
      <c r="Q18" s="4">
        <f t="shared" si="35"/>
        <v>1121752</v>
      </c>
      <c r="R18" s="4">
        <f>+R12*R10</f>
        <v>1164331.6207976013</v>
      </c>
      <c r="X18" s="4">
        <f>SUM(X16:X17)</f>
        <v>2756163</v>
      </c>
      <c r="Y18" s="4">
        <f>SUM(Y16:Y17)</f>
        <v>2398123</v>
      </c>
      <c r="Z18" s="4">
        <f>SUM(Z16:Z17)</f>
        <v>3463946</v>
      </c>
      <c r="AA18" s="4">
        <f>SUM(AA16:AA17)</f>
        <v>4014919</v>
      </c>
      <c r="AB18" s="4">
        <f>SUM(O18:R18)</f>
        <v>4631642.6207976015</v>
      </c>
      <c r="AC18" s="4">
        <f t="shared" ref="AB18:AJ18" si="36">+AC10*AC12</f>
        <v>5498089.749595887</v>
      </c>
      <c r="AD18" s="4">
        <f t="shared" si="36"/>
        <v>6026255.8773749145</v>
      </c>
      <c r="AE18" s="4">
        <f t="shared" si="36"/>
        <v>6573349.4143652655</v>
      </c>
      <c r="AF18" s="4">
        <f t="shared" si="36"/>
        <v>7139916.1904842798</v>
      </c>
      <c r="AG18" s="4">
        <f t="shared" si="36"/>
        <v>7726516.2978823092</v>
      </c>
      <c r="AH18" s="4">
        <f t="shared" si="36"/>
        <v>8333724.4431000659</v>
      </c>
      <c r="AI18" s="4">
        <f t="shared" si="36"/>
        <v>8962130.3076073788</v>
      </c>
      <c r="AJ18" s="4">
        <f t="shared" si="36"/>
        <v>9612338.9169177469</v>
      </c>
      <c r="AK18" s="4">
        <f t="shared" ref="AK18" si="37">+AK10*AK12</f>
        <v>10284971.018477485</v>
      </c>
    </row>
    <row r="19" spans="2:37">
      <c r="B19" s="2" t="s">
        <v>22</v>
      </c>
      <c r="C19" s="4">
        <v>210180</v>
      </c>
      <c r="D19" s="4">
        <v>164041</v>
      </c>
      <c r="E19" s="4">
        <v>201308</v>
      </c>
      <c r="F19" s="4">
        <f t="shared" si="32"/>
        <v>205117</v>
      </c>
      <c r="G19" s="4">
        <v>251482</v>
      </c>
      <c r="H19" s="4">
        <v>295504</v>
      </c>
      <c r="I19" s="4">
        <v>298164</v>
      </c>
      <c r="J19" s="4">
        <f t="shared" si="33"/>
        <v>311478</v>
      </c>
      <c r="K19" s="4">
        <v>337396</v>
      </c>
      <c r="L19" s="4">
        <v>347041</v>
      </c>
      <c r="M19" s="4">
        <v>342032</v>
      </c>
      <c r="N19" s="4">
        <f t="shared" ref="N19:N25" si="38">+AA19-SUM(K19:M19)</f>
        <v>351723</v>
      </c>
      <c r="O19" s="4">
        <v>410711</v>
      </c>
      <c r="P19" s="4">
        <v>401204</v>
      </c>
      <c r="Q19" s="4">
        <v>386184</v>
      </c>
      <c r="R19" s="4">
        <f>+R$18*(N19/N$18)</f>
        <v>405656.70789228909</v>
      </c>
      <c r="X19" s="4">
        <v>883357</v>
      </c>
      <c r="Y19" s="4">
        <v>780646</v>
      </c>
      <c r="Z19" s="4">
        <v>1156628</v>
      </c>
      <c r="AA19" s="4">
        <v>1378192</v>
      </c>
      <c r="AB19" s="4">
        <f t="shared" ref="AB19:AB36" si="39">SUM(O19:R19)</f>
        <v>1603755.7078922892</v>
      </c>
      <c r="AC19" s="4">
        <f t="shared" ref="AC19:AK19" si="40">+AC$18*(AB19/AB$18)</f>
        <v>1903772.2769940395</v>
      </c>
      <c r="AD19" s="4">
        <f>+AD18*0.34</f>
        <v>2048926.9983074712</v>
      </c>
      <c r="AE19" s="4">
        <f t="shared" ref="AE19:AK19" si="41">+AE18*0.34</f>
        <v>2234938.8008841905</v>
      </c>
      <c r="AF19" s="4">
        <f t="shared" si="41"/>
        <v>2427571.5047646551</v>
      </c>
      <c r="AG19" s="4">
        <f t="shared" si="41"/>
        <v>2627015.5412799851</v>
      </c>
      <c r="AH19" s="4">
        <f t="shared" si="41"/>
        <v>2833466.3106540227</v>
      </c>
      <c r="AI19" s="4">
        <f t="shared" si="41"/>
        <v>3047124.3045865092</v>
      </c>
      <c r="AJ19" s="4">
        <f t="shared" si="41"/>
        <v>3268195.2317520343</v>
      </c>
      <c r="AK19" s="4">
        <f t="shared" si="41"/>
        <v>3496890.1462823451</v>
      </c>
    </row>
    <row r="20" spans="2:37">
      <c r="B20" s="2" t="s">
        <v>23</v>
      </c>
      <c r="C20" s="4">
        <v>241079</v>
      </c>
      <c r="D20" s="4">
        <v>194622</v>
      </c>
      <c r="E20" s="4">
        <v>217275</v>
      </c>
      <c r="F20" s="4">
        <f t="shared" si="32"/>
        <v>222788</v>
      </c>
      <c r="G20" s="4">
        <v>258036</v>
      </c>
      <c r="H20" s="4">
        <v>288147</v>
      </c>
      <c r="I20" s="4">
        <v>286593</v>
      </c>
      <c r="J20" s="4">
        <f t="shared" si="33"/>
        <v>290227</v>
      </c>
      <c r="K20" s="4">
        <v>321871</v>
      </c>
      <c r="L20" s="4">
        <v>333042</v>
      </c>
      <c r="M20" s="4">
        <v>330219</v>
      </c>
      <c r="N20" s="4">
        <f t="shared" si="38"/>
        <v>334827</v>
      </c>
      <c r="O20" s="4">
        <v>385819</v>
      </c>
      <c r="P20" s="4">
        <v>391337</v>
      </c>
      <c r="Q20" s="4">
        <v>378814</v>
      </c>
      <c r="R20" s="4">
        <f t="shared" ref="R20:R25" si="42">+R$18*(N20/N$18)</f>
        <v>386169.8510858019</v>
      </c>
      <c r="X20" s="4">
        <v>905614</v>
      </c>
      <c r="Y20" s="4">
        <v>875764</v>
      </c>
      <c r="Z20" s="4">
        <v>1123003</v>
      </c>
      <c r="AA20" s="4">
        <v>1319959</v>
      </c>
      <c r="AB20" s="4">
        <f t="shared" si="39"/>
        <v>1542139.8510858018</v>
      </c>
      <c r="AC20" s="4">
        <f t="shared" ref="AB20:AK25" si="43">+AC$18*(AB20/AB$18)</f>
        <v>1830629.8654445973</v>
      </c>
      <c r="AD20" s="4">
        <f t="shared" si="43"/>
        <v>2006486.7050859621</v>
      </c>
      <c r="AE20" s="4">
        <f>+AE18*0.32</f>
        <v>2103471.812596885</v>
      </c>
      <c r="AF20" s="4">
        <f t="shared" ref="AF20:AK20" si="44">+AF18*0.32</f>
        <v>2284773.1809549695</v>
      </c>
      <c r="AG20" s="4">
        <f t="shared" si="44"/>
        <v>2472485.215322339</v>
      </c>
      <c r="AH20" s="4">
        <f t="shared" si="44"/>
        <v>2666791.8217920209</v>
      </c>
      <c r="AI20" s="4">
        <f t="shared" si="44"/>
        <v>2867881.6984343613</v>
      </c>
      <c r="AJ20" s="4">
        <f t="shared" si="44"/>
        <v>3075948.4534136793</v>
      </c>
      <c r="AK20" s="4">
        <f t="shared" si="44"/>
        <v>3291190.7259127949</v>
      </c>
    </row>
    <row r="21" spans="2:37">
      <c r="B21" s="2" t="s">
        <v>24</v>
      </c>
      <c r="C21" s="4">
        <v>13471</v>
      </c>
      <c r="D21" s="4">
        <v>13251</v>
      </c>
      <c r="E21" s="4">
        <v>13723</v>
      </c>
      <c r="F21" s="4">
        <f t="shared" si="32"/>
        <v>13956</v>
      </c>
      <c r="G21" s="4">
        <v>14452</v>
      </c>
      <c r="H21" s="4">
        <v>14956</v>
      </c>
      <c r="I21" s="4">
        <v>15089</v>
      </c>
      <c r="J21" s="4">
        <f t="shared" si="33"/>
        <v>15508</v>
      </c>
      <c r="K21" s="4">
        <v>16368</v>
      </c>
      <c r="L21" s="4">
        <v>16714</v>
      </c>
      <c r="M21" s="4">
        <v>16703</v>
      </c>
      <c r="N21" s="4">
        <f t="shared" si="38"/>
        <v>17049</v>
      </c>
      <c r="O21" s="4">
        <v>17828</v>
      </c>
      <c r="P21" s="4">
        <v>17996</v>
      </c>
      <c r="Q21" s="4">
        <v>18177</v>
      </c>
      <c r="R21" s="4">
        <f t="shared" si="42"/>
        <v>19663.318045324406</v>
      </c>
      <c r="X21" s="4">
        <v>52531</v>
      </c>
      <c r="Y21" s="4">
        <v>54401</v>
      </c>
      <c r="Z21" s="4">
        <v>60005</v>
      </c>
      <c r="AA21" s="4">
        <v>66834</v>
      </c>
      <c r="AB21" s="4">
        <f t="shared" si="39"/>
        <v>73664.318045324413</v>
      </c>
      <c r="AC21" s="4">
        <f t="shared" si="43"/>
        <v>87444.793373592242</v>
      </c>
      <c r="AD21" s="4">
        <f t="shared" si="43"/>
        <v>95845.052375177664</v>
      </c>
      <c r="AE21" s="4">
        <f t="shared" si="43"/>
        <v>104546.34381947707</v>
      </c>
      <c r="AF21" s="4">
        <f t="shared" ref="AF21" si="45">+AF$18*(AE21/AE$18)</f>
        <v>113557.34890059837</v>
      </c>
      <c r="AG21" s="4">
        <f t="shared" ref="AG21" si="46">+AG$18*(AF21/AF$18)</f>
        <v>122886.97564743675</v>
      </c>
      <c r="AH21" s="4">
        <f t="shared" ref="AH21" si="47">+AH$18*(AG21/AG$18)</f>
        <v>132544.36452458843</v>
      </c>
      <c r="AI21" s="4">
        <f t="shared" ref="AI21" si="48">+AI$18*(AH21/AH$18)</f>
        <v>142538.89416656716</v>
      </c>
      <c r="AJ21" s="4">
        <f t="shared" ref="AJ21" si="49">+AJ$18*(AI21/AI$18)</f>
        <v>152880.18724841526</v>
      </c>
      <c r="AK21" s="4">
        <f t="shared" ref="AK21" si="50">+AK$18*(AJ21/AJ$18)</f>
        <v>163578.11649587064</v>
      </c>
    </row>
    <row r="22" spans="2:37">
      <c r="B22" s="2" t="s">
        <v>25</v>
      </c>
      <c r="C22" s="4">
        <v>104289</v>
      </c>
      <c r="D22" s="4">
        <v>89348</v>
      </c>
      <c r="E22" s="4">
        <v>102978</v>
      </c>
      <c r="F22" s="4">
        <f t="shared" si="32"/>
        <v>107111</v>
      </c>
      <c r="G22" s="4">
        <v>123379</v>
      </c>
      <c r="H22" s="4">
        <v>135606</v>
      </c>
      <c r="I22" s="4">
        <v>127769</v>
      </c>
      <c r="J22" s="4">
        <f t="shared" si="33"/>
        <v>131054</v>
      </c>
      <c r="K22" s="4">
        <v>144154</v>
      </c>
      <c r="L22" s="4">
        <v>152524</v>
      </c>
      <c r="M22" s="4">
        <v>146036</v>
      </c>
      <c r="N22" s="4">
        <f t="shared" si="38"/>
        <v>153591</v>
      </c>
      <c r="O22" s="4">
        <v>167529</v>
      </c>
      <c r="P22" s="4">
        <v>171092</v>
      </c>
      <c r="Q22" s="4">
        <v>169225</v>
      </c>
      <c r="R22" s="4">
        <f t="shared" si="42"/>
        <v>177142.86362246593</v>
      </c>
      <c r="X22" s="4">
        <v>418448</v>
      </c>
      <c r="Y22" s="4">
        <v>403726</v>
      </c>
      <c r="Z22" s="4">
        <v>517808</v>
      </c>
      <c r="AA22" s="4">
        <v>596305</v>
      </c>
      <c r="AB22" s="4">
        <f t="shared" si="39"/>
        <v>684988.86362246587</v>
      </c>
      <c r="AC22" s="4">
        <f t="shared" si="43"/>
        <v>813130.57979880588</v>
      </c>
      <c r="AD22" s="4">
        <f t="shared" si="43"/>
        <v>891242.80591199663</v>
      </c>
      <c r="AE22" s="4">
        <f t="shared" si="43"/>
        <v>972154.26883779571</v>
      </c>
      <c r="AF22" s="4">
        <f t="shared" si="43"/>
        <v>1055945.6931582619</v>
      </c>
      <c r="AG22" s="4">
        <f t="shared" si="43"/>
        <v>1142699.9127440117</v>
      </c>
      <c r="AH22" s="4">
        <f t="shared" si="43"/>
        <v>1232501.9228359282</v>
      </c>
      <c r="AI22" s="4">
        <f t="shared" si="43"/>
        <v>1325438.9333664235</v>
      </c>
      <c r="AJ22" s="4">
        <f t="shared" si="43"/>
        <v>1421600.4235490046</v>
      </c>
      <c r="AK22" s="4">
        <f t="shared" si="43"/>
        <v>1521078.1977655422</v>
      </c>
    </row>
    <row r="23" spans="2:37">
      <c r="B23" s="2" t="s">
        <v>26</v>
      </c>
      <c r="C23" s="4">
        <v>5112</v>
      </c>
      <c r="D23" s="4">
        <v>4290</v>
      </c>
      <c r="E23" s="4">
        <v>4894</v>
      </c>
      <c r="F23" s="4">
        <f t="shared" si="32"/>
        <v>5803</v>
      </c>
      <c r="G23" s="4">
        <v>4268</v>
      </c>
      <c r="H23" s="4">
        <v>6319</v>
      </c>
      <c r="I23" s="4">
        <v>6740</v>
      </c>
      <c r="J23" s="4">
        <f t="shared" si="33"/>
        <v>7008</v>
      </c>
      <c r="K23" s="4">
        <v>4291</v>
      </c>
      <c r="L23" s="4">
        <v>5323</v>
      </c>
      <c r="M23" s="4">
        <v>5701</v>
      </c>
      <c r="N23" s="4">
        <f t="shared" si="38"/>
        <v>6568</v>
      </c>
      <c r="O23" s="4">
        <v>5377</v>
      </c>
      <c r="P23" s="4">
        <v>5671</v>
      </c>
      <c r="Q23" s="4">
        <v>8663</v>
      </c>
      <c r="R23" s="4">
        <f t="shared" si="42"/>
        <v>7575.1465142642219</v>
      </c>
      <c r="X23" s="4">
        <v>20156</v>
      </c>
      <c r="Y23" s="4">
        <v>20099</v>
      </c>
      <c r="Z23" s="4">
        <v>24335</v>
      </c>
      <c r="AA23" s="4">
        <v>21883</v>
      </c>
      <c r="AB23" s="4">
        <f t="shared" si="39"/>
        <v>27286.146514264223</v>
      </c>
      <c r="AC23" s="4">
        <f t="shared" si="43"/>
        <v>32390.599780389115</v>
      </c>
      <c r="AD23" s="4">
        <f t="shared" si="43"/>
        <v>35502.156419439205</v>
      </c>
      <c r="AE23" s="4">
        <f t="shared" si="43"/>
        <v>38725.219084139149</v>
      </c>
      <c r="AF23" s="4">
        <f t="shared" si="43"/>
        <v>42063.003392859311</v>
      </c>
      <c r="AG23" s="4">
        <f t="shared" si="43"/>
        <v>45518.808986294629</v>
      </c>
      <c r="AH23" s="4">
        <f t="shared" si="43"/>
        <v>49096.02160211021</v>
      </c>
      <c r="AI23" s="4">
        <f t="shared" si="43"/>
        <v>52798.115198963897</v>
      </c>
      <c r="AJ23" s="4">
        <f t="shared" si="43"/>
        <v>56628.654131050898</v>
      </c>
      <c r="AK23" s="4">
        <f t="shared" si="43"/>
        <v>60591.295374341782</v>
      </c>
    </row>
    <row r="24" spans="2:37">
      <c r="B24" s="2" t="s">
        <v>27</v>
      </c>
      <c r="C24" s="4">
        <v>29054</v>
      </c>
      <c r="D24" s="4">
        <v>29016</v>
      </c>
      <c r="E24" s="4">
        <v>29364</v>
      </c>
      <c r="F24" s="4">
        <f t="shared" si="32"/>
        <v>30443</v>
      </c>
      <c r="G24" s="4">
        <v>30869</v>
      </c>
      <c r="H24" s="4">
        <v>31650</v>
      </c>
      <c r="I24" s="4">
        <v>31627</v>
      </c>
      <c r="J24" s="4">
        <f t="shared" si="33"/>
        <v>32615</v>
      </c>
      <c r="K24" s="4">
        <v>33620</v>
      </c>
      <c r="L24" s="4">
        <v>34420</v>
      </c>
      <c r="M24" s="4">
        <v>33735</v>
      </c>
      <c r="N24" s="4">
        <f t="shared" si="38"/>
        <v>35462</v>
      </c>
      <c r="O24" s="4">
        <v>36227</v>
      </c>
      <c r="P24" s="4">
        <v>37413</v>
      </c>
      <c r="Q24" s="4">
        <v>39124</v>
      </c>
      <c r="R24" s="4">
        <f t="shared" si="42"/>
        <v>40899.7938015892</v>
      </c>
      <c r="X24" s="4">
        <v>115544</v>
      </c>
      <c r="Y24" s="4">
        <v>117877</v>
      </c>
      <c r="Z24" s="4">
        <v>126761</v>
      </c>
      <c r="AA24" s="4">
        <v>137237</v>
      </c>
      <c r="AB24" s="4">
        <f t="shared" si="39"/>
        <v>153663.7938015892</v>
      </c>
      <c r="AC24" s="4">
        <f t="shared" si="43"/>
        <v>182409.87026737464</v>
      </c>
      <c r="AD24" s="4">
        <f t="shared" si="43"/>
        <v>199932.81355051679</v>
      </c>
      <c r="AE24" s="4">
        <f t="shared" si="43"/>
        <v>218083.71061687771</v>
      </c>
      <c r="AF24" s="4">
        <f t="shared" si="43"/>
        <v>236880.67044047284</v>
      </c>
      <c r="AG24" s="4">
        <f t="shared" si="43"/>
        <v>256342.27517276505</v>
      </c>
      <c r="AH24" s="4">
        <f t="shared" si="43"/>
        <v>276487.59182617272</v>
      </c>
      <c r="AI24" s="4">
        <f t="shared" si="43"/>
        <v>297336.18423564761</v>
      </c>
      <c r="AJ24" s="4">
        <f t="shared" si="43"/>
        <v>318908.12530477106</v>
      </c>
      <c r="AK24" s="4">
        <f t="shared" si="43"/>
        <v>341224.00954296516</v>
      </c>
    </row>
    <row r="25" spans="2:37">
      <c r="B25" s="2" t="s">
        <v>28</v>
      </c>
      <c r="C25" s="4">
        <v>32954</v>
      </c>
      <c r="D25" s="4">
        <v>29615</v>
      </c>
      <c r="E25" s="4">
        <v>25951</v>
      </c>
      <c r="F25" s="4">
        <f t="shared" si="32"/>
        <v>30983</v>
      </c>
      <c r="G25" s="4">
        <v>36712</v>
      </c>
      <c r="H25" s="4">
        <v>36861</v>
      </c>
      <c r="I25" s="4">
        <v>41234</v>
      </c>
      <c r="J25" s="4">
        <f t="shared" si="33"/>
        <v>42673</v>
      </c>
      <c r="K25" s="4">
        <v>40294</v>
      </c>
      <c r="L25" s="4">
        <v>49213</v>
      </c>
      <c r="M25" s="4">
        <v>42812</v>
      </c>
      <c r="N25" s="4">
        <f t="shared" si="38"/>
        <v>40393</v>
      </c>
      <c r="O25" s="4">
        <v>49865</v>
      </c>
      <c r="P25" s="4">
        <v>51000</v>
      </c>
      <c r="Q25" s="4">
        <v>47708</v>
      </c>
      <c r="R25" s="4">
        <f t="shared" si="42"/>
        <v>46586.920394438901</v>
      </c>
      <c r="X25" s="4">
        <v>149389</v>
      </c>
      <c r="Y25" s="4">
        <v>119503</v>
      </c>
      <c r="Z25" s="4">
        <v>157480</v>
      </c>
      <c r="AA25" s="4">
        <v>172712</v>
      </c>
      <c r="AB25" s="4">
        <f t="shared" si="39"/>
        <v>195159.9203944389</v>
      </c>
      <c r="AC25" s="4">
        <f t="shared" si="43"/>
        <v>231668.72872152526</v>
      </c>
      <c r="AD25" s="4">
        <f t="shared" si="43"/>
        <v>253923.65378624093</v>
      </c>
      <c r="AE25" s="4">
        <f t="shared" si="43"/>
        <v>276976.10836205666</v>
      </c>
      <c r="AF25" s="4">
        <f t="shared" si="43"/>
        <v>300849.09165939048</v>
      </c>
      <c r="AG25" s="4">
        <f t="shared" si="43"/>
        <v>325566.20384527289</v>
      </c>
      <c r="AH25" s="4">
        <f t="shared" si="43"/>
        <v>351151.66088192683</v>
      </c>
      <c r="AI25" s="4">
        <f t="shared" si="43"/>
        <v>377630.30971850874</v>
      </c>
      <c r="AJ25" s="4">
        <f t="shared" si="43"/>
        <v>405027.64384420135</v>
      </c>
      <c r="AK25" s="4">
        <f t="shared" si="43"/>
        <v>433369.8192110341</v>
      </c>
    </row>
    <row r="26" spans="2:37">
      <c r="B26" s="2" t="s">
        <v>18</v>
      </c>
      <c r="C26" s="4">
        <f>SUM(C19:C25)</f>
        <v>636139</v>
      </c>
      <c r="D26" s="4">
        <f>SUM(D19:D25)</f>
        <v>524183</v>
      </c>
      <c r="E26" s="4">
        <f>SUM(E19:E25)</f>
        <v>595493</v>
      </c>
      <c r="F26" s="4">
        <f t="shared" si="32"/>
        <v>616201</v>
      </c>
      <c r="G26" s="4">
        <f>SUM(G19:G25)</f>
        <v>719198</v>
      </c>
      <c r="H26" s="4">
        <f>SUM(H19:H25)</f>
        <v>809043</v>
      </c>
      <c r="I26" s="4">
        <f>SUM(I19:I25)</f>
        <v>807216</v>
      </c>
      <c r="J26" s="4">
        <f t="shared" si="33"/>
        <v>830563</v>
      </c>
      <c r="K26" s="4">
        <f>SUM(K19:K25)</f>
        <v>897994</v>
      </c>
      <c r="L26" s="4">
        <f>SUM(L19:L25)</f>
        <v>938277</v>
      </c>
      <c r="M26" s="4">
        <f>SUM(M19:M25)</f>
        <v>917238</v>
      </c>
      <c r="N26" s="4">
        <f>SUM(N19:N25)</f>
        <v>939613</v>
      </c>
      <c r="O26" s="4">
        <f>SUM(O19:O25)</f>
        <v>1073356</v>
      </c>
      <c r="P26" s="4">
        <f>SUM(P19:P25)</f>
        <v>1075713</v>
      </c>
      <c r="Q26" s="4">
        <f>SUM(Q19:Q25)</f>
        <v>1047895</v>
      </c>
      <c r="R26" s="4">
        <f>SUM(R19:R25)</f>
        <v>1083694.6013561734</v>
      </c>
      <c r="X26" s="4">
        <f>SUM(X19:X25)</f>
        <v>2545039</v>
      </c>
      <c r="Y26" s="4">
        <f>SUM(Y19:Y25)</f>
        <v>2372016</v>
      </c>
      <c r="Z26" s="4">
        <f>SUM(Z19:Z25)</f>
        <v>3166020</v>
      </c>
      <c r="AA26" s="4">
        <f>SUM(AA19:AA25)</f>
        <v>3693122</v>
      </c>
      <c r="AB26" s="4">
        <f t="shared" si="39"/>
        <v>4280658.6013561729</v>
      </c>
      <c r="AC26" s="4">
        <f>SUM(AC19:AC25)</f>
        <v>5081446.7143803239</v>
      </c>
      <c r="AD26" s="4">
        <f>SUM(AD19:AD25)</f>
        <v>5531860.1854368048</v>
      </c>
      <c r="AE26" s="4">
        <f>SUM(AE19:AE25)</f>
        <v>5948896.2642014204</v>
      </c>
      <c r="AF26" s="4">
        <f>SUM(AF19:AF25)</f>
        <v>6461640.4932712074</v>
      </c>
      <c r="AG26" s="4">
        <f>SUM(AG19:AG25)</f>
        <v>6992514.9329981059</v>
      </c>
      <c r="AH26" s="4">
        <f>SUM(AH19:AH25)</f>
        <v>7542039.6941167694</v>
      </c>
      <c r="AI26" s="4">
        <f>SUM(AI19:AI25)</f>
        <v>8110748.4397069812</v>
      </c>
      <c r="AJ26" s="4">
        <f>SUM(AJ19:AJ25)</f>
        <v>8699188.7192431577</v>
      </c>
      <c r="AK26" s="4">
        <f>SUM(AK19:AK25)</f>
        <v>9307922.3105848935</v>
      </c>
    </row>
    <row r="27" spans="2:37">
      <c r="B27" s="2" t="s">
        <v>29</v>
      </c>
      <c r="C27" s="4">
        <f>+C18-C26</f>
        <v>16385</v>
      </c>
      <c r="D27" s="4">
        <f>+D18-D26</f>
        <v>-47758</v>
      </c>
      <c r="E27" s="4">
        <f>+E18-E26</f>
        <v>35692</v>
      </c>
      <c r="F27" s="4">
        <f t="shared" si="32"/>
        <v>21788</v>
      </c>
      <c r="G27" s="4">
        <f>+G18-G26</f>
        <v>81431</v>
      </c>
      <c r="H27" s="4">
        <f>+H18-H26</f>
        <v>89745</v>
      </c>
      <c r="I27" s="4">
        <f>+I18-I26</f>
        <v>61727</v>
      </c>
      <c r="J27" s="4">
        <f t="shared" si="33"/>
        <v>65023</v>
      </c>
      <c r="K27" s="4">
        <f>+K18-K26</f>
        <v>89492</v>
      </c>
      <c r="L27" s="4">
        <f>+L18-L26</f>
        <v>86329</v>
      </c>
      <c r="M27" s="4">
        <f>+M18-M26</f>
        <v>76060</v>
      </c>
      <c r="N27" s="4">
        <f>+N18-N26</f>
        <v>69916</v>
      </c>
      <c r="O27" s="4">
        <f>+O18-O26</f>
        <v>101000</v>
      </c>
      <c r="P27" s="4">
        <f>+P18-P26</f>
        <v>95490</v>
      </c>
      <c r="Q27" s="4">
        <f>+Q18-Q26</f>
        <v>73857</v>
      </c>
      <c r="R27" s="4">
        <f>+R18-R26</f>
        <v>80637.019441427896</v>
      </c>
      <c r="X27" s="4">
        <f>+X18-X26</f>
        <v>211124</v>
      </c>
      <c r="Y27" s="4">
        <f>+Y18-Y26</f>
        <v>26107</v>
      </c>
      <c r="Z27" s="4">
        <f>+Z18-Z26</f>
        <v>297926</v>
      </c>
      <c r="AA27" s="4">
        <f>+AA18-AA26</f>
        <v>321797</v>
      </c>
      <c r="AB27" s="4">
        <f t="shared" si="39"/>
        <v>350984.0194414279</v>
      </c>
      <c r="AC27" s="4">
        <f>+AC18-AC26</f>
        <v>416643.03521556314</v>
      </c>
      <c r="AD27" s="4">
        <f>+AD18-AD26</f>
        <v>494395.6919381097</v>
      </c>
      <c r="AE27" s="4">
        <f>+AE18-AE26</f>
        <v>624453.15016384516</v>
      </c>
      <c r="AF27" s="4">
        <f>+AF18-AF26</f>
        <v>678275.69721307233</v>
      </c>
      <c r="AG27" s="4">
        <f>+AG18-AG26</f>
        <v>734001.3648842033</v>
      </c>
      <c r="AH27" s="4">
        <f>+AH18-AH26</f>
        <v>791684.74898329657</v>
      </c>
      <c r="AI27" s="4">
        <f>+AI18-AI26</f>
        <v>851381.86790039763</v>
      </c>
      <c r="AJ27" s="4">
        <f>+AJ18-AJ26</f>
        <v>913150.19767458923</v>
      </c>
      <c r="AK27" s="4">
        <f>+AK18-AK26</f>
        <v>977048.70789259113</v>
      </c>
    </row>
    <row r="28" spans="2:37">
      <c r="B28" s="2" t="s">
        <v>30</v>
      </c>
      <c r="C28" s="4">
        <v>69</v>
      </c>
      <c r="D28" s="4">
        <v>1030</v>
      </c>
      <c r="E28" s="4">
        <v>1502</v>
      </c>
      <c r="F28" s="4">
        <f t="shared" si="32"/>
        <v>1490</v>
      </c>
      <c r="G28" s="4">
        <v>1460</v>
      </c>
      <c r="H28" s="4">
        <v>975</v>
      </c>
      <c r="I28" s="4">
        <v>604</v>
      </c>
      <c r="J28" s="4">
        <f t="shared" si="33"/>
        <v>624</v>
      </c>
      <c r="K28" s="4">
        <v>397</v>
      </c>
      <c r="L28" s="4">
        <v>395</v>
      </c>
      <c r="M28" s="4">
        <v>85</v>
      </c>
      <c r="N28" s="4">
        <f>+AA28-SUM(K28:M28)</f>
        <v>-753</v>
      </c>
      <c r="O28" s="4">
        <v>1238</v>
      </c>
      <c r="P28" s="4">
        <v>996</v>
      </c>
      <c r="Q28" s="4">
        <v>496</v>
      </c>
      <c r="R28" s="4">
        <f>+Q28</f>
        <v>496</v>
      </c>
      <c r="X28" s="4">
        <v>-1514</v>
      </c>
      <c r="Y28" s="4">
        <v>4091</v>
      </c>
      <c r="Z28" s="4">
        <v>3663</v>
      </c>
      <c r="AA28" s="4">
        <v>124</v>
      </c>
      <c r="AB28" s="4">
        <f>+AA67*$AN$41</f>
        <v>693.24</v>
      </c>
      <c r="AC28" s="4">
        <f t="shared" ref="AC28:AK28" si="51">+AB67*$AN$41</f>
        <v>727.90199999999993</v>
      </c>
      <c r="AD28" s="4">
        <f t="shared" si="51"/>
        <v>764.29710000000011</v>
      </c>
      <c r="AE28" s="4">
        <f t="shared" si="51"/>
        <v>802.51195500000017</v>
      </c>
      <c r="AF28" s="4">
        <f t="shared" si="51"/>
        <v>842.63755275000017</v>
      </c>
      <c r="AG28" s="4">
        <f t="shared" si="51"/>
        <v>884.76943038750017</v>
      </c>
      <c r="AH28" s="4">
        <f t="shared" si="51"/>
        <v>929.00790190687519</v>
      </c>
      <c r="AI28" s="4">
        <f t="shared" si="51"/>
        <v>975.45829700221907</v>
      </c>
      <c r="AJ28" s="4">
        <f t="shared" si="51"/>
        <v>1024.23121185233</v>
      </c>
      <c r="AK28" s="4">
        <f t="shared" si="51"/>
        <v>1075.4427724449465</v>
      </c>
    </row>
    <row r="29" spans="2:37">
      <c r="B29" s="2" t="s">
        <v>31</v>
      </c>
      <c r="C29" s="4">
        <v>-508</v>
      </c>
      <c r="D29" s="4">
        <v>-90</v>
      </c>
      <c r="E29" s="4">
        <v>1</v>
      </c>
      <c r="F29" s="4">
        <f t="shared" si="32"/>
        <v>97</v>
      </c>
      <c r="G29" s="4">
        <v>-217</v>
      </c>
      <c r="H29" s="4">
        <v>239</v>
      </c>
      <c r="I29" s="4">
        <v>266</v>
      </c>
      <c r="J29" s="4">
        <f t="shared" si="33"/>
        <v>-925</v>
      </c>
      <c r="K29" s="4">
        <v>334</v>
      </c>
      <c r="L29" s="4">
        <v>545</v>
      </c>
      <c r="M29" s="4">
        <v>190</v>
      </c>
      <c r="N29" s="4">
        <f>+AA29-SUM(K29:M29)</f>
        <v>170</v>
      </c>
      <c r="O29" s="4">
        <v>755</v>
      </c>
      <c r="P29" s="4">
        <v>287</v>
      </c>
      <c r="Q29" s="4">
        <v>139</v>
      </c>
      <c r="R29" s="4">
        <f>+Q29</f>
        <v>139</v>
      </c>
      <c r="X29" s="4">
        <v>378</v>
      </c>
      <c r="Y29" s="4">
        <v>-500</v>
      </c>
      <c r="Z29" s="4">
        <v>-637</v>
      </c>
      <c r="AA29" s="4">
        <v>1239</v>
      </c>
      <c r="AB29" s="4">
        <f t="shared" si="39"/>
        <v>1320</v>
      </c>
      <c r="AC29" s="4">
        <f t="shared" ref="AB29:AK29" si="52">+AC$27*(AB29/AB$27)</f>
        <v>1566.9340369393142</v>
      </c>
      <c r="AD29" s="4">
        <f t="shared" si="52"/>
        <v>1859.3505037548036</v>
      </c>
      <c r="AE29" s="4">
        <f t="shared" si="52"/>
        <v>2348.4777441664428</v>
      </c>
      <c r="AF29" s="4">
        <f t="shared" si="52"/>
        <v>2550.8965386689542</v>
      </c>
      <c r="AG29" s="4">
        <f t="shared" si="52"/>
        <v>2760.4726938539006</v>
      </c>
      <c r="AH29" s="4">
        <f t="shared" si="52"/>
        <v>2977.411536630786</v>
      </c>
      <c r="AI29" s="4">
        <f t="shared" si="52"/>
        <v>3201.9237440411962</v>
      </c>
      <c r="AJ29" s="4">
        <f t="shared" si="52"/>
        <v>3434.2254751333703</v>
      </c>
      <c r="AK29" s="4">
        <f t="shared" si="52"/>
        <v>3674.538505971625</v>
      </c>
    </row>
    <row r="30" spans="2:37">
      <c r="B30" s="2" t="s">
        <v>32</v>
      </c>
      <c r="C30" s="4">
        <f>+C27-C28+C29</f>
        <v>15808</v>
      </c>
      <c r="D30" s="4">
        <f>+D27-D28+D29</f>
        <v>-48878</v>
      </c>
      <c r="E30" s="4">
        <f>+E27-E28+E29</f>
        <v>34191</v>
      </c>
      <c r="F30" s="4">
        <f t="shared" si="32"/>
        <v>20395</v>
      </c>
      <c r="G30" s="4">
        <f>+G27-G28+G29</f>
        <v>79754</v>
      </c>
      <c r="H30" s="4">
        <f>+H27-H28+H29</f>
        <v>89009</v>
      </c>
      <c r="I30" s="4">
        <f>+I27-I28+I29</f>
        <v>61389</v>
      </c>
      <c r="J30" s="4">
        <f t="shared" si="33"/>
        <v>63474</v>
      </c>
      <c r="K30" s="4">
        <f>+K27-K28+K29</f>
        <v>89429</v>
      </c>
      <c r="L30" s="4">
        <f>+L27-L28+L29</f>
        <v>86479</v>
      </c>
      <c r="M30" s="4">
        <f>+M27-M28+M29</f>
        <v>76165</v>
      </c>
      <c r="N30" s="4">
        <f>+N27-N28+N29</f>
        <v>70839</v>
      </c>
      <c r="O30" s="4">
        <f>+O27+O28+O29</f>
        <v>102993</v>
      </c>
      <c r="P30" s="4">
        <f>+P27+P28+P29</f>
        <v>96773</v>
      </c>
      <c r="Q30" s="4">
        <f>+Q27+Q28+Q29</f>
        <v>74492</v>
      </c>
      <c r="R30" s="4">
        <f>+R27+R28+R29</f>
        <v>81272.019441427896</v>
      </c>
      <c r="X30" s="4">
        <f>+X27-X28+X29</f>
        <v>213016</v>
      </c>
      <c r="Y30" s="4">
        <f>+Y27-Y28+Y29</f>
        <v>21516</v>
      </c>
      <c r="Z30" s="4">
        <f>+Z27-Z28+Z29</f>
        <v>293626</v>
      </c>
      <c r="AA30" s="4">
        <f>+AA27-AA28+AA29</f>
        <v>322912</v>
      </c>
      <c r="AB30" s="4">
        <f t="shared" si="39"/>
        <v>355530.0194414279</v>
      </c>
      <c r="AC30" s="4">
        <f t="shared" ref="AC30:AJ30" si="53">+AC27-AC28+AC29</f>
        <v>417482.06725250243</v>
      </c>
      <c r="AD30" s="4">
        <f t="shared" si="53"/>
        <v>495490.74534186447</v>
      </c>
      <c r="AE30" s="4">
        <f t="shared" si="53"/>
        <v>625999.11595301155</v>
      </c>
      <c r="AF30" s="4">
        <f t="shared" si="53"/>
        <v>679983.95619899139</v>
      </c>
      <c r="AG30" s="4">
        <f t="shared" si="53"/>
        <v>735877.06814766966</v>
      </c>
      <c r="AH30" s="4">
        <f t="shared" si="53"/>
        <v>793733.15261802054</v>
      </c>
      <c r="AI30" s="4">
        <f t="shared" si="53"/>
        <v>853608.33334743662</v>
      </c>
      <c r="AJ30" s="4">
        <f t="shared" si="53"/>
        <v>915560.19193787035</v>
      </c>
      <c r="AK30" s="4">
        <f t="shared" ref="AK30" si="54">+AK27-AK28+AK29</f>
        <v>979647.80362611788</v>
      </c>
    </row>
    <row r="31" spans="2:37">
      <c r="B31" s="2" t="s">
        <v>33</v>
      </c>
      <c r="C31" s="4">
        <v>-1939</v>
      </c>
      <c r="D31" s="4">
        <v>-15132</v>
      </c>
      <c r="E31" s="4">
        <v>3072</v>
      </c>
      <c r="F31" s="4">
        <f t="shared" si="32"/>
        <v>-1673</v>
      </c>
      <c r="G31" s="4">
        <v>12820</v>
      </c>
      <c r="H31" s="4">
        <v>11067</v>
      </c>
      <c r="I31" s="4">
        <v>7144</v>
      </c>
      <c r="J31" s="4">
        <f t="shared" si="33"/>
        <v>8547</v>
      </c>
      <c r="K31" s="4">
        <v>12747</v>
      </c>
      <c r="L31" s="4">
        <v>11531</v>
      </c>
      <c r="M31" s="4">
        <v>11430</v>
      </c>
      <c r="N31" s="4">
        <f>+AA31-SUM(K31:M31)</f>
        <v>8007</v>
      </c>
      <c r="O31" s="4">
        <v>14334</v>
      </c>
      <c r="P31" s="4">
        <v>12270</v>
      </c>
      <c r="Q31" s="4">
        <v>8870</v>
      </c>
      <c r="R31" s="4">
        <f>+R30*(Q31/Q30)</f>
        <v>9677.3185368289942</v>
      </c>
      <c r="X31" s="4">
        <v>32397</v>
      </c>
      <c r="Y31" s="4">
        <v>-15672</v>
      </c>
      <c r="Z31" s="4">
        <v>39578</v>
      </c>
      <c r="AA31" s="4">
        <v>43715</v>
      </c>
      <c r="AB31" s="4">
        <f t="shared" si="39"/>
        <v>45151.318536828992</v>
      </c>
      <c r="AC31" s="4">
        <f>+AC30*0.14</f>
        <v>58447.489415350348</v>
      </c>
      <c r="AD31" s="4">
        <f>+AD30*(AC31/AC30)</f>
        <v>69368.704347861029</v>
      </c>
      <c r="AE31" s="4">
        <f t="shared" ref="AC31:AK31" si="55">+AE30*(AD31/AD30)</f>
        <v>87639.87623342163</v>
      </c>
      <c r="AF31" s="4">
        <f t="shared" si="55"/>
        <v>95197.753867858803</v>
      </c>
      <c r="AG31" s="4">
        <f t="shared" si="55"/>
        <v>103022.78954067377</v>
      </c>
      <c r="AH31" s="4">
        <f t="shared" si="55"/>
        <v>111122.64136652289</v>
      </c>
      <c r="AI31" s="4">
        <f t="shared" si="55"/>
        <v>119505.16666864113</v>
      </c>
      <c r="AJ31" s="4">
        <f t="shared" si="55"/>
        <v>128178.42687130185</v>
      </c>
      <c r="AK31" s="4">
        <f t="shared" si="55"/>
        <v>137150.69250765652</v>
      </c>
    </row>
    <row r="32" spans="2:37">
      <c r="B32" s="2" t="s">
        <v>34</v>
      </c>
      <c r="C32" s="4">
        <f>+C30-C31</f>
        <v>17747</v>
      </c>
      <c r="D32" s="4">
        <f>+D30-D31</f>
        <v>-33746</v>
      </c>
      <c r="E32" s="4">
        <f>+E30-E31</f>
        <v>31119</v>
      </c>
      <c r="F32" s="4">
        <f t="shared" si="32"/>
        <v>22068</v>
      </c>
      <c r="G32" s="4">
        <f>+G30-G31</f>
        <v>66934</v>
      </c>
      <c r="H32" s="4">
        <f>+H30-H31</f>
        <v>77942</v>
      </c>
      <c r="I32" s="4">
        <f>+I30-I31</f>
        <v>54245</v>
      </c>
      <c r="J32" s="4">
        <f t="shared" si="33"/>
        <v>54927</v>
      </c>
      <c r="K32" s="4">
        <f t="shared" ref="K32:R32" si="56">+K30-K31</f>
        <v>76682</v>
      </c>
      <c r="L32" s="4">
        <f t="shared" si="56"/>
        <v>74948</v>
      </c>
      <c r="M32" s="4">
        <f t="shared" si="56"/>
        <v>64735</v>
      </c>
      <c r="N32" s="4">
        <f t="shared" si="56"/>
        <v>62832</v>
      </c>
      <c r="O32" s="4">
        <f t="shared" si="56"/>
        <v>88659</v>
      </c>
      <c r="P32" s="4">
        <f t="shared" si="56"/>
        <v>84503</v>
      </c>
      <c r="Q32" s="4">
        <f t="shared" si="56"/>
        <v>65622</v>
      </c>
      <c r="R32" s="4">
        <f t="shared" si="56"/>
        <v>71594.700904598896</v>
      </c>
      <c r="X32" s="4">
        <f>+X30-X31</f>
        <v>180619</v>
      </c>
      <c r="Y32" s="4">
        <f>+Y30-Y31</f>
        <v>37188</v>
      </c>
      <c r="Z32" s="4">
        <f>+Z30-Z31</f>
        <v>254048</v>
      </c>
      <c r="AA32" s="4">
        <f>+AA30-AA31</f>
        <v>279197</v>
      </c>
      <c r="AB32" s="4">
        <f t="shared" si="39"/>
        <v>310378.70090459893</v>
      </c>
      <c r="AC32" s="4">
        <f t="shared" ref="AC32:AJ32" si="57">+AC30-AC31</f>
        <v>359034.57783715206</v>
      </c>
      <c r="AD32" s="4">
        <f t="shared" si="57"/>
        <v>426122.04099400342</v>
      </c>
      <c r="AE32" s="4">
        <f t="shared" si="57"/>
        <v>538359.23971958994</v>
      </c>
      <c r="AF32" s="4">
        <f t="shared" si="57"/>
        <v>584786.2023311326</v>
      </c>
      <c r="AG32" s="4">
        <f t="shared" si="57"/>
        <v>632854.27860699594</v>
      </c>
      <c r="AH32" s="4">
        <f t="shared" si="57"/>
        <v>682610.51125149766</v>
      </c>
      <c r="AI32" s="4">
        <f t="shared" si="57"/>
        <v>734103.16667879547</v>
      </c>
      <c r="AJ32" s="4">
        <f t="shared" si="57"/>
        <v>787381.76506656851</v>
      </c>
      <c r="AK32" s="4">
        <f t="shared" ref="AK32" si="58">+AK30-AK31</f>
        <v>842497.11111846135</v>
      </c>
    </row>
    <row r="33" spans="1:97">
      <c r="B33" s="2" t="s">
        <v>35</v>
      </c>
      <c r="C33" s="4">
        <v>1123</v>
      </c>
      <c r="D33" s="4">
        <v>247</v>
      </c>
      <c r="E33" s="4">
        <v>1173</v>
      </c>
      <c r="F33" s="4">
        <f t="shared" si="32"/>
        <v>1127</v>
      </c>
      <c r="G33" s="4">
        <v>2280</v>
      </c>
      <c r="H33" s="4">
        <v>2445</v>
      </c>
      <c r="I33" s="4">
        <v>1610</v>
      </c>
      <c r="J33" s="4">
        <f t="shared" si="33"/>
        <v>1685</v>
      </c>
      <c r="K33" s="4">
        <v>2126</v>
      </c>
      <c r="L33" s="4">
        <v>2118</v>
      </c>
      <c r="M33" s="4">
        <v>1635</v>
      </c>
      <c r="N33" s="4">
        <f>+AA33-SUM(K33:M33)</f>
        <v>1900</v>
      </c>
      <c r="O33" s="4">
        <v>2217</v>
      </c>
      <c r="P33" s="4">
        <v>2154</v>
      </c>
      <c r="Q33" s="4">
        <v>1836</v>
      </c>
      <c r="R33" s="4">
        <f>+Q33</f>
        <v>1836</v>
      </c>
      <c r="X33" s="4">
        <v>7066</v>
      </c>
      <c r="Y33" s="4">
        <v>3670</v>
      </c>
      <c r="Z33" s="4">
        <v>8020</v>
      </c>
      <c r="AA33" s="4">
        <v>7779</v>
      </c>
      <c r="AB33" s="4">
        <f t="shared" si="39"/>
        <v>8043</v>
      </c>
      <c r="AC33" s="4">
        <f t="shared" ref="AC33:AK33" si="59">+AB33</f>
        <v>8043</v>
      </c>
      <c r="AD33" s="4">
        <f t="shared" si="59"/>
        <v>8043</v>
      </c>
      <c r="AE33" s="4">
        <f t="shared" si="59"/>
        <v>8043</v>
      </c>
      <c r="AF33" s="4">
        <f t="shared" si="59"/>
        <v>8043</v>
      </c>
      <c r="AG33" s="4">
        <f t="shared" si="59"/>
        <v>8043</v>
      </c>
      <c r="AH33" s="4">
        <f t="shared" si="59"/>
        <v>8043</v>
      </c>
      <c r="AI33" s="4">
        <f t="shared" si="59"/>
        <v>8043</v>
      </c>
      <c r="AJ33" s="4">
        <f t="shared" si="59"/>
        <v>8043</v>
      </c>
      <c r="AK33" s="4">
        <f t="shared" si="59"/>
        <v>8043</v>
      </c>
    </row>
    <row r="34" spans="1:97" s="7" customFormat="1">
      <c r="A34" s="6"/>
      <c r="B34" s="6" t="s">
        <v>36</v>
      </c>
      <c r="C34" s="7">
        <f>+C32-C33</f>
        <v>16624</v>
      </c>
      <c r="D34" s="7">
        <f>+D32-D33</f>
        <v>-33993</v>
      </c>
      <c r="E34" s="7">
        <f>+E32-E33</f>
        <v>29946</v>
      </c>
      <c r="F34" s="7">
        <f t="shared" si="32"/>
        <v>20941</v>
      </c>
      <c r="G34" s="7">
        <f>+G32-G33</f>
        <v>64654</v>
      </c>
      <c r="H34" s="7">
        <f>+H32-H33</f>
        <v>75497</v>
      </c>
      <c r="I34" s="7">
        <f>+I32-I33</f>
        <v>52635</v>
      </c>
      <c r="J34" s="7">
        <f t="shared" si="33"/>
        <v>53242</v>
      </c>
      <c r="K34" s="7">
        <f t="shared" ref="K34:R34" si="60">+K32-K33</f>
        <v>74556</v>
      </c>
      <c r="L34" s="7">
        <f t="shared" si="60"/>
        <v>72830</v>
      </c>
      <c r="M34" s="7">
        <f t="shared" si="60"/>
        <v>63100</v>
      </c>
      <c r="N34" s="7">
        <f t="shared" si="60"/>
        <v>60932</v>
      </c>
      <c r="O34" s="7">
        <f t="shared" si="60"/>
        <v>86442</v>
      </c>
      <c r="P34" s="7">
        <f t="shared" si="60"/>
        <v>82349</v>
      </c>
      <c r="Q34" s="7">
        <f t="shared" si="60"/>
        <v>63786</v>
      </c>
      <c r="R34" s="7">
        <f t="shared" si="60"/>
        <v>69758.700904598896</v>
      </c>
      <c r="X34" s="7">
        <f>+X32-X33</f>
        <v>173553</v>
      </c>
      <c r="Y34" s="7">
        <f>+Y32-Y33</f>
        <v>33518</v>
      </c>
      <c r="Z34" s="7">
        <f>+Z32-Z33</f>
        <v>246028</v>
      </c>
      <c r="AA34" s="7">
        <f>+AA32-AA33</f>
        <v>271418</v>
      </c>
      <c r="AB34" s="4">
        <f t="shared" si="39"/>
        <v>302335.70090459893</v>
      </c>
      <c r="AC34" s="7">
        <f t="shared" ref="AC34:AJ34" si="61">+AC32-AC33</f>
        <v>350991.57783715206</v>
      </c>
      <c r="AD34" s="7">
        <f t="shared" si="61"/>
        <v>418079.04099400342</v>
      </c>
      <c r="AE34" s="7">
        <f t="shared" si="61"/>
        <v>530316.23971958994</v>
      </c>
      <c r="AF34" s="7">
        <f t="shared" si="61"/>
        <v>576743.2023311326</v>
      </c>
      <c r="AG34" s="7">
        <f t="shared" si="61"/>
        <v>624811.27860699594</v>
      </c>
      <c r="AH34" s="7">
        <f t="shared" si="61"/>
        <v>674567.51125149766</v>
      </c>
      <c r="AI34" s="7">
        <f t="shared" si="61"/>
        <v>726060.16667879547</v>
      </c>
      <c r="AJ34" s="7">
        <f t="shared" si="61"/>
        <v>779338.76506656851</v>
      </c>
      <c r="AK34" s="7">
        <f t="shared" ref="AK34" si="62">+AK32-AK33</f>
        <v>834454.11111846135</v>
      </c>
      <c r="AL34" s="7">
        <f>+AK34*(1+$AN$42)</f>
        <v>826109.57000727672</v>
      </c>
      <c r="AM34" s="7">
        <f>+AL34*(1+$AN$42)</f>
        <v>817848.4743072039</v>
      </c>
      <c r="AN34" s="7">
        <f>+AM34*(1+$AN$42)</f>
        <v>809669.98956413183</v>
      </c>
      <c r="AO34" s="7">
        <f>+AN34*(1+$AN$42)</f>
        <v>801573.28966849053</v>
      </c>
      <c r="AP34" s="7">
        <f>+AO34*(1+$AN$42)</f>
        <v>793557.55677180563</v>
      </c>
      <c r="AQ34" s="7">
        <f>+AP34*(1+$AN$42)</f>
        <v>785621.98120408761</v>
      </c>
      <c r="AR34" s="7">
        <f>+AQ34*(1+$AN$42)</f>
        <v>777765.7613920467</v>
      </c>
      <c r="AS34" s="7">
        <f>+AR34*(1+$AN$42)</f>
        <v>769988.10377812618</v>
      </c>
      <c r="AT34" s="7">
        <f>+AS34*(1+$AN$42)</f>
        <v>762288.22274034494</v>
      </c>
      <c r="AU34" s="7">
        <f>+AT34*(1+$AN$42)</f>
        <v>754665.34051294148</v>
      </c>
      <c r="AV34" s="7">
        <f>+AU34*(1+$AN$42)</f>
        <v>747118.68710781203</v>
      </c>
      <c r="AW34" s="7">
        <f>+AV34*(1+$AN$42)</f>
        <v>739647.50023673393</v>
      </c>
      <c r="AX34" s="7">
        <f>+AW34*(1+$AN$42)</f>
        <v>732251.02523436653</v>
      </c>
      <c r="AY34" s="7">
        <f>+AX34*(1+$AN$42)</f>
        <v>724928.51498202281</v>
      </c>
      <c r="AZ34" s="7">
        <f>+AY34*(1+$AN$42)</f>
        <v>717679.22983220255</v>
      </c>
      <c r="BA34" s="7">
        <f>+AZ34*(1+$AN$42)</f>
        <v>710502.43753388047</v>
      </c>
      <c r="BB34" s="7">
        <f>+BA34*(1+$AN$42)</f>
        <v>703397.41315854166</v>
      </c>
      <c r="BC34" s="7">
        <f>+BB34*(1+$AN$42)</f>
        <v>696363.43902695621</v>
      </c>
      <c r="BD34" s="7">
        <f>+BC34*(1+$AN$42)</f>
        <v>689399.80463668669</v>
      </c>
      <c r="BE34" s="7">
        <f>+BD34*(1+$AN$42)</f>
        <v>682505.80659031984</v>
      </c>
      <c r="BF34" s="7">
        <f>+BE34*(1+$AN$42)</f>
        <v>675680.74852441659</v>
      </c>
      <c r="BG34" s="7">
        <f>+BF34*(1+$AN$42)</f>
        <v>668923.94103917247</v>
      </c>
      <c r="BH34" s="7">
        <f>+BG34*(1+$AN$42)</f>
        <v>662234.70162878069</v>
      </c>
      <c r="BI34" s="7">
        <f>+BH34*(1+$AN$42)</f>
        <v>655612.35461249284</v>
      </c>
      <c r="BJ34" s="7">
        <f>+BI34*(1+$AN$42)</f>
        <v>649056.23106636794</v>
      </c>
      <c r="BK34" s="7">
        <f>+BJ34*(1+$AN$42)</f>
        <v>642565.6687557043</v>
      </c>
      <c r="BL34" s="7">
        <f>+BK34*(1+$AN$42)</f>
        <v>636140.01206814731</v>
      </c>
      <c r="BM34" s="7">
        <f>+BL34*(1+$AN$42)</f>
        <v>629778.6119474658</v>
      </c>
      <c r="BN34" s="7">
        <f>+BM34*(1+$AN$42)</f>
        <v>623480.82582799112</v>
      </c>
      <c r="BO34" s="7">
        <f>+BN34*(1+$AN$42)</f>
        <v>617246.0175697112</v>
      </c>
      <c r="BP34" s="7">
        <f>+BO34*(1+$AN$42)</f>
        <v>611073.55739401409</v>
      </c>
      <c r="BQ34" s="7">
        <f>+BP34*(1+$AN$42)</f>
        <v>604962.82182007399</v>
      </c>
      <c r="BR34" s="7">
        <f>+BQ34*(1+$AN$42)</f>
        <v>598913.19360187324</v>
      </c>
      <c r="BS34" s="7">
        <f>+BR34*(1+$AN$42)</f>
        <v>592924.06166585453</v>
      </c>
      <c r="BT34" s="7">
        <f>+BS34*(1+$AN$42)</f>
        <v>586994.82104919595</v>
      </c>
      <c r="BU34" s="7">
        <f>+BT34*(1+$AN$42)</f>
        <v>581124.87283870403</v>
      </c>
      <c r="BV34" s="7">
        <f>+BU34*(1+$AN$42)</f>
        <v>575313.62411031697</v>
      </c>
      <c r="BW34" s="7">
        <f>+BV34*(1+$AN$42)</f>
        <v>569560.4878692138</v>
      </c>
      <c r="BX34" s="7">
        <f>+BW34*(1+$AN$42)</f>
        <v>563864.88299052161</v>
      </c>
      <c r="BY34" s="7">
        <f>+BX34*(1+$AN$42)</f>
        <v>558226.23416061641</v>
      </c>
      <c r="BZ34" s="7">
        <f>+BY34*(1+$AN$42)</f>
        <v>552643.97181901021</v>
      </c>
      <c r="CA34" s="7">
        <f>+BZ34*(1+$AN$42)</f>
        <v>547117.5321008201</v>
      </c>
      <c r="CB34" s="7">
        <f>+CA34*(1+$AN$42)</f>
        <v>541646.3567798119</v>
      </c>
      <c r="CC34" s="7">
        <f>+CB34*(1+$AN$42)</f>
        <v>536229.89321201376</v>
      </c>
      <c r="CD34" s="7">
        <f>+CC34*(1+$AN$42)</f>
        <v>530867.59427989367</v>
      </c>
      <c r="CE34" s="7">
        <f>+CD34*(1+$AN$42)</f>
        <v>525558.91833709471</v>
      </c>
      <c r="CF34" s="7">
        <f>+CE34*(1+$AN$42)</f>
        <v>520303.32915372378</v>
      </c>
      <c r="CG34" s="7">
        <f>+CF34*(1+$AN$42)</f>
        <v>515100.29586218653</v>
      </c>
      <c r="CH34" s="7">
        <f>+CG34*(1+$AN$42)</f>
        <v>509949.29290356464</v>
      </c>
      <c r="CI34" s="7">
        <f>+CH34*(1+$AN$42)</f>
        <v>504849.79997452901</v>
      </c>
      <c r="CJ34" s="7">
        <f>+CI34*(1+$AN$42)</f>
        <v>499801.30197478371</v>
      </c>
      <c r="CK34" s="7">
        <f>+CJ34*(1+$AN$42)</f>
        <v>494803.28895503585</v>
      </c>
      <c r="CL34" s="7">
        <f>+CK34*(1+$AN$42)</f>
        <v>489855.25606548548</v>
      </c>
      <c r="CM34" s="7">
        <f>+CL34*(1+$AN$42)</f>
        <v>484956.7035048306</v>
      </c>
      <c r="CN34" s="7">
        <f>+CM34*(1+$AN$42)</f>
        <v>480107.13646978227</v>
      </c>
      <c r="CO34" s="7">
        <f>+CN34*(1+$AN$42)</f>
        <v>475306.06510508445</v>
      </c>
      <c r="CP34" s="7">
        <f>+CO34*(1+$AN$42)</f>
        <v>470553.00445403362</v>
      </c>
      <c r="CQ34" s="7">
        <f>+CP34*(1+$AN$42)</f>
        <v>465847.47440949327</v>
      </c>
      <c r="CR34" s="7">
        <f>+CQ34*(1+$AN$42)</f>
        <v>461188.99966539833</v>
      </c>
      <c r="CS34" s="7">
        <f>+CR34*(1+$AN$42)</f>
        <v>456577.10966874432</v>
      </c>
    </row>
    <row r="35" spans="1:97">
      <c r="B35" s="2" t="s">
        <v>1</v>
      </c>
      <c r="C35" s="4">
        <v>69852</v>
      </c>
      <c r="D35" s="4">
        <v>69361</v>
      </c>
      <c r="E35" s="4">
        <v>69898</v>
      </c>
      <c r="F35" s="4">
        <f>+F34/F36</f>
        <v>69058.300325463249</v>
      </c>
      <c r="G35" s="4">
        <v>70137</v>
      </c>
      <c r="H35" s="4">
        <v>70161</v>
      </c>
      <c r="I35" s="4">
        <v>70146</v>
      </c>
      <c r="J35" s="4">
        <f>+J34/J36</f>
        <v>69914.474855571039</v>
      </c>
      <c r="K35" s="4">
        <v>69373</v>
      </c>
      <c r="L35" s="4">
        <v>67890</v>
      </c>
      <c r="M35" s="4">
        <v>67159</v>
      </c>
      <c r="N35" s="4">
        <f>+M35</f>
        <v>67159</v>
      </c>
      <c r="O35" s="4">
        <v>67293</v>
      </c>
      <c r="P35" s="4">
        <v>67229</v>
      </c>
      <c r="Q35" s="4">
        <v>67014</v>
      </c>
      <c r="R35" s="4">
        <f>+Q35</f>
        <v>67014</v>
      </c>
      <c r="X35" s="4">
        <v>70916</v>
      </c>
      <c r="Y35" s="4">
        <v>69893</v>
      </c>
      <c r="Z35" s="4">
        <v>70098</v>
      </c>
      <c r="AA35" s="4">
        <v>67920</v>
      </c>
      <c r="AB35" s="4">
        <f t="shared" si="39"/>
        <v>268550</v>
      </c>
      <c r="AC35" s="4">
        <f t="shared" ref="AC35:AK35" si="63">+AB35</f>
        <v>268550</v>
      </c>
      <c r="AD35" s="4">
        <f t="shared" si="63"/>
        <v>268550</v>
      </c>
      <c r="AE35" s="4">
        <f t="shared" si="63"/>
        <v>268550</v>
      </c>
      <c r="AF35" s="4">
        <f t="shared" si="63"/>
        <v>268550</v>
      </c>
      <c r="AG35" s="4">
        <f t="shared" si="63"/>
        <v>268550</v>
      </c>
      <c r="AH35" s="4">
        <f t="shared" si="63"/>
        <v>268550</v>
      </c>
      <c r="AI35" s="4">
        <f t="shared" si="63"/>
        <v>268550</v>
      </c>
      <c r="AJ35" s="4">
        <f t="shared" si="63"/>
        <v>268550</v>
      </c>
      <c r="AK35" s="4">
        <f t="shared" si="63"/>
        <v>268550</v>
      </c>
    </row>
    <row r="36" spans="1:97" s="23" customFormat="1">
      <c r="A36" s="22"/>
      <c r="B36" s="22" t="s">
        <v>41</v>
      </c>
      <c r="C36" s="23">
        <f>+C34/C35</f>
        <v>0.23798889079768654</v>
      </c>
      <c r="D36" s="23">
        <f>+D34/D35</f>
        <v>-0.49008808984876229</v>
      </c>
      <c r="E36" s="23">
        <f>+E34/E35</f>
        <v>0.4284242753726859</v>
      </c>
      <c r="F36" s="23">
        <f t="shared" si="32"/>
        <v>0.303236539290826</v>
      </c>
      <c r="G36" s="23">
        <f>+G34/G35</f>
        <v>0.92182442933116615</v>
      </c>
      <c r="H36" s="23">
        <f>+H34/H35</f>
        <v>1.0760536480380838</v>
      </c>
      <c r="I36" s="23">
        <f>+I34/I35</f>
        <v>0.75036352749978619</v>
      </c>
      <c r="J36" s="23">
        <f t="shared" si="33"/>
        <v>0.76153042856986408</v>
      </c>
      <c r="K36" s="23">
        <f t="shared" ref="K36:Q36" si="64">+K34/K35</f>
        <v>1.0747120637712078</v>
      </c>
      <c r="L36" s="23">
        <f t="shared" si="64"/>
        <v>1.0727647665340994</v>
      </c>
      <c r="M36" s="23">
        <f t="shared" si="64"/>
        <v>0.93956133950773535</v>
      </c>
      <c r="N36" s="23">
        <f t="shared" si="64"/>
        <v>0.90727973912655047</v>
      </c>
      <c r="O36" s="23">
        <f t="shared" si="64"/>
        <v>1.2845615442913825</v>
      </c>
      <c r="P36" s="23">
        <f t="shared" si="64"/>
        <v>1.2249029436701424</v>
      </c>
      <c r="Q36" s="23">
        <f t="shared" si="64"/>
        <v>0.95183096069478024</v>
      </c>
      <c r="R36" s="23">
        <f>+R34/R35</f>
        <v>1.0409571269376383</v>
      </c>
      <c r="X36" s="23">
        <f>+X34/X35</f>
        <v>2.4473038524451463</v>
      </c>
      <c r="Y36" s="23">
        <f>+Y34/Y35</f>
        <v>0.47956161561243615</v>
      </c>
      <c r="Z36" s="23">
        <f>+Z34/Z35</f>
        <v>3.5097720334389</v>
      </c>
      <c r="AA36" s="23">
        <f>+AA34/AA35</f>
        <v>3.9961425206124854</v>
      </c>
      <c r="AB36" s="24">
        <f t="shared" si="39"/>
        <v>4.5022525755939435</v>
      </c>
      <c r="AC36" s="23">
        <f>+AC34/AC35</f>
        <v>1.3069878154427557</v>
      </c>
      <c r="AD36" s="23">
        <f t="shared" ref="AC36:AJ36" si="65">+AD34/AD35</f>
        <v>1.5568014931819156</v>
      </c>
      <c r="AE36" s="23">
        <f t="shared" si="65"/>
        <v>1.9747393026236826</v>
      </c>
      <c r="AF36" s="23">
        <f t="shared" si="65"/>
        <v>2.1476194464015363</v>
      </c>
      <c r="AG36" s="23">
        <f t="shared" si="65"/>
        <v>2.3266106073617423</v>
      </c>
      <c r="AH36" s="23">
        <f t="shared" si="65"/>
        <v>2.5118879584863065</v>
      </c>
      <c r="AI36" s="23">
        <f t="shared" si="65"/>
        <v>2.7036312294872293</v>
      </c>
      <c r="AJ36" s="23">
        <f t="shared" si="65"/>
        <v>2.90202481871744</v>
      </c>
      <c r="AK36" s="23">
        <f t="shared" ref="AK36" si="66">+AK34/AK35</f>
        <v>3.107257907720951</v>
      </c>
    </row>
    <row r="38" spans="1:97">
      <c r="B38" s="2" t="s">
        <v>134</v>
      </c>
      <c r="C38" s="4">
        <f>+C27+C24</f>
        <v>45439</v>
      </c>
      <c r="D38" s="4">
        <f>+D27+D24</f>
        <v>-18742</v>
      </c>
      <c r="E38" s="4">
        <f>+E27+E24</f>
        <v>65056</v>
      </c>
      <c r="F38" s="4">
        <f>+F27+F24</f>
        <v>52231</v>
      </c>
      <c r="G38" s="4">
        <f>+G27+G24</f>
        <v>112300</v>
      </c>
      <c r="H38" s="4">
        <f>+H27+H24</f>
        <v>121395</v>
      </c>
      <c r="I38" s="4">
        <f>+I27+I24</f>
        <v>93354</v>
      </c>
      <c r="J38" s="4">
        <f>+J27+J24</f>
        <v>97638</v>
      </c>
      <c r="K38" s="4">
        <f>+K27+K24</f>
        <v>123112</v>
      </c>
      <c r="L38" s="4">
        <f>+L27+L24</f>
        <v>120749</v>
      </c>
      <c r="M38" s="4">
        <f>+M27+M24</f>
        <v>109795</v>
      </c>
      <c r="N38" s="4">
        <f>+N27+N24</f>
        <v>105378</v>
      </c>
      <c r="O38" s="4">
        <f>+O27+O24</f>
        <v>137227</v>
      </c>
      <c r="P38" s="4">
        <f>+P27+P24</f>
        <v>132903</v>
      </c>
      <c r="Q38" s="4">
        <f>+Q27+Q24</f>
        <v>112981</v>
      </c>
      <c r="X38" s="4">
        <f>+X27+X24</f>
        <v>326668</v>
      </c>
      <c r="Y38" s="4">
        <f>+Y27+Y24</f>
        <v>143984</v>
      </c>
      <c r="Z38" s="4">
        <f>+Z27+Z24</f>
        <v>424687</v>
      </c>
      <c r="AA38" s="4">
        <f>+AA27+AA24</f>
        <v>459034</v>
      </c>
      <c r="AB38" s="4">
        <f>+AB27+AB24</f>
        <v>504647.81324301707</v>
      </c>
      <c r="AC38" s="4">
        <f>+AC27+AC24</f>
        <v>599052.90548293781</v>
      </c>
      <c r="AD38" s="4">
        <f>+AD27+AD24</f>
        <v>694328.50548862643</v>
      </c>
      <c r="AE38" s="4">
        <f>+AE27+AE24</f>
        <v>842536.86078072293</v>
      </c>
      <c r="AF38" s="4">
        <f>+AF27+AF24</f>
        <v>915156.36765354523</v>
      </c>
      <c r="AG38" s="4">
        <f>+AG27+AG24</f>
        <v>990343.64005696832</v>
      </c>
      <c r="AH38" s="4">
        <f>+AH27+AH24</f>
        <v>1068172.3408094693</v>
      </c>
      <c r="AI38" s="4">
        <f>+AI27+AI24</f>
        <v>1148718.0521360452</v>
      </c>
      <c r="AJ38" s="4">
        <f>+AJ27+AJ24</f>
        <v>1232058.3229793604</v>
      </c>
      <c r="AK38" s="4">
        <f>+AK27+AK24</f>
        <v>1318272.7174355562</v>
      </c>
    </row>
    <row r="41" spans="1:97">
      <c r="B41" s="6" t="s">
        <v>40</v>
      </c>
      <c r="AM41" s="2" t="s">
        <v>164</v>
      </c>
      <c r="AN41" s="10">
        <v>0.01</v>
      </c>
    </row>
    <row r="42" spans="1:97" s="10" customFormat="1">
      <c r="A42" s="9"/>
      <c r="B42" s="9" t="s">
        <v>37</v>
      </c>
      <c r="G42" s="10">
        <f>+G16/C16-1</f>
        <v>0.22744145540790517</v>
      </c>
      <c r="H42" s="10">
        <f>+H16/D16-1</f>
        <v>0.8864148470692681</v>
      </c>
      <c r="I42" s="10">
        <f>+I16/E16-1</f>
        <v>0.37726222764271777</v>
      </c>
      <c r="J42" s="10">
        <f>+J16/F16-1</f>
        <v>0.40443453095578108</v>
      </c>
      <c r="K42" s="10">
        <f>+K16/G16-1</f>
        <v>0.23404656803237556</v>
      </c>
      <c r="L42" s="10">
        <f>+L16/H16-1</f>
        <v>0.14075168862135889</v>
      </c>
      <c r="M42" s="10">
        <f>+M16/I16-1</f>
        <v>0.14400578610199632</v>
      </c>
      <c r="N42" s="10">
        <f>+N16/J16-1</f>
        <v>0.12790140509216563</v>
      </c>
      <c r="O42" s="10">
        <f>+O16/K16-1</f>
        <v>0.19023070994890778</v>
      </c>
      <c r="P42" s="10">
        <f>+P16/L16-1</f>
        <v>0.14373262007922927</v>
      </c>
      <c r="Q42" s="10">
        <f>+Q16/M16-1</f>
        <v>0.12991401207093412</v>
      </c>
      <c r="Y42" s="10">
        <f>+Y16/X16-1</f>
        <v>-0.12947223241216643</v>
      </c>
      <c r="Z42" s="10">
        <f>+Z16/Y16-1</f>
        <v>0.44492447410423686</v>
      </c>
      <c r="AA42" s="10">
        <f>+AA16/Z16-1</f>
        <v>0.15981008241509009</v>
      </c>
      <c r="AB42" s="10">
        <f>+AB16/AA16-1</f>
        <v>0.15416428503778112</v>
      </c>
      <c r="AC42" s="10">
        <f>+AC16/AB16-1</f>
        <v>0.18707124010554099</v>
      </c>
      <c r="AD42" s="10">
        <f>+AD16/AC16-1</f>
        <v>9.6063569682151462E-2</v>
      </c>
      <c r="AE42" s="10">
        <f>+AE16/AD16-1</f>
        <v>9.0784982935153469E-2</v>
      </c>
      <c r="AF42" s="10">
        <f>+AF16/AE16-1</f>
        <v>8.6191489361702178E-2</v>
      </c>
      <c r="AG42" s="10">
        <f>+AG16/AF16-1</f>
        <v>8.2157842157842165E-2</v>
      </c>
      <c r="AH42" s="10">
        <f>+AH16/AG16-1</f>
        <v>7.8587570621468927E-2</v>
      </c>
      <c r="AI42" s="10">
        <f>+AI16/AH16-1</f>
        <v>7.5405164737310848E-2</v>
      </c>
      <c r="AJ42" s="10">
        <f>+AJ16/AI16-1</f>
        <v>7.2550675675675969E-2</v>
      </c>
      <c r="AK42" s="10">
        <f>+AK16/AJ16-1</f>
        <v>6.9975903614457824E-2</v>
      </c>
      <c r="AM42" s="2" t="s">
        <v>128</v>
      </c>
      <c r="AN42" s="10">
        <v>-0.01</v>
      </c>
    </row>
    <row r="43" spans="1:97">
      <c r="B43" s="2" t="s">
        <v>38</v>
      </c>
      <c r="G43" s="10">
        <f>+G17/C17-1</f>
        <v>0.16496529195590037</v>
      </c>
      <c r="H43" s="10">
        <f>+H17/D17-1</f>
        <v>0.90224887556221889</v>
      </c>
      <c r="I43" s="10">
        <f>+I17/E17-1</f>
        <v>0.30067283431454994</v>
      </c>
      <c r="J43" s="10">
        <f>+J17/F17-1</f>
        <v>0.31813596933629218</v>
      </c>
      <c r="K43" s="10">
        <f>+K17/G17-1</f>
        <v>0.14160532772520162</v>
      </c>
      <c r="L43" s="10">
        <f>+L17/H17-1</f>
        <v>3.2313997477931844E-2</v>
      </c>
      <c r="M43" s="10">
        <f>+M17/I17-1</f>
        <v>1.8267054639508506E-2</v>
      </c>
      <c r="N43" s="10">
        <f>+N17/J17-1</f>
        <v>3.5506580961126355E-2</v>
      </c>
      <c r="O43" s="10">
        <f>+O17/K17-1</f>
        <v>3.9760515812097053E-2</v>
      </c>
      <c r="P43" s="10">
        <f>+P17/L17-1</f>
        <v>4.1074973278363069E-2</v>
      </c>
      <c r="Q43" s="10">
        <f>+Q17/M17-1</f>
        <v>3.6354976980473186E-2</v>
      </c>
      <c r="Y43" s="10">
        <f>+Y17/X17-1</f>
        <v>-0.1837532975529883</v>
      </c>
      <c r="Z43" s="10">
        <f>+Z17/Y17-1</f>
        <v>0.38025186671124489</v>
      </c>
      <c r="AA43" s="10">
        <f>+AA17/Z17-1</f>
        <v>5.4824384335890208E-2</v>
      </c>
      <c r="AB43" s="10">
        <f>+AB17/AA17-1</f>
        <v>6.8681419070163896E-2</v>
      </c>
      <c r="AC43" s="10">
        <f>+AC17/AB17-1</f>
        <v>0.18707124010554099</v>
      </c>
      <c r="AD43" s="10">
        <f>+AD17/AC17-1</f>
        <v>9.6063569682151462E-2</v>
      </c>
      <c r="AE43" s="10">
        <f>+AE17/AD17-1</f>
        <v>9.0784982935153691E-2</v>
      </c>
      <c r="AF43" s="10">
        <f>+AF17/AE17-1</f>
        <v>8.6191489361702178E-2</v>
      </c>
      <c r="AG43" s="10">
        <f>+AG17/AF17-1</f>
        <v>8.2157842157842165E-2</v>
      </c>
      <c r="AH43" s="10">
        <f>+AH17/AG17-1</f>
        <v>7.8587570621468927E-2</v>
      </c>
      <c r="AI43" s="10">
        <f>+AI17/AH17-1</f>
        <v>7.5405164737310626E-2</v>
      </c>
      <c r="AJ43" s="10">
        <f>+AJ17/AI17-1</f>
        <v>7.2550675675675969E-2</v>
      </c>
      <c r="AK43" s="10">
        <f>+AK17/AJ17-1</f>
        <v>6.9975903614457824E-2</v>
      </c>
      <c r="AM43" s="9" t="s">
        <v>129</v>
      </c>
      <c r="AN43" s="11">
        <v>0.08</v>
      </c>
    </row>
    <row r="44" spans="1:97" s="7" customFormat="1">
      <c r="A44" s="6"/>
      <c r="B44" s="6" t="s">
        <v>39</v>
      </c>
      <c r="G44" s="10">
        <f>+G18/C18-1</f>
        <v>0.22697249449828671</v>
      </c>
      <c r="H44" s="10">
        <f>+H18/D18-1</f>
        <v>0.88652568609959603</v>
      </c>
      <c r="I44" s="10">
        <f>+I18/E18-1</f>
        <v>0.37668512401276955</v>
      </c>
      <c r="J44" s="10">
        <f>+J18/F18-1</f>
        <v>0.40376401474006607</v>
      </c>
      <c r="K44" s="10">
        <f>+K18/G18-1</f>
        <v>0.23338774888244118</v>
      </c>
      <c r="L44" s="10">
        <f>+L18/H18-1</f>
        <v>0.13998629265188223</v>
      </c>
      <c r="M44" s="10">
        <f>+M18/I18-1</f>
        <v>0.14311065282763091</v>
      </c>
      <c r="N44" s="10">
        <f>+N18/J18-1</f>
        <v>0.12722731261989351</v>
      </c>
      <c r="O44" s="10">
        <f>+O18/K18-1</f>
        <v>0.18923812590760791</v>
      </c>
      <c r="P44" s="10">
        <f>+P18/L18-1</f>
        <v>0.14307646061022483</v>
      </c>
      <c r="Q44" s="10">
        <f>+Q18/M18-1</f>
        <v>0.12932070738086665</v>
      </c>
      <c r="Y44" s="12">
        <f>+Y18/X18-1</f>
        <v>-0.12990523419696154</v>
      </c>
      <c r="Z44" s="12">
        <f>+Z18/Y18-1</f>
        <v>0.44444050617920761</v>
      </c>
      <c r="AA44" s="12">
        <f>+AA18/Z18-1</f>
        <v>0.15905935023236495</v>
      </c>
      <c r="AB44" s="12">
        <f>+AB18/AA18-1</f>
        <v>0.15360798581430957</v>
      </c>
      <c r="AC44" s="12">
        <f>+AC18/AB18-1</f>
        <v>0.18707124010554099</v>
      </c>
      <c r="AD44" s="12">
        <f>+AD18/AC18-1</f>
        <v>9.6063569682151462E-2</v>
      </c>
      <c r="AE44" s="12">
        <f>+AE18/AD18-1</f>
        <v>9.0784982935153691E-2</v>
      </c>
      <c r="AF44" s="12">
        <f>+AF18/AE18-1</f>
        <v>8.6191489361701956E-2</v>
      </c>
      <c r="AG44" s="12">
        <f>+AG18/AF18-1</f>
        <v>8.2157842157842165E-2</v>
      </c>
      <c r="AH44" s="12">
        <f>+AH18/AG18-1</f>
        <v>7.8587570621468927E-2</v>
      </c>
      <c r="AI44" s="12">
        <f>+AI18/AH18-1</f>
        <v>7.5405164737310626E-2</v>
      </c>
      <c r="AJ44" s="12">
        <f>+AJ18/AI18-1</f>
        <v>7.2550675675675969E-2</v>
      </c>
      <c r="AK44" s="12">
        <f>+AK18/AJ18-1</f>
        <v>6.9975903614457824E-2</v>
      </c>
      <c r="AM44" s="2" t="s">
        <v>130</v>
      </c>
      <c r="AN44" s="4">
        <f>NPV(AN43,AB34:CS34)+(O!H7*1000)-(O!H10*1000)</f>
        <v>7946508.9332678355</v>
      </c>
    </row>
    <row r="45" spans="1:97">
      <c r="B45" s="2" t="s">
        <v>22</v>
      </c>
      <c r="G45" s="10">
        <f>+G19/C19-1</f>
        <v>0.19650775525739839</v>
      </c>
      <c r="H45" s="10">
        <f>+H19/D19-1</f>
        <v>0.80140330770965784</v>
      </c>
      <c r="I45" s="10">
        <f>+I19/E19-1</f>
        <v>0.48113338764480296</v>
      </c>
      <c r="J45" s="10">
        <f>+J19/F19-1</f>
        <v>0.51853820014918317</v>
      </c>
      <c r="K45" s="10">
        <f>+K19/G19-1</f>
        <v>0.34163081254324368</v>
      </c>
      <c r="L45" s="10">
        <f>+L19/H19-1</f>
        <v>0.17440373057555902</v>
      </c>
      <c r="M45" s="10">
        <f>+M19/I19-1</f>
        <v>0.14712708442333744</v>
      </c>
      <c r="N45" s="10">
        <f>+N19/J19-1</f>
        <v>0.12920655712441964</v>
      </c>
      <c r="O45" s="10">
        <f>+O19/K19-1</f>
        <v>0.21729658917118155</v>
      </c>
      <c r="P45" s="10">
        <f>+P19/L19-1</f>
        <v>0.15607089652231299</v>
      </c>
      <c r="Q45" s="10">
        <f>+Q19/M19-1</f>
        <v>0.12908733685737017</v>
      </c>
      <c r="Y45" s="10">
        <f t="shared" ref="Y45:AA45" si="67">+Y19/X19-1</f>
        <v>-0.11627348852162833</v>
      </c>
      <c r="Z45" s="10">
        <f t="shared" si="67"/>
        <v>0.48162931725775837</v>
      </c>
      <c r="AA45" s="10">
        <f t="shared" si="67"/>
        <v>0.19156029423461995</v>
      </c>
      <c r="AB45" s="10">
        <f t="shared" ref="AB45:AK45" si="68">+AB19/AA19-1</f>
        <v>0.16366638893005403</v>
      </c>
      <c r="AC45" s="10">
        <f t="shared" si="68"/>
        <v>0.18707124010554099</v>
      </c>
      <c r="AD45" s="10">
        <f t="shared" si="68"/>
        <v>7.6245842566120103E-2</v>
      </c>
      <c r="AE45" s="10">
        <f t="shared" si="68"/>
        <v>9.0784982935153691E-2</v>
      </c>
      <c r="AF45" s="10">
        <f t="shared" si="68"/>
        <v>8.6191489361701956E-2</v>
      </c>
      <c r="AG45" s="10">
        <f t="shared" si="68"/>
        <v>8.2157842157842165E-2</v>
      </c>
      <c r="AH45" s="10">
        <f t="shared" si="68"/>
        <v>7.8587570621469149E-2</v>
      </c>
      <c r="AI45" s="10">
        <f t="shared" si="68"/>
        <v>7.5405164737310626E-2</v>
      </c>
      <c r="AJ45" s="10">
        <f t="shared" si="68"/>
        <v>7.2550675675675746E-2</v>
      </c>
      <c r="AK45" s="10">
        <f t="shared" si="68"/>
        <v>6.9975903614457824E-2</v>
      </c>
      <c r="AM45" s="2" t="s">
        <v>1</v>
      </c>
      <c r="AN45" s="4">
        <f>+O!H7*1000</f>
        <v>66783.122000000003</v>
      </c>
    </row>
    <row r="46" spans="1:97">
      <c r="B46" s="2" t="s">
        <v>23</v>
      </c>
      <c r="G46" s="10">
        <f>+G20/C20-1</f>
        <v>7.0337939015841178E-2</v>
      </c>
      <c r="H46" s="10">
        <f>+H20/D20-1</f>
        <v>0.48054690631069463</v>
      </c>
      <c r="I46" s="10">
        <f>+I20/E20-1</f>
        <v>0.31903348291335876</v>
      </c>
      <c r="J46" s="10">
        <f>+J20/F20-1</f>
        <v>0.30270481354471523</v>
      </c>
      <c r="K46" s="10">
        <f>+K20/G20-1</f>
        <v>0.2473879613697314</v>
      </c>
      <c r="L46" s="10">
        <f>+L20/H20-1</f>
        <v>0.15580589074326645</v>
      </c>
      <c r="M46" s="10">
        <f>+M20/I20-1</f>
        <v>0.15222283865970199</v>
      </c>
      <c r="N46" s="10">
        <f>+N20/J20-1</f>
        <v>0.15367281472778194</v>
      </c>
      <c r="O46" s="10">
        <f>+O20/K20-1</f>
        <v>0.19867586703990114</v>
      </c>
      <c r="P46" s="10">
        <f>+P20/L20-1</f>
        <v>0.17503798319731456</v>
      </c>
      <c r="Q46" s="10">
        <f>+Q20/M20-1</f>
        <v>0.14715991508665471</v>
      </c>
      <c r="Y46" s="10">
        <f t="shared" ref="Y46:AA46" si="69">+Y20/X20-1</f>
        <v>-3.2961062881095016E-2</v>
      </c>
      <c r="Z46" s="10">
        <f t="shared" si="69"/>
        <v>0.28231235812387823</v>
      </c>
      <c r="AA46" s="10">
        <f t="shared" si="69"/>
        <v>0.17538332488871355</v>
      </c>
      <c r="AB46" s="10">
        <f t="shared" ref="AB46:AK46" si="70">+AB20/AA20-1</f>
        <v>0.16832405482731039</v>
      </c>
      <c r="AC46" s="10">
        <f t="shared" si="70"/>
        <v>0.18707124010554121</v>
      </c>
      <c r="AD46" s="10">
        <f t="shared" si="70"/>
        <v>9.6063569682151462E-2</v>
      </c>
      <c r="AE46" s="10">
        <f t="shared" si="70"/>
        <v>4.8335783768259644E-2</v>
      </c>
      <c r="AF46" s="10">
        <f t="shared" si="70"/>
        <v>8.6191489361701956E-2</v>
      </c>
      <c r="AG46" s="10">
        <f t="shared" si="70"/>
        <v>8.2157842157842165E-2</v>
      </c>
      <c r="AH46" s="10">
        <f t="shared" si="70"/>
        <v>7.8587570621468927E-2</v>
      </c>
      <c r="AI46" s="10">
        <f t="shared" si="70"/>
        <v>7.5405164737310626E-2</v>
      </c>
      <c r="AJ46" s="10">
        <f t="shared" si="70"/>
        <v>7.2550675675675969E-2</v>
      </c>
      <c r="AK46" s="10">
        <f t="shared" si="70"/>
        <v>6.9975903614457602E-2</v>
      </c>
      <c r="AM46" s="2" t="s">
        <v>131</v>
      </c>
      <c r="AN46" s="4">
        <f>+AN44/AN45</f>
        <v>118.98977908322158</v>
      </c>
    </row>
    <row r="47" spans="1:97">
      <c r="B47" s="2" t="s">
        <v>24</v>
      </c>
      <c r="G47" s="10">
        <f>+G21/C21-1</f>
        <v>7.2823101477247354E-2</v>
      </c>
      <c r="H47" s="10">
        <f>+H21/D21-1</f>
        <v>0.12866953437476414</v>
      </c>
      <c r="I47" s="10">
        <f>+I21/E21-1</f>
        <v>9.954091670917431E-2</v>
      </c>
      <c r="J47" s="10">
        <f>+J21/F21-1</f>
        <v>0.11120664946976211</v>
      </c>
      <c r="K47" s="10">
        <f>+K21/G21-1</f>
        <v>0.13257680597841137</v>
      </c>
      <c r="L47" s="10">
        <f>+L21/H21-1</f>
        <v>0.11754479807435136</v>
      </c>
      <c r="M47" s="10">
        <f>+M21/I21-1</f>
        <v>0.10696533898866734</v>
      </c>
      <c r="N47" s="10">
        <f>+N21/J21-1</f>
        <v>9.9368068093887096E-2</v>
      </c>
      <c r="O47" s="10">
        <f>+O21/K21-1</f>
        <v>8.9198435972629442E-2</v>
      </c>
      <c r="P47" s="10">
        <f>+P21/L21-1</f>
        <v>7.6702165848988813E-2</v>
      </c>
      <c r="Q47" s="10">
        <f>+Q21/M21-1</f>
        <v>8.8247620187990261E-2</v>
      </c>
      <c r="Y47" s="10">
        <f t="shared" ref="Y47:AA47" si="71">+Y21/X21-1</f>
        <v>3.5598027831185375E-2</v>
      </c>
      <c r="Z47" s="10">
        <f t="shared" si="71"/>
        <v>0.10301281226448045</v>
      </c>
      <c r="AA47" s="10">
        <f t="shared" si="71"/>
        <v>0.11380718273477219</v>
      </c>
      <c r="AB47" s="10">
        <f t="shared" ref="AB47:AK47" si="72">+AB21/AA21-1</f>
        <v>0.10219825306467389</v>
      </c>
      <c r="AC47" s="10">
        <f t="shared" si="72"/>
        <v>0.18707124010554121</v>
      </c>
      <c r="AD47" s="10">
        <f t="shared" si="72"/>
        <v>9.6063569682151462E-2</v>
      </c>
      <c r="AE47" s="10">
        <f t="shared" si="72"/>
        <v>9.0784982935153691E-2</v>
      </c>
      <c r="AF47" s="10">
        <f t="shared" si="72"/>
        <v>8.6191489361701956E-2</v>
      </c>
      <c r="AG47" s="10">
        <f t="shared" si="72"/>
        <v>8.2157842157842165E-2</v>
      </c>
      <c r="AH47" s="10">
        <f t="shared" si="72"/>
        <v>7.8587570621468927E-2</v>
      </c>
      <c r="AI47" s="10">
        <f t="shared" si="72"/>
        <v>7.5405164737310626E-2</v>
      </c>
      <c r="AJ47" s="10">
        <f t="shared" si="72"/>
        <v>7.2550675675675746E-2</v>
      </c>
      <c r="AK47" s="10">
        <f t="shared" si="72"/>
        <v>6.9975903614457824E-2</v>
      </c>
      <c r="AM47" s="2" t="s">
        <v>132</v>
      </c>
      <c r="AN47" s="4">
        <f>+O!H6</f>
        <v>118.2</v>
      </c>
    </row>
    <row r="48" spans="1:97">
      <c r="B48" s="2" t="s">
        <v>25</v>
      </c>
      <c r="G48" s="10">
        <f>+G22/C22-1</f>
        <v>0.18304902722242988</v>
      </c>
      <c r="H48" s="10">
        <f>+H22/D22-1</f>
        <v>0.51772843264538659</v>
      </c>
      <c r="I48" s="10">
        <f>+I22/E22-1</f>
        <v>0.2407407407407407</v>
      </c>
      <c r="J48" s="10">
        <f>+J22/F22-1</f>
        <v>0.22353446424736956</v>
      </c>
      <c r="K48" s="10">
        <f>+K22/G22-1</f>
        <v>0.16838359850541829</v>
      </c>
      <c r="L48" s="10">
        <f>+L22/H22-1</f>
        <v>0.12475849151217488</v>
      </c>
      <c r="M48" s="10">
        <f>+M22/I22-1</f>
        <v>0.14296895178016578</v>
      </c>
      <c r="N48" s="10">
        <f>+N22/J22-1</f>
        <v>0.17196728066293288</v>
      </c>
      <c r="O48" s="10">
        <f>+O22/K22-1</f>
        <v>0.16215297529031458</v>
      </c>
      <c r="P48" s="10">
        <f>+P22/L22-1</f>
        <v>0.1217382182476201</v>
      </c>
      <c r="Q48" s="10">
        <f>+Q22/M22-1</f>
        <v>0.15878961351995402</v>
      </c>
      <c r="Y48" s="10">
        <f t="shared" ref="Y48:AA48" si="73">+Y22/X22-1</f>
        <v>-3.5182388253737651E-2</v>
      </c>
      <c r="Z48" s="10">
        <f t="shared" si="73"/>
        <v>0.28257283405081668</v>
      </c>
      <c r="AA48" s="10">
        <f t="shared" si="73"/>
        <v>0.1515947996168463</v>
      </c>
      <c r="AB48" s="10">
        <f t="shared" ref="AB48:AK48" si="74">+AB22/AA22-1</f>
        <v>0.14872232099758653</v>
      </c>
      <c r="AC48" s="10">
        <f t="shared" si="74"/>
        <v>0.18707124010554099</v>
      </c>
      <c r="AD48" s="10">
        <f t="shared" si="74"/>
        <v>9.6063569682151462E-2</v>
      </c>
      <c r="AE48" s="10">
        <f t="shared" si="74"/>
        <v>9.0784982935153691E-2</v>
      </c>
      <c r="AF48" s="10">
        <f t="shared" si="74"/>
        <v>8.6191489361702178E-2</v>
      </c>
      <c r="AG48" s="10">
        <f t="shared" si="74"/>
        <v>8.2157842157842165E-2</v>
      </c>
      <c r="AH48" s="10">
        <f t="shared" si="74"/>
        <v>7.8587570621468927E-2</v>
      </c>
      <c r="AI48" s="10">
        <f t="shared" si="74"/>
        <v>7.5405164737310626E-2</v>
      </c>
      <c r="AJ48" s="10">
        <f t="shared" si="74"/>
        <v>7.2550675675675746E-2</v>
      </c>
      <c r="AK48" s="10">
        <f t="shared" si="74"/>
        <v>6.9975903614457824E-2</v>
      </c>
      <c r="AM48" s="6" t="s">
        <v>133</v>
      </c>
      <c r="AN48" s="12">
        <f>+AN46/AN47-1</f>
        <v>6.6817181321621177E-3</v>
      </c>
    </row>
    <row r="49" spans="1:37">
      <c r="B49" s="2" t="s">
        <v>26</v>
      </c>
      <c r="G49" s="10">
        <f>+G23/C23-1</f>
        <v>-0.16510172143974966</v>
      </c>
      <c r="H49" s="10">
        <f>+H23/D23-1</f>
        <v>0.47296037296037285</v>
      </c>
      <c r="I49" s="10">
        <f>+I23/E23-1</f>
        <v>0.37719656722517358</v>
      </c>
      <c r="J49" s="10">
        <f>+J23/F23-1</f>
        <v>0.20765121488885052</v>
      </c>
      <c r="K49" s="10">
        <f>+K23/G23-1</f>
        <v>5.3889409559513268E-3</v>
      </c>
      <c r="L49" s="10">
        <f>+L23/H23-1</f>
        <v>-0.15761987656274723</v>
      </c>
      <c r="M49" s="10">
        <f>+M23/I23-1</f>
        <v>-0.15415430267062313</v>
      </c>
      <c r="N49" s="10">
        <f>+N23/J23-1</f>
        <v>-6.2785388127853836E-2</v>
      </c>
      <c r="O49" s="10">
        <f>+O23/K23-1</f>
        <v>0.25308785830808667</v>
      </c>
      <c r="P49" s="10">
        <f>+P23/L23-1</f>
        <v>6.5376667292879942E-2</v>
      </c>
      <c r="Q49" s="10">
        <f>+Q23/M23-1</f>
        <v>0.51955797228556388</v>
      </c>
      <c r="Y49" s="10">
        <f t="shared" ref="Y49:AA49" si="75">+Y23/X23-1</f>
        <v>-2.8279420519944365E-3</v>
      </c>
      <c r="Z49" s="10">
        <f t="shared" si="75"/>
        <v>0.21075675406736649</v>
      </c>
      <c r="AA49" s="10">
        <f t="shared" si="75"/>
        <v>-0.10076022190260936</v>
      </c>
      <c r="AB49" s="10">
        <f t="shared" ref="AB49:AK49" si="76">+AB23/AA23-1</f>
        <v>0.24691068474451505</v>
      </c>
      <c r="AC49" s="10">
        <f t="shared" si="76"/>
        <v>0.18707124010554099</v>
      </c>
      <c r="AD49" s="10">
        <f t="shared" si="76"/>
        <v>9.6063569682151462E-2</v>
      </c>
      <c r="AE49" s="10">
        <f t="shared" si="76"/>
        <v>9.0784982935153691E-2</v>
      </c>
      <c r="AF49" s="10">
        <f t="shared" si="76"/>
        <v>8.6191489361702178E-2</v>
      </c>
      <c r="AG49" s="10">
        <f t="shared" si="76"/>
        <v>8.2157842157842165E-2</v>
      </c>
      <c r="AH49" s="10">
        <f t="shared" si="76"/>
        <v>7.8587570621468927E-2</v>
      </c>
      <c r="AI49" s="10">
        <f t="shared" si="76"/>
        <v>7.5405164737310626E-2</v>
      </c>
      <c r="AJ49" s="10">
        <f t="shared" si="76"/>
        <v>7.2550675675675746E-2</v>
      </c>
      <c r="AK49" s="10">
        <f t="shared" si="76"/>
        <v>6.9975903614457824E-2</v>
      </c>
    </row>
    <row r="50" spans="1:37">
      <c r="B50" s="2" t="s">
        <v>27</v>
      </c>
      <c r="G50" s="10">
        <f>+G24/C24-1</f>
        <v>6.2469883664899806E-2</v>
      </c>
      <c r="H50" s="10">
        <f>+H24/D24-1</f>
        <v>9.0777502067824756E-2</v>
      </c>
      <c r="I50" s="10">
        <f>+I24/E24-1</f>
        <v>7.7067157063070324E-2</v>
      </c>
      <c r="J50" s="10">
        <f>+J24/F24-1</f>
        <v>7.1346450744013357E-2</v>
      </c>
      <c r="K50" s="10">
        <f>+K24/G24-1</f>
        <v>8.9118533156240964E-2</v>
      </c>
      <c r="L50" s="10">
        <f>+L24/H24-1</f>
        <v>8.7519747235387024E-2</v>
      </c>
      <c r="M50" s="10">
        <f>+M24/I24-1</f>
        <v>6.6651911341575332E-2</v>
      </c>
      <c r="N50" s="10">
        <f>+N24/J24-1</f>
        <v>8.7291123716081609E-2</v>
      </c>
      <c r="O50" s="10">
        <f>+O24/K24-1</f>
        <v>7.7543129089827412E-2</v>
      </c>
      <c r="P50" s="10">
        <f>+P24/L24-1</f>
        <v>8.6955258570598382E-2</v>
      </c>
      <c r="Q50" s="10">
        <f>+Q24/M24-1</f>
        <v>0.15974507188380027</v>
      </c>
      <c r="Y50" s="10">
        <f t="shared" ref="Y50:AA50" si="77">+Y24/X24-1</f>
        <v>2.0191442221145106E-2</v>
      </c>
      <c r="Z50" s="10">
        <f t="shared" si="77"/>
        <v>7.5366695793072536E-2</v>
      </c>
      <c r="AA50" s="10">
        <f t="shared" si="77"/>
        <v>8.2643715338313939E-2</v>
      </c>
      <c r="AB50" s="10">
        <f t="shared" ref="AB50:AK50" si="78">+AB24/AA24-1</f>
        <v>0.11969653811719283</v>
      </c>
      <c r="AC50" s="10">
        <f t="shared" si="78"/>
        <v>0.18707124010554099</v>
      </c>
      <c r="AD50" s="10">
        <f t="shared" si="78"/>
        <v>9.6063569682151462E-2</v>
      </c>
      <c r="AE50" s="10">
        <f t="shared" si="78"/>
        <v>9.0784982935153691E-2</v>
      </c>
      <c r="AF50" s="10">
        <f t="shared" si="78"/>
        <v>8.6191489361701956E-2</v>
      </c>
      <c r="AG50" s="10">
        <f t="shared" si="78"/>
        <v>8.2157842157842165E-2</v>
      </c>
      <c r="AH50" s="10">
        <f t="shared" si="78"/>
        <v>7.8587570621468927E-2</v>
      </c>
      <c r="AI50" s="10">
        <f t="shared" si="78"/>
        <v>7.5405164737310848E-2</v>
      </c>
      <c r="AJ50" s="10">
        <f t="shared" si="78"/>
        <v>7.2550675675675746E-2</v>
      </c>
      <c r="AK50" s="10">
        <f t="shared" si="78"/>
        <v>6.9975903614457824E-2</v>
      </c>
    </row>
    <row r="51" spans="1:37">
      <c r="B51" s="2" t="s">
        <v>28</v>
      </c>
      <c r="G51" s="10">
        <f>+G25/C25-1</f>
        <v>0.11403774959033797</v>
      </c>
      <c r="H51" s="10">
        <f>+H25/D25-1</f>
        <v>0.24467330744555116</v>
      </c>
      <c r="I51" s="10">
        <f>+I25/E25-1</f>
        <v>0.58891757543061929</v>
      </c>
      <c r="J51" s="10">
        <f>+J25/F25-1</f>
        <v>0.37730368266468717</v>
      </c>
      <c r="K51" s="10">
        <f>+K25/G25-1</f>
        <v>9.7570276748746965E-2</v>
      </c>
      <c r="L51" s="10">
        <f>+L25/H25-1</f>
        <v>0.33509671468489732</v>
      </c>
      <c r="M51" s="10">
        <f>+M25/I25-1</f>
        <v>3.826938933889501E-2</v>
      </c>
      <c r="N51" s="10">
        <f>+N25/J25-1</f>
        <v>-5.3429569048344394E-2</v>
      </c>
      <c r="O51" s="10">
        <f>+O25/K25-1</f>
        <v>0.23752916066908214</v>
      </c>
      <c r="P51" s="10">
        <f>+P25/L25-1</f>
        <v>3.6311543697803428E-2</v>
      </c>
      <c r="Q51" s="10">
        <f>+Q25/M25-1</f>
        <v>0.11436045968420072</v>
      </c>
      <c r="Y51" s="10">
        <f t="shared" ref="Y51:AA51" si="79">+Y25/X25-1</f>
        <v>-0.20005489025296375</v>
      </c>
      <c r="Z51" s="10">
        <f t="shared" si="79"/>
        <v>0.31779118515853155</v>
      </c>
      <c r="AA51" s="10">
        <f t="shared" si="79"/>
        <v>9.6723393446786821E-2</v>
      </c>
      <c r="AB51" s="10">
        <f t="shared" ref="AB51:AK51" si="80">+AB25/AA25-1</f>
        <v>0.12997313675042199</v>
      </c>
      <c r="AC51" s="10">
        <f t="shared" si="80"/>
        <v>0.18707124010554099</v>
      </c>
      <c r="AD51" s="10">
        <f t="shared" si="80"/>
        <v>9.6063569682151462E-2</v>
      </c>
      <c r="AE51" s="10">
        <f t="shared" si="80"/>
        <v>9.0784982935153691E-2</v>
      </c>
      <c r="AF51" s="10">
        <f t="shared" si="80"/>
        <v>8.6191489361701956E-2</v>
      </c>
      <c r="AG51" s="10">
        <f t="shared" si="80"/>
        <v>8.2157842157842165E-2</v>
      </c>
      <c r="AH51" s="10">
        <f t="shared" si="80"/>
        <v>7.8587570621468927E-2</v>
      </c>
      <c r="AI51" s="10">
        <f t="shared" si="80"/>
        <v>7.5405164737310626E-2</v>
      </c>
      <c r="AJ51" s="10">
        <f t="shared" si="80"/>
        <v>7.2550675675675969E-2</v>
      </c>
      <c r="AK51" s="10">
        <f t="shared" si="80"/>
        <v>6.9975903614457824E-2</v>
      </c>
    </row>
    <row r="52" spans="1:37" s="7" customFormat="1">
      <c r="A52" s="6"/>
      <c r="B52" s="6" t="s">
        <v>42</v>
      </c>
      <c r="C52" s="12">
        <f>+C27/C18</f>
        <v>2.5110187518007001E-2</v>
      </c>
      <c r="D52" s="12">
        <f t="shared" ref="D52:Q52" si="81">+D27/D18</f>
        <v>-0.10024243060292806</v>
      </c>
      <c r="E52" s="12">
        <f t="shared" si="81"/>
        <v>5.654760490189089E-2</v>
      </c>
      <c r="F52" s="12">
        <f t="shared" si="81"/>
        <v>3.4151059030798334E-2</v>
      </c>
      <c r="G52" s="12">
        <f t="shared" si="81"/>
        <v>0.10170878147056876</v>
      </c>
      <c r="H52" s="12">
        <f t="shared" si="81"/>
        <v>9.9851132858916669E-2</v>
      </c>
      <c r="I52" s="12">
        <f t="shared" si="81"/>
        <v>7.1036880439798694E-2</v>
      </c>
      <c r="J52" s="12">
        <f t="shared" si="81"/>
        <v>7.2603859372522575E-2</v>
      </c>
      <c r="K52" s="12">
        <f t="shared" si="81"/>
        <v>9.0626094952232228E-2</v>
      </c>
      <c r="L52" s="12">
        <f t="shared" si="81"/>
        <v>8.4255801742328273E-2</v>
      </c>
      <c r="M52" s="12">
        <f t="shared" si="81"/>
        <v>7.6573193543126028E-2</v>
      </c>
      <c r="N52" s="12">
        <f t="shared" si="81"/>
        <v>6.9256059013658847E-2</v>
      </c>
      <c r="O52" s="12">
        <f t="shared" si="81"/>
        <v>8.6004584640432716E-2</v>
      </c>
      <c r="P52" s="12">
        <f t="shared" si="81"/>
        <v>8.1531553454012667E-2</v>
      </c>
      <c r="Q52" s="12">
        <f t="shared" si="81"/>
        <v>6.5840756245587259E-2</v>
      </c>
      <c r="Y52" s="12">
        <f t="shared" ref="Y52:AK52" si="82">+Y27/Y18</f>
        <v>1.0886430762725682E-2</v>
      </c>
      <c r="Z52" s="12">
        <f t="shared" si="82"/>
        <v>8.6007691805819145E-2</v>
      </c>
      <c r="AA52" s="12">
        <f t="shared" si="82"/>
        <v>8.0150309383576604E-2</v>
      </c>
      <c r="AB52" s="12">
        <f t="shared" si="82"/>
        <v>7.5779598768133366E-2</v>
      </c>
      <c r="AC52" s="12">
        <f t="shared" si="82"/>
        <v>7.5779598768133366E-2</v>
      </c>
      <c r="AD52" s="12">
        <f t="shared" si="82"/>
        <v>8.204027542114134E-2</v>
      </c>
      <c r="AE52" s="12">
        <f t="shared" si="82"/>
        <v>9.4997711334069326E-2</v>
      </c>
      <c r="AF52" s="12">
        <f t="shared" si="82"/>
        <v>9.499771133406916E-2</v>
      </c>
      <c r="AG52" s="12">
        <f t="shared" si="82"/>
        <v>9.4997711334069021E-2</v>
      </c>
      <c r="AH52" s="12">
        <f t="shared" si="82"/>
        <v>9.4997711334069188E-2</v>
      </c>
      <c r="AI52" s="12">
        <f t="shared" si="82"/>
        <v>9.499771133406909E-2</v>
      </c>
      <c r="AJ52" s="12">
        <f t="shared" si="82"/>
        <v>9.4997711334068966E-2</v>
      </c>
      <c r="AK52" s="12">
        <f t="shared" si="82"/>
        <v>9.4997711334069132E-2</v>
      </c>
    </row>
    <row r="53" spans="1:37" s="7" customFormat="1">
      <c r="A53" s="6"/>
      <c r="B53" s="6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Y53" s="12"/>
      <c r="Z53" s="12"/>
    </row>
    <row r="54" spans="1:37" s="7" customFormat="1">
      <c r="A54" s="6"/>
      <c r="B54" s="6" t="s">
        <v>127</v>
      </c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Y54" s="12"/>
      <c r="Z54" s="12"/>
    </row>
    <row r="55" spans="1:37" s="7" customFormat="1">
      <c r="A55" s="6"/>
      <c r="B55" s="2" t="s">
        <v>22</v>
      </c>
      <c r="C55" s="10">
        <f>+C19/C$18</f>
        <v>0.32210309505857254</v>
      </c>
      <c r="D55" s="10">
        <f>+D19/D$18</f>
        <v>0.34431652411187491</v>
      </c>
      <c r="E55" s="10">
        <f>+E19/E$18</f>
        <v>0.3189366033730206</v>
      </c>
      <c r="F55" s="10">
        <f>+F19/F$18</f>
        <v>0.32150554319902069</v>
      </c>
      <c r="G55" s="10">
        <f>+G19/G$18</f>
        <v>0.31410553452348089</v>
      </c>
      <c r="H55" s="10">
        <f>+H19/H$18</f>
        <v>0.32878053556567288</v>
      </c>
      <c r="I55" s="10">
        <f>+I19/I$18</f>
        <v>0.34313412962645423</v>
      </c>
      <c r="J55" s="10">
        <f>+J19/J$18</f>
        <v>0.34779239514686472</v>
      </c>
      <c r="K55" s="10">
        <f>+K19/K$18</f>
        <v>0.34167167939596105</v>
      </c>
      <c r="L55" s="10">
        <f>+L19/L$18</f>
        <v>0.33870678094799367</v>
      </c>
      <c r="M55" s="10">
        <f>+M19/M$18</f>
        <v>0.34433976510573866</v>
      </c>
      <c r="N55" s="10">
        <f>+N19/N$18</f>
        <v>0.34840306717290936</v>
      </c>
      <c r="O55" s="10">
        <f>+O19/O$18</f>
        <v>0.34973296002234416</v>
      </c>
      <c r="P55" s="10">
        <f>+P19/P$18</f>
        <v>0.3425571826574898</v>
      </c>
      <c r="Q55" s="10">
        <f>+Q19/Q$18</f>
        <v>0.34426860839115953</v>
      </c>
      <c r="X55" s="10">
        <f>+X19/X$18</f>
        <v>0.32050245214089296</v>
      </c>
      <c r="Y55" s="10">
        <f>+Y19/Y$18</f>
        <v>0.32552375336878048</v>
      </c>
      <c r="Z55" s="10">
        <f>+Z19/Z$18</f>
        <v>0.33390474331874687</v>
      </c>
      <c r="AA55" s="10">
        <f>+AA19/AA$18</f>
        <v>0.34326769730597306</v>
      </c>
      <c r="AB55" s="10">
        <f>+AB19/AB$18</f>
        <v>0.34626067665300808</v>
      </c>
      <c r="AC55" s="10">
        <f>+AC19/AC$18</f>
        <v>0.34626067665300808</v>
      </c>
      <c r="AD55" s="25">
        <f>+AD19/AD$18</f>
        <v>0.34</v>
      </c>
      <c r="AE55" s="25">
        <f t="shared" ref="AE55:AK55" si="83">+AE19/AE$18</f>
        <v>0.34</v>
      </c>
      <c r="AF55" s="25">
        <f t="shared" si="83"/>
        <v>0.34</v>
      </c>
      <c r="AG55" s="25">
        <f t="shared" si="83"/>
        <v>0.34</v>
      </c>
      <c r="AH55" s="25">
        <f t="shared" si="83"/>
        <v>0.34</v>
      </c>
      <c r="AI55" s="25">
        <f t="shared" si="83"/>
        <v>0.34</v>
      </c>
      <c r="AJ55" s="25">
        <f t="shared" si="83"/>
        <v>0.34</v>
      </c>
      <c r="AK55" s="25">
        <f t="shared" si="83"/>
        <v>0.34</v>
      </c>
    </row>
    <row r="56" spans="1:37" s="7" customFormat="1">
      <c r="A56" s="6"/>
      <c r="B56" s="2" t="s">
        <v>23</v>
      </c>
      <c r="C56" s="10">
        <f>+C20/C$18</f>
        <v>0.36945614260931398</v>
      </c>
      <c r="D56" s="10">
        <f>+D20/D$18</f>
        <v>0.40850501128194366</v>
      </c>
      <c r="E56" s="10">
        <f>+E20/E$18</f>
        <v>0.34423346562418311</v>
      </c>
      <c r="F56" s="10">
        <f>+F20/F$18</f>
        <v>0.34920351291323204</v>
      </c>
      <c r="G56" s="10">
        <f>+G20/G$18</f>
        <v>0.32229159823089099</v>
      </c>
      <c r="H56" s="10">
        <f>+H20/H$18</f>
        <v>0.32059506802494026</v>
      </c>
      <c r="I56" s="10">
        <f>+I20/I$18</f>
        <v>0.32981795123500623</v>
      </c>
      <c r="J56" s="10">
        <f>+J20/J$18</f>
        <v>0.32406379733492929</v>
      </c>
      <c r="K56" s="10">
        <f>+K20/K$18</f>
        <v>0.32594993751810153</v>
      </c>
      <c r="L56" s="10">
        <f>+L20/L$18</f>
        <v>0.32504396812042874</v>
      </c>
      <c r="M56" s="10">
        <f>+M20/M$18</f>
        <v>0.33244706019744324</v>
      </c>
      <c r="N56" s="10">
        <f>+N20/N$18</f>
        <v>0.33166654945028823</v>
      </c>
      <c r="O56" s="10">
        <f>+O20/O$18</f>
        <v>0.32853666179591196</v>
      </c>
      <c r="P56" s="10">
        <f>+P20/P$18</f>
        <v>0.33413251161412666</v>
      </c>
      <c r="Q56" s="10">
        <f>+Q20/Q$18</f>
        <v>0.33769852873005796</v>
      </c>
      <c r="X56" s="10">
        <f>+X20/X$18</f>
        <v>0.32857780907732959</v>
      </c>
      <c r="Y56" s="10">
        <f>+Y20/Y$18</f>
        <v>0.3651872735468531</v>
      </c>
      <c r="Z56" s="10">
        <f>+Z20/Z$18</f>
        <v>0.32419760585182333</v>
      </c>
      <c r="AA56" s="10">
        <f>+AA20/AA$18</f>
        <v>0.32876354417112774</v>
      </c>
      <c r="AB56" s="10">
        <f>+AB20/AB$18</f>
        <v>0.3329574359129277</v>
      </c>
      <c r="AC56" s="10">
        <f>+AC20/AC$18</f>
        <v>0.3329574359129277</v>
      </c>
      <c r="AD56" s="10">
        <f>+AD20/AD$18</f>
        <v>0.3329574359129277</v>
      </c>
      <c r="AE56" s="25">
        <f>+AE20/AE$18</f>
        <v>0.32</v>
      </c>
      <c r="AF56" s="25">
        <f t="shared" ref="AF56:AK56" si="84">+AF20/AF$18</f>
        <v>0.32</v>
      </c>
      <c r="AG56" s="25">
        <f t="shared" si="84"/>
        <v>0.32</v>
      </c>
      <c r="AH56" s="25">
        <f t="shared" si="84"/>
        <v>0.32</v>
      </c>
      <c r="AI56" s="25">
        <f t="shared" si="84"/>
        <v>0.32</v>
      </c>
      <c r="AJ56" s="25">
        <f t="shared" si="84"/>
        <v>0.32</v>
      </c>
      <c r="AK56" s="25">
        <f t="shared" si="84"/>
        <v>0.32</v>
      </c>
    </row>
    <row r="57" spans="1:37" s="7" customFormat="1">
      <c r="A57" s="6"/>
      <c r="B57" s="2" t="s">
        <v>24</v>
      </c>
      <c r="C57" s="10">
        <f>+C21/C$18</f>
        <v>2.0644451391826201E-2</v>
      </c>
      <c r="D57" s="10">
        <f>+D21/D$18</f>
        <v>2.7813401899564466E-2</v>
      </c>
      <c r="E57" s="10">
        <f>+E21/E$18</f>
        <v>2.1741644684205107E-2</v>
      </c>
      <c r="F57" s="10">
        <f>+F21/F$18</f>
        <v>2.1874985305389279E-2</v>
      </c>
      <c r="G57" s="10">
        <f>+G21/G$18</f>
        <v>1.8050807552561797E-2</v>
      </c>
      <c r="H57" s="10">
        <f>+H21/H$18</f>
        <v>1.6640186562348409E-2</v>
      </c>
      <c r="I57" s="10">
        <f>+I21/I$18</f>
        <v>1.7364775365012436E-2</v>
      </c>
      <c r="J57" s="10">
        <f>+J21/J$18</f>
        <v>1.7316036650863235E-2</v>
      </c>
      <c r="K57" s="10">
        <f>+K21/K$18</f>
        <v>1.6575424866782922E-2</v>
      </c>
      <c r="L57" s="10">
        <f>+L21/L$18</f>
        <v>1.6312611872270903E-2</v>
      </c>
      <c r="M57" s="10">
        <f>+M21/M$18</f>
        <v>1.6815698813447726E-2</v>
      </c>
      <c r="N57" s="10">
        <f>+N21/N$18</f>
        <v>1.6888073547169025E-2</v>
      </c>
      <c r="O57" s="10">
        <f>+O21/O$18</f>
        <v>1.5181086484847865E-2</v>
      </c>
      <c r="P57" s="10">
        <f>+P21/P$18</f>
        <v>1.5365397800381318E-2</v>
      </c>
      <c r="Q57" s="10">
        <f>+Q21/Q$18</f>
        <v>1.6204116417889158E-2</v>
      </c>
      <c r="X57" s="26">
        <f>+X21/X$18</f>
        <v>1.9059467818122514E-2</v>
      </c>
      <c r="Y57" s="26">
        <f>+Y21/Y$18</f>
        <v>2.2684824756695133E-2</v>
      </c>
      <c r="Z57" s="26">
        <f>+Z21/Z$18</f>
        <v>1.7322729626847531E-2</v>
      </c>
      <c r="AA57" s="26">
        <f>+AA21/AA$18</f>
        <v>1.6646413040960477E-2</v>
      </c>
      <c r="AB57" s="10">
        <f>+AB21/AB$18</f>
        <v>1.5904577290688914E-2</v>
      </c>
      <c r="AC57" s="10">
        <f>+AC21/AC$18</f>
        <v>1.5904577290688914E-2</v>
      </c>
      <c r="AD57" s="10">
        <f>+AD21/AD$18</f>
        <v>1.5904577290688914E-2</v>
      </c>
      <c r="AE57" s="25">
        <f>+AE21/AE$18</f>
        <v>1.5904577290688914E-2</v>
      </c>
      <c r="AF57" s="25">
        <f>+AF21/AF$18</f>
        <v>1.5904577290688914E-2</v>
      </c>
      <c r="AG57" s="25">
        <f>+AG21/AG$18</f>
        <v>1.5904577290688914E-2</v>
      </c>
      <c r="AH57" s="25">
        <f>+AH21/AH$18</f>
        <v>1.5904577290688914E-2</v>
      </c>
      <c r="AI57" s="25">
        <f>+AI21/AI$18</f>
        <v>1.5904577290688914E-2</v>
      </c>
      <c r="AJ57" s="25">
        <f>+AJ21/AJ$18</f>
        <v>1.5904577290688914E-2</v>
      </c>
      <c r="AK57" s="25">
        <f>+AK21/AK$18</f>
        <v>1.5904577290688914E-2</v>
      </c>
    </row>
    <row r="58" spans="1:37" s="7" customFormat="1">
      <c r="A58" s="6"/>
      <c r="B58" s="2" t="s">
        <v>25</v>
      </c>
      <c r="C58" s="10">
        <f>+C22/C$18</f>
        <v>0.15982400647332512</v>
      </c>
      <c r="D58" s="10">
        <f>+D22/D$18</f>
        <v>0.18753843731962008</v>
      </c>
      <c r="E58" s="10">
        <f>+E22/E$18</f>
        <v>0.1631502649777799</v>
      </c>
      <c r="F58" s="10">
        <f>+F22/F$18</f>
        <v>0.16788847456617589</v>
      </c>
      <c r="G58" s="10">
        <f>+G22/G$18</f>
        <v>0.15410258684109618</v>
      </c>
      <c r="H58" s="10">
        <f>+H22/H$18</f>
        <v>0.15087651370512289</v>
      </c>
      <c r="I58" s="10">
        <f>+I22/I$18</f>
        <v>0.14703956416013478</v>
      </c>
      <c r="J58" s="10">
        <f>+J22/J$18</f>
        <v>0.14633323879560423</v>
      </c>
      <c r="K58" s="10">
        <f>+K22/K$18</f>
        <v>0.14598080377848394</v>
      </c>
      <c r="L58" s="10">
        <f>+L22/L$18</f>
        <v>0.14886112320247979</v>
      </c>
      <c r="M58" s="10">
        <f>+M22/M$18</f>
        <v>0.14702133700057787</v>
      </c>
      <c r="N58" s="10">
        <f>+N22/N$18</f>
        <v>0.15214124606623486</v>
      </c>
      <c r="O58" s="10">
        <f>+O22/O$18</f>
        <v>0.14265606000224804</v>
      </c>
      <c r="P58" s="10">
        <f>+P22/P$18</f>
        <v>0.14608227608706603</v>
      </c>
      <c r="Q58" s="10">
        <f>+Q22/Q$18</f>
        <v>0.1508577653527696</v>
      </c>
      <c r="X58" s="10">
        <f>+X22/X$18</f>
        <v>0.15182266070620642</v>
      </c>
      <c r="Y58" s="10">
        <f>+Y22/Y$18</f>
        <v>0.16835083104578039</v>
      </c>
      <c r="Z58" s="10">
        <f>+Z22/Z$18</f>
        <v>0.14948500929287004</v>
      </c>
      <c r="AA58" s="10">
        <f>+AA22/AA$18</f>
        <v>0.14852229895547084</v>
      </c>
      <c r="AB58" s="10">
        <f>+AB22/AB$18</f>
        <v>0.14789328963910991</v>
      </c>
      <c r="AC58" s="10">
        <f>+AC22/AC$18</f>
        <v>0.14789328963910991</v>
      </c>
      <c r="AD58" s="10">
        <f>+AD22/AD$18</f>
        <v>0.14789328963910991</v>
      </c>
      <c r="AE58" s="10">
        <f>+AE22/AE$18</f>
        <v>0.14789328963910991</v>
      </c>
      <c r="AF58" s="10">
        <f>+AF22/AF$18</f>
        <v>0.14789328963910991</v>
      </c>
      <c r="AG58" s="10">
        <f>+AG22/AG$18</f>
        <v>0.14789328963910994</v>
      </c>
      <c r="AH58" s="10">
        <f>+AH22/AH$18</f>
        <v>0.14789328963910994</v>
      </c>
      <c r="AI58" s="10">
        <f>+AI22/AI$18</f>
        <v>0.14789328963910994</v>
      </c>
      <c r="AJ58" s="10">
        <f>+AJ22/AJ$18</f>
        <v>0.14789328963910994</v>
      </c>
      <c r="AK58" s="10">
        <f>+AK22/AK$18</f>
        <v>0.14789328963910994</v>
      </c>
    </row>
    <row r="59" spans="1:37" s="7" customFormat="1">
      <c r="A59" s="6"/>
      <c r="B59" s="2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</row>
    <row r="60" spans="1:37" s="7" customFormat="1">
      <c r="A60" s="6"/>
      <c r="B60" s="6" t="s">
        <v>126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</row>
    <row r="61" spans="1:37" s="7" customFormat="1">
      <c r="A61" s="6"/>
      <c r="B61" s="2" t="s">
        <v>22</v>
      </c>
      <c r="C61" s="12"/>
      <c r="D61" s="12"/>
      <c r="E61" s="12"/>
      <c r="F61" s="12"/>
      <c r="G61" s="10">
        <f>+G19/C19-1</f>
        <v>0.19650775525739839</v>
      </c>
      <c r="H61" s="10">
        <f>+H19/D19-1</f>
        <v>0.80140330770965784</v>
      </c>
      <c r="I61" s="10">
        <f>+I19/E19-1</f>
        <v>0.48113338764480296</v>
      </c>
      <c r="J61" s="10">
        <f>+J19/F19-1</f>
        <v>0.51853820014918317</v>
      </c>
      <c r="K61" s="10">
        <f>+K19/G19-1</f>
        <v>0.34163081254324368</v>
      </c>
      <c r="L61" s="10">
        <f>+L19/H19-1</f>
        <v>0.17440373057555902</v>
      </c>
      <c r="M61" s="10">
        <f>+M19/I19-1</f>
        <v>0.14712708442333744</v>
      </c>
      <c r="N61" s="10">
        <f>+N19/J19-1</f>
        <v>0.12920655712441964</v>
      </c>
      <c r="O61" s="10">
        <f>+O19/K19-1</f>
        <v>0.21729658917118155</v>
      </c>
      <c r="P61" s="10">
        <f>+P19/L19-1</f>
        <v>0.15607089652231299</v>
      </c>
      <c r="Q61" s="10">
        <f>+Q19/M19-1</f>
        <v>0.12908733685737017</v>
      </c>
      <c r="X61" s="10"/>
      <c r="Y61" s="10">
        <f>+Y19/X19-1</f>
        <v>-0.11627348852162833</v>
      </c>
      <c r="Z61" s="10">
        <f>+Z19/Y19-1</f>
        <v>0.48162931725775837</v>
      </c>
      <c r="AA61" s="10"/>
      <c r="AB61" s="10"/>
      <c r="AC61" s="10"/>
      <c r="AD61" s="10"/>
      <c r="AE61" s="10"/>
      <c r="AF61" s="10"/>
      <c r="AG61" s="10"/>
      <c r="AH61" s="10"/>
      <c r="AI61" s="10"/>
      <c r="AJ61" s="10"/>
    </row>
    <row r="62" spans="1:37" s="7" customFormat="1">
      <c r="A62" s="6"/>
      <c r="B62" s="2" t="s">
        <v>23</v>
      </c>
      <c r="C62" s="12"/>
      <c r="D62" s="12"/>
      <c r="E62" s="12"/>
      <c r="F62" s="12"/>
      <c r="G62" s="10">
        <f>+G20/C20-1</f>
        <v>7.0337939015841178E-2</v>
      </c>
      <c r="H62" s="10">
        <f>+H20/D20-1</f>
        <v>0.48054690631069463</v>
      </c>
      <c r="I62" s="10">
        <f>+I20/E20-1</f>
        <v>0.31903348291335876</v>
      </c>
      <c r="J62" s="10">
        <f>+J20/F20-1</f>
        <v>0.30270481354471523</v>
      </c>
      <c r="K62" s="10">
        <f>+K20/G20-1</f>
        <v>0.2473879613697314</v>
      </c>
      <c r="L62" s="10">
        <f>+L20/H20-1</f>
        <v>0.15580589074326645</v>
      </c>
      <c r="M62" s="10">
        <f>+M20/I20-1</f>
        <v>0.15222283865970199</v>
      </c>
      <c r="N62" s="10">
        <f>+N20/J20-1</f>
        <v>0.15367281472778194</v>
      </c>
      <c r="O62" s="10">
        <f>+O20/K20-1</f>
        <v>0.19867586703990114</v>
      </c>
      <c r="P62" s="10">
        <f>+P20/L20-1</f>
        <v>0.17503798319731456</v>
      </c>
      <c r="Q62" s="10">
        <f>+Q20/M20-1</f>
        <v>0.14715991508665471</v>
      </c>
      <c r="X62" s="10"/>
      <c r="Y62" s="10">
        <f>+Y20/X20-1</f>
        <v>-3.2961062881095016E-2</v>
      </c>
      <c r="Z62" s="10">
        <f>+Z20/Y20-1</f>
        <v>0.28231235812387823</v>
      </c>
      <c r="AA62" s="10"/>
      <c r="AB62" s="10"/>
      <c r="AC62" s="10"/>
      <c r="AD62" s="10"/>
      <c r="AE62" s="10"/>
      <c r="AF62" s="10"/>
      <c r="AG62" s="10"/>
      <c r="AH62" s="10"/>
      <c r="AI62" s="10"/>
      <c r="AJ62" s="10"/>
    </row>
    <row r="63" spans="1:37" s="7" customFormat="1">
      <c r="A63" s="6"/>
      <c r="B63" s="2" t="s">
        <v>24</v>
      </c>
      <c r="C63" s="12"/>
      <c r="D63" s="12"/>
      <c r="E63" s="12"/>
      <c r="F63" s="12"/>
      <c r="G63" s="10">
        <f>+G21/C21-1</f>
        <v>7.2823101477247354E-2</v>
      </c>
      <c r="H63" s="10">
        <f>+H21/D21-1</f>
        <v>0.12866953437476414</v>
      </c>
      <c r="I63" s="10">
        <f>+I21/E21-1</f>
        <v>9.954091670917431E-2</v>
      </c>
      <c r="J63" s="10">
        <f>+J21/F21-1</f>
        <v>0.11120664946976211</v>
      </c>
      <c r="K63" s="10">
        <f>+K21/G21-1</f>
        <v>0.13257680597841137</v>
      </c>
      <c r="L63" s="10">
        <f>+L21/H21-1</f>
        <v>0.11754479807435136</v>
      </c>
      <c r="M63" s="10">
        <f>+M21/I21-1</f>
        <v>0.10696533898866734</v>
      </c>
      <c r="N63" s="10">
        <f>+N21/J21-1</f>
        <v>9.9368068093887096E-2</v>
      </c>
      <c r="O63" s="10">
        <f>+O21/K21-1</f>
        <v>8.9198435972629442E-2</v>
      </c>
      <c r="P63" s="10">
        <f>+P21/L21-1</f>
        <v>7.6702165848988813E-2</v>
      </c>
      <c r="Q63" s="10">
        <f>+Q21/M21-1</f>
        <v>8.8247620187990261E-2</v>
      </c>
      <c r="X63" s="10"/>
      <c r="Y63" s="10">
        <f>+Y21/X21-1</f>
        <v>3.5598027831185375E-2</v>
      </c>
      <c r="Z63" s="10">
        <f>+Z21/Y21-1</f>
        <v>0.10301281226448045</v>
      </c>
      <c r="AA63" s="10"/>
      <c r="AB63" s="10"/>
      <c r="AC63" s="10"/>
      <c r="AD63" s="10"/>
      <c r="AE63" s="10"/>
      <c r="AF63" s="10"/>
      <c r="AG63" s="10"/>
      <c r="AH63" s="10"/>
      <c r="AI63" s="10"/>
      <c r="AJ63" s="10"/>
    </row>
    <row r="65" spans="1:37">
      <c r="B65" s="2" t="s">
        <v>42</v>
      </c>
      <c r="C65" s="10">
        <f>IFERROR((C27/C18),0)</f>
        <v>2.5110187518007001E-2</v>
      </c>
      <c r="D65" s="10">
        <f>IFERROR((D27/D18),0)</f>
        <v>-0.10024243060292806</v>
      </c>
      <c r="E65" s="10">
        <f>IFERROR((E27/E18),0)</f>
        <v>5.654760490189089E-2</v>
      </c>
      <c r="F65" s="10">
        <f>IFERROR((F27/F18),0)</f>
        <v>3.4151059030798334E-2</v>
      </c>
      <c r="G65" s="10">
        <f>IFERROR((G27/G18),0)</f>
        <v>0.10170878147056876</v>
      </c>
      <c r="H65" s="10">
        <f>IFERROR((H27/H18),0)</f>
        <v>9.9851132858916669E-2</v>
      </c>
      <c r="I65" s="10">
        <f>IFERROR((I27/I18),0)</f>
        <v>7.1036880439798694E-2</v>
      </c>
      <c r="J65" s="10">
        <f>IFERROR((J27/J18),0)</f>
        <v>7.2603859372522575E-2</v>
      </c>
      <c r="K65" s="10">
        <f>IFERROR((K27/K18),0)</f>
        <v>9.0626094952232228E-2</v>
      </c>
      <c r="L65" s="10">
        <f>IFERROR((L27/L18),0)</f>
        <v>8.4255801742328273E-2</v>
      </c>
      <c r="M65" s="10">
        <f>IFERROR((M27/M18),0)</f>
        <v>7.6573193543126028E-2</v>
      </c>
      <c r="N65" s="10">
        <f>IFERROR((N27/N18),0)</f>
        <v>6.9256059013658847E-2</v>
      </c>
      <c r="O65" s="10">
        <f>IFERROR((O27/O18),0)</f>
        <v>8.6004584640432716E-2</v>
      </c>
      <c r="P65" s="10">
        <f>IFERROR((P27/P18),0)</f>
        <v>8.1531553454012667E-2</v>
      </c>
      <c r="Q65" s="10">
        <f>IFERROR((Q27/Q18),0)</f>
        <v>6.5840756245587259E-2</v>
      </c>
      <c r="X65" s="10">
        <f>IFERROR((X27/X18),0)</f>
        <v>7.6600694516253218E-2</v>
      </c>
      <c r="Y65" s="10">
        <f>IFERROR((Y27/Y18),0)</f>
        <v>1.0886430762725682E-2</v>
      </c>
      <c r="Z65" s="10">
        <f>IFERROR((Z27/Z18),0)</f>
        <v>8.6007691805819145E-2</v>
      </c>
      <c r="AA65" s="10">
        <f>IFERROR((AA27/AA18),0)</f>
        <v>8.0150309383576604E-2</v>
      </c>
      <c r="AB65" s="10">
        <f>IFERROR((AB27/AB18),0)</f>
        <v>7.5779598768133366E-2</v>
      </c>
      <c r="AC65" s="10">
        <f>IFERROR((AC27/AC18),0)</f>
        <v>7.5779598768133366E-2</v>
      </c>
      <c r="AD65" s="10">
        <f>IFERROR((AD27/AD18),0)</f>
        <v>8.204027542114134E-2</v>
      </c>
      <c r="AE65" s="10">
        <f>IFERROR((AE27/AE18),0)</f>
        <v>9.4997711334069326E-2</v>
      </c>
      <c r="AF65" s="10">
        <f>IFERROR((AF27/AF18),0)</f>
        <v>9.499771133406916E-2</v>
      </c>
      <c r="AG65" s="10">
        <f>IFERROR((AG27/AG18),0)</f>
        <v>9.4997711334069021E-2</v>
      </c>
      <c r="AH65" s="10">
        <f>IFERROR((AH27/AH18),0)</f>
        <v>9.4997711334069188E-2</v>
      </c>
      <c r="AI65" s="10">
        <f>IFERROR((AI27/AI18),0)</f>
        <v>9.499771133406909E-2</v>
      </c>
      <c r="AJ65" s="10">
        <f>IFERROR((AJ27/AJ18),0)</f>
        <v>9.4997711334068966E-2</v>
      </c>
      <c r="AK65" s="10">
        <f>IFERROR((AK27/AK18),0)</f>
        <v>9.4997711334069132E-2</v>
      </c>
    </row>
    <row r="67" spans="1:37" s="7" customFormat="1">
      <c r="A67" s="6"/>
      <c r="B67" s="6" t="s">
        <v>70</v>
      </c>
      <c r="F67" s="7">
        <f t="shared" ref="F67:L67" si="85">+F68-F82-F91</f>
        <v>123155</v>
      </c>
      <c r="G67" s="7">
        <f t="shared" si="85"/>
        <v>255646</v>
      </c>
      <c r="H67" s="7">
        <f t="shared" si="85"/>
        <v>293419</v>
      </c>
      <c r="I67" s="7">
        <f t="shared" si="85"/>
        <v>246563</v>
      </c>
      <c r="J67" s="7">
        <f t="shared" si="85"/>
        <v>235645</v>
      </c>
      <c r="K67" s="7">
        <f t="shared" si="85"/>
        <v>225723</v>
      </c>
      <c r="L67" s="7">
        <f t="shared" si="85"/>
        <v>105411</v>
      </c>
      <c r="M67" s="7">
        <f>+M68-M82-M91</f>
        <v>110315</v>
      </c>
      <c r="N67" s="7">
        <f t="shared" ref="N67:O67" si="86">+N68-N82-N91</f>
        <v>123861</v>
      </c>
      <c r="O67" s="7">
        <f t="shared" si="86"/>
        <v>156143</v>
      </c>
      <c r="P67" s="7">
        <f>+P68-P83-P91</f>
        <v>-13329</v>
      </c>
      <c r="Q67" s="7">
        <f t="shared" ref="Q67" si="87">+Q68-Q82-Q91</f>
        <v>69324</v>
      </c>
      <c r="AA67" s="7">
        <f>+Q67</f>
        <v>69324</v>
      </c>
      <c r="AB67" s="7">
        <f>+AA67*1.05</f>
        <v>72790.2</v>
      </c>
      <c r="AC67" s="7">
        <f t="shared" ref="AC67:AK67" si="88">+AB67*1.05</f>
        <v>76429.710000000006</v>
      </c>
      <c r="AD67" s="7">
        <f t="shared" si="88"/>
        <v>80251.195500000016</v>
      </c>
      <c r="AE67" s="7">
        <f t="shared" si="88"/>
        <v>84263.755275000018</v>
      </c>
      <c r="AF67" s="7">
        <f t="shared" si="88"/>
        <v>88476.943038750018</v>
      </c>
      <c r="AG67" s="7">
        <f t="shared" si="88"/>
        <v>92900.790190687519</v>
      </c>
      <c r="AH67" s="7">
        <f t="shared" si="88"/>
        <v>97545.829700221904</v>
      </c>
      <c r="AI67" s="7">
        <f t="shared" si="88"/>
        <v>102423.121185233</v>
      </c>
      <c r="AJ67" s="7">
        <f t="shared" si="88"/>
        <v>107544.27724449466</v>
      </c>
      <c r="AK67" s="7">
        <f t="shared" si="88"/>
        <v>112921.4911067194</v>
      </c>
    </row>
    <row r="68" spans="1:37">
      <c r="B68" s="2" t="s">
        <v>43</v>
      </c>
      <c r="F68" s="4">
        <v>363155</v>
      </c>
      <c r="G68" s="4">
        <v>495646</v>
      </c>
      <c r="H68" s="4">
        <v>483419</v>
      </c>
      <c r="I68" s="4">
        <v>436563</v>
      </c>
      <c r="J68" s="4">
        <v>335645</v>
      </c>
      <c r="K68" s="4">
        <v>325723</v>
      </c>
      <c r="L68" s="4">
        <v>180411</v>
      </c>
      <c r="M68" s="4">
        <v>185315</v>
      </c>
      <c r="N68" s="4">
        <v>173861</v>
      </c>
      <c r="O68" s="4">
        <v>156143</v>
      </c>
      <c r="P68" s="4">
        <v>107324</v>
      </c>
      <c r="Q68" s="4">
        <v>69324</v>
      </c>
    </row>
    <row r="69" spans="1:37">
      <c r="B69" s="2" t="s">
        <v>44</v>
      </c>
      <c r="F69" s="4">
        <v>98418</v>
      </c>
      <c r="G69" s="4">
        <v>37742</v>
      </c>
      <c r="H69" s="4">
        <v>48600</v>
      </c>
      <c r="I69" s="4">
        <v>52346</v>
      </c>
      <c r="J69" s="4">
        <v>161358</v>
      </c>
      <c r="K69" s="4">
        <v>45152</v>
      </c>
      <c r="L69" s="4">
        <v>45465</v>
      </c>
      <c r="M69" s="4">
        <v>37804</v>
      </c>
      <c r="N69" s="4">
        <v>150264</v>
      </c>
      <c r="O69" s="4">
        <v>41528</v>
      </c>
      <c r="P69" s="4">
        <v>60537</v>
      </c>
      <c r="Q69" s="4">
        <v>48967</v>
      </c>
    </row>
    <row r="70" spans="1:37">
      <c r="B70" s="2" t="s">
        <v>45</v>
      </c>
      <c r="F70" s="4">
        <v>22364</v>
      </c>
      <c r="G70" s="4">
        <v>23362</v>
      </c>
      <c r="H70" s="4">
        <v>25634</v>
      </c>
      <c r="I70" s="4">
        <v>27784</v>
      </c>
      <c r="J70" s="4">
        <v>31595</v>
      </c>
      <c r="K70" s="4">
        <v>30043</v>
      </c>
      <c r="L70" s="4">
        <v>31831</v>
      </c>
      <c r="M70" s="4">
        <v>32905</v>
      </c>
      <c r="N70" s="4">
        <v>38015</v>
      </c>
      <c r="O70" s="4">
        <v>36812</v>
      </c>
      <c r="P70" s="4">
        <v>38121</v>
      </c>
      <c r="Q70" s="4">
        <v>36589</v>
      </c>
    </row>
    <row r="71" spans="1:37">
      <c r="B71" s="2" t="s">
        <v>46</v>
      </c>
      <c r="F71" s="4">
        <v>4502</v>
      </c>
      <c r="G71" s="4">
        <v>0</v>
      </c>
      <c r="H71" s="4">
        <v>5161</v>
      </c>
      <c r="I71" s="4">
        <v>4793</v>
      </c>
      <c r="J71" s="4">
        <v>10701</v>
      </c>
      <c r="K71" s="4">
        <v>2668</v>
      </c>
      <c r="L71" s="4">
        <v>4467</v>
      </c>
      <c r="M71" s="4">
        <v>1121</v>
      </c>
      <c r="N71" s="4">
        <v>5097</v>
      </c>
      <c r="O71" s="4">
        <v>0</v>
      </c>
      <c r="P71" s="4">
        <v>1402</v>
      </c>
      <c r="Q71" s="4">
        <v>2823</v>
      </c>
    </row>
    <row r="72" spans="1:37">
      <c r="B72" s="2" t="s">
        <v>47</v>
      </c>
      <c r="F72" s="4">
        <v>22212</v>
      </c>
      <c r="G72" s="4">
        <v>20868</v>
      </c>
      <c r="H72" s="4">
        <v>18959</v>
      </c>
      <c r="I72" s="4">
        <v>16429</v>
      </c>
      <c r="J72" s="4">
        <v>24226</v>
      </c>
      <c r="K72" s="4">
        <v>22401</v>
      </c>
      <c r="L72" s="4">
        <v>18770</v>
      </c>
      <c r="M72" s="4">
        <v>20233</v>
      </c>
      <c r="N72" s="4">
        <v>29604</v>
      </c>
      <c r="O72" s="4">
        <v>34235</v>
      </c>
      <c r="P72" s="4">
        <v>25901</v>
      </c>
      <c r="Q72" s="4">
        <v>23783</v>
      </c>
    </row>
    <row r="73" spans="1:37" s="7" customFormat="1">
      <c r="A73" s="6"/>
      <c r="B73" s="6" t="s">
        <v>48</v>
      </c>
      <c r="F73" s="7">
        <f t="shared" ref="F73:O73" si="89">+SUM(F68:F72)</f>
        <v>510651</v>
      </c>
      <c r="G73" s="7">
        <f t="shared" si="89"/>
        <v>577618</v>
      </c>
      <c r="H73" s="7">
        <f t="shared" si="89"/>
        <v>581773</v>
      </c>
      <c r="I73" s="7">
        <f t="shared" si="89"/>
        <v>537915</v>
      </c>
      <c r="J73" s="7">
        <f t="shared" si="89"/>
        <v>563525</v>
      </c>
      <c r="K73" s="7">
        <f t="shared" si="89"/>
        <v>425987</v>
      </c>
      <c r="L73" s="7">
        <f t="shared" si="89"/>
        <v>280944</v>
      </c>
      <c r="M73" s="7">
        <f t="shared" si="89"/>
        <v>277378</v>
      </c>
      <c r="N73" s="7">
        <f t="shared" si="89"/>
        <v>396841</v>
      </c>
      <c r="O73" s="7">
        <f t="shared" si="89"/>
        <v>268718</v>
      </c>
      <c r="P73" s="7">
        <f t="shared" ref="P73:Q73" si="90">+SUM(P68:P72)</f>
        <v>233285</v>
      </c>
      <c r="Q73" s="7">
        <f t="shared" si="90"/>
        <v>181486</v>
      </c>
    </row>
    <row r="74" spans="1:37" s="7" customFormat="1">
      <c r="A74" s="6"/>
      <c r="B74" s="2" t="s">
        <v>50</v>
      </c>
      <c r="F74" s="4">
        <v>1088623</v>
      </c>
      <c r="G74" s="4">
        <v>1093790</v>
      </c>
      <c r="H74" s="4">
        <v>1139661</v>
      </c>
      <c r="I74" s="4">
        <v>1139661</v>
      </c>
      <c r="J74" s="4">
        <v>1162441</v>
      </c>
      <c r="K74" s="4">
        <v>1181707</v>
      </c>
      <c r="L74" s="4">
        <v>1207996</v>
      </c>
      <c r="M74" s="4">
        <v>1237345</v>
      </c>
      <c r="N74" s="4">
        <v>1270349</v>
      </c>
      <c r="O74" s="7">
        <v>1310782</v>
      </c>
      <c r="P74" s="7">
        <v>1360132</v>
      </c>
      <c r="Q74" s="4">
        <v>1425169</v>
      </c>
    </row>
    <row r="75" spans="1:37">
      <c r="B75" s="2" t="s">
        <v>51</v>
      </c>
      <c r="F75" s="4">
        <v>530625</v>
      </c>
      <c r="G75" s="4">
        <v>537826</v>
      </c>
      <c r="H75" s="4">
        <v>558452</v>
      </c>
      <c r="I75" s="4">
        <v>558452</v>
      </c>
      <c r="J75" s="4">
        <v>578413</v>
      </c>
      <c r="K75" s="4">
        <v>605146</v>
      </c>
      <c r="L75" s="4">
        <v>611934</v>
      </c>
      <c r="M75" s="4">
        <v>626551</v>
      </c>
      <c r="N75" s="4">
        <v>630258</v>
      </c>
      <c r="O75" s="4">
        <v>643485</v>
      </c>
      <c r="P75" s="4">
        <v>662730</v>
      </c>
      <c r="Q75" s="4">
        <v>679065</v>
      </c>
    </row>
    <row r="76" spans="1:37">
      <c r="B76" s="2" t="s">
        <v>52</v>
      </c>
      <c r="F76" s="4">
        <v>127001</v>
      </c>
      <c r="G76" s="4">
        <v>127001</v>
      </c>
      <c r="H76" s="4">
        <v>127001</v>
      </c>
      <c r="I76" s="4">
        <v>127001</v>
      </c>
      <c r="J76" s="4">
        <v>127001</v>
      </c>
      <c r="K76" s="4">
        <v>144334</v>
      </c>
      <c r="L76" s="4">
        <v>148732</v>
      </c>
      <c r="M76" s="4">
        <v>148732</v>
      </c>
      <c r="N76" s="4">
        <v>148732</v>
      </c>
      <c r="O76" s="4">
        <v>169641</v>
      </c>
      <c r="P76" s="4">
        <v>169684</v>
      </c>
      <c r="Q76" s="4">
        <v>169684</v>
      </c>
    </row>
    <row r="77" spans="1:37">
      <c r="B77" s="2" t="s">
        <v>53</v>
      </c>
      <c r="F77" s="4">
        <v>2271</v>
      </c>
      <c r="G77" s="4">
        <v>2071</v>
      </c>
      <c r="H77" s="4">
        <v>1701</v>
      </c>
      <c r="I77" s="4">
        <v>1701</v>
      </c>
      <c r="J77" s="4">
        <v>1520</v>
      </c>
      <c r="K77" s="4">
        <v>6848</v>
      </c>
      <c r="L77" s="4">
        <v>7001</v>
      </c>
      <c r="M77" s="4">
        <v>6304</v>
      </c>
      <c r="N77" s="4">
        <v>5607</v>
      </c>
      <c r="O77" s="4">
        <v>5859</v>
      </c>
      <c r="P77" s="4">
        <v>4986</v>
      </c>
      <c r="Q77" s="4">
        <v>4195</v>
      </c>
    </row>
    <row r="78" spans="1:37">
      <c r="B78" s="2" t="s">
        <v>54</v>
      </c>
      <c r="F78" s="4">
        <v>65990</v>
      </c>
      <c r="G78" s="4">
        <v>68422</v>
      </c>
      <c r="H78" s="4">
        <v>77823</v>
      </c>
      <c r="I78" s="4">
        <v>77823</v>
      </c>
      <c r="J78" s="4">
        <v>79052</v>
      </c>
      <c r="K78" s="4">
        <v>73298</v>
      </c>
      <c r="L78" s="4">
        <v>65111</v>
      </c>
      <c r="M78" s="4">
        <v>68741</v>
      </c>
      <c r="N78" s="4">
        <v>73878</v>
      </c>
      <c r="O78" s="4">
        <v>76380</v>
      </c>
      <c r="P78" s="4">
        <v>84174</v>
      </c>
      <c r="Q78" s="4">
        <v>86738</v>
      </c>
    </row>
    <row r="79" spans="1:37" s="7" customFormat="1">
      <c r="A79" s="6"/>
      <c r="B79" s="6" t="s">
        <v>49</v>
      </c>
      <c r="C79" s="7">
        <f t="shared" ref="C79:K79" si="91">IFERROR(SUM(C73:C78),0)</f>
        <v>0</v>
      </c>
      <c r="D79" s="7">
        <f t="shared" si="91"/>
        <v>0</v>
      </c>
      <c r="E79" s="7">
        <f t="shared" si="91"/>
        <v>0</v>
      </c>
      <c r="F79" s="7">
        <f t="shared" si="91"/>
        <v>2325161</v>
      </c>
      <c r="G79" s="7">
        <f t="shared" si="91"/>
        <v>2406728</v>
      </c>
      <c r="H79" s="7">
        <f t="shared" si="91"/>
        <v>2486411</v>
      </c>
      <c r="I79" s="7">
        <f t="shared" si="91"/>
        <v>2442553</v>
      </c>
      <c r="J79" s="7">
        <f t="shared" si="91"/>
        <v>2511952</v>
      </c>
      <c r="K79" s="7">
        <f t="shared" si="91"/>
        <v>2437320</v>
      </c>
      <c r="L79" s="7">
        <f>IFERROR(SUM(L73:L78),0)</f>
        <v>2321718</v>
      </c>
      <c r="M79" s="7">
        <f>IFERROR(SUM(M73:M78),0)</f>
        <v>2365051</v>
      </c>
      <c r="N79" s="7">
        <f>IFERROR(SUM(N73:N78),0)</f>
        <v>2525665</v>
      </c>
      <c r="O79" s="7">
        <f>IFERROR(SUM(O73:O78),0)</f>
        <v>2474865</v>
      </c>
      <c r="P79" s="7">
        <f>IFERROR(SUM(P73:P78),0)</f>
        <v>2514991</v>
      </c>
      <c r="Q79" s="7">
        <f>IFERROR(SUM(Q73:Q78),0)</f>
        <v>2546337</v>
      </c>
    </row>
    <row r="81" spans="1:40">
      <c r="B81" s="2" t="s">
        <v>51</v>
      </c>
      <c r="F81" s="4">
        <v>19271</v>
      </c>
      <c r="G81" s="4">
        <v>19890</v>
      </c>
      <c r="H81" s="4">
        <v>20578</v>
      </c>
      <c r="I81" s="4">
        <v>21327</v>
      </c>
      <c r="J81" s="4">
        <v>21952</v>
      </c>
      <c r="K81" s="4">
        <v>23845</v>
      </c>
      <c r="L81" s="4">
        <v>24453</v>
      </c>
      <c r="M81" s="4">
        <v>24977</v>
      </c>
      <c r="N81" s="4">
        <v>25490</v>
      </c>
      <c r="O81" s="4">
        <v>26466</v>
      </c>
      <c r="P81" s="4">
        <v>27015</v>
      </c>
      <c r="Q81" s="4">
        <v>27186</v>
      </c>
    </row>
    <row r="82" spans="1:40">
      <c r="B82" s="2" t="s">
        <v>68</v>
      </c>
      <c r="F82" s="4">
        <v>50000</v>
      </c>
      <c r="G82" s="4">
        <v>50000</v>
      </c>
      <c r="H82" s="4">
        <v>0</v>
      </c>
      <c r="N82" s="4">
        <v>0</v>
      </c>
      <c r="O82" s="4">
        <v>0</v>
      </c>
      <c r="P82" s="4">
        <v>0</v>
      </c>
      <c r="Q82" s="4">
        <v>0</v>
      </c>
    </row>
    <row r="83" spans="1:40">
      <c r="B83" s="2" t="s">
        <v>56</v>
      </c>
      <c r="F83" s="4">
        <v>66977</v>
      </c>
      <c r="G83" s="4">
        <v>86131</v>
      </c>
      <c r="H83" s="4">
        <v>89300</v>
      </c>
      <c r="I83" s="4">
        <v>80444</v>
      </c>
      <c r="J83" s="4">
        <v>95234</v>
      </c>
      <c r="K83" s="4">
        <v>100093</v>
      </c>
      <c r="L83" s="4">
        <v>101619</v>
      </c>
      <c r="M83" s="4">
        <v>98678</v>
      </c>
      <c r="N83" s="4">
        <v>105560</v>
      </c>
      <c r="O83" s="4">
        <v>113834</v>
      </c>
      <c r="P83" s="4">
        <v>120653</v>
      </c>
      <c r="Q83" s="4">
        <v>126219</v>
      </c>
      <c r="AM83" s="7"/>
      <c r="AN83" s="7"/>
    </row>
    <row r="84" spans="1:40">
      <c r="B84" s="2" t="s">
        <v>57</v>
      </c>
      <c r="F84" s="4">
        <v>232812</v>
      </c>
      <c r="G84" s="4">
        <v>182358</v>
      </c>
      <c r="H84" s="4">
        <v>177946</v>
      </c>
      <c r="I84" s="4">
        <v>160670</v>
      </c>
      <c r="J84" s="4">
        <v>300657</v>
      </c>
      <c r="K84" s="4">
        <v>221479</v>
      </c>
      <c r="L84" s="4">
        <v>208429</v>
      </c>
      <c r="M84" s="4">
        <v>182265</v>
      </c>
      <c r="N84" s="4">
        <v>335403</v>
      </c>
      <c r="O84" s="4">
        <v>240729</v>
      </c>
      <c r="P84" s="4">
        <v>226130</v>
      </c>
      <c r="Q84" s="4">
        <v>201316</v>
      </c>
    </row>
    <row r="85" spans="1:40">
      <c r="B85" s="2" t="s">
        <v>58</v>
      </c>
      <c r="F85" s="4">
        <v>51982</v>
      </c>
      <c r="G85" s="4">
        <v>69878</v>
      </c>
      <c r="H85" s="4">
        <v>71837</v>
      </c>
      <c r="I85" s="4">
        <v>43862</v>
      </c>
      <c r="J85" s="4">
        <v>64716</v>
      </c>
      <c r="K85" s="4">
        <v>79834</v>
      </c>
      <c r="L85" s="4">
        <v>81111</v>
      </c>
      <c r="M85" s="4">
        <v>85846</v>
      </c>
      <c r="N85" s="4">
        <v>54544</v>
      </c>
      <c r="O85" s="4">
        <v>66153</v>
      </c>
      <c r="P85" s="4">
        <v>67164</v>
      </c>
      <c r="Q85" s="4">
        <v>68013</v>
      </c>
    </row>
    <row r="86" spans="1:40">
      <c r="B86" s="2" t="s">
        <v>59</v>
      </c>
      <c r="F86" s="4">
        <v>2859</v>
      </c>
      <c r="G86" s="4">
        <v>9412</v>
      </c>
      <c r="H86" s="4">
        <v>6107</v>
      </c>
      <c r="I86" s="4">
        <v>5228</v>
      </c>
      <c r="J86" s="4">
        <v>85</v>
      </c>
      <c r="K86" s="4">
        <v>3500</v>
      </c>
      <c r="L86" s="4">
        <v>462</v>
      </c>
      <c r="M86" s="4">
        <v>1391</v>
      </c>
      <c r="N86" s="4">
        <v>434</v>
      </c>
      <c r="O86" s="4">
        <v>5718</v>
      </c>
      <c r="P86" s="4">
        <v>1963</v>
      </c>
      <c r="Q86" s="4">
        <v>603</v>
      </c>
    </row>
    <row r="87" spans="1:40">
      <c r="B87" s="2" t="s">
        <v>60</v>
      </c>
      <c r="F87" s="4">
        <v>24751</v>
      </c>
      <c r="G87" s="4">
        <v>32310</v>
      </c>
      <c r="H87" s="4">
        <v>1976</v>
      </c>
      <c r="I87" s="4">
        <v>33451</v>
      </c>
      <c r="J87" s="4">
        <v>33375</v>
      </c>
      <c r="K87" s="4">
        <v>33690</v>
      </c>
      <c r="L87" s="4">
        <v>34659</v>
      </c>
      <c r="M87" s="4">
        <v>37391</v>
      </c>
      <c r="N87" s="4">
        <v>35264</v>
      </c>
      <c r="O87" s="4">
        <v>38401</v>
      </c>
      <c r="P87" s="4">
        <v>40673</v>
      </c>
      <c r="Q87" s="4">
        <v>42478</v>
      </c>
    </row>
    <row r="88" spans="1:40">
      <c r="B88" s="2" t="s">
        <v>61</v>
      </c>
      <c r="F88" s="4">
        <v>57666</v>
      </c>
      <c r="G88" s="4">
        <v>58185</v>
      </c>
      <c r="H88" s="4">
        <v>82064</v>
      </c>
      <c r="I88" s="4">
        <v>98872</v>
      </c>
      <c r="J88" s="4">
        <v>86125</v>
      </c>
      <c r="K88" s="4">
        <v>79333</v>
      </c>
      <c r="L88" s="4">
        <v>77726</v>
      </c>
      <c r="M88" s="4">
        <v>85145</v>
      </c>
      <c r="N88" s="4">
        <v>95315</v>
      </c>
      <c r="O88" s="4">
        <v>96797</v>
      </c>
      <c r="P88" s="4">
        <v>88385</v>
      </c>
      <c r="Q88" s="4">
        <v>95611</v>
      </c>
    </row>
    <row r="89" spans="1:40" s="7" customFormat="1">
      <c r="A89" s="6"/>
      <c r="B89" s="6" t="s">
        <v>55</v>
      </c>
      <c r="F89" s="7">
        <f t="shared" ref="F89:M89" si="92">+SUM(F81:F88)</f>
        <v>506318</v>
      </c>
      <c r="G89" s="7">
        <f t="shared" si="92"/>
        <v>508164</v>
      </c>
      <c r="H89" s="7">
        <f t="shared" si="92"/>
        <v>449808</v>
      </c>
      <c r="I89" s="7">
        <f t="shared" si="92"/>
        <v>443854</v>
      </c>
      <c r="J89" s="7">
        <f t="shared" si="92"/>
        <v>602144</v>
      </c>
      <c r="K89" s="7">
        <f t="shared" si="92"/>
        <v>541774</v>
      </c>
      <c r="L89" s="7">
        <f t="shared" si="92"/>
        <v>528459</v>
      </c>
      <c r="M89" s="7">
        <f t="shared" si="92"/>
        <v>515693</v>
      </c>
      <c r="N89" s="7">
        <f>+SUM(N81:N88)</f>
        <v>652010</v>
      </c>
      <c r="O89" s="7">
        <f t="shared" ref="O89" si="93">+SUM(O81:O88)</f>
        <v>588098</v>
      </c>
      <c r="P89" s="7">
        <f t="shared" ref="P89:Q89" si="94">+SUM(P81:P88)</f>
        <v>571983</v>
      </c>
      <c r="Q89" s="7">
        <f t="shared" si="94"/>
        <v>561426</v>
      </c>
    </row>
    <row r="90" spans="1:40">
      <c r="B90" s="2" t="s">
        <v>51</v>
      </c>
      <c r="F90" s="4">
        <v>572171</v>
      </c>
      <c r="G90" s="4">
        <v>580005</v>
      </c>
      <c r="H90" s="4">
        <v>590443</v>
      </c>
      <c r="I90" s="4">
        <v>603964</v>
      </c>
      <c r="J90" s="4">
        <v>622892</v>
      </c>
      <c r="K90" s="4">
        <v>649069</v>
      </c>
      <c r="L90" s="4">
        <v>657476</v>
      </c>
      <c r="M90" s="4">
        <v>672774</v>
      </c>
      <c r="N90" s="4">
        <v>677874</v>
      </c>
      <c r="O90" s="4">
        <v>692016</v>
      </c>
      <c r="P90" s="4">
        <v>712800</v>
      </c>
      <c r="Q90" s="4">
        <v>730163</v>
      </c>
    </row>
    <row r="91" spans="1:40">
      <c r="B91" s="2" t="s">
        <v>63</v>
      </c>
      <c r="F91" s="4">
        <v>190000</v>
      </c>
      <c r="G91" s="4">
        <v>190000</v>
      </c>
      <c r="H91" s="4">
        <v>190000</v>
      </c>
      <c r="I91" s="4">
        <v>190000</v>
      </c>
      <c r="J91" s="4">
        <v>100000</v>
      </c>
      <c r="K91" s="4">
        <v>100000</v>
      </c>
      <c r="L91" s="4">
        <v>75000</v>
      </c>
      <c r="M91" s="4">
        <v>75000</v>
      </c>
      <c r="N91" s="4">
        <v>50000</v>
      </c>
      <c r="O91" s="4">
        <v>0</v>
      </c>
      <c r="P91" s="4">
        <v>0</v>
      </c>
      <c r="Q91" s="4">
        <v>0</v>
      </c>
    </row>
    <row r="92" spans="1:40">
      <c r="B92" s="2" t="s">
        <v>64</v>
      </c>
      <c r="F92" s="4">
        <v>7481</v>
      </c>
      <c r="G92" s="4">
        <v>7516</v>
      </c>
      <c r="H92" s="4">
        <v>7490</v>
      </c>
      <c r="I92" s="4">
        <v>8023</v>
      </c>
      <c r="J92" s="4">
        <v>8027</v>
      </c>
      <c r="K92" s="4">
        <v>8167</v>
      </c>
      <c r="L92" s="4">
        <v>8218</v>
      </c>
      <c r="M92" s="4">
        <v>8060</v>
      </c>
      <c r="N92" s="4">
        <v>7979</v>
      </c>
      <c r="O92" s="4">
        <v>8487</v>
      </c>
      <c r="P92" s="4">
        <v>8594</v>
      </c>
      <c r="Q92" s="4">
        <v>8873</v>
      </c>
    </row>
    <row r="93" spans="1:40">
      <c r="B93" s="2" t="s">
        <v>65</v>
      </c>
      <c r="F93" s="4">
        <v>2802</v>
      </c>
      <c r="G93" s="4">
        <v>3823</v>
      </c>
      <c r="H93" s="4">
        <v>5753</v>
      </c>
      <c r="I93" s="4">
        <v>2370</v>
      </c>
      <c r="J93" s="4">
        <v>11734</v>
      </c>
      <c r="K93" s="4">
        <v>14154</v>
      </c>
      <c r="L93" s="4">
        <v>15430</v>
      </c>
      <c r="M93" s="4">
        <v>16770</v>
      </c>
      <c r="N93" s="4">
        <v>20979</v>
      </c>
      <c r="O93" s="4">
        <v>23674</v>
      </c>
      <c r="P93" s="4">
        <v>22454</v>
      </c>
      <c r="Q93" s="4">
        <v>23393</v>
      </c>
    </row>
    <row r="94" spans="1:40">
      <c r="B94" s="2" t="s">
        <v>61</v>
      </c>
      <c r="F94" s="4">
        <v>103338</v>
      </c>
      <c r="G94" s="4">
        <v>107202</v>
      </c>
      <c r="H94" s="4">
        <v>112768</v>
      </c>
      <c r="I94" s="4">
        <v>113735</v>
      </c>
      <c r="J94" s="4">
        <v>93671</v>
      </c>
      <c r="K94" s="4">
        <v>88897</v>
      </c>
      <c r="L94" s="4">
        <v>83116</v>
      </c>
      <c r="M94" s="4">
        <v>84121</v>
      </c>
      <c r="N94" s="4">
        <v>89161</v>
      </c>
      <c r="O94" s="4">
        <v>92051</v>
      </c>
      <c r="P94" s="4">
        <v>100910</v>
      </c>
      <c r="Q94" s="4">
        <v>103316</v>
      </c>
    </row>
    <row r="95" spans="1:40" s="7" customFormat="1">
      <c r="A95" s="6"/>
      <c r="B95" s="6" t="s">
        <v>62</v>
      </c>
      <c r="F95" s="7">
        <f t="shared" ref="F95:M95" si="95">+SUM(F89:F94)</f>
        <v>1382110</v>
      </c>
      <c r="G95" s="7">
        <f t="shared" si="95"/>
        <v>1396710</v>
      </c>
      <c r="H95" s="7">
        <f t="shared" si="95"/>
        <v>1356262</v>
      </c>
      <c r="I95" s="7">
        <f t="shared" si="95"/>
        <v>1361946</v>
      </c>
      <c r="J95" s="7">
        <f t="shared" si="95"/>
        <v>1438468</v>
      </c>
      <c r="K95" s="7">
        <f t="shared" si="95"/>
        <v>1402061</v>
      </c>
      <c r="L95" s="7">
        <f t="shared" si="95"/>
        <v>1367699</v>
      </c>
      <c r="M95" s="7">
        <f t="shared" si="95"/>
        <v>1372418</v>
      </c>
      <c r="N95" s="7">
        <f t="shared" ref="N95:O95" si="96">+SUM(N89:N94)</f>
        <v>1498003</v>
      </c>
      <c r="O95" s="7">
        <f t="shared" si="96"/>
        <v>1404326</v>
      </c>
      <c r="P95" s="7">
        <f t="shared" ref="P95:Q95" si="97">+SUM(P89:P94)</f>
        <v>1416741</v>
      </c>
      <c r="Q95" s="7">
        <f t="shared" si="97"/>
        <v>1427171</v>
      </c>
    </row>
    <row r="96" spans="1:40">
      <c r="B96" s="2" t="s">
        <v>66</v>
      </c>
      <c r="F96" s="4">
        <v>943051</v>
      </c>
      <c r="G96" s="4">
        <v>1010018</v>
      </c>
      <c r="H96" s="4">
        <v>1062683</v>
      </c>
      <c r="I96" s="4">
        <v>1080607</v>
      </c>
      <c r="J96" s="4">
        <v>1073484</v>
      </c>
      <c r="K96" s="4">
        <v>1035259</v>
      </c>
      <c r="L96" s="4">
        <v>954019</v>
      </c>
      <c r="M96" s="4">
        <v>992633</v>
      </c>
      <c r="N96" s="4">
        <v>1027662</v>
      </c>
      <c r="O96" s="4">
        <v>1070539</v>
      </c>
      <c r="P96" s="4">
        <v>1098250</v>
      </c>
      <c r="Q96" s="4">
        <v>1119166</v>
      </c>
    </row>
    <row r="97" spans="1:27" s="7" customFormat="1">
      <c r="A97" s="6"/>
      <c r="B97" s="6" t="s">
        <v>67</v>
      </c>
      <c r="C97" s="7">
        <f t="shared" ref="C97:E97" si="98">+SUM(C95:C96)</f>
        <v>0</v>
      </c>
      <c r="D97" s="7">
        <f t="shared" si="98"/>
        <v>0</v>
      </c>
      <c r="E97" s="7">
        <f t="shared" si="98"/>
        <v>0</v>
      </c>
      <c r="F97" s="7">
        <f>+SUM(F95:F96)</f>
        <v>2325161</v>
      </c>
      <c r="G97" s="7">
        <f t="shared" ref="G97:H97" si="99">+SUM(G95:G96)</f>
        <v>2406728</v>
      </c>
      <c r="H97" s="7">
        <f t="shared" si="99"/>
        <v>2418945</v>
      </c>
      <c r="I97" s="7">
        <f>+SUM(I95:I96)</f>
        <v>2442553</v>
      </c>
      <c r="J97" s="7">
        <f>+SUM(J95:J96)</f>
        <v>2511952</v>
      </c>
      <c r="K97" s="7">
        <f>+SUM(K95:K96)</f>
        <v>2437320</v>
      </c>
      <c r="L97" s="7">
        <f>+SUM(L95:L96)</f>
        <v>2321718</v>
      </c>
      <c r="M97" s="7">
        <f>+SUM(M95:M96)</f>
        <v>2365051</v>
      </c>
      <c r="N97" s="7">
        <f>+SUM(N95:N96)</f>
        <v>2525665</v>
      </c>
      <c r="O97" s="7">
        <f>+O95+O96</f>
        <v>2474865</v>
      </c>
      <c r="P97" s="7">
        <f>+P95+P96</f>
        <v>2514991</v>
      </c>
      <c r="Q97" s="7">
        <f>+Q95+Q96</f>
        <v>2546337</v>
      </c>
    </row>
    <row r="99" spans="1:27">
      <c r="B99" s="13" t="s">
        <v>138</v>
      </c>
    </row>
    <row r="100" spans="1:27" s="10" customFormat="1">
      <c r="A100" s="9"/>
      <c r="B100" s="9" t="s">
        <v>69</v>
      </c>
      <c r="H100" s="10">
        <f>+SUM(E34:H34)/H96</f>
        <v>0.17976950793416288</v>
      </c>
      <c r="I100" s="10">
        <f>+SUM(F34:I34)/I96</f>
        <v>0.1977842083199535</v>
      </c>
      <c r="J100" s="10">
        <f>+SUM(G34:J34)/J96</f>
        <v>0.22918646202458537</v>
      </c>
      <c r="K100" s="10">
        <f>+SUM(H34:K34)/K96</f>
        <v>0.2472134992306273</v>
      </c>
      <c r="L100" s="10">
        <f>+SUM(I34:L34)/L96</f>
        <v>0.2654695556377808</v>
      </c>
      <c r="M100" s="10">
        <f>+SUM(J34:M34)/M96</f>
        <v>0.26568530363185588</v>
      </c>
      <c r="N100" s="10">
        <f>+SUM(K34:N34)/N96</f>
        <v>0.26411213025294311</v>
      </c>
      <c r="O100" s="10">
        <f>+SUM(L34:O34)/O96</f>
        <v>0.26463678576866417</v>
      </c>
      <c r="P100" s="10">
        <f>+SUM(M34:P34)/P96</f>
        <v>0.26662690644206694</v>
      </c>
      <c r="Q100" s="10">
        <f>+SUM(N34:Q34)/Q96</f>
        <v>0.26225689486635584</v>
      </c>
    </row>
    <row r="101" spans="1:27">
      <c r="B101" s="2" t="s">
        <v>103</v>
      </c>
      <c r="G101" s="4">
        <f>+G68-F68</f>
        <v>132491</v>
      </c>
      <c r="H101" s="4">
        <f>+H68-G68</f>
        <v>-12227</v>
      </c>
      <c r="I101" s="4">
        <f>+I68-H68</f>
        <v>-46856</v>
      </c>
      <c r="J101" s="4">
        <f>+J68-I68</f>
        <v>-100918</v>
      </c>
      <c r="K101" s="4">
        <f t="shared" ref="K101:L101" si="100">+K68-J68</f>
        <v>-9922</v>
      </c>
      <c r="L101" s="4">
        <f t="shared" si="100"/>
        <v>-145312</v>
      </c>
      <c r="M101" s="4">
        <f>+M68-L68</f>
        <v>4904</v>
      </c>
      <c r="N101" s="4">
        <f t="shared" ref="N101:Q101" si="101">+N68-M68</f>
        <v>-11454</v>
      </c>
      <c r="O101" s="4">
        <f t="shared" si="101"/>
        <v>-17718</v>
      </c>
      <c r="P101" s="4">
        <f t="shared" si="101"/>
        <v>-48819</v>
      </c>
      <c r="Q101" s="4">
        <f t="shared" si="101"/>
        <v>-38000</v>
      </c>
    </row>
    <row r="102" spans="1:27">
      <c r="B102" s="2" t="s">
        <v>104</v>
      </c>
      <c r="G102" s="4">
        <f>+G139</f>
        <v>0</v>
      </c>
      <c r="H102" s="4">
        <f>IF(H139=-H139,H139,0)</f>
        <v>0</v>
      </c>
      <c r="I102" s="4">
        <f>IF(I139=-I139,I139,0)</f>
        <v>0</v>
      </c>
      <c r="J102" s="4">
        <f>+J139</f>
        <v>-90000</v>
      </c>
      <c r="K102" s="4">
        <f>+K139</f>
        <v>0</v>
      </c>
      <c r="L102" s="4">
        <f t="shared" ref="L102:M102" si="102">+L139</f>
        <v>-25000</v>
      </c>
      <c r="M102" s="4">
        <f t="shared" si="102"/>
        <v>0</v>
      </c>
      <c r="N102" s="4">
        <f t="shared" ref="N102:Q102" si="103">+N139</f>
        <v>-25000</v>
      </c>
      <c r="O102" s="4">
        <f t="shared" si="103"/>
        <v>-50000</v>
      </c>
      <c r="P102" s="4">
        <f t="shared" si="103"/>
        <v>0</v>
      </c>
      <c r="Q102" s="4">
        <f t="shared" si="103"/>
        <v>0</v>
      </c>
    </row>
    <row r="103" spans="1:27">
      <c r="B103" s="2" t="s">
        <v>105</v>
      </c>
      <c r="H103" s="4">
        <f t="shared" ref="H103:K103" si="104">+H91-G91</f>
        <v>0</v>
      </c>
      <c r="I103" s="4">
        <f t="shared" si="104"/>
        <v>0</v>
      </c>
      <c r="J103" s="4">
        <f t="shared" si="104"/>
        <v>-90000</v>
      </c>
      <c r="K103" s="4">
        <f t="shared" si="104"/>
        <v>0</v>
      </c>
      <c r="L103" s="4">
        <f>+L91-K91</f>
        <v>-25000</v>
      </c>
      <c r="M103" s="4">
        <f>+M91-L91</f>
        <v>0</v>
      </c>
      <c r="N103" s="4">
        <f t="shared" ref="N103:Q103" si="105">+N91-M91</f>
        <v>-25000</v>
      </c>
      <c r="O103" s="4">
        <f t="shared" si="105"/>
        <v>-50000</v>
      </c>
      <c r="P103" s="4">
        <f t="shared" si="105"/>
        <v>0</v>
      </c>
      <c r="Q103" s="4">
        <f t="shared" si="105"/>
        <v>0</v>
      </c>
    </row>
    <row r="104" spans="1:27" s="12" customFormat="1">
      <c r="A104" s="14"/>
      <c r="B104" s="14" t="s">
        <v>136</v>
      </c>
      <c r="H104" s="12" t="str">
        <f t="shared" ref="H104:L104" si="106">IF(H102=H103,"Match","NM")</f>
        <v>Match</v>
      </c>
      <c r="I104" s="12" t="str">
        <f t="shared" si="106"/>
        <v>Match</v>
      </c>
      <c r="J104" s="12" t="str">
        <f t="shared" si="106"/>
        <v>Match</v>
      </c>
      <c r="K104" s="12" t="str">
        <f t="shared" si="106"/>
        <v>Match</v>
      </c>
      <c r="L104" s="12" t="str">
        <f t="shared" si="106"/>
        <v>Match</v>
      </c>
      <c r="M104" s="12" t="str">
        <f>IF(M102=M103,"Match","NM")</f>
        <v>Match</v>
      </c>
      <c r="N104" s="12" t="str">
        <f t="shared" ref="N104:Q104" si="107">IF(N102=N103,"Match","NM")</f>
        <v>Match</v>
      </c>
      <c r="O104" s="12" t="str">
        <f t="shared" si="107"/>
        <v>Match</v>
      </c>
      <c r="P104" s="12" t="str">
        <f t="shared" si="107"/>
        <v>Match</v>
      </c>
      <c r="Q104" s="12" t="str">
        <f t="shared" si="107"/>
        <v>Match</v>
      </c>
    </row>
    <row r="105" spans="1:27">
      <c r="B105" s="2" t="s">
        <v>137</v>
      </c>
      <c r="C105" s="4">
        <f>+C73-C89</f>
        <v>0</v>
      </c>
      <c r="D105" s="4">
        <f t="shared" ref="D105:Q105" si="108">+D73-D89</f>
        <v>0</v>
      </c>
      <c r="E105" s="4">
        <f t="shared" si="108"/>
        <v>0</v>
      </c>
      <c r="F105" s="4">
        <f t="shared" si="108"/>
        <v>4333</v>
      </c>
      <c r="G105" s="4">
        <f t="shared" si="108"/>
        <v>69454</v>
      </c>
      <c r="H105" s="4">
        <f t="shared" si="108"/>
        <v>131965</v>
      </c>
      <c r="I105" s="4">
        <f t="shared" si="108"/>
        <v>94061</v>
      </c>
      <c r="J105" s="4">
        <f t="shared" si="108"/>
        <v>-38619</v>
      </c>
      <c r="K105" s="4">
        <f t="shared" si="108"/>
        <v>-115787</v>
      </c>
      <c r="L105" s="4">
        <f t="shared" si="108"/>
        <v>-247515</v>
      </c>
      <c r="M105" s="4">
        <f t="shared" si="108"/>
        <v>-238315</v>
      </c>
      <c r="N105" s="4">
        <f t="shared" si="108"/>
        <v>-255169</v>
      </c>
      <c r="O105" s="4">
        <f t="shared" si="108"/>
        <v>-319380</v>
      </c>
      <c r="P105" s="4">
        <f t="shared" si="108"/>
        <v>-338698</v>
      </c>
      <c r="Q105" s="4">
        <f t="shared" si="108"/>
        <v>-379940</v>
      </c>
    </row>
    <row r="106" spans="1:27" s="12" customFormat="1">
      <c r="A106" s="14"/>
      <c r="B106" s="14"/>
    </row>
    <row r="108" spans="1:27">
      <c r="B108" s="2" t="s">
        <v>71</v>
      </c>
      <c r="C108" s="4">
        <f>+C34</f>
        <v>16624</v>
      </c>
      <c r="D108" s="4">
        <f>+D34</f>
        <v>-33993</v>
      </c>
      <c r="E108" s="4">
        <f>+E34</f>
        <v>29946</v>
      </c>
      <c r="F108" s="4">
        <f>+F34</f>
        <v>20941</v>
      </c>
      <c r="G108" s="4">
        <f>+G34</f>
        <v>64654</v>
      </c>
      <c r="H108" s="4">
        <f>+H34</f>
        <v>75497</v>
      </c>
      <c r="I108" s="4">
        <f>+I34</f>
        <v>52635</v>
      </c>
      <c r="J108" s="4">
        <f>+J34</f>
        <v>53242</v>
      </c>
      <c r="K108" s="4">
        <f>+K34</f>
        <v>74556</v>
      </c>
      <c r="L108" s="4">
        <f>+L34</f>
        <v>72830</v>
      </c>
      <c r="M108" s="4">
        <f>+M34</f>
        <v>63100</v>
      </c>
      <c r="N108" s="4">
        <f>+N34</f>
        <v>60932</v>
      </c>
      <c r="O108" s="4">
        <f>+O34</f>
        <v>86442</v>
      </c>
      <c r="P108" s="4">
        <f>+P34</f>
        <v>82349</v>
      </c>
      <c r="Q108" s="4">
        <f>+Q34</f>
        <v>63786</v>
      </c>
    </row>
    <row r="109" spans="1:27" s="7" customFormat="1">
      <c r="A109" s="6"/>
      <c r="B109" s="6" t="s">
        <v>72</v>
      </c>
      <c r="G109" s="7">
        <v>66430</v>
      </c>
      <c r="H109" s="7">
        <f>144355-G109</f>
        <v>77925</v>
      </c>
      <c r="I109" s="7">
        <f>198571-SUM(G109:H109)</f>
        <v>54216</v>
      </c>
      <c r="J109" s="7">
        <f>+Z109-SUM(G109:I109)</f>
        <v>54743</v>
      </c>
      <c r="K109" s="7">
        <v>77328</v>
      </c>
      <c r="L109" s="7">
        <f>151865-K109</f>
        <v>74537</v>
      </c>
      <c r="M109" s="7">
        <f>215828-SUM(K109:L109)</f>
        <v>63963</v>
      </c>
      <c r="N109" s="7">
        <f>+AA109-SUM(K109:M109)</f>
        <v>61769</v>
      </c>
      <c r="O109" s="7">
        <v>88604</v>
      </c>
      <c r="P109" s="7">
        <f>173029-O109</f>
        <v>84425</v>
      </c>
      <c r="Q109" s="7">
        <f>238653-SUM(O109:P109)</f>
        <v>65624</v>
      </c>
      <c r="X109" s="7">
        <v>181518</v>
      </c>
      <c r="Y109" s="7">
        <v>34925</v>
      </c>
      <c r="Z109" s="7">
        <v>253314</v>
      </c>
      <c r="AA109" s="7">
        <v>277597</v>
      </c>
    </row>
    <row r="110" spans="1:27">
      <c r="B110" s="2" t="s">
        <v>27</v>
      </c>
      <c r="G110" s="4">
        <v>30869</v>
      </c>
      <c r="H110" s="4">
        <f>62519-G110</f>
        <v>31650</v>
      </c>
      <c r="I110" s="4">
        <f>94146-SUM(G110:H110)</f>
        <v>31627</v>
      </c>
      <c r="J110" s="4">
        <f t="shared" ref="J110:J129" si="109">+Z110-SUM(G110:I110)</f>
        <v>32615</v>
      </c>
      <c r="K110" s="4">
        <v>33620</v>
      </c>
      <c r="L110" s="4">
        <f>68040-K110</f>
        <v>34420</v>
      </c>
      <c r="M110" s="4">
        <f>101775-SUM(K110:L110)</f>
        <v>33735</v>
      </c>
      <c r="N110" s="4">
        <f>+AA110-SUM(K110:M110)</f>
        <v>35462</v>
      </c>
      <c r="O110" s="4">
        <v>36227</v>
      </c>
      <c r="P110" s="4">
        <f>73640-O110</f>
        <v>37413</v>
      </c>
      <c r="Q110" s="4">
        <f>112764-SUM(O110:P110)</f>
        <v>39124</v>
      </c>
      <c r="X110" s="4">
        <v>115544</v>
      </c>
      <c r="Y110" s="4">
        <v>117877</v>
      </c>
      <c r="Z110" s="4">
        <v>126761</v>
      </c>
      <c r="AA110" s="4">
        <v>137237</v>
      </c>
    </row>
    <row r="111" spans="1:27">
      <c r="B111" s="2" t="s">
        <v>77</v>
      </c>
      <c r="G111" s="4">
        <v>1025</v>
      </c>
      <c r="H111" s="4">
        <f>2948-G111</f>
        <v>1923</v>
      </c>
      <c r="I111" s="4">
        <f>+-435-SUM(G111:H111)</f>
        <v>-3383</v>
      </c>
      <c r="J111" s="4">
        <f t="shared" si="109"/>
        <v>9331</v>
      </c>
      <c r="K111" s="4">
        <v>2630</v>
      </c>
      <c r="L111" s="4">
        <f>3906-K111</f>
        <v>1276</v>
      </c>
      <c r="M111" s="4">
        <f>5246-SUM(K111:L111)</f>
        <v>1340</v>
      </c>
      <c r="N111" s="4">
        <f t="shared" ref="N111:N129" si="110">+AA111-SUM(K111:M111)</f>
        <v>4210</v>
      </c>
      <c r="O111" s="4">
        <v>2988</v>
      </c>
      <c r="P111" s="4">
        <f>1767-O111</f>
        <v>-1221</v>
      </c>
      <c r="Q111" s="4">
        <f>2707-SUM(O111:P111)</f>
        <v>940</v>
      </c>
      <c r="X111" s="4">
        <v>6335</v>
      </c>
      <c r="Y111" s="4">
        <v>-19932</v>
      </c>
      <c r="Z111" s="4">
        <v>8896</v>
      </c>
      <c r="AA111" s="4">
        <v>9456</v>
      </c>
    </row>
    <row r="112" spans="1:27">
      <c r="B112" s="2" t="s">
        <v>78</v>
      </c>
      <c r="G112" s="4">
        <v>324</v>
      </c>
      <c r="H112" s="4">
        <f>1072-G112</f>
        <v>748</v>
      </c>
      <c r="I112" s="4">
        <f>2312-SUM(G112:H112)</f>
        <v>1240</v>
      </c>
      <c r="J112" s="4">
        <f t="shared" si="109"/>
        <v>855</v>
      </c>
      <c r="K112" s="4">
        <v>1151</v>
      </c>
      <c r="L112" s="4">
        <f>1991-K112</f>
        <v>840</v>
      </c>
      <c r="M112" s="4">
        <f>3635-SUM(K112:L112)</f>
        <v>1644</v>
      </c>
      <c r="N112" s="4">
        <f t="shared" si="110"/>
        <v>1571</v>
      </c>
      <c r="O112" s="4">
        <v>1223</v>
      </c>
      <c r="P112" s="4">
        <f>3475-O112</f>
        <v>2252</v>
      </c>
      <c r="Q112" s="4">
        <f>4315-SUM(O112:P112)</f>
        <v>840</v>
      </c>
      <c r="X112" s="4">
        <v>5885</v>
      </c>
      <c r="Y112" s="4">
        <v>3144</v>
      </c>
      <c r="Z112" s="4">
        <v>3167</v>
      </c>
      <c r="AA112" s="4">
        <v>5206</v>
      </c>
    </row>
    <row r="113" spans="2:27">
      <c r="B113" s="2" t="s">
        <v>79</v>
      </c>
      <c r="G113" s="4">
        <v>494</v>
      </c>
      <c r="H113" s="4">
        <f>505-G113</f>
        <v>11</v>
      </c>
      <c r="I113" s="4">
        <f>512-SUM(G113:H113)</f>
        <v>7</v>
      </c>
      <c r="J113" s="4">
        <f t="shared" si="109"/>
        <v>161</v>
      </c>
      <c r="K113" s="4">
        <v>26</v>
      </c>
      <c r="L113" s="4">
        <f>386-K113</f>
        <v>360</v>
      </c>
      <c r="M113" s="4">
        <f>772-SUM(K113:L113)</f>
        <v>386</v>
      </c>
      <c r="N113" s="4">
        <f t="shared" si="110"/>
        <v>998</v>
      </c>
      <c r="O113" s="4">
        <v>0</v>
      </c>
      <c r="P113" s="4">
        <f>39-O113</f>
        <v>39</v>
      </c>
      <c r="Q113" s="4">
        <f>41-SUM(O113:P113)</f>
        <v>2</v>
      </c>
      <c r="X113" s="4">
        <v>-1283</v>
      </c>
      <c r="Y113" s="4">
        <v>2290</v>
      </c>
      <c r="Z113" s="4">
        <v>673</v>
      </c>
      <c r="AA113" s="4">
        <v>1770</v>
      </c>
    </row>
    <row r="114" spans="2:27">
      <c r="B114" s="2" t="s">
        <v>80</v>
      </c>
      <c r="G114" s="4">
        <v>217</v>
      </c>
      <c r="H114" s="4">
        <f>+-22-G114</f>
        <v>-239</v>
      </c>
      <c r="I114" s="4">
        <f>+-288-SUM(G114:H114)</f>
        <v>-266</v>
      </c>
      <c r="J114" s="4">
        <f t="shared" si="109"/>
        <v>925</v>
      </c>
      <c r="K114" s="4">
        <v>-334</v>
      </c>
      <c r="L114" s="4">
        <f>+-879-K114</f>
        <v>-545</v>
      </c>
      <c r="M114" s="4">
        <f>+-1069-SUM(K114:L114)</f>
        <v>-190</v>
      </c>
      <c r="N114" s="4">
        <f t="shared" si="110"/>
        <v>-170</v>
      </c>
      <c r="O114" s="4">
        <v>-755</v>
      </c>
      <c r="P114" s="4">
        <f>+-1042-O114</f>
        <v>-287</v>
      </c>
      <c r="Q114" s="4">
        <f>+-1181-SUM(O114:P114)</f>
        <v>-139</v>
      </c>
      <c r="X114" s="4">
        <v>-378</v>
      </c>
      <c r="Y114" s="4">
        <v>500</v>
      </c>
      <c r="Z114" s="4">
        <v>637</v>
      </c>
      <c r="AA114" s="4">
        <v>-1239</v>
      </c>
    </row>
    <row r="115" spans="2:27">
      <c r="B115" s="2" t="s">
        <v>81</v>
      </c>
      <c r="G115" s="4">
        <v>122</v>
      </c>
      <c r="H115" s="4">
        <f>401-G115</f>
        <v>279</v>
      </c>
      <c r="I115" s="4">
        <f>729-SUM(G115:H115)</f>
        <v>328</v>
      </c>
      <c r="J115" s="4">
        <f t="shared" si="109"/>
        <v>342</v>
      </c>
      <c r="K115" s="4">
        <v>332</v>
      </c>
      <c r="L115" s="4">
        <f>619-K115</f>
        <v>287</v>
      </c>
      <c r="M115" s="4">
        <f>817-SUM(K115:L115)</f>
        <v>198</v>
      </c>
      <c r="N115" s="4">
        <f t="shared" si="110"/>
        <v>205</v>
      </c>
      <c r="O115" s="4">
        <v>170</v>
      </c>
      <c r="P115" s="4">
        <f>358-O115</f>
        <v>188</v>
      </c>
      <c r="Q115" s="4">
        <f>493-SUM(O115:P115)</f>
        <v>135</v>
      </c>
      <c r="X115" s="4">
        <v>1837</v>
      </c>
      <c r="Y115" s="4">
        <v>329</v>
      </c>
      <c r="Z115" s="4">
        <v>1071</v>
      </c>
      <c r="AA115" s="4">
        <v>1022</v>
      </c>
    </row>
    <row r="116" spans="2:27">
      <c r="B116" s="2" t="s">
        <v>82</v>
      </c>
      <c r="G116" s="4">
        <v>9</v>
      </c>
      <c r="H116" s="4">
        <f>+-1-G116</f>
        <v>-10</v>
      </c>
      <c r="I116" s="4">
        <f>3-SUM(G116:H116)</f>
        <v>4</v>
      </c>
      <c r="J116" s="4">
        <f t="shared" si="109"/>
        <v>4</v>
      </c>
      <c r="K116" s="4">
        <v>12</v>
      </c>
      <c r="L116" s="4">
        <f>27-K116</f>
        <v>15</v>
      </c>
      <c r="M116" s="4">
        <f>36-SUM(K116:L116)</f>
        <v>9</v>
      </c>
      <c r="N116" s="4">
        <f t="shared" si="110"/>
        <v>-3</v>
      </c>
      <c r="O116" s="4">
        <v>28</v>
      </c>
      <c r="P116" s="4">
        <f>1-O116</f>
        <v>-27</v>
      </c>
      <c r="Q116" s="4">
        <f>4-SUM(O116:P116)</f>
        <v>3</v>
      </c>
      <c r="X116" s="4">
        <v>-22</v>
      </c>
      <c r="Y116" s="4">
        <v>-1</v>
      </c>
      <c r="Z116" s="4">
        <v>7</v>
      </c>
      <c r="AA116" s="4">
        <v>33</v>
      </c>
    </row>
    <row r="117" spans="2:27">
      <c r="B117" s="2" t="s">
        <v>83</v>
      </c>
      <c r="G117" s="4">
        <v>9908</v>
      </c>
      <c r="H117" s="4">
        <f>19817-G117</f>
        <v>9909</v>
      </c>
      <c r="I117" s="4">
        <f>30797-SUM(G117:H117)</f>
        <v>10980</v>
      </c>
      <c r="J117" s="4">
        <f t="shared" si="109"/>
        <v>7342</v>
      </c>
      <c r="K117" s="4">
        <v>9120</v>
      </c>
      <c r="L117" s="4">
        <f>18612-K117</f>
        <v>9492</v>
      </c>
      <c r="M117" s="4">
        <f>28192-SUM(K117:L117)</f>
        <v>9580</v>
      </c>
      <c r="N117" s="4">
        <f t="shared" si="110"/>
        <v>8471</v>
      </c>
      <c r="O117" s="4">
        <v>8154</v>
      </c>
      <c r="P117" s="4">
        <f>16744-O117</f>
        <v>8590</v>
      </c>
      <c r="Q117" s="4">
        <f>25266-SUM(O117:P117)</f>
        <v>8522</v>
      </c>
      <c r="X117" s="4">
        <v>35500</v>
      </c>
      <c r="Y117" s="4">
        <v>29431</v>
      </c>
      <c r="Z117" s="4">
        <v>38139</v>
      </c>
      <c r="AA117" s="4">
        <v>36663</v>
      </c>
    </row>
    <row r="118" spans="2:27">
      <c r="B118" s="2" t="s">
        <v>102</v>
      </c>
      <c r="G118" s="4">
        <v>60791</v>
      </c>
      <c r="H118" s="4">
        <f>50143-G118</f>
        <v>-10648</v>
      </c>
      <c r="I118" s="4">
        <f>46395-SUM(G118:H118)</f>
        <v>-3748</v>
      </c>
      <c r="J118" s="4">
        <f t="shared" si="109"/>
        <v>-108794</v>
      </c>
      <c r="K118" s="4">
        <v>116419</v>
      </c>
      <c r="L118" s="4">
        <f>115998-K118</f>
        <v>-421</v>
      </c>
      <c r="M118" s="4">
        <f>123551-SUM(K118:L118)</f>
        <v>7553</v>
      </c>
      <c r="N118" s="4">
        <f t="shared" si="110"/>
        <v>-112489</v>
      </c>
      <c r="O118" s="4">
        <v>109483</v>
      </c>
      <c r="P118" s="4">
        <f>90501-O118</f>
        <v>-18982</v>
      </c>
      <c r="Q118" s="4">
        <f>102068-SUM(O118:P118)</f>
        <v>11567</v>
      </c>
      <c r="X118" s="4">
        <v>-5774</v>
      </c>
      <c r="Y118" s="4">
        <v>1058</v>
      </c>
      <c r="Z118" s="4">
        <v>-62399</v>
      </c>
      <c r="AA118" s="4">
        <v>11062</v>
      </c>
    </row>
    <row r="119" spans="2:27">
      <c r="B119" s="2" t="s">
        <v>45</v>
      </c>
      <c r="G119" s="4">
        <v>-998</v>
      </c>
      <c r="H119" s="4">
        <f>+-3270-G119</f>
        <v>-2272</v>
      </c>
      <c r="I119" s="4">
        <f>+-5420-SUM(G119:H119)</f>
        <v>-2150</v>
      </c>
      <c r="J119" s="4">
        <f t="shared" si="109"/>
        <v>-3811</v>
      </c>
      <c r="K119" s="4">
        <v>1820</v>
      </c>
      <c r="L119" s="4">
        <f>84-K119</f>
        <v>-1736</v>
      </c>
      <c r="M119" s="4">
        <f>+-990-SUM(K119:L119)</f>
        <v>-1074</v>
      </c>
      <c r="N119" s="4">
        <f t="shared" si="110"/>
        <v>-5109</v>
      </c>
      <c r="O119" s="4">
        <v>1612</v>
      </c>
      <c r="P119" s="4">
        <f>303-O119</f>
        <v>-1309</v>
      </c>
      <c r="Q119" s="4">
        <f>1835-SUM(O119:P119)</f>
        <v>1532</v>
      </c>
      <c r="X119" s="4">
        <v>-1414</v>
      </c>
      <c r="Y119" s="4">
        <v>-2017</v>
      </c>
      <c r="Z119" s="4">
        <v>-9231</v>
      </c>
      <c r="AA119" s="4">
        <v>-6099</v>
      </c>
    </row>
    <row r="120" spans="2:27">
      <c r="B120" s="2" t="s">
        <v>47</v>
      </c>
      <c r="G120" s="4">
        <v>874</v>
      </c>
      <c r="H120" s="4">
        <f>2782-G120</f>
        <v>1908</v>
      </c>
      <c r="I120" s="4">
        <f>5311-SUM(G120:H120)</f>
        <v>2529</v>
      </c>
      <c r="J120" s="4">
        <f t="shared" si="109"/>
        <v>-7796</v>
      </c>
      <c r="K120" s="4">
        <v>651</v>
      </c>
      <c r="L120" s="4">
        <f>4294-K120</f>
        <v>3643</v>
      </c>
      <c r="M120" s="4">
        <f>2831-SUM(K120:L120)</f>
        <v>-1463</v>
      </c>
      <c r="N120" s="4">
        <f t="shared" si="110"/>
        <v>-9371</v>
      </c>
      <c r="O120" s="4">
        <v>-3224</v>
      </c>
      <c r="P120" s="4">
        <f>5111-O120</f>
        <v>8335</v>
      </c>
      <c r="Q120" s="4">
        <f>5821-SUM(O120:P120)</f>
        <v>710</v>
      </c>
      <c r="X120" s="4">
        <v>-2049</v>
      </c>
      <c r="Y120" s="4">
        <v>-2133</v>
      </c>
      <c r="Z120" s="4">
        <v>-2485</v>
      </c>
      <c r="AA120" s="4">
        <v>-6540</v>
      </c>
    </row>
    <row r="121" spans="2:27">
      <c r="B121" s="2" t="s">
        <v>54</v>
      </c>
      <c r="G121" s="4">
        <v>-2786</v>
      </c>
      <c r="H121" s="4">
        <f>+-7178-G121</f>
        <v>-4392</v>
      </c>
      <c r="I121" s="4">
        <f>+-11553-SUM(G121:H121)</f>
        <v>-4375</v>
      </c>
      <c r="J121" s="4">
        <f t="shared" si="109"/>
        <v>-2365</v>
      </c>
      <c r="K121" s="4">
        <v>5756</v>
      </c>
      <c r="L121" s="4">
        <f>13852-K121</f>
        <v>8096</v>
      </c>
      <c r="M121" s="4">
        <f>10313-SUM(K121:L121)</f>
        <v>-3539</v>
      </c>
      <c r="N121" s="4">
        <f t="shared" si="110"/>
        <v>-4538</v>
      </c>
      <c r="O121" s="4">
        <v>-2265</v>
      </c>
      <c r="P121" s="4">
        <f>+-10119-O121</f>
        <v>-7854</v>
      </c>
      <c r="Q121" s="4">
        <f>+-12680-SUM(O121:P121)</f>
        <v>-2561</v>
      </c>
      <c r="X121" s="4">
        <v>-12823</v>
      </c>
      <c r="Y121" s="4">
        <v>-12698</v>
      </c>
      <c r="Z121" s="4">
        <v>-13918</v>
      </c>
      <c r="AA121" s="4">
        <v>5775</v>
      </c>
    </row>
    <row r="122" spans="2:27">
      <c r="B122" s="2" t="s">
        <v>56</v>
      </c>
      <c r="G122" s="4">
        <v>19937</v>
      </c>
      <c r="H122" s="4">
        <f>21301-G122</f>
        <v>1364</v>
      </c>
      <c r="I122" s="4">
        <f>13667-SUM(G122:H122)</f>
        <v>-7634</v>
      </c>
      <c r="J122" s="4">
        <f t="shared" si="109"/>
        <v>14063</v>
      </c>
      <c r="K122" s="4">
        <v>6275</v>
      </c>
      <c r="L122" s="4">
        <f>4301-K122</f>
        <v>-1974</v>
      </c>
      <c r="M122" s="4">
        <f>1941-SUM(K122:L122)</f>
        <v>-2360</v>
      </c>
      <c r="N122" s="4">
        <f t="shared" si="110"/>
        <v>3467</v>
      </c>
      <c r="O122" s="4">
        <v>10418</v>
      </c>
      <c r="P122" s="4">
        <f>14365-O122</f>
        <v>3947</v>
      </c>
      <c r="Q122" s="4">
        <f>14188-SUM(O122:P122)</f>
        <v>-177</v>
      </c>
      <c r="X122" s="4">
        <v>407</v>
      </c>
      <c r="Y122" s="4">
        <v>490</v>
      </c>
      <c r="Z122" s="4">
        <v>27730</v>
      </c>
      <c r="AA122" s="4">
        <v>5408</v>
      </c>
    </row>
    <row r="123" spans="2:27">
      <c r="B123" s="2" t="s">
        <v>84</v>
      </c>
      <c r="G123" s="4">
        <v>-50454</v>
      </c>
      <c r="H123" s="4">
        <f>+-54866-G123</f>
        <v>-4412</v>
      </c>
      <c r="I123" s="4">
        <f>+-72142-SUM(G123:H123)</f>
        <v>-17276</v>
      </c>
      <c r="J123" s="4">
        <f t="shared" si="109"/>
        <v>139987</v>
      </c>
      <c r="K123" s="4">
        <v>-80009</v>
      </c>
      <c r="L123" s="4">
        <f>+-93175-K123</f>
        <v>-13166</v>
      </c>
      <c r="M123" s="4">
        <f>+-119338-SUM(K123:L123)</f>
        <v>-26163</v>
      </c>
      <c r="N123" s="4">
        <f t="shared" si="110"/>
        <v>153137</v>
      </c>
      <c r="O123" s="4">
        <v>-95838</v>
      </c>
      <c r="P123" s="4">
        <f>+-110436-O123</f>
        <v>-14598</v>
      </c>
      <c r="Q123" s="4">
        <f>+-135251-SUM(O123:P123)</f>
        <v>-24815</v>
      </c>
      <c r="X123" s="4">
        <v>16991</v>
      </c>
      <c r="Y123" s="4">
        <v>23458</v>
      </c>
      <c r="Z123" s="4">
        <v>67845</v>
      </c>
      <c r="AA123" s="4">
        <v>33799</v>
      </c>
    </row>
    <row r="124" spans="2:27">
      <c r="B124" s="2" t="s">
        <v>85</v>
      </c>
      <c r="G124" s="4">
        <v>17896</v>
      </c>
      <c r="H124" s="4">
        <f>19855-G124</f>
        <v>1959</v>
      </c>
      <c r="I124" s="4">
        <f>+-8120-SUM(G124:H124)</f>
        <v>-27975</v>
      </c>
      <c r="J124" s="4">
        <f t="shared" si="109"/>
        <v>20854</v>
      </c>
      <c r="K124" s="4">
        <v>15118</v>
      </c>
      <c r="L124" s="4">
        <f>16395-K124</f>
        <v>1277</v>
      </c>
      <c r="M124" s="4">
        <f>21130-SUM(K124:L124)</f>
        <v>4735</v>
      </c>
      <c r="N124" s="4">
        <f t="shared" si="110"/>
        <v>-31302</v>
      </c>
      <c r="O124" s="4">
        <v>11609</v>
      </c>
      <c r="P124" s="4">
        <f>12620-O124</f>
        <v>1011</v>
      </c>
      <c r="Q124" s="4">
        <f>13469-SUM(O124:P124)</f>
        <v>849</v>
      </c>
      <c r="X124" s="4">
        <v>5540</v>
      </c>
      <c r="Y124" s="4">
        <v>12283</v>
      </c>
      <c r="Z124" s="4">
        <v>12734</v>
      </c>
      <c r="AA124" s="4">
        <v>-10172</v>
      </c>
    </row>
    <row r="125" spans="2:27">
      <c r="B125" s="2" t="s">
        <v>86</v>
      </c>
      <c r="G125" s="4">
        <v>11055</v>
      </c>
      <c r="H125" s="4">
        <f>2589-G125</f>
        <v>-8466</v>
      </c>
      <c r="I125" s="4">
        <f>2078-SUM(G125:H125)</f>
        <v>-511</v>
      </c>
      <c r="J125" s="4">
        <f t="shared" si="109"/>
        <v>-11051</v>
      </c>
      <c r="K125" s="4">
        <v>11447</v>
      </c>
      <c r="L125" s="4">
        <f>6611-K125</f>
        <v>-4836</v>
      </c>
      <c r="M125" s="4">
        <f>10886-SUM(K125:L125)</f>
        <v>4275</v>
      </c>
      <c r="N125" s="4">
        <f t="shared" si="110"/>
        <v>-4933</v>
      </c>
      <c r="O125" s="4">
        <v>10381</v>
      </c>
      <c r="P125" s="4">
        <f>5224-O125</f>
        <v>-5157</v>
      </c>
      <c r="Q125" s="4">
        <f>2443-SUM(O125:P125)</f>
        <v>-2781</v>
      </c>
      <c r="X125" s="4">
        <v>5554</v>
      </c>
      <c r="Y125" s="4">
        <v>372</v>
      </c>
      <c r="Z125" s="4">
        <v>-8973</v>
      </c>
      <c r="AA125" s="4">
        <v>5953</v>
      </c>
    </row>
    <row r="126" spans="2:27">
      <c r="B126" s="2" t="s">
        <v>60</v>
      </c>
      <c r="G126" s="4">
        <v>7559</v>
      </c>
      <c r="H126" s="4">
        <f>7225-G126</f>
        <v>-334</v>
      </c>
      <c r="I126" s="4">
        <f>8700-SUM(G126:H126)</f>
        <v>1475</v>
      </c>
      <c r="J126" s="4">
        <f t="shared" si="109"/>
        <v>-76</v>
      </c>
      <c r="K126" s="4">
        <v>315</v>
      </c>
      <c r="L126" s="4">
        <f>1284-K126</f>
        <v>969</v>
      </c>
      <c r="M126" s="4">
        <f>4016-SUM(K126:L126)</f>
        <v>2732</v>
      </c>
      <c r="N126" s="4">
        <f t="shared" si="110"/>
        <v>-2127</v>
      </c>
      <c r="O126" s="4">
        <v>3137</v>
      </c>
      <c r="P126" s="4">
        <f>5346-O126</f>
        <v>2209</v>
      </c>
      <c r="Q126" s="4">
        <f>7041-SUM(O126:P126)</f>
        <v>1695</v>
      </c>
      <c r="X126" s="4">
        <v>5802</v>
      </c>
      <c r="Y126" s="4">
        <v>-5700</v>
      </c>
      <c r="Z126" s="4">
        <v>8624</v>
      </c>
      <c r="AA126" s="4">
        <v>1889</v>
      </c>
    </row>
    <row r="127" spans="2:27">
      <c r="B127" s="2" t="s">
        <v>88</v>
      </c>
      <c r="G127" s="4">
        <v>-643</v>
      </c>
      <c r="H127" s="4">
        <f>14649-G127</f>
        <v>15292</v>
      </c>
      <c r="I127" s="4">
        <f>27252-SUM(G127:H127)</f>
        <v>12603</v>
      </c>
      <c r="J127" s="4">
        <f t="shared" si="109"/>
        <v>-6900</v>
      </c>
      <c r="K127" s="4">
        <v>-10676</v>
      </c>
      <c r="L127" s="4">
        <f>+-8339-K127</f>
        <v>2337</v>
      </c>
      <c r="M127" s="4">
        <f>+-8916-SUM(K127:L127)</f>
        <v>-577</v>
      </c>
      <c r="N127" s="4">
        <f t="shared" si="110"/>
        <v>11063</v>
      </c>
      <c r="O127" s="4">
        <v>3044</v>
      </c>
      <c r="P127" s="4">
        <f>+-7624-O127</f>
        <v>-10668</v>
      </c>
      <c r="Q127" s="4">
        <f>+-10117-SUM(O127:P127)</f>
        <v>-2493</v>
      </c>
      <c r="X127" s="4">
        <v>-3773</v>
      </c>
      <c r="Y127" s="4">
        <v>4099</v>
      </c>
      <c r="Z127" s="4">
        <v>20352</v>
      </c>
      <c r="AA127" s="4">
        <v>2147</v>
      </c>
    </row>
    <row r="128" spans="2:27">
      <c r="B128" s="2" t="s">
        <v>51</v>
      </c>
      <c r="G128" s="4">
        <v>1520</v>
      </c>
      <c r="H128" s="4">
        <f>2592-G128</f>
        <v>1072</v>
      </c>
      <c r="I128" s="4">
        <f>5797-SUM(G128:H128)</f>
        <v>3205</v>
      </c>
      <c r="J128" s="4">
        <f t="shared" si="109"/>
        <v>-244</v>
      </c>
      <c r="K128" s="4">
        <v>1542</v>
      </c>
      <c r="L128" s="4">
        <f>3385-K128</f>
        <v>1843</v>
      </c>
      <c r="M128" s="4">
        <f>3950-SUM(K128:L128)</f>
        <v>565</v>
      </c>
      <c r="N128" s="4">
        <f t="shared" si="110"/>
        <v>1318</v>
      </c>
      <c r="O128" s="4">
        <v>1090</v>
      </c>
      <c r="P128" s="4">
        <f>3178-O128</f>
        <v>2088</v>
      </c>
      <c r="Q128" s="4">
        <f>4702-SUM(O128:P128)</f>
        <v>1524</v>
      </c>
      <c r="X128" s="4">
        <v>5826</v>
      </c>
      <c r="Y128" s="4">
        <v>4635</v>
      </c>
      <c r="Z128" s="4">
        <v>5553</v>
      </c>
      <c r="AA128" s="4">
        <v>5268</v>
      </c>
    </row>
    <row r="129" spans="1:27">
      <c r="B129" s="2" t="s">
        <v>87</v>
      </c>
      <c r="G129" s="4">
        <v>3864</v>
      </c>
      <c r="H129" s="4">
        <f>9430-G129</f>
        <v>5566</v>
      </c>
      <c r="I129" s="4">
        <f>10397-SUM(G129:H129)</f>
        <v>967</v>
      </c>
      <c r="J129" s="4">
        <f t="shared" si="109"/>
        <v>-20068</v>
      </c>
      <c r="K129" s="4">
        <v>-4774</v>
      </c>
      <c r="L129" s="4">
        <f>+-10554-K129</f>
        <v>-5780</v>
      </c>
      <c r="M129" s="4">
        <f>+-9549-SUM(K129:L129)</f>
        <v>1005</v>
      </c>
      <c r="N129" s="4">
        <f t="shared" si="110"/>
        <v>5039</v>
      </c>
      <c r="O129" s="4">
        <v>2895</v>
      </c>
      <c r="P129" s="4">
        <f>11753-O129</f>
        <v>8858</v>
      </c>
      <c r="Q129" s="4">
        <f>14158-SUM(O129:P129)</f>
        <v>2405</v>
      </c>
      <c r="X129" s="4">
        <v>15075</v>
      </c>
      <c r="Y129" s="4">
        <v>38028</v>
      </c>
      <c r="Z129" s="4">
        <v>-9671</v>
      </c>
      <c r="AA129" s="4">
        <v>-4510</v>
      </c>
    </row>
    <row r="130" spans="1:27" s="7" customFormat="1">
      <c r="A130" s="6"/>
      <c r="B130" s="6" t="s">
        <v>76</v>
      </c>
      <c r="G130" s="7">
        <f t="shared" ref="G130:P130" si="111">SUM(G109:G129)</f>
        <v>178013</v>
      </c>
      <c r="H130" s="7">
        <f t="shared" si="111"/>
        <v>118833</v>
      </c>
      <c r="I130" s="7">
        <f t="shared" si="111"/>
        <v>51863</v>
      </c>
      <c r="J130" s="7">
        <f t="shared" si="111"/>
        <v>120117</v>
      </c>
      <c r="K130" s="7">
        <f t="shared" si="111"/>
        <v>187769</v>
      </c>
      <c r="L130" s="7">
        <f t="shared" si="111"/>
        <v>110934</v>
      </c>
      <c r="M130" s="7">
        <f t="shared" si="111"/>
        <v>96354</v>
      </c>
      <c r="N130" s="7">
        <f t="shared" si="111"/>
        <v>116668</v>
      </c>
      <c r="O130" s="7">
        <f t="shared" si="111"/>
        <v>188981</v>
      </c>
      <c r="P130" s="7">
        <f t="shared" si="111"/>
        <v>99252</v>
      </c>
      <c r="Q130" s="7">
        <f t="shared" ref="Q130" si="112">SUM(Q109:Q129)</f>
        <v>102506</v>
      </c>
      <c r="X130" s="7">
        <f>+SUM(X109:X129)</f>
        <v>374298</v>
      </c>
      <c r="Y130" s="7">
        <f t="shared" ref="Y130:AA130" si="113">+SUM(Y109:Y129)</f>
        <v>230438</v>
      </c>
      <c r="Z130" s="7">
        <f t="shared" si="113"/>
        <v>468826</v>
      </c>
      <c r="AA130" s="7">
        <f t="shared" si="113"/>
        <v>511725</v>
      </c>
    </row>
    <row r="132" spans="1:27">
      <c r="B132" s="2" t="s">
        <v>89</v>
      </c>
      <c r="G132" s="4">
        <v>-38666</v>
      </c>
      <c r="H132" s="4">
        <f>+-85068-G132</f>
        <v>-46402</v>
      </c>
      <c r="I132" s="4">
        <f>+-139001-SUM(G132:H132)</f>
        <v>-53933</v>
      </c>
      <c r="J132" s="4">
        <f>+Z132-SUM(G132:I132)</f>
        <v>-61691</v>
      </c>
      <c r="K132" s="4">
        <v>-49029</v>
      </c>
      <c r="L132" s="4">
        <f>+-108567-K132</f>
        <v>-59538</v>
      </c>
      <c r="M132" s="4">
        <f>+-174194-SUM(K132:L132)</f>
        <v>-65627</v>
      </c>
      <c r="N132" s="4">
        <f t="shared" ref="N132:N136" si="114">+AA132-SUM(K132:M132)</f>
        <v>-71927</v>
      </c>
      <c r="O132" s="4">
        <v>-66733</v>
      </c>
      <c r="P132" s="4">
        <f>+-154580-O132</f>
        <v>-87847</v>
      </c>
      <c r="Q132" s="4">
        <f>+-243895-SUM(O132:P132)</f>
        <v>-89315</v>
      </c>
      <c r="X132" s="4">
        <v>-214340</v>
      </c>
      <c r="Y132" s="4">
        <f>+-154401</f>
        <v>-154401</v>
      </c>
      <c r="Z132" s="4">
        <v>-200692</v>
      </c>
      <c r="AA132" s="4">
        <v>-246121</v>
      </c>
    </row>
    <row r="133" spans="1:27">
      <c r="B133" s="2" t="s">
        <v>90</v>
      </c>
      <c r="G133" s="4">
        <v>0</v>
      </c>
      <c r="H133" s="4">
        <f>0-G133</f>
        <v>0</v>
      </c>
      <c r="I133" s="4">
        <f>0-SUM(G133:H133)</f>
        <v>0</v>
      </c>
      <c r="J133" s="4">
        <f t="shared" ref="J133:J136" si="115">+Z133-SUM(G133:I133)</f>
        <v>0</v>
      </c>
      <c r="K133" s="4">
        <v>-26437</v>
      </c>
      <c r="L133" s="4">
        <f>+-33069-K133</f>
        <v>-6632</v>
      </c>
      <c r="M133" s="4">
        <f>+-33069-SUM(K133:L133)</f>
        <v>0</v>
      </c>
      <c r="N133" s="4">
        <f t="shared" si="114"/>
        <v>0</v>
      </c>
      <c r="O133" s="4">
        <v>-39111</v>
      </c>
      <c r="P133" s="4">
        <f>+-39153-O133</f>
        <v>-42</v>
      </c>
      <c r="Q133" s="4">
        <f>+-39153-SUM(O133:P133)</f>
        <v>0</v>
      </c>
      <c r="X133" s="4">
        <v>-1536</v>
      </c>
      <c r="Y133" s="4">
        <v>-10580</v>
      </c>
      <c r="Z133" s="4">
        <v>0</v>
      </c>
      <c r="AA133" s="4">
        <v>-33069</v>
      </c>
    </row>
    <row r="134" spans="1:27">
      <c r="B134" s="2" t="s">
        <v>99</v>
      </c>
      <c r="H134" s="4">
        <f>0-G134</f>
        <v>0</v>
      </c>
      <c r="I134" s="4">
        <f>0-SUM(G134:H134)</f>
        <v>0</v>
      </c>
      <c r="J134" s="4">
        <f t="shared" si="115"/>
        <v>0</v>
      </c>
      <c r="L134" s="4">
        <f>316-K134</f>
        <v>316</v>
      </c>
      <c r="M134" s="4">
        <f>316-SUM(K134:L134)</f>
        <v>0</v>
      </c>
      <c r="N134" s="4">
        <f t="shared" si="114"/>
        <v>0</v>
      </c>
      <c r="O134" s="4">
        <v>472</v>
      </c>
      <c r="P134" s="4">
        <f>632-O134</f>
        <v>160</v>
      </c>
      <c r="Q134" s="4">
        <f>632-SUM(O134:P134)</f>
        <v>0</v>
      </c>
      <c r="AA134" s="4">
        <v>316</v>
      </c>
    </row>
    <row r="135" spans="1:27">
      <c r="B135" s="2" t="s">
        <v>91</v>
      </c>
      <c r="G135" s="4">
        <v>0</v>
      </c>
      <c r="H135" s="4">
        <f>0-G135</f>
        <v>0</v>
      </c>
      <c r="I135" s="4">
        <f>0-SUM(G135:H135)</f>
        <v>0</v>
      </c>
      <c r="J135" s="4">
        <f t="shared" si="115"/>
        <v>0</v>
      </c>
      <c r="K135" s="4">
        <v>2188</v>
      </c>
      <c r="L135" s="4">
        <f>2188-K135</f>
        <v>0</v>
      </c>
      <c r="M135" s="4">
        <f>2262-SUM(K135:L135)</f>
        <v>74</v>
      </c>
      <c r="N135" s="4">
        <f t="shared" si="114"/>
        <v>7</v>
      </c>
      <c r="P135" s="4">
        <f>0-O135</f>
        <v>0</v>
      </c>
      <c r="Q135" s="4">
        <f>1800-SUM(O135:P135)</f>
        <v>1800</v>
      </c>
      <c r="X135" s="4">
        <v>1056</v>
      </c>
      <c r="Y135" s="4">
        <v>0</v>
      </c>
      <c r="Z135" s="4">
        <v>0</v>
      </c>
      <c r="AA135" s="4">
        <v>2269</v>
      </c>
    </row>
    <row r="136" spans="1:27">
      <c r="B136" s="2" t="s">
        <v>92</v>
      </c>
      <c r="G136" s="4">
        <v>2192</v>
      </c>
      <c r="H136" s="4">
        <f>3285-G136</f>
        <v>1093</v>
      </c>
      <c r="I136" s="4">
        <f>5588-SUM(G136:H136)</f>
        <v>2303</v>
      </c>
      <c r="J136" s="4">
        <f t="shared" si="115"/>
        <v>0</v>
      </c>
      <c r="K136" s="4">
        <v>0</v>
      </c>
      <c r="L136" s="4">
        <v>0</v>
      </c>
      <c r="M136" s="4">
        <f>9078-SUM(K136:L136)</f>
        <v>9078</v>
      </c>
      <c r="N136" s="4">
        <f t="shared" si="114"/>
        <v>3793</v>
      </c>
      <c r="O136" s="4">
        <v>2072</v>
      </c>
      <c r="P136" s="4">
        <f>7097-O136</f>
        <v>5025</v>
      </c>
      <c r="Q136" s="4">
        <f>7097-SUM(O136:P136)</f>
        <v>0</v>
      </c>
      <c r="X136" s="4">
        <v>0</v>
      </c>
      <c r="Y136" s="4">
        <v>2167</v>
      </c>
      <c r="Z136" s="4">
        <v>5588</v>
      </c>
      <c r="AA136" s="4">
        <v>12871</v>
      </c>
    </row>
    <row r="137" spans="1:27" s="7" customFormat="1">
      <c r="A137" s="6"/>
      <c r="B137" s="6" t="s">
        <v>75</v>
      </c>
      <c r="G137" s="7">
        <f t="shared" ref="G137:P137" si="116">+SUM(G132:G136)</f>
        <v>-36474</v>
      </c>
      <c r="H137" s="7">
        <f t="shared" si="116"/>
        <v>-45309</v>
      </c>
      <c r="I137" s="7">
        <f t="shared" si="116"/>
        <v>-51630</v>
      </c>
      <c r="J137" s="7">
        <f t="shared" si="116"/>
        <v>-61691</v>
      </c>
      <c r="K137" s="7">
        <f t="shared" si="116"/>
        <v>-73278</v>
      </c>
      <c r="L137" s="7">
        <f t="shared" si="116"/>
        <v>-65854</v>
      </c>
      <c r="M137" s="7">
        <f t="shared" si="116"/>
        <v>-56475</v>
      </c>
      <c r="N137" s="7">
        <f t="shared" si="116"/>
        <v>-68127</v>
      </c>
      <c r="O137" s="7">
        <f t="shared" si="116"/>
        <v>-103300</v>
      </c>
      <c r="P137" s="7">
        <f t="shared" si="116"/>
        <v>-82704</v>
      </c>
      <c r="Q137" s="7">
        <f t="shared" ref="Q137" si="117">+SUM(Q132:Q136)</f>
        <v>-87515</v>
      </c>
      <c r="X137" s="7">
        <f>+SUM(X132:X136)</f>
        <v>-214820</v>
      </c>
      <c r="Y137" s="7">
        <f t="shared" ref="Y137:AA137" si="118">+SUM(Y132:Y136)</f>
        <v>-162814</v>
      </c>
      <c r="Z137" s="7">
        <f t="shared" si="118"/>
        <v>-195104</v>
      </c>
      <c r="AA137" s="7">
        <f t="shared" si="118"/>
        <v>-263734</v>
      </c>
    </row>
    <row r="139" spans="1:27">
      <c r="B139" s="2" t="s">
        <v>100</v>
      </c>
      <c r="H139" s="4">
        <f>-50000-G139</f>
        <v>-50000</v>
      </c>
      <c r="I139" s="4">
        <f>+-50000-SUM(G139:H139)</f>
        <v>0</v>
      </c>
      <c r="J139" s="4">
        <f>+Z139-SUM(G139:I139)</f>
        <v>-90000</v>
      </c>
      <c r="L139" s="4">
        <f>+-25000-K139</f>
        <v>-25000</v>
      </c>
      <c r="M139" s="4">
        <f>-25000-SUM(K139:L139)</f>
        <v>0</v>
      </c>
      <c r="N139" s="4">
        <f t="shared" ref="N139:N146" si="119">+AA139-SUM(K139:M139)</f>
        <v>-25000</v>
      </c>
      <c r="O139" s="4">
        <v>-50000</v>
      </c>
      <c r="P139" s="4">
        <f>+-50000-O139</f>
        <v>0</v>
      </c>
      <c r="Q139" s="4">
        <f>+-50000-SUM(O139:P139)</f>
        <v>0</v>
      </c>
      <c r="X139" s="4">
        <v>0</v>
      </c>
      <c r="Y139" s="4">
        <v>240000</v>
      </c>
      <c r="Z139" s="4">
        <v>-140000</v>
      </c>
      <c r="AA139" s="4">
        <v>-50000</v>
      </c>
    </row>
    <row r="140" spans="1:27">
      <c r="B140" s="2" t="s">
        <v>101</v>
      </c>
      <c r="H140" s="4">
        <f>+-708-G140</f>
        <v>-708</v>
      </c>
      <c r="I140" s="4">
        <f>+-708-SUM(G140:H140)</f>
        <v>0</v>
      </c>
      <c r="J140" s="4">
        <f t="shared" ref="J140:J146" si="120">+Z140-SUM(G140:I140)</f>
        <v>0</v>
      </c>
      <c r="L140" s="4">
        <f>0-K140</f>
        <v>0</v>
      </c>
      <c r="M140" s="4">
        <f>0-SUM(K140:L140)</f>
        <v>0</v>
      </c>
      <c r="N140" s="4">
        <f t="shared" si="119"/>
        <v>0</v>
      </c>
      <c r="O140" s="4">
        <v>0</v>
      </c>
      <c r="X140" s="4">
        <v>0</v>
      </c>
      <c r="Y140" s="4">
        <v>-641</v>
      </c>
      <c r="Z140" s="4">
        <v>-708</v>
      </c>
      <c r="AA140" s="4">
        <v>0</v>
      </c>
    </row>
    <row r="141" spans="1:27">
      <c r="B141" s="2" t="s">
        <v>81</v>
      </c>
      <c r="G141" s="4">
        <v>-1429</v>
      </c>
      <c r="H141" s="4">
        <f>+-4423-G141</f>
        <v>-2994</v>
      </c>
      <c r="I141" s="4">
        <f>+-6448-SUM(G141:H141)</f>
        <v>-2025</v>
      </c>
      <c r="J141" s="4">
        <f t="shared" si="120"/>
        <v>-1758</v>
      </c>
      <c r="K141" s="4">
        <v>-2007</v>
      </c>
      <c r="L141" s="4">
        <f>-4137-K141</f>
        <v>-2130</v>
      </c>
      <c r="M141" s="4">
        <f>+-5841-SUM(K141:L141)</f>
        <v>-1704</v>
      </c>
      <c r="N141" s="4">
        <f t="shared" si="119"/>
        <v>-1934</v>
      </c>
      <c r="O141" s="4">
        <v>0</v>
      </c>
      <c r="X141" s="4">
        <v>-6357</v>
      </c>
      <c r="Y141" s="4">
        <v>-3432</v>
      </c>
      <c r="Z141" s="4">
        <v>-8206</v>
      </c>
      <c r="AA141" s="4">
        <v>-7775</v>
      </c>
    </row>
    <row r="142" spans="1:27">
      <c r="B142" s="2" t="s">
        <v>35</v>
      </c>
      <c r="H142" s="4">
        <f>0-G142</f>
        <v>0</v>
      </c>
      <c r="I142" s="4">
        <f>0-SUM(G142:H142)</f>
        <v>0</v>
      </c>
      <c r="J142" s="4">
        <f t="shared" si="120"/>
        <v>0</v>
      </c>
      <c r="L142" s="4">
        <f>+-1735-K142</f>
        <v>-1735</v>
      </c>
      <c r="M142" s="4">
        <f>+-1735-SUM(K142:L142)</f>
        <v>0</v>
      </c>
      <c r="N142" s="4">
        <f t="shared" si="119"/>
        <v>0</v>
      </c>
      <c r="O142" s="4">
        <v>-1950</v>
      </c>
      <c r="P142" s="4">
        <f>+-4127-O142</f>
        <v>-2177</v>
      </c>
      <c r="Q142" s="4">
        <f>+-6021-SUM(O142:P142)</f>
        <v>-1894</v>
      </c>
      <c r="X142" s="4">
        <v>-743</v>
      </c>
      <c r="Y142" s="4">
        <v>0</v>
      </c>
      <c r="Z142" s="4">
        <v>0</v>
      </c>
      <c r="AA142" s="4">
        <v>-1735</v>
      </c>
    </row>
    <row r="143" spans="1:27">
      <c r="B143" s="2" t="s">
        <v>93</v>
      </c>
      <c r="G143" s="4">
        <v>311</v>
      </c>
      <c r="H143" s="4">
        <f>459-G143</f>
        <v>148</v>
      </c>
      <c r="I143" s="4">
        <f>642-SUM(G143:H143)</f>
        <v>183</v>
      </c>
      <c r="J143" s="4">
        <f t="shared" si="120"/>
        <v>-40</v>
      </c>
      <c r="K143" s="4">
        <v>260</v>
      </c>
      <c r="L143" s="4">
        <f>137-K143</f>
        <v>-123</v>
      </c>
      <c r="M143" s="4">
        <f>91-SUM(K143:L143)</f>
        <v>-46</v>
      </c>
      <c r="N143" s="4">
        <f t="shared" si="119"/>
        <v>216</v>
      </c>
      <c r="O143" s="4">
        <v>482</v>
      </c>
      <c r="P143" s="4">
        <f>356-O143</f>
        <v>-126</v>
      </c>
      <c r="Q143" s="4">
        <f>485-SUM(O143:P143)</f>
        <v>129</v>
      </c>
      <c r="X143" s="4">
        <v>62</v>
      </c>
      <c r="Y143" s="4">
        <v>-823</v>
      </c>
      <c r="Z143" s="4">
        <v>602</v>
      </c>
      <c r="AA143" s="4">
        <v>307</v>
      </c>
    </row>
    <row r="144" spans="1:27">
      <c r="B144" s="2" t="s">
        <v>94</v>
      </c>
      <c r="G144" s="4">
        <v>-7930</v>
      </c>
      <c r="H144" s="4">
        <f>+-12195-G144</f>
        <v>-4265</v>
      </c>
      <c r="I144" s="4">
        <f>+-14842-SUM(G144:H144)</f>
        <v>-2647</v>
      </c>
      <c r="J144" s="4">
        <f t="shared" si="120"/>
        <v>-2786</v>
      </c>
      <c r="K144" s="4">
        <v>-6166</v>
      </c>
      <c r="L144" s="4">
        <f>+-8664-K144</f>
        <v>-2498</v>
      </c>
      <c r="M144" s="4">
        <f>+-11108-SUM(K144:L144)</f>
        <v>-2444</v>
      </c>
      <c r="N144" s="4">
        <f t="shared" si="119"/>
        <v>-2468</v>
      </c>
      <c r="O144" s="4">
        <v>-5430</v>
      </c>
      <c r="P144" s="4">
        <f>+-8239-O144</f>
        <v>-2809</v>
      </c>
      <c r="Q144" s="4">
        <f>+-10599-SUM(O144:P144)</f>
        <v>-2360</v>
      </c>
      <c r="X144" s="4">
        <v>-12471</v>
      </c>
      <c r="Y144" s="4">
        <v>-11684</v>
      </c>
      <c r="Z144" s="4">
        <v>-17628</v>
      </c>
      <c r="AA144" s="4">
        <v>-13576</v>
      </c>
    </row>
    <row r="145" spans="1:27">
      <c r="B145" s="2" t="s">
        <v>95</v>
      </c>
      <c r="G145" s="4">
        <v>0</v>
      </c>
      <c r="H145" s="4">
        <f>0-G145</f>
        <v>0</v>
      </c>
      <c r="I145" s="4">
        <f>+-14683-SUM(G145:H145)</f>
        <v>-14683</v>
      </c>
      <c r="J145" s="4">
        <f t="shared" si="120"/>
        <v>-36951</v>
      </c>
      <c r="K145" s="4">
        <v>-84705</v>
      </c>
      <c r="L145" s="4">
        <f>+-212859-K145</f>
        <v>-128154</v>
      </c>
      <c r="M145" s="4">
        <f>+-212859-SUM(K145:L145)</f>
        <v>0</v>
      </c>
      <c r="N145" s="4">
        <f t="shared" si="119"/>
        <v>0</v>
      </c>
      <c r="O145" s="4">
        <v>-9623</v>
      </c>
      <c r="P145" s="4">
        <f>+-33058-O145</f>
        <v>-23435</v>
      </c>
      <c r="Q145" s="4">
        <f>+-45193-SUM(O145:P145)</f>
        <v>-12135</v>
      </c>
      <c r="X145" s="4">
        <v>-139849</v>
      </c>
      <c r="Y145" s="4">
        <v>-12621</v>
      </c>
      <c r="Z145" s="4">
        <v>-51634</v>
      </c>
      <c r="AA145" s="4">
        <v>-212859</v>
      </c>
    </row>
    <row r="146" spans="1:27">
      <c r="B146" s="2" t="s">
        <v>96</v>
      </c>
      <c r="G146" s="4">
        <v>0</v>
      </c>
      <c r="H146" s="4">
        <f>+-27932-G146</f>
        <v>-27932</v>
      </c>
      <c r="I146" s="4">
        <f>+-55849-SUM(G146:H146)</f>
        <v>-27917</v>
      </c>
      <c r="J146" s="4">
        <f t="shared" si="120"/>
        <v>-27809</v>
      </c>
      <c r="K146" s="4">
        <v>-31795</v>
      </c>
      <c r="L146" s="4">
        <f>+-62547-K146</f>
        <v>-30752</v>
      </c>
      <c r="M146" s="4">
        <f>+-93328-SUM(K146:L146)</f>
        <v>-30781</v>
      </c>
      <c r="N146" s="4">
        <f t="shared" si="119"/>
        <v>-30809</v>
      </c>
      <c r="O146" s="4">
        <v>-36878</v>
      </c>
      <c r="P146" s="4">
        <f>+-73698-O146</f>
        <v>-36820</v>
      </c>
      <c r="Q146" s="4">
        <f>+-110429-SUM(O146:P146)</f>
        <v>-36731</v>
      </c>
      <c r="X146" s="4">
        <v>-102366</v>
      </c>
      <c r="Y146" s="4">
        <v>-24989</v>
      </c>
      <c r="Z146" s="4">
        <v>-83658</v>
      </c>
      <c r="AA146" s="4">
        <v>-124137</v>
      </c>
    </row>
    <row r="147" spans="1:27" s="7" customFormat="1">
      <c r="A147" s="6"/>
      <c r="B147" s="6" t="s">
        <v>74</v>
      </c>
      <c r="G147" s="7">
        <f>+SUM(G141:G146)</f>
        <v>-9048</v>
      </c>
      <c r="H147" s="7">
        <f>+SUM(H139:H146)</f>
        <v>-85751</v>
      </c>
      <c r="I147" s="7">
        <f>+SUM(I139:I146)</f>
        <v>-47089</v>
      </c>
      <c r="J147" s="7">
        <f>+SUM(J139:J146)</f>
        <v>-159344</v>
      </c>
      <c r="K147" s="7">
        <f>+SUM(K141:K146)</f>
        <v>-124413</v>
      </c>
      <c r="L147" s="7">
        <f>+SUM(L139:L146)</f>
        <v>-190392</v>
      </c>
      <c r="M147" s="7">
        <f>+SUM(M139:M146)</f>
        <v>-34975</v>
      </c>
      <c r="N147" s="7">
        <f t="shared" ref="N147:P147" si="121">+SUM(N139:N146)</f>
        <v>-59995</v>
      </c>
      <c r="O147" s="7">
        <f t="shared" si="121"/>
        <v>-103399</v>
      </c>
      <c r="P147" s="7">
        <f t="shared" si="121"/>
        <v>-65367</v>
      </c>
      <c r="Q147" s="7">
        <f>+SUM(Q139:Q146)</f>
        <v>-52991</v>
      </c>
      <c r="X147" s="7">
        <f>+SUM(X139:X146)</f>
        <v>-261724</v>
      </c>
      <c r="Y147" s="7">
        <f t="shared" ref="Y147:AA147" si="122">+SUM(Y139:Y146)</f>
        <v>185810</v>
      </c>
      <c r="Z147" s="7">
        <f t="shared" si="122"/>
        <v>-301232</v>
      </c>
      <c r="AA147" s="7">
        <f t="shared" si="122"/>
        <v>-409775</v>
      </c>
    </row>
    <row r="149" spans="1:27" s="7" customFormat="1">
      <c r="A149" s="6"/>
      <c r="B149" s="6" t="s">
        <v>73</v>
      </c>
      <c r="G149" s="7">
        <f t="shared" ref="G149:Q149" si="123">+G130+G137+G147</f>
        <v>132491</v>
      </c>
      <c r="H149" s="7">
        <f t="shared" si="123"/>
        <v>-12227</v>
      </c>
      <c r="I149" s="7">
        <f t="shared" si="123"/>
        <v>-46856</v>
      </c>
      <c r="J149" s="7">
        <f t="shared" si="123"/>
        <v>-100918</v>
      </c>
      <c r="K149" s="7">
        <f t="shared" si="123"/>
        <v>-9922</v>
      </c>
      <c r="L149" s="7">
        <f t="shared" si="123"/>
        <v>-145312</v>
      </c>
      <c r="M149" s="7">
        <f t="shared" si="123"/>
        <v>4904</v>
      </c>
      <c r="N149" s="7">
        <f t="shared" si="123"/>
        <v>-11454</v>
      </c>
      <c r="O149" s="7">
        <f t="shared" si="123"/>
        <v>-17718</v>
      </c>
      <c r="P149" s="7">
        <f t="shared" si="123"/>
        <v>-48819</v>
      </c>
      <c r="Q149" s="7">
        <f t="shared" si="123"/>
        <v>-38000</v>
      </c>
      <c r="X149" s="7">
        <f>+X130+X137+X147</f>
        <v>-102246</v>
      </c>
      <c r="Y149" s="7">
        <f t="shared" ref="Y149:AA149" si="124">+Y130+Y137+Y147</f>
        <v>253434</v>
      </c>
      <c r="Z149" s="7">
        <f t="shared" si="124"/>
        <v>-27510</v>
      </c>
      <c r="AA149" s="7">
        <f t="shared" si="124"/>
        <v>-161784</v>
      </c>
    </row>
    <row r="150" spans="1:27">
      <c r="B150" s="2" t="s">
        <v>97</v>
      </c>
      <c r="G150" s="4">
        <f>+F68</f>
        <v>363155</v>
      </c>
      <c r="H150" s="4">
        <f>+G68</f>
        <v>495646</v>
      </c>
      <c r="I150" s="4">
        <f>+H68</f>
        <v>483419</v>
      </c>
      <c r="J150" s="4">
        <f>+I68</f>
        <v>436563</v>
      </c>
      <c r="K150" s="4">
        <f>+J68</f>
        <v>335645</v>
      </c>
      <c r="L150" s="4">
        <f>+K68</f>
        <v>325723</v>
      </c>
      <c r="M150" s="4">
        <f>+L68</f>
        <v>180411</v>
      </c>
      <c r="N150" s="4">
        <f t="shared" ref="N150:Q150" si="125">+M68</f>
        <v>185315</v>
      </c>
      <c r="O150" s="4">
        <f t="shared" si="125"/>
        <v>173861</v>
      </c>
      <c r="P150" s="4">
        <f t="shared" si="125"/>
        <v>156143</v>
      </c>
      <c r="Q150" s="4">
        <f t="shared" si="125"/>
        <v>107324</v>
      </c>
      <c r="X150" s="4">
        <v>210125</v>
      </c>
      <c r="Y150" s="4">
        <v>107879</v>
      </c>
      <c r="Z150" s="4">
        <v>363155</v>
      </c>
      <c r="AA150" s="4">
        <f>+Z151</f>
        <v>335645</v>
      </c>
    </row>
    <row r="151" spans="1:27" s="7" customFormat="1">
      <c r="A151" s="6"/>
      <c r="B151" s="6" t="s">
        <v>98</v>
      </c>
      <c r="G151" s="7">
        <f t="shared" ref="G151:Q151" si="126">+SUM(G149:G150)</f>
        <v>495646</v>
      </c>
      <c r="H151" s="7">
        <f t="shared" si="126"/>
        <v>483419</v>
      </c>
      <c r="I151" s="7">
        <f t="shared" si="126"/>
        <v>436563</v>
      </c>
      <c r="J151" s="7">
        <f t="shared" si="126"/>
        <v>335645</v>
      </c>
      <c r="K151" s="7">
        <f t="shared" si="126"/>
        <v>325723</v>
      </c>
      <c r="L151" s="7">
        <f t="shared" si="126"/>
        <v>180411</v>
      </c>
      <c r="M151" s="7">
        <f t="shared" si="126"/>
        <v>185315</v>
      </c>
      <c r="N151" s="7">
        <f t="shared" si="126"/>
        <v>173861</v>
      </c>
      <c r="O151" s="7">
        <f t="shared" si="126"/>
        <v>156143</v>
      </c>
      <c r="P151" s="7">
        <f t="shared" si="126"/>
        <v>107324</v>
      </c>
      <c r="Q151" s="7">
        <f t="shared" si="126"/>
        <v>69324</v>
      </c>
      <c r="X151" s="7">
        <f>+SUM(X149:X150)</f>
        <v>107879</v>
      </c>
      <c r="Y151" s="7">
        <f t="shared" ref="Y151:AA151" si="127">+SUM(Y149:Y150)</f>
        <v>361313</v>
      </c>
      <c r="Z151" s="7">
        <f t="shared" si="127"/>
        <v>335645</v>
      </c>
      <c r="AA151" s="7">
        <f t="shared" si="127"/>
        <v>173861</v>
      </c>
    </row>
    <row r="154" spans="1:27">
      <c r="B154" s="2" t="s">
        <v>139</v>
      </c>
      <c r="C154" s="4">
        <f>SUM(C130,C132)</f>
        <v>0</v>
      </c>
      <c r="D154" s="4">
        <f t="shared" ref="D154:Q154" si="128">SUM(D130,D132)</f>
        <v>0</v>
      </c>
      <c r="E154" s="4">
        <f t="shared" si="128"/>
        <v>0</v>
      </c>
      <c r="F154" s="4">
        <f t="shared" si="128"/>
        <v>0</v>
      </c>
      <c r="G154" s="4">
        <f t="shared" si="128"/>
        <v>139347</v>
      </c>
      <c r="H154" s="4">
        <f t="shared" si="128"/>
        <v>72431</v>
      </c>
      <c r="I154" s="4">
        <f t="shared" si="128"/>
        <v>-2070</v>
      </c>
      <c r="J154" s="4">
        <f t="shared" si="128"/>
        <v>58426</v>
      </c>
      <c r="K154" s="4">
        <f t="shared" si="128"/>
        <v>138740</v>
      </c>
      <c r="L154" s="4">
        <f t="shared" si="128"/>
        <v>51396</v>
      </c>
      <c r="M154" s="4">
        <f t="shared" si="128"/>
        <v>30727</v>
      </c>
      <c r="N154" s="4">
        <f t="shared" si="128"/>
        <v>44741</v>
      </c>
      <c r="O154" s="4">
        <f t="shared" si="128"/>
        <v>122248</v>
      </c>
      <c r="P154" s="4">
        <f t="shared" si="128"/>
        <v>11405</v>
      </c>
      <c r="Q154" s="4">
        <f t="shared" si="128"/>
        <v>13191</v>
      </c>
      <c r="X154" s="4">
        <f t="shared" ref="X154:Z154" si="129">SUM(X130,X132)</f>
        <v>159958</v>
      </c>
      <c r="Y154" s="4">
        <f t="shared" si="129"/>
        <v>76037</v>
      </c>
      <c r="Z154" s="4">
        <f t="shared" si="129"/>
        <v>268134</v>
      </c>
      <c r="AA154" s="4">
        <f t="shared" ref="AA154" si="130">SUM(AA130,AA132)</f>
        <v>265604</v>
      </c>
    </row>
    <row r="155" spans="1:27">
      <c r="B155" s="2" t="s">
        <v>34</v>
      </c>
      <c r="C155" s="4">
        <f>+C34</f>
        <v>16624</v>
      </c>
      <c r="D155" s="4">
        <f t="shared" ref="D155:Q155" si="131">+D34</f>
        <v>-33993</v>
      </c>
      <c r="E155" s="4">
        <f t="shared" si="131"/>
        <v>29946</v>
      </c>
      <c r="F155" s="4">
        <f t="shared" si="131"/>
        <v>20941</v>
      </c>
      <c r="G155" s="4">
        <f t="shared" si="131"/>
        <v>64654</v>
      </c>
      <c r="H155" s="4">
        <f t="shared" si="131"/>
        <v>75497</v>
      </c>
      <c r="I155" s="4">
        <f t="shared" si="131"/>
        <v>52635</v>
      </c>
      <c r="J155" s="4">
        <f t="shared" si="131"/>
        <v>53242</v>
      </c>
      <c r="K155" s="4">
        <f t="shared" si="131"/>
        <v>74556</v>
      </c>
      <c r="L155" s="4">
        <f t="shared" si="131"/>
        <v>72830</v>
      </c>
      <c r="M155" s="4">
        <f t="shared" si="131"/>
        <v>63100</v>
      </c>
      <c r="N155" s="4">
        <f t="shared" si="131"/>
        <v>60932</v>
      </c>
      <c r="O155" s="4">
        <f t="shared" si="131"/>
        <v>86442</v>
      </c>
      <c r="P155" s="4">
        <f t="shared" si="131"/>
        <v>82349</v>
      </c>
      <c r="Q155" s="4">
        <f t="shared" si="131"/>
        <v>63786</v>
      </c>
      <c r="X155" s="4">
        <f t="shared" ref="X155:Z155" si="132">+X34</f>
        <v>173553</v>
      </c>
      <c r="Y155" s="4">
        <f t="shared" si="132"/>
        <v>33518</v>
      </c>
      <c r="Z155" s="4">
        <f t="shared" si="132"/>
        <v>246028</v>
      </c>
      <c r="AA155" s="4">
        <f t="shared" ref="AA155" si="133">+AA34</f>
        <v>271418</v>
      </c>
    </row>
    <row r="157" spans="1:27">
      <c r="B157" s="2" t="s">
        <v>140</v>
      </c>
      <c r="J157" s="4">
        <f t="shared" ref="J157:P158" si="134">SUM(G154:J154)</f>
        <v>268134</v>
      </c>
      <c r="K157" s="4">
        <f t="shared" si="134"/>
        <v>267527</v>
      </c>
      <c r="L157" s="4">
        <f t="shared" si="134"/>
        <v>246492</v>
      </c>
      <c r="M157" s="4">
        <f t="shared" si="134"/>
        <v>279289</v>
      </c>
      <c r="N157" s="4">
        <f t="shared" si="134"/>
        <v>265604</v>
      </c>
      <c r="O157" s="4">
        <f t="shared" si="134"/>
        <v>249112</v>
      </c>
      <c r="P157" s="4">
        <f t="shared" si="134"/>
        <v>209121</v>
      </c>
      <c r="Q157" s="4">
        <f>SUM(N154:Q154)</f>
        <v>191585</v>
      </c>
    </row>
    <row r="158" spans="1:27">
      <c r="B158" s="2" t="s">
        <v>141</v>
      </c>
      <c r="J158" s="4">
        <f t="shared" si="134"/>
        <v>246028</v>
      </c>
      <c r="K158" s="4">
        <f t="shared" si="134"/>
        <v>255930</v>
      </c>
      <c r="L158" s="4">
        <f t="shared" si="134"/>
        <v>253263</v>
      </c>
      <c r="M158" s="4">
        <f t="shared" si="134"/>
        <v>263728</v>
      </c>
      <c r="N158" s="4">
        <f t="shared" si="134"/>
        <v>271418</v>
      </c>
      <c r="O158" s="4">
        <f t="shared" si="134"/>
        <v>283304</v>
      </c>
      <c r="P158" s="4">
        <f t="shared" si="134"/>
        <v>292823</v>
      </c>
      <c r="Q158" s="4">
        <f t="shared" ref="Q158" si="135">SUM(N155:Q155)</f>
        <v>293509</v>
      </c>
    </row>
    <row r="164" spans="2:17">
      <c r="B164" s="13" t="s">
        <v>142</v>
      </c>
    </row>
    <row r="165" spans="2:17">
      <c r="B165" s="2" t="s">
        <v>143</v>
      </c>
      <c r="Q165" s="4">
        <v>107593</v>
      </c>
    </row>
    <row r="166" spans="2:17">
      <c r="B166" s="2" t="s">
        <v>144</v>
      </c>
      <c r="Q166" s="4">
        <f>12.1*1000</f>
        <v>12100</v>
      </c>
    </row>
    <row r="167" spans="2:17">
      <c r="B167" s="2" t="s">
        <v>145</v>
      </c>
      <c r="Q167" s="4">
        <f>+Q166*1000/Q165</f>
        <v>112.46084782467261</v>
      </c>
    </row>
    <row r="168" spans="2:17">
      <c r="B168" s="2" t="s">
        <v>132</v>
      </c>
      <c r="Q168" s="4">
        <f>+O!H6</f>
        <v>118.2</v>
      </c>
    </row>
  </sheetData>
  <pageMargins left="0.7" right="0.7" top="0.75" bottom="0.75" header="0.3" footer="0.3"/>
  <ignoredErrors>
    <ignoredError sqref="J18:J24 F18:F24 K147 AC29:AJ29 AC26:AJ26 AC27:AJ27 AE31:AJ31 AC30:AJ30 AC33:AJ33 AC32:AJ32 AD36:AJ36 AC34:AJ34 J25:J36 F25:F36 AC18:AJ18 AC35:AJ35 N12:N13 AK18 N30:N33 AK25:AK27 AK29:AK34 N15:N19 AK22:AK24 AB26:AB36 AA10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AEB1D-DEFF-054A-9D11-3C431D34F3A5}">
  <dimension ref="A1"/>
  <sheetViews>
    <sheetView workbookViewId="0">
      <selection activeCell="D61" sqref="D61"/>
    </sheetView>
  </sheetViews>
  <sheetFormatPr baseColWidth="10"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</vt:lpstr>
      <vt:lpstr>E</vt:lpstr>
      <vt:lpstr>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Brannon, Jameel A.</dc:creator>
  <cp:lastModifiedBy>jameelbrannon</cp:lastModifiedBy>
  <dcterms:created xsi:type="dcterms:W3CDTF">2022-10-29T04:41:21Z</dcterms:created>
  <dcterms:modified xsi:type="dcterms:W3CDTF">2024-01-18T04:20:30Z</dcterms:modified>
</cp:coreProperties>
</file>