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ameelbrannon/Dropbox/Models/"/>
    </mc:Choice>
  </mc:AlternateContent>
  <xr:revisionPtr revIDLastSave="0" documentId="13_ncr:1_{0622E073-3BD8-5345-8E79-9439D131F4FB}" xr6:coauthVersionLast="47" xr6:coauthVersionMax="47" xr10:uidLastSave="{00000000-0000-0000-0000-000000000000}"/>
  <bookViews>
    <workbookView xWindow="5680" yWindow="500" windowWidth="38880" windowHeight="24700" activeTab="1" xr2:uid="{0250130F-CCC8-D44C-89E8-4FE2EC4C8A08}"/>
  </bookViews>
  <sheets>
    <sheet name="O" sheetId="1" r:id="rId1"/>
    <sheet name="OLP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 i="2" l="1"/>
  <c r="V8" i="2" s="1"/>
  <c r="W8" i="2" s="1"/>
  <c r="X8" i="2" s="1"/>
  <c r="Y8" i="2" s="1"/>
  <c r="Z8" i="2" s="1"/>
  <c r="AA8" i="2" s="1"/>
  <c r="AB8" i="2" s="1"/>
  <c r="U7" i="2"/>
  <c r="V7" i="2" s="1"/>
  <c r="W7" i="2" s="1"/>
  <c r="X7" i="2" s="1"/>
  <c r="Y7" i="2" s="1"/>
  <c r="Z7" i="2" s="1"/>
  <c r="AA7" i="2" s="1"/>
  <c r="AB7" i="2" s="1"/>
  <c r="U6" i="2"/>
  <c r="V6" i="2" s="1"/>
  <c r="W6" i="2" s="1"/>
  <c r="X6" i="2" s="1"/>
  <c r="Y6" i="2" s="1"/>
  <c r="Z6" i="2" s="1"/>
  <c r="AA6" i="2" s="1"/>
  <c r="AB6" i="2" s="1"/>
  <c r="T8" i="2"/>
  <c r="T7" i="2"/>
  <c r="T6" i="2"/>
  <c r="S22" i="2"/>
  <c r="M10" i="2"/>
  <c r="M7" i="2"/>
  <c r="M6" i="2"/>
  <c r="M8" i="2"/>
  <c r="M27" i="2"/>
  <c r="L135" i="2"/>
  <c r="L134" i="2"/>
  <c r="L136" i="2" s="1"/>
  <c r="L132" i="2"/>
  <c r="L131" i="2"/>
  <c r="L128" i="2"/>
  <c r="L127" i="2"/>
  <c r="L124" i="2"/>
  <c r="L118" i="2"/>
  <c r="L126" i="2"/>
  <c r="L123" i="2"/>
  <c r="L115" i="2"/>
  <c r="L119" i="2"/>
  <c r="L121" i="2"/>
  <c r="L110" i="2"/>
  <c r="L107" i="2"/>
  <c r="L106" i="2"/>
  <c r="L103" i="2"/>
  <c r="L102" i="2"/>
  <c r="L101" i="2"/>
  <c r="L100" i="2"/>
  <c r="L99" i="2"/>
  <c r="L98" i="2"/>
  <c r="L97" i="2"/>
  <c r="L96" i="2"/>
  <c r="L95" i="2"/>
  <c r="L94" i="2"/>
  <c r="L93" i="2"/>
  <c r="L92" i="2"/>
  <c r="L90" i="2"/>
  <c r="L89" i="2"/>
  <c r="L88" i="2"/>
  <c r="L87" i="2"/>
  <c r="L70" i="2"/>
  <c r="L73" i="2" s="1"/>
  <c r="L61" i="2"/>
  <c r="L65" i="2" s="1"/>
  <c r="L67" i="2" s="1"/>
  <c r="L48" i="2"/>
  <c r="L54" i="2" s="1"/>
  <c r="I9" i="1"/>
  <c r="I10" i="1"/>
  <c r="H10" i="1"/>
  <c r="AF36" i="2"/>
  <c r="E27" i="1"/>
  <c r="AF34" i="2"/>
  <c r="AF31" i="2"/>
  <c r="H120" i="2"/>
  <c r="I120" i="2" s="1"/>
  <c r="J120" i="2" s="1"/>
  <c r="F117" i="2"/>
  <c r="F116" i="2"/>
  <c r="F113" i="2"/>
  <c r="F108" i="2"/>
  <c r="F94" i="2"/>
  <c r="F91" i="2"/>
  <c r="J117" i="2"/>
  <c r="J116" i="2"/>
  <c r="J114" i="2"/>
  <c r="J113" i="2"/>
  <c r="J109" i="2"/>
  <c r="J108" i="2"/>
  <c r="J94" i="2"/>
  <c r="J91" i="2"/>
  <c r="R124" i="2"/>
  <c r="Q124" i="2"/>
  <c r="P124" i="2"/>
  <c r="Q111" i="2"/>
  <c r="P111" i="2"/>
  <c r="R127" i="2"/>
  <c r="R111" i="2"/>
  <c r="C124" i="2"/>
  <c r="C111" i="2"/>
  <c r="C104" i="2"/>
  <c r="C131" i="2" s="1"/>
  <c r="K124" i="2"/>
  <c r="G124" i="2"/>
  <c r="K111" i="2"/>
  <c r="G111" i="2"/>
  <c r="D121" i="2"/>
  <c r="D120" i="2"/>
  <c r="E120" i="2" s="1"/>
  <c r="D119" i="2"/>
  <c r="D118" i="2"/>
  <c r="E118" i="2" s="1"/>
  <c r="D115" i="2"/>
  <c r="E115" i="2" s="1"/>
  <c r="D114" i="2"/>
  <c r="F114" i="2" s="1"/>
  <c r="D107" i="2"/>
  <c r="E107" i="2" s="1"/>
  <c r="D106" i="2"/>
  <c r="D102" i="2"/>
  <c r="E102" i="2" s="1"/>
  <c r="D101" i="2"/>
  <c r="E101" i="2" s="1"/>
  <c r="D100" i="2"/>
  <c r="E100" i="2" s="1"/>
  <c r="D99" i="2"/>
  <c r="E99" i="2" s="1"/>
  <c r="D98" i="2"/>
  <c r="E98" i="2" s="1"/>
  <c r="D96" i="2"/>
  <c r="E96" i="2" s="1"/>
  <c r="D95" i="2"/>
  <c r="E95" i="2" s="1"/>
  <c r="D93" i="2"/>
  <c r="E93" i="2" s="1"/>
  <c r="D92" i="2"/>
  <c r="E92" i="2" s="1"/>
  <c r="D90" i="2"/>
  <c r="E90" i="2" s="1"/>
  <c r="D89" i="2"/>
  <c r="E89" i="2" s="1"/>
  <c r="D88" i="2"/>
  <c r="E88" i="2" s="1"/>
  <c r="D87" i="2"/>
  <c r="E87" i="2" s="1"/>
  <c r="D86" i="2"/>
  <c r="E86" i="2" s="1"/>
  <c r="D103" i="2"/>
  <c r="E103" i="2" s="1"/>
  <c r="D97" i="2"/>
  <c r="E97" i="2" s="1"/>
  <c r="H121" i="2"/>
  <c r="I121" i="2" s="1"/>
  <c r="H119" i="2"/>
  <c r="I119" i="2" s="1"/>
  <c r="H118" i="2"/>
  <c r="I118" i="2" s="1"/>
  <c r="J118" i="2" s="1"/>
  <c r="H115" i="2"/>
  <c r="I115" i="2" s="1"/>
  <c r="H107" i="2"/>
  <c r="I107" i="2" s="1"/>
  <c r="H106" i="2"/>
  <c r="H103" i="2"/>
  <c r="I103" i="2" s="1"/>
  <c r="H102" i="2"/>
  <c r="I102" i="2" s="1"/>
  <c r="H101" i="2"/>
  <c r="I101" i="2" s="1"/>
  <c r="H100" i="2"/>
  <c r="I100" i="2" s="1"/>
  <c r="H99" i="2"/>
  <c r="I99" i="2" s="1"/>
  <c r="H98" i="2"/>
  <c r="I98" i="2" s="1"/>
  <c r="H97" i="2"/>
  <c r="I97" i="2" s="1"/>
  <c r="H96" i="2"/>
  <c r="I96" i="2" s="1"/>
  <c r="H95" i="2"/>
  <c r="I95" i="2" s="1"/>
  <c r="H93" i="2"/>
  <c r="I93" i="2" s="1"/>
  <c r="H92" i="2"/>
  <c r="I92" i="2" s="1"/>
  <c r="H90" i="2"/>
  <c r="I90" i="2" s="1"/>
  <c r="H89" i="2"/>
  <c r="I89" i="2" s="1"/>
  <c r="H88" i="2"/>
  <c r="I88" i="2" s="1"/>
  <c r="H87" i="2"/>
  <c r="H86" i="2"/>
  <c r="I86" i="2" s="1"/>
  <c r="E109" i="2"/>
  <c r="F109" i="2" s="1"/>
  <c r="G104" i="2"/>
  <c r="G131" i="2" s="1"/>
  <c r="L37" i="2"/>
  <c r="Q37" i="2"/>
  <c r="R37" i="2"/>
  <c r="N7" i="2"/>
  <c r="L28" i="2"/>
  <c r="L27" i="2"/>
  <c r="N8" i="2"/>
  <c r="L29" i="2"/>
  <c r="K37" i="2"/>
  <c r="I37" i="2"/>
  <c r="H37" i="2"/>
  <c r="G37" i="2"/>
  <c r="J70" i="2"/>
  <c r="J71" i="2" s="1"/>
  <c r="I70" i="2"/>
  <c r="I73" i="2" s="1"/>
  <c r="H70" i="2"/>
  <c r="H73" i="2" s="1"/>
  <c r="G70" i="2"/>
  <c r="G71" i="2" s="1"/>
  <c r="G72" i="2" s="1"/>
  <c r="F70" i="2"/>
  <c r="F71" i="2" s="1"/>
  <c r="E70" i="2"/>
  <c r="E73" i="2" s="1"/>
  <c r="K70" i="2"/>
  <c r="K73" i="2" s="1"/>
  <c r="L111" i="2" l="1"/>
  <c r="L74" i="2"/>
  <c r="L76" i="2"/>
  <c r="L75" i="2"/>
  <c r="L71" i="2"/>
  <c r="L72" i="2" s="1"/>
  <c r="L68" i="2"/>
  <c r="F118" i="2"/>
  <c r="J119" i="2"/>
  <c r="J124" i="2" s="1"/>
  <c r="F120" i="2"/>
  <c r="J90" i="2"/>
  <c r="F92" i="2"/>
  <c r="F107" i="2"/>
  <c r="F89" i="2"/>
  <c r="J95" i="2"/>
  <c r="J102" i="2"/>
  <c r="F101" i="2"/>
  <c r="J88" i="2"/>
  <c r="F90" i="2"/>
  <c r="F97" i="2"/>
  <c r="J115" i="2"/>
  <c r="J103" i="2"/>
  <c r="J89" i="2"/>
  <c r="F98" i="2"/>
  <c r="F88" i="2"/>
  <c r="F96" i="2"/>
  <c r="J96" i="2"/>
  <c r="F100" i="2"/>
  <c r="J99" i="2"/>
  <c r="J121" i="2"/>
  <c r="F93" i="2"/>
  <c r="J107" i="2"/>
  <c r="F99" i="2"/>
  <c r="J92" i="2"/>
  <c r="J100" i="2"/>
  <c r="F102" i="2"/>
  <c r="F115" i="2"/>
  <c r="J97" i="2"/>
  <c r="J98" i="2"/>
  <c r="C126" i="2"/>
  <c r="C128" i="2" s="1"/>
  <c r="D127" i="2" s="1"/>
  <c r="J93" i="2"/>
  <c r="J101" i="2"/>
  <c r="F87" i="2"/>
  <c r="F95" i="2"/>
  <c r="F103" i="2"/>
  <c r="D111" i="2"/>
  <c r="H111" i="2"/>
  <c r="H104" i="2"/>
  <c r="H131" i="2" s="1"/>
  <c r="I106" i="2"/>
  <c r="I111" i="2" s="1"/>
  <c r="I124" i="2"/>
  <c r="I87" i="2"/>
  <c r="H124" i="2"/>
  <c r="D124" i="2"/>
  <c r="E121" i="2"/>
  <c r="F121" i="2" s="1"/>
  <c r="E106" i="2"/>
  <c r="D104" i="2"/>
  <c r="E104" i="2"/>
  <c r="E119" i="2"/>
  <c r="F119" i="2" s="1"/>
  <c r="F73" i="2"/>
  <c r="G126" i="2"/>
  <c r="M23" i="2"/>
  <c r="M37" i="2" s="1"/>
  <c r="K71" i="2"/>
  <c r="K72" i="2" s="1"/>
  <c r="L9" i="2"/>
  <c r="I71" i="2"/>
  <c r="I72" i="2" s="1"/>
  <c r="H71" i="2"/>
  <c r="H72" i="2" s="1"/>
  <c r="E71" i="2"/>
  <c r="E72" i="2" s="1"/>
  <c r="J73" i="2"/>
  <c r="G73" i="2"/>
  <c r="F124" i="2" l="1"/>
  <c r="I104" i="2"/>
  <c r="I126" i="2" s="1"/>
  <c r="J87" i="2"/>
  <c r="D126" i="2"/>
  <c r="J106" i="2"/>
  <c r="J111" i="2" s="1"/>
  <c r="E111" i="2"/>
  <c r="F106" i="2"/>
  <c r="F111" i="2" s="1"/>
  <c r="H126" i="2"/>
  <c r="E124" i="2"/>
  <c r="E131" i="2"/>
  <c r="D131" i="2"/>
  <c r="I131" i="2"/>
  <c r="N23" i="2"/>
  <c r="E126" i="2" l="1"/>
  <c r="E61" i="2" l="1"/>
  <c r="E65" i="2" s="1"/>
  <c r="E67" i="2" s="1"/>
  <c r="E48" i="2"/>
  <c r="G61" i="2"/>
  <c r="G65" i="2" s="1"/>
  <c r="G67" i="2" s="1"/>
  <c r="G48" i="2"/>
  <c r="H61" i="2"/>
  <c r="H65" i="2" s="1"/>
  <c r="H67" i="2" s="1"/>
  <c r="H48" i="2"/>
  <c r="F61" i="2"/>
  <c r="F65" i="2" s="1"/>
  <c r="F67" i="2" s="1"/>
  <c r="F48" i="2"/>
  <c r="I61" i="2"/>
  <c r="I65" i="2" s="1"/>
  <c r="I67" i="2" s="1"/>
  <c r="I48" i="2"/>
  <c r="J61" i="2"/>
  <c r="J65" i="2" s="1"/>
  <c r="J67" i="2" s="1"/>
  <c r="J48" i="2"/>
  <c r="K61" i="2"/>
  <c r="K65" i="2" s="1"/>
  <c r="K67" i="2" s="1"/>
  <c r="K48" i="2"/>
  <c r="Q33" i="2"/>
  <c r="R33" i="2"/>
  <c r="Q29" i="2"/>
  <c r="Q28" i="2"/>
  <c r="Q27" i="2"/>
  <c r="R29" i="2"/>
  <c r="R28" i="2"/>
  <c r="R27" i="2"/>
  <c r="I33" i="2"/>
  <c r="H33" i="2"/>
  <c r="G33" i="2"/>
  <c r="K33" i="2"/>
  <c r="P9" i="2"/>
  <c r="P15" i="2"/>
  <c r="P16" i="2" s="1"/>
  <c r="C9" i="2"/>
  <c r="D9" i="2"/>
  <c r="H9" i="2"/>
  <c r="H16" i="2"/>
  <c r="H12" i="2"/>
  <c r="F8" i="2"/>
  <c r="F7" i="2"/>
  <c r="F6" i="2"/>
  <c r="J8" i="2"/>
  <c r="J7" i="2"/>
  <c r="J6" i="2"/>
  <c r="N6" i="2" s="1"/>
  <c r="E9" i="2"/>
  <c r="I9" i="2"/>
  <c r="Q9" i="2"/>
  <c r="R9" i="2"/>
  <c r="K29" i="2"/>
  <c r="I29" i="2"/>
  <c r="H29" i="2"/>
  <c r="G29" i="2"/>
  <c r="K28" i="2"/>
  <c r="I28" i="2"/>
  <c r="H28" i="2"/>
  <c r="G28" i="2"/>
  <c r="K27" i="2"/>
  <c r="I27" i="2"/>
  <c r="H27" i="2"/>
  <c r="G27" i="2"/>
  <c r="G9" i="2"/>
  <c r="K9" i="2"/>
  <c r="J2" i="2"/>
  <c r="Q2" i="2"/>
  <c r="F2" i="2" s="1"/>
  <c r="C16" i="2"/>
  <c r="C12" i="2"/>
  <c r="F21" i="2"/>
  <c r="F19" i="2"/>
  <c r="F18" i="2"/>
  <c r="F15" i="2"/>
  <c r="F14" i="2"/>
  <c r="F11" i="2"/>
  <c r="F10" i="2"/>
  <c r="J21" i="2"/>
  <c r="J19" i="2"/>
  <c r="J18" i="2"/>
  <c r="L79" i="2" s="1"/>
  <c r="J15" i="2"/>
  <c r="J14" i="2"/>
  <c r="J11" i="2"/>
  <c r="J10" i="2"/>
  <c r="D16" i="2"/>
  <c r="D12" i="2"/>
  <c r="E16" i="2"/>
  <c r="E12" i="2"/>
  <c r="I16" i="2"/>
  <c r="I12" i="2"/>
  <c r="P12" i="2"/>
  <c r="Q16" i="2"/>
  <c r="Q12" i="2"/>
  <c r="R16" i="2"/>
  <c r="R12" i="2"/>
  <c r="Q3" i="2"/>
  <c r="R3" i="2" s="1"/>
  <c r="S3" i="2" s="1"/>
  <c r="T3" i="2" s="1"/>
  <c r="U3" i="2" s="1"/>
  <c r="V3" i="2" s="1"/>
  <c r="W3" i="2" s="1"/>
  <c r="X3" i="2" s="1"/>
  <c r="Y3" i="2" s="1"/>
  <c r="Z3" i="2" s="1"/>
  <c r="AA3" i="2" s="1"/>
  <c r="AB3" i="2" s="1"/>
  <c r="G16" i="2"/>
  <c r="G12" i="2"/>
  <c r="K16" i="2"/>
  <c r="K12" i="2"/>
  <c r="AF32" i="2"/>
  <c r="H8" i="1"/>
  <c r="H11" i="1" s="1"/>
  <c r="R31" i="2" l="1"/>
  <c r="N27" i="2"/>
  <c r="N9" i="2"/>
  <c r="S6" i="2"/>
  <c r="L30" i="2"/>
  <c r="N28" i="2"/>
  <c r="N29" i="2"/>
  <c r="K30" i="2"/>
  <c r="F79" i="2"/>
  <c r="I79" i="2"/>
  <c r="H79" i="2"/>
  <c r="G79" i="2"/>
  <c r="F54" i="2"/>
  <c r="F68" i="2" s="1"/>
  <c r="F74" i="2"/>
  <c r="F75" i="2"/>
  <c r="F76" i="2"/>
  <c r="H30" i="2"/>
  <c r="E13" i="2"/>
  <c r="E39" i="2" s="1"/>
  <c r="K54" i="2"/>
  <c r="K68" i="2" s="1"/>
  <c r="K76" i="2"/>
  <c r="K74" i="2"/>
  <c r="K75" i="2"/>
  <c r="G30" i="2"/>
  <c r="G54" i="2"/>
  <c r="G68" i="2" s="1"/>
  <c r="G74" i="2"/>
  <c r="G75" i="2"/>
  <c r="G76" i="2"/>
  <c r="H13" i="2"/>
  <c r="H39" i="2" s="1"/>
  <c r="K79" i="2"/>
  <c r="J79" i="2"/>
  <c r="H54" i="2"/>
  <c r="H68" i="2" s="1"/>
  <c r="H75" i="2"/>
  <c r="H76" i="2"/>
  <c r="H74" i="2"/>
  <c r="J54" i="2"/>
  <c r="J68" i="2" s="1"/>
  <c r="J74" i="2"/>
  <c r="J75" i="2"/>
  <c r="J76" i="2"/>
  <c r="E54" i="2"/>
  <c r="E68" i="2" s="1"/>
  <c r="E74" i="2"/>
  <c r="E75" i="2"/>
  <c r="E76" i="2"/>
  <c r="G31" i="2"/>
  <c r="I31" i="2"/>
  <c r="F9" i="2"/>
  <c r="I80" i="2" s="1"/>
  <c r="I54" i="2"/>
  <c r="I68" i="2" s="1"/>
  <c r="I74" i="2"/>
  <c r="I75" i="2"/>
  <c r="I76" i="2"/>
  <c r="J33" i="2"/>
  <c r="K13" i="2"/>
  <c r="K39" i="2" s="1"/>
  <c r="H31" i="2"/>
  <c r="K31" i="2"/>
  <c r="Q30" i="2"/>
  <c r="Q13" i="2"/>
  <c r="Q31" i="2"/>
  <c r="P13" i="2"/>
  <c r="C13" i="2"/>
  <c r="C39" i="2" s="1"/>
  <c r="J28" i="2"/>
  <c r="D13" i="2"/>
  <c r="J29" i="2"/>
  <c r="J27" i="2"/>
  <c r="I30" i="2"/>
  <c r="I13" i="2"/>
  <c r="I17" i="2" s="1"/>
  <c r="R30" i="2"/>
  <c r="J9" i="2"/>
  <c r="K80" i="2" s="1"/>
  <c r="R13" i="2"/>
  <c r="R39" i="2" s="1"/>
  <c r="J16" i="2"/>
  <c r="J12" i="2"/>
  <c r="J81" i="2" s="1"/>
  <c r="J82" i="2" s="1"/>
  <c r="F16" i="2"/>
  <c r="G13" i="2"/>
  <c r="F12" i="2"/>
  <c r="G81" i="2" s="1"/>
  <c r="G82" i="2" s="1"/>
  <c r="P2" i="2"/>
  <c r="C17" i="2"/>
  <c r="L80" i="2" l="1"/>
  <c r="N10" i="2"/>
  <c r="N18" i="2"/>
  <c r="S27" i="2"/>
  <c r="H81" i="2"/>
  <c r="H82" i="2" s="1"/>
  <c r="P17" i="2"/>
  <c r="P39" i="2"/>
  <c r="Q17" i="2"/>
  <c r="Q40" i="2" s="1"/>
  <c r="Q39" i="2"/>
  <c r="L12" i="2"/>
  <c r="L81" i="2" s="1"/>
  <c r="L82" i="2" s="1"/>
  <c r="H80" i="2"/>
  <c r="M29" i="2"/>
  <c r="S8" i="2"/>
  <c r="L16" i="2"/>
  <c r="L33" i="2"/>
  <c r="M28" i="2"/>
  <c r="M9" i="2"/>
  <c r="S7" i="2"/>
  <c r="N14" i="2"/>
  <c r="N30" i="2"/>
  <c r="N11" i="2"/>
  <c r="N19" i="2"/>
  <c r="N15" i="2"/>
  <c r="K17" i="2"/>
  <c r="K20" i="2" s="1"/>
  <c r="J80" i="2"/>
  <c r="K32" i="2"/>
  <c r="H17" i="2"/>
  <c r="H40" i="2" s="1"/>
  <c r="F81" i="2"/>
  <c r="F82" i="2" s="1"/>
  <c r="H83" i="2"/>
  <c r="F80" i="2"/>
  <c r="K81" i="2"/>
  <c r="K82" i="2" s="1"/>
  <c r="J83" i="2"/>
  <c r="G80" i="2"/>
  <c r="K83" i="2"/>
  <c r="E17" i="2"/>
  <c r="I34" i="2" s="1"/>
  <c r="J30" i="2"/>
  <c r="F13" i="2"/>
  <c r="F17" i="2" s="1"/>
  <c r="I83" i="2"/>
  <c r="I81" i="2"/>
  <c r="I82" i="2" s="1"/>
  <c r="G83" i="2"/>
  <c r="F83" i="2"/>
  <c r="I20" i="2"/>
  <c r="I40" i="2"/>
  <c r="I32" i="2"/>
  <c r="I39" i="2"/>
  <c r="Q32" i="2"/>
  <c r="R17" i="2"/>
  <c r="R40" i="2" s="1"/>
  <c r="R32" i="2"/>
  <c r="G17" i="2"/>
  <c r="G32" i="2"/>
  <c r="G39" i="2"/>
  <c r="J31" i="2"/>
  <c r="D17" i="2"/>
  <c r="D39" i="2"/>
  <c r="C20" i="2"/>
  <c r="C22" i="2" s="1"/>
  <c r="C132" i="2" s="1"/>
  <c r="C40" i="2"/>
  <c r="H32" i="2"/>
  <c r="J13" i="2"/>
  <c r="L83" i="2" l="1"/>
  <c r="M18" i="2"/>
  <c r="S18" i="2" s="1"/>
  <c r="S28" i="2"/>
  <c r="T28" i="2"/>
  <c r="U28" i="2" s="1"/>
  <c r="V28" i="2" s="1"/>
  <c r="W28" i="2" s="1"/>
  <c r="X28" i="2" s="1"/>
  <c r="Y28" i="2" s="1"/>
  <c r="Z28" i="2" s="1"/>
  <c r="AA28" i="2" s="1"/>
  <c r="AB28" i="2" s="1"/>
  <c r="S29" i="2"/>
  <c r="T29" i="2" s="1"/>
  <c r="U29" i="2" s="1"/>
  <c r="T27" i="2"/>
  <c r="Q20" i="2"/>
  <c r="Q34" i="2"/>
  <c r="N12" i="2"/>
  <c r="N16" i="2"/>
  <c r="N33" i="2"/>
  <c r="K40" i="2"/>
  <c r="M14" i="2"/>
  <c r="M11" i="2"/>
  <c r="S11" i="2" s="1"/>
  <c r="M19" i="2"/>
  <c r="S19" i="2" s="1"/>
  <c r="M15" i="2"/>
  <c r="S15" i="2" s="1"/>
  <c r="M30" i="2"/>
  <c r="S9" i="2"/>
  <c r="H34" i="2"/>
  <c r="L31" i="2"/>
  <c r="L13" i="2"/>
  <c r="P20" i="2"/>
  <c r="P22" i="2" s="1"/>
  <c r="P86" i="2" s="1"/>
  <c r="P104" i="2" s="1"/>
  <c r="P126" i="2" s="1"/>
  <c r="P128" i="2" s="1"/>
  <c r="P40" i="2"/>
  <c r="H20" i="2"/>
  <c r="H22" i="2" s="1"/>
  <c r="H132" i="2" s="1"/>
  <c r="F39" i="2"/>
  <c r="E40" i="2"/>
  <c r="E20" i="2"/>
  <c r="E22" i="2" s="1"/>
  <c r="G20" i="2"/>
  <c r="K35" i="2" s="1"/>
  <c r="G34" i="2"/>
  <c r="G40" i="2"/>
  <c r="F20" i="2"/>
  <c r="F22" i="2" s="1"/>
  <c r="F132" i="2" s="1"/>
  <c r="F40" i="2"/>
  <c r="R20" i="2"/>
  <c r="R34" i="2"/>
  <c r="J17" i="2"/>
  <c r="J39" i="2"/>
  <c r="J32" i="2"/>
  <c r="Q22" i="2"/>
  <c r="K34" i="2"/>
  <c r="C24" i="2"/>
  <c r="C41" i="2"/>
  <c r="K22" i="2"/>
  <c r="D20" i="2"/>
  <c r="D22" i="2" s="1"/>
  <c r="D132" i="2" s="1"/>
  <c r="D40" i="2"/>
  <c r="I22" i="2"/>
  <c r="I132" i="2" s="1"/>
  <c r="T9" i="2" l="1"/>
  <c r="T19" i="2" s="1"/>
  <c r="U27" i="2"/>
  <c r="U9" i="2"/>
  <c r="T15" i="2"/>
  <c r="T11" i="2"/>
  <c r="T18" i="2"/>
  <c r="K86" i="2"/>
  <c r="K132" i="2"/>
  <c r="V29" i="2"/>
  <c r="W29" i="2" s="1"/>
  <c r="X29" i="2" s="1"/>
  <c r="E24" i="2"/>
  <c r="E132" i="2"/>
  <c r="Q35" i="2"/>
  <c r="Q41" i="2"/>
  <c r="Q86" i="2"/>
  <c r="S30" i="2"/>
  <c r="M33" i="2"/>
  <c r="M16" i="2"/>
  <c r="S14" i="2"/>
  <c r="T14" i="2" s="1"/>
  <c r="N31" i="2"/>
  <c r="N13" i="2"/>
  <c r="I35" i="2"/>
  <c r="M12" i="2"/>
  <c r="S10" i="2"/>
  <c r="T10" i="2" s="1"/>
  <c r="P24" i="2"/>
  <c r="P41" i="2"/>
  <c r="E41" i="2"/>
  <c r="L32" i="2"/>
  <c r="L39" i="2"/>
  <c r="L17" i="2"/>
  <c r="R22" i="2"/>
  <c r="R35" i="2"/>
  <c r="F41" i="2"/>
  <c r="D24" i="2"/>
  <c r="D41" i="2"/>
  <c r="J20" i="2"/>
  <c r="J40" i="2"/>
  <c r="J34" i="2"/>
  <c r="I24" i="2"/>
  <c r="I41" i="2"/>
  <c r="I36" i="2"/>
  <c r="Q24" i="2"/>
  <c r="Q36" i="2"/>
  <c r="K24" i="2"/>
  <c r="K41" i="2"/>
  <c r="H35" i="2"/>
  <c r="G22" i="2"/>
  <c r="G132" i="2" s="1"/>
  <c r="I135" i="2" s="1"/>
  <c r="G35" i="2"/>
  <c r="H24" i="2"/>
  <c r="H41" i="2"/>
  <c r="H36" i="2"/>
  <c r="T30" i="2" l="1"/>
  <c r="G135" i="2"/>
  <c r="K104" i="2"/>
  <c r="K126" i="2" s="1"/>
  <c r="L86" i="2"/>
  <c r="L104" i="2" s="1"/>
  <c r="I38" i="2"/>
  <c r="F135" i="2"/>
  <c r="T16" i="2"/>
  <c r="T33" i="2"/>
  <c r="Q104" i="2"/>
  <c r="Q126" i="2" s="1"/>
  <c r="Q128" i="2" s="1"/>
  <c r="F86" i="2"/>
  <c r="F104" i="2" s="1"/>
  <c r="Y29" i="2"/>
  <c r="H135" i="2"/>
  <c r="U30" i="2"/>
  <c r="U15" i="2"/>
  <c r="U14" i="2"/>
  <c r="U10" i="2"/>
  <c r="U11" i="2"/>
  <c r="U18" i="2"/>
  <c r="U19" i="2"/>
  <c r="T12" i="2"/>
  <c r="K131" i="2"/>
  <c r="V27" i="2"/>
  <c r="V9" i="2"/>
  <c r="R41" i="2"/>
  <c r="R86" i="2"/>
  <c r="N39" i="2"/>
  <c r="N32" i="2"/>
  <c r="S33" i="2"/>
  <c r="S16" i="2"/>
  <c r="F24" i="2"/>
  <c r="F23" i="2" s="1"/>
  <c r="F72" i="2" s="1"/>
  <c r="Q38" i="2"/>
  <c r="H38" i="2"/>
  <c r="N17" i="2"/>
  <c r="M31" i="2"/>
  <c r="M13" i="2"/>
  <c r="S12" i="2"/>
  <c r="L34" i="2"/>
  <c r="L40" i="2"/>
  <c r="L20" i="2"/>
  <c r="J22" i="2"/>
  <c r="J132" i="2" s="1"/>
  <c r="K135" i="2" s="1"/>
  <c r="J35" i="2"/>
  <c r="G24" i="2"/>
  <c r="G38" i="2" s="1"/>
  <c r="G36" i="2"/>
  <c r="G41" i="2"/>
  <c r="K36" i="2"/>
  <c r="R24" i="2"/>
  <c r="R36" i="2"/>
  <c r="K38" i="2" l="1"/>
  <c r="W27" i="2"/>
  <c r="W9" i="2"/>
  <c r="Z29" i="2"/>
  <c r="V18" i="2"/>
  <c r="J135" i="2"/>
  <c r="U12" i="2"/>
  <c r="U33" i="2"/>
  <c r="U16" i="2"/>
  <c r="T31" i="2"/>
  <c r="T13" i="2"/>
  <c r="V15" i="2"/>
  <c r="V30" i="2"/>
  <c r="V14" i="2"/>
  <c r="V19" i="2"/>
  <c r="V10" i="2"/>
  <c r="V11" i="2"/>
  <c r="F131" i="2"/>
  <c r="F126" i="2"/>
  <c r="R104" i="2"/>
  <c r="R126" i="2" s="1"/>
  <c r="R128" i="2" s="1"/>
  <c r="J86" i="2"/>
  <c r="J104" i="2" s="1"/>
  <c r="J24" i="2"/>
  <c r="J38" i="2" s="1"/>
  <c r="R38" i="2"/>
  <c r="N34" i="2"/>
  <c r="N20" i="2"/>
  <c r="N40" i="2"/>
  <c r="S31" i="2"/>
  <c r="S13" i="2"/>
  <c r="M32" i="2"/>
  <c r="M39" i="2"/>
  <c r="M17" i="2"/>
  <c r="L35" i="2"/>
  <c r="L22" i="2"/>
  <c r="J41" i="2"/>
  <c r="J36" i="2"/>
  <c r="V12" i="2" l="1"/>
  <c r="T32" i="2"/>
  <c r="S39" i="2"/>
  <c r="AA29" i="2"/>
  <c r="AB29" i="2" s="1"/>
  <c r="V31" i="2"/>
  <c r="J131" i="2"/>
  <c r="J126" i="2"/>
  <c r="J23" i="2"/>
  <c r="J72" i="2" s="1"/>
  <c r="T17" i="2"/>
  <c r="T39" i="2"/>
  <c r="V16" i="2"/>
  <c r="V33" i="2"/>
  <c r="I134" i="2"/>
  <c r="I136" i="2" s="1"/>
  <c r="G134" i="2"/>
  <c r="G136" i="2" s="1"/>
  <c r="F134" i="2"/>
  <c r="F136" i="2" s="1"/>
  <c r="H134" i="2"/>
  <c r="H136" i="2" s="1"/>
  <c r="W18" i="2"/>
  <c r="W15" i="2"/>
  <c r="W14" i="2"/>
  <c r="W19" i="2"/>
  <c r="W10" i="2"/>
  <c r="W30" i="2"/>
  <c r="W11" i="2"/>
  <c r="U31" i="2"/>
  <c r="U13" i="2"/>
  <c r="V13" i="2"/>
  <c r="X27" i="2"/>
  <c r="X9" i="2"/>
  <c r="S32" i="2"/>
  <c r="N35" i="2"/>
  <c r="N21" i="2"/>
  <c r="N22" i="2" s="1"/>
  <c r="L41" i="2"/>
  <c r="L24" i="2"/>
  <c r="L36" i="2"/>
  <c r="S17" i="2"/>
  <c r="M20" i="2"/>
  <c r="M40" i="2"/>
  <c r="M34" i="2"/>
  <c r="W12" i="2" l="1"/>
  <c r="W31" i="2" s="1"/>
  <c r="T34" i="2"/>
  <c r="T20" i="2"/>
  <c r="T40" i="2"/>
  <c r="X11" i="2"/>
  <c r="X19" i="2"/>
  <c r="X10" i="2"/>
  <c r="X18" i="2"/>
  <c r="X30" i="2"/>
  <c r="X14" i="2"/>
  <c r="Y27" i="2"/>
  <c r="Y9" i="2"/>
  <c r="J134" i="2"/>
  <c r="J136" i="2" s="1"/>
  <c r="K134" i="2"/>
  <c r="K136" i="2" s="1"/>
  <c r="J37" i="2"/>
  <c r="V39" i="2"/>
  <c r="V32" i="2"/>
  <c r="V17" i="2"/>
  <c r="W33" i="2"/>
  <c r="W16" i="2"/>
  <c r="N37" i="2"/>
  <c r="U32" i="2"/>
  <c r="U17" i="2"/>
  <c r="U39" i="2"/>
  <c r="X15" i="2"/>
  <c r="L38" i="2"/>
  <c r="N36" i="2"/>
  <c r="N41" i="2"/>
  <c r="N24" i="2"/>
  <c r="N38" i="2" s="1"/>
  <c r="M21" i="2"/>
  <c r="S21" i="2" s="1"/>
  <c r="T21" i="2" s="1"/>
  <c r="U21" i="2" s="1"/>
  <c r="V21" i="2" s="1"/>
  <c r="W21" i="2" s="1"/>
  <c r="X21" i="2" s="1"/>
  <c r="Y21" i="2" s="1"/>
  <c r="M35" i="2"/>
  <c r="S20" i="2"/>
  <c r="S34" i="2"/>
  <c r="S40" i="2"/>
  <c r="W13" i="2" l="1"/>
  <c r="T35" i="2"/>
  <c r="Y18" i="2"/>
  <c r="X12" i="2"/>
  <c r="X31" i="2" s="1"/>
  <c r="Z27" i="2"/>
  <c r="Z9" i="2"/>
  <c r="Y15" i="2"/>
  <c r="Y14" i="2"/>
  <c r="Y30" i="2"/>
  <c r="Y10" i="2"/>
  <c r="V20" i="2"/>
  <c r="V40" i="2"/>
  <c r="V34" i="2"/>
  <c r="Y19" i="2"/>
  <c r="Y11" i="2"/>
  <c r="T22" i="2"/>
  <c r="T41" i="2" s="1"/>
  <c r="M22" i="2"/>
  <c r="M41" i="2" s="1"/>
  <c r="X33" i="2"/>
  <c r="X16" i="2"/>
  <c r="U34" i="2"/>
  <c r="U40" i="2"/>
  <c r="U20" i="2"/>
  <c r="W17" i="2"/>
  <c r="W39" i="2"/>
  <c r="W32" i="2"/>
  <c r="S35" i="2"/>
  <c r="X13" i="2" l="1"/>
  <c r="Y12" i="2"/>
  <c r="Y31" i="2" s="1"/>
  <c r="M36" i="2"/>
  <c r="V35" i="2"/>
  <c r="V22" i="2"/>
  <c r="U22" i="2"/>
  <c r="U35" i="2"/>
  <c r="Y33" i="2"/>
  <c r="Y16" i="2"/>
  <c r="T36" i="2"/>
  <c r="X39" i="2"/>
  <c r="X32" i="2"/>
  <c r="X17" i="2"/>
  <c r="W34" i="2"/>
  <c r="W40" i="2"/>
  <c r="W20" i="2"/>
  <c r="M24" i="2"/>
  <c r="S24" i="2" s="1"/>
  <c r="S38" i="2" s="1"/>
  <c r="Z18" i="2"/>
  <c r="Z11" i="2"/>
  <c r="Z19" i="2"/>
  <c r="Z15" i="2"/>
  <c r="Z30" i="2"/>
  <c r="Z14" i="2"/>
  <c r="Z21" i="2"/>
  <c r="Z10" i="2"/>
  <c r="AA27" i="2"/>
  <c r="AA9" i="2"/>
  <c r="S41" i="2"/>
  <c r="S36" i="2"/>
  <c r="Y13" i="2" l="1"/>
  <c r="M38" i="2"/>
  <c r="AA15" i="2"/>
  <c r="Z16" i="2"/>
  <c r="Z33" i="2"/>
  <c r="AB27" i="2"/>
  <c r="AB9" i="2"/>
  <c r="V36" i="2"/>
  <c r="V41" i="2"/>
  <c r="U41" i="2"/>
  <c r="U36" i="2"/>
  <c r="X34" i="2"/>
  <c r="X20" i="2"/>
  <c r="X40" i="2"/>
  <c r="AA18" i="2"/>
  <c r="AA30" i="2"/>
  <c r="AA10" i="2"/>
  <c r="AA14" i="2"/>
  <c r="AA11" i="2"/>
  <c r="Z12" i="2"/>
  <c r="AA19" i="2"/>
  <c r="AA21" i="2"/>
  <c r="W22" i="2"/>
  <c r="W35" i="2"/>
  <c r="S23" i="2"/>
  <c r="D128" i="2"/>
  <c r="Y32" i="2" l="1"/>
  <c r="Y17" i="2"/>
  <c r="Y39" i="2"/>
  <c r="AA12" i="2"/>
  <c r="AA31" i="2" s="1"/>
  <c r="W36" i="2"/>
  <c r="W41" i="2"/>
  <c r="AA13" i="2"/>
  <c r="AA33" i="2"/>
  <c r="AA16" i="2"/>
  <c r="AB21" i="2"/>
  <c r="AB18" i="2"/>
  <c r="AB15" i="2"/>
  <c r="AB11" i="2"/>
  <c r="AB10" i="2"/>
  <c r="AB30" i="2"/>
  <c r="AB14" i="2"/>
  <c r="AB19" i="2"/>
  <c r="E127" i="2"/>
  <c r="E128" i="2" s="1"/>
  <c r="F127" i="2" s="1"/>
  <c r="F128" i="2" s="1"/>
  <c r="G127" i="2" s="1"/>
  <c r="G128" i="2" s="1"/>
  <c r="H127" i="2" s="1"/>
  <c r="H128" i="2" s="1"/>
  <c r="I127" i="2" s="1"/>
  <c r="I128" i="2" s="1"/>
  <c r="X22" i="2"/>
  <c r="X35" i="2"/>
  <c r="Z31" i="2"/>
  <c r="Z13" i="2"/>
  <c r="S37" i="2"/>
  <c r="T23" i="2"/>
  <c r="Y40" i="2" l="1"/>
  <c r="Y20" i="2"/>
  <c r="Y34" i="2"/>
  <c r="AB12" i="2"/>
  <c r="J127" i="2"/>
  <c r="J128" i="2" s="1"/>
  <c r="K127" i="2" s="1"/>
  <c r="K128" i="2" s="1"/>
  <c r="AA17" i="2"/>
  <c r="AA39" i="2"/>
  <c r="AA32" i="2"/>
  <c r="Z17" i="2"/>
  <c r="Z39" i="2"/>
  <c r="Z32" i="2"/>
  <c r="AB33" i="2"/>
  <c r="AB16" i="2"/>
  <c r="X36" i="2"/>
  <c r="X41" i="2"/>
  <c r="T37" i="2"/>
  <c r="U23" i="2"/>
  <c r="T24" i="2"/>
  <c r="T38" i="2" s="1"/>
  <c r="Y22" i="2" l="1"/>
  <c r="Y35" i="2"/>
  <c r="AB31" i="2"/>
  <c r="AB13" i="2"/>
  <c r="AA34" i="2"/>
  <c r="AA40" i="2"/>
  <c r="AA20" i="2"/>
  <c r="Z40" i="2"/>
  <c r="Z34" i="2"/>
  <c r="Z20" i="2"/>
  <c r="V23" i="2"/>
  <c r="U37" i="2"/>
  <c r="U24" i="2"/>
  <c r="U38" i="2" s="1"/>
  <c r="Y36" i="2" l="1"/>
  <c r="Y41" i="2"/>
  <c r="AB32" i="2"/>
  <c r="AB39" i="2"/>
  <c r="AB17" i="2"/>
  <c r="AA35" i="2"/>
  <c r="AA22" i="2"/>
  <c r="Z22" i="2"/>
  <c r="Z35" i="2"/>
  <c r="W23" i="2"/>
  <c r="V37" i="2"/>
  <c r="V24" i="2"/>
  <c r="V38" i="2" s="1"/>
  <c r="AB40" i="2" l="1"/>
  <c r="AB34" i="2"/>
  <c r="AB20" i="2"/>
  <c r="Z36" i="2"/>
  <c r="Z41" i="2"/>
  <c r="AA41" i="2"/>
  <c r="AA36" i="2"/>
  <c r="X23" i="2"/>
  <c r="W37" i="2"/>
  <c r="W24" i="2"/>
  <c r="W38" i="2" s="1"/>
  <c r="AB35" i="2" l="1"/>
  <c r="AB22" i="2"/>
  <c r="Y23" i="2"/>
  <c r="X37" i="2"/>
  <c r="X24" i="2"/>
  <c r="X38" i="2" s="1"/>
  <c r="AC22" i="2" l="1"/>
  <c r="AD22" i="2" s="1"/>
  <c r="AE22" i="2" s="1"/>
  <c r="AF22" i="2" s="1"/>
  <c r="AG22" i="2" s="1"/>
  <c r="AH22" i="2" s="1"/>
  <c r="AI22" i="2" s="1"/>
  <c r="AJ22" i="2" s="1"/>
  <c r="AK22" i="2" s="1"/>
  <c r="AL22" i="2" s="1"/>
  <c r="AM22" i="2" s="1"/>
  <c r="AN22" i="2" s="1"/>
  <c r="AO22" i="2" s="1"/>
  <c r="AP22" i="2" s="1"/>
  <c r="AQ22" i="2" s="1"/>
  <c r="AR22" i="2" s="1"/>
  <c r="AS22" i="2" s="1"/>
  <c r="AT22" i="2" s="1"/>
  <c r="AU22" i="2" s="1"/>
  <c r="AV22" i="2" s="1"/>
  <c r="AW22" i="2" s="1"/>
  <c r="AX22" i="2" s="1"/>
  <c r="AY22" i="2" s="1"/>
  <c r="AZ22" i="2" s="1"/>
  <c r="BA22" i="2" s="1"/>
  <c r="BB22" i="2" s="1"/>
  <c r="BC22" i="2" s="1"/>
  <c r="BD22" i="2" s="1"/>
  <c r="BE22" i="2" s="1"/>
  <c r="BF22" i="2" s="1"/>
  <c r="BG22" i="2" s="1"/>
  <c r="BH22" i="2" s="1"/>
  <c r="BI22" i="2" s="1"/>
  <c r="BJ22" i="2" s="1"/>
  <c r="BK22" i="2" s="1"/>
  <c r="BL22" i="2" s="1"/>
  <c r="BM22" i="2" s="1"/>
  <c r="BN22" i="2" s="1"/>
  <c r="BO22" i="2" s="1"/>
  <c r="BP22" i="2" s="1"/>
  <c r="BQ22" i="2" s="1"/>
  <c r="BR22" i="2" s="1"/>
  <c r="BS22" i="2" s="1"/>
  <c r="BT22" i="2" s="1"/>
  <c r="BU22" i="2" s="1"/>
  <c r="BV22" i="2" s="1"/>
  <c r="BW22" i="2" s="1"/>
  <c r="BX22" i="2" s="1"/>
  <c r="BY22" i="2" s="1"/>
  <c r="BZ22" i="2" s="1"/>
  <c r="CA22" i="2" s="1"/>
  <c r="CB22" i="2" s="1"/>
  <c r="CC22" i="2" s="1"/>
  <c r="CD22" i="2" s="1"/>
  <c r="CE22" i="2" s="1"/>
  <c r="CF22" i="2" s="1"/>
  <c r="CG22" i="2" s="1"/>
  <c r="CH22" i="2" s="1"/>
  <c r="CI22" i="2" s="1"/>
  <c r="CJ22" i="2" s="1"/>
  <c r="CK22" i="2" s="1"/>
  <c r="CL22" i="2" s="1"/>
  <c r="CM22" i="2" s="1"/>
  <c r="CN22" i="2" s="1"/>
  <c r="CO22" i="2" s="1"/>
  <c r="CP22" i="2" s="1"/>
  <c r="CQ22" i="2" s="1"/>
  <c r="CR22" i="2" s="1"/>
  <c r="CS22" i="2" s="1"/>
  <c r="CT22" i="2" s="1"/>
  <c r="CU22" i="2" s="1"/>
  <c r="CV22" i="2" s="1"/>
  <c r="CW22" i="2" s="1"/>
  <c r="CX22" i="2" s="1"/>
  <c r="CY22" i="2" s="1"/>
  <c r="CZ22" i="2" s="1"/>
  <c r="DA22" i="2" s="1"/>
  <c r="DB22" i="2" s="1"/>
  <c r="DC22" i="2" s="1"/>
  <c r="DD22" i="2" s="1"/>
  <c r="DE22" i="2" s="1"/>
  <c r="DF22" i="2" s="1"/>
  <c r="DG22" i="2" s="1"/>
  <c r="DH22" i="2" s="1"/>
  <c r="DI22" i="2" s="1"/>
  <c r="DJ22" i="2" s="1"/>
  <c r="DK22" i="2" s="1"/>
  <c r="DL22" i="2" s="1"/>
  <c r="DM22" i="2" s="1"/>
  <c r="DN22" i="2" s="1"/>
  <c r="DO22" i="2" s="1"/>
  <c r="DP22" i="2" s="1"/>
  <c r="DQ22" i="2" s="1"/>
  <c r="DR22" i="2" s="1"/>
  <c r="DS22" i="2" s="1"/>
  <c r="AF30" i="2" s="1"/>
  <c r="AF33" i="2" s="1"/>
  <c r="AF35" i="2" s="1"/>
  <c r="AF37" i="2" s="1"/>
  <c r="AB41" i="2"/>
  <c r="AB36" i="2"/>
  <c r="Z23" i="2"/>
  <c r="Y37" i="2"/>
  <c r="Y24" i="2"/>
  <c r="Y38" i="2" s="1"/>
  <c r="AA23" i="2" l="1"/>
  <c r="Z37" i="2"/>
  <c r="Z24" i="2"/>
  <c r="Z38" i="2" s="1"/>
  <c r="AB23" i="2" l="1"/>
  <c r="AA37" i="2"/>
  <c r="AA24" i="2"/>
  <c r="AA38" i="2" s="1"/>
  <c r="AB37" i="2" l="1"/>
  <c r="AB24" i="2"/>
  <c r="AB3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jameelbrannon</author>
  </authors>
  <commentList>
    <comment ref="B6" authorId="0" shapeId="0" xr:uid="{0D36D12D-3675-5146-8F5C-A9B3F3B09685}">
      <text>
        <r>
          <rPr>
            <b/>
            <sz val="10"/>
            <color rgb="FF000000"/>
            <rFont val="Tahoma"/>
            <family val="2"/>
          </rPr>
          <t>jameelbrannon:</t>
        </r>
        <r>
          <rPr>
            <sz val="10"/>
            <color rgb="FF000000"/>
            <rFont val="Tahoma"/>
            <family val="2"/>
          </rPr>
          <t xml:space="preserve">
</t>
        </r>
        <r>
          <rPr>
            <sz val="10"/>
            <color rgb="FF000000"/>
            <rFont val="Tahoma"/>
            <family val="2"/>
          </rPr>
          <t>can only be bought by prof hair stylists @ salons</t>
        </r>
      </text>
    </comment>
    <comment ref="K9" authorId="0" shapeId="0" xr:uid="{4BA71AB3-BE7A-0A43-A800-789620077783}">
      <text>
        <r>
          <rPr>
            <b/>
            <sz val="10"/>
            <color rgb="FF000000"/>
            <rFont val="Tahoma"/>
            <family val="2"/>
          </rPr>
          <t>jameelbrannon:</t>
        </r>
        <r>
          <rPr>
            <sz val="10"/>
            <color rgb="FF000000"/>
            <rFont val="Tahoma"/>
            <family val="2"/>
          </rPr>
          <t xml:space="preserve">
</t>
        </r>
        <r>
          <rPr>
            <sz val="10"/>
            <color rgb="FF000000"/>
            <rFont val="Tahoma"/>
            <family val="2"/>
          </rPr>
          <t xml:space="preserve">lower demand
</t>
        </r>
        <r>
          <rPr>
            <sz val="10"/>
            <color rgb="FF000000"/>
            <rFont val="Tahoma"/>
            <family val="2"/>
          </rPr>
          <t xml:space="preserve">
</t>
        </r>
        <r>
          <rPr>
            <sz val="10"/>
            <color rgb="FF000000"/>
            <rFont val="Tahoma"/>
            <family val="2"/>
          </rPr>
          <t xml:space="preserve">
</t>
        </r>
        <r>
          <rPr>
            <sz val="10"/>
            <color rgb="FF000000"/>
            <rFont val="Tahoma"/>
            <family val="2"/>
          </rPr>
          <t xml:space="preserve">mgmt doesn't believe price increase is a drvier for demand lsos ... company think sits macro environment / higher level of discountng in industry and misinformation about the brand.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2023 "reset year"  </t>
        </r>
      </text>
    </comment>
    <comment ref="L9" authorId="0" shapeId="0" xr:uid="{2FF26F23-64CF-5640-BD7D-02F584619F55}">
      <text>
        <r>
          <rPr>
            <b/>
            <sz val="10"/>
            <color rgb="FF000000"/>
            <rFont val="Tahoma"/>
            <family val="2"/>
          </rPr>
          <t>jameelbrannon:</t>
        </r>
        <r>
          <rPr>
            <sz val="10"/>
            <color rgb="FF000000"/>
            <rFont val="Tahoma"/>
            <family val="2"/>
          </rPr>
          <t xml:space="preserve">
</t>
        </r>
        <r>
          <rPr>
            <sz val="10"/>
            <color rgb="FF000000"/>
            <rFont val="IntelClear-Regular"/>
          </rPr>
          <t xml:space="preserve">Our second quarter performance was below our expectations as our Professional and Specialty Retail channels experienced slower demand and some customers right sized their inventory positions in response to current trends </t>
        </r>
        <r>
          <rPr>
            <sz val="10"/>
            <color rgb="FF000000"/>
            <rFont val="IntelClear-Regular"/>
          </rPr>
          <t xml:space="preserve">
</t>
        </r>
      </text>
    </comment>
    <comment ref="M9" authorId="0" shapeId="0" xr:uid="{0BFADD9F-E866-A740-BCD0-018CCB073E61}">
      <text>
        <r>
          <rPr>
            <b/>
            <sz val="10"/>
            <color rgb="FF000000"/>
            <rFont val="Tahoma"/>
            <family val="2"/>
          </rPr>
          <t>jameelbrannon:</t>
        </r>
        <r>
          <rPr>
            <sz val="10"/>
            <color rgb="FF000000"/>
            <rFont val="Tahoma"/>
            <family val="2"/>
          </rPr>
          <t xml:space="preserve">
</t>
        </r>
      </text>
    </comment>
    <comment ref="S9" authorId="0" shapeId="0" xr:uid="{A5479DA0-57C8-F549-813D-BDF601F3B299}">
      <text>
        <r>
          <rPr>
            <b/>
            <sz val="10"/>
            <color rgb="FF000000"/>
            <rFont val="Tahoma"/>
            <family val="2"/>
          </rPr>
          <t>jameelbrannon:</t>
        </r>
        <r>
          <rPr>
            <sz val="10"/>
            <color rgb="FF000000"/>
            <rFont val="Tahoma"/>
            <family val="2"/>
          </rPr>
          <t xml:space="preserve">
</t>
        </r>
        <r>
          <rPr>
            <sz val="10"/>
            <color rgb="FF000000"/>
            <rFont val="Tahoma"/>
            <family val="2"/>
          </rPr>
          <t>Guidance: $563-$634)</t>
        </r>
      </text>
    </comment>
    <comment ref="L30" authorId="0" shapeId="0" xr:uid="{B1C92675-C38B-454C-8288-B5357C9D7785}">
      <text>
        <r>
          <rPr>
            <b/>
            <sz val="10"/>
            <color rgb="FF000000"/>
            <rFont val="Tahoma"/>
            <family val="2"/>
          </rPr>
          <t>jameelbrannon:</t>
        </r>
        <r>
          <rPr>
            <sz val="10"/>
            <color rgb="FF000000"/>
            <rFont val="Tahoma"/>
            <family val="2"/>
          </rPr>
          <t xml:space="preserve">
</t>
        </r>
      </text>
    </comment>
  </commentList>
</comments>
</file>

<file path=xl/sharedStrings.xml><?xml version="1.0" encoding="utf-8"?>
<sst xmlns="http://schemas.openxmlformats.org/spreadsheetml/2006/main" count="175" uniqueCount="148">
  <si>
    <t>P</t>
  </si>
  <si>
    <t>S</t>
  </si>
  <si>
    <t>MC</t>
  </si>
  <si>
    <t>C</t>
  </si>
  <si>
    <t>EV</t>
  </si>
  <si>
    <t>D</t>
  </si>
  <si>
    <t>Q122</t>
  </si>
  <si>
    <t>Q222</t>
  </si>
  <si>
    <t>Q322</t>
  </si>
  <si>
    <t>Q422</t>
  </si>
  <si>
    <t>Q123</t>
  </si>
  <si>
    <t>Q223</t>
  </si>
  <si>
    <t>Q323</t>
  </si>
  <si>
    <t>Q423</t>
  </si>
  <si>
    <t>Q121</t>
  </si>
  <si>
    <t>Q221</t>
  </si>
  <si>
    <t>Q321</t>
  </si>
  <si>
    <t>Q421</t>
  </si>
  <si>
    <t>4 PILLAR STRATEGY</t>
  </si>
  <si>
    <t>Ignite Global Brand</t>
  </si>
  <si>
    <t>Innovation</t>
  </si>
  <si>
    <t>Chnnale Coverage</t>
  </si>
  <si>
    <t>New Geography</t>
  </si>
  <si>
    <t>ER</t>
  </si>
  <si>
    <t>cash</t>
  </si>
  <si>
    <t>a/r</t>
  </si>
  <si>
    <t>inventory</t>
  </si>
  <si>
    <t>oca</t>
  </si>
  <si>
    <t>ca</t>
  </si>
  <si>
    <t>ppe</t>
  </si>
  <si>
    <t>intangible</t>
  </si>
  <si>
    <t>goodwill</t>
  </si>
  <si>
    <t>deffered t</t>
  </si>
  <si>
    <t>oa</t>
  </si>
  <si>
    <t>ta</t>
  </si>
  <si>
    <t/>
  </si>
  <si>
    <t>a/p</t>
  </si>
  <si>
    <t>s/imt tx pay</t>
  </si>
  <si>
    <t>acrrued e &amp; ocl</t>
  </si>
  <si>
    <t>debt</t>
  </si>
  <si>
    <t>tx rec agr</t>
  </si>
  <si>
    <t>cl</t>
  </si>
  <si>
    <t>ltd</t>
  </si>
  <si>
    <t>deferred t</t>
  </si>
  <si>
    <t>tax rec agr</t>
  </si>
  <si>
    <t>tl</t>
  </si>
  <si>
    <t>e</t>
  </si>
  <si>
    <t>tl + e</t>
  </si>
  <si>
    <t xml:space="preserve">ratio analysis </t>
  </si>
  <si>
    <t>total debt</t>
  </si>
  <si>
    <t>net debt</t>
  </si>
  <si>
    <t>net debt per shr</t>
  </si>
  <si>
    <t>debt to capital</t>
  </si>
  <si>
    <t xml:space="preserve">current ratio </t>
  </si>
  <si>
    <t>wc</t>
  </si>
  <si>
    <t>nwc</t>
  </si>
  <si>
    <t>inputs</t>
  </si>
  <si>
    <t>interest rate</t>
  </si>
  <si>
    <t>dso</t>
  </si>
  <si>
    <t>inventory turnover</t>
  </si>
  <si>
    <t>days inventory</t>
  </si>
  <si>
    <t>dpo</t>
  </si>
  <si>
    <t>net income</t>
  </si>
  <si>
    <t>amort of patent</t>
  </si>
  <si>
    <t>amort of other</t>
  </si>
  <si>
    <t>professional</t>
  </si>
  <si>
    <t>specialty r</t>
  </si>
  <si>
    <t>dtc</t>
  </si>
  <si>
    <t>s</t>
  </si>
  <si>
    <t>c</t>
  </si>
  <si>
    <t>amort</t>
  </si>
  <si>
    <t>tc</t>
  </si>
  <si>
    <t>gp</t>
  </si>
  <si>
    <t>sga</t>
  </si>
  <si>
    <t>intan amort</t>
  </si>
  <si>
    <t>opex</t>
  </si>
  <si>
    <t>ebit</t>
  </si>
  <si>
    <t>interest e</t>
  </si>
  <si>
    <t>other i</t>
  </si>
  <si>
    <t>ebt</t>
  </si>
  <si>
    <t>t</t>
  </si>
  <si>
    <t>diluted</t>
  </si>
  <si>
    <t>eps</t>
  </si>
  <si>
    <t>growth</t>
  </si>
  <si>
    <t>gm%</t>
  </si>
  <si>
    <t>om%</t>
  </si>
  <si>
    <t>nm%</t>
  </si>
  <si>
    <t xml:space="preserve">net revenue </t>
  </si>
  <si>
    <t xml:space="preserve">cffo </t>
  </si>
  <si>
    <t>inventory write off</t>
  </si>
  <si>
    <t>depreciation of fa</t>
  </si>
  <si>
    <t>amortization of debt iss</t>
  </si>
  <si>
    <t>deferred taxes</t>
  </si>
  <si>
    <t>sbc</t>
  </si>
  <si>
    <t>loss on ext debt</t>
  </si>
  <si>
    <t>other operating</t>
  </si>
  <si>
    <t>accrued exp &amp; ocl</t>
  </si>
  <si>
    <t>oa &amp; l</t>
  </si>
  <si>
    <t>capex</t>
  </si>
  <si>
    <t>software purchase</t>
  </si>
  <si>
    <t>cffi</t>
  </si>
  <si>
    <t>stock option proceeds</t>
  </si>
  <si>
    <t>shares retired</t>
  </si>
  <si>
    <t>term loan facility payments</t>
  </si>
  <si>
    <t>proceeds from term loan facility</t>
  </si>
  <si>
    <t>debt issuance costs</t>
  </si>
  <si>
    <t>cfff</t>
  </si>
  <si>
    <t>cash increase</t>
  </si>
  <si>
    <t>cash @ begin</t>
  </si>
  <si>
    <t xml:space="preserve">cash @ end </t>
  </si>
  <si>
    <t xml:space="preserve">free cash flow </t>
  </si>
  <si>
    <t>stock issuance</t>
  </si>
  <si>
    <t>investment in noncon entity</t>
  </si>
  <si>
    <t>amortization of acq inv</t>
  </si>
  <si>
    <t>tax rec</t>
  </si>
  <si>
    <t>dividend/disti payments</t>
  </si>
  <si>
    <t>proceeds from revolver</t>
  </si>
  <si>
    <t>payments of revolver</t>
  </si>
  <si>
    <t>Biz acq</t>
  </si>
  <si>
    <t>4q fcf</t>
  </si>
  <si>
    <t xml:space="preserve">4q ni </t>
  </si>
  <si>
    <t xml:space="preserve">4q fcf - 4q ni </t>
  </si>
  <si>
    <t xml:space="preserve">terminal </t>
  </si>
  <si>
    <t>discount</t>
  </si>
  <si>
    <t>npv</t>
  </si>
  <si>
    <t>net npv</t>
  </si>
  <si>
    <t>shares</t>
  </si>
  <si>
    <t>estimate</t>
  </si>
  <si>
    <t>current</t>
  </si>
  <si>
    <t>Delta</t>
  </si>
  <si>
    <t>ceo</t>
  </si>
  <si>
    <t xml:space="preserve">jue wong </t>
  </si>
  <si>
    <t>cfo eric tiziani</t>
  </si>
  <si>
    <t>founded</t>
  </si>
  <si>
    <t xml:space="preserve">u.s. </t>
  </si>
  <si>
    <t xml:space="preserve">international </t>
  </si>
  <si>
    <t>Test results</t>
  </si>
  <si>
    <t>HRIPT</t>
  </si>
  <si>
    <t xml:space="preserve">, OLAPLEX® No.2 and No.3 </t>
  </si>
  <si>
    <t xml:space="preserve">OLAPLEX® No.1, 4, 5, 6, 7, 8 and 9 </t>
  </si>
  <si>
    <t>olaplex no. 0 hript test</t>
  </si>
  <si>
    <t xml:space="preserve">Beg subjects </t>
  </si>
  <si>
    <t>End subject s</t>
  </si>
  <si>
    <t>subject completion rat e</t>
  </si>
  <si>
    <t>q223</t>
  </si>
  <si>
    <t>intangibles</t>
  </si>
  <si>
    <t>payment shared withheld/retired</t>
  </si>
  <si>
    <t>payment pre-ipo tax 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</si>
</sst>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0.0"/>
    <numFmt numFmtId="165" formatCode="m/d;@"/>
  </numFmts>
  <fonts count="10">
    <font>
      <sz val="10"/>
      <color theme="1"/>
      <name val="IntelClear-Regular"/>
      <family val="2"/>
    </font>
    <font>
      <b/>
      <sz val="10"/>
      <color theme="1"/>
      <name val="IntelClear-Regular"/>
    </font>
    <font>
      <u/>
      <sz val="10"/>
      <color theme="10"/>
      <name val="IntelClear-Regular"/>
      <family val="2"/>
    </font>
    <font>
      <b/>
      <sz val="10"/>
      <color rgb="FF000000"/>
      <name val="IntelClear-Regular"/>
    </font>
    <font>
      <sz val="10"/>
      <color rgb="FF000000"/>
      <name val="IntelClear-Regular"/>
      <family val="2"/>
    </font>
    <font>
      <sz val="10"/>
      <color theme="1"/>
      <name val="IntelClear-Regular"/>
    </font>
    <font>
      <sz val="10"/>
      <color rgb="FF000000"/>
      <name val="Tahoma"/>
      <family val="2"/>
    </font>
    <font>
      <b/>
      <sz val="10"/>
      <color rgb="FF000000"/>
      <name val="Tahoma"/>
      <family val="2"/>
    </font>
    <font>
      <strike/>
      <sz val="10"/>
      <color theme="1"/>
      <name val="IntelClear-Regular"/>
      <family val="2"/>
    </font>
    <font>
      <sz val="10"/>
      <color rgb="FF000000"/>
      <name val="IntelClear-Regula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3" fontId="0" fillId="0" borderId="0" xfId="0" applyNumberFormat="1"/>
    <xf numFmtId="4" fontId="0" fillId="0" borderId="0" xfId="0" applyNumberFormat="1"/>
    <xf numFmtId="3" fontId="1" fillId="0" borderId="0" xfId="0" applyNumberFormat="1" applyFont="1"/>
    <xf numFmtId="9" fontId="0" fillId="0" borderId="0" xfId="0" applyNumberFormat="1"/>
    <xf numFmtId="1" fontId="0" fillId="0" borderId="0" xfId="0" applyNumberFormat="1"/>
    <xf numFmtId="3" fontId="5" fillId="0" borderId="0" xfId="0" applyNumberFormat="1" applyFont="1"/>
    <xf numFmtId="2" fontId="0" fillId="0" borderId="0" xfId="0" applyNumberFormat="1"/>
    <xf numFmtId="9" fontId="1" fillId="0" borderId="0" xfId="0" applyNumberFormat="1" applyFont="1"/>
    <xf numFmtId="3" fontId="2" fillId="0" borderId="0" xfId="1" applyNumberFormat="1"/>
    <xf numFmtId="3" fontId="0" fillId="0" borderId="0" xfId="0" applyNumberFormat="1" applyAlignment="1">
      <alignment horizontal="center"/>
    </xf>
    <xf numFmtId="3" fontId="1" fillId="0" borderId="0" xfId="0" applyNumberFormat="1" applyFont="1" applyAlignment="1">
      <alignment horizontal="center"/>
    </xf>
    <xf numFmtId="3" fontId="3" fillId="0" borderId="0" xfId="0" applyNumberFormat="1" applyFont="1" applyAlignment="1">
      <alignment horizontal="center"/>
    </xf>
    <xf numFmtId="3" fontId="4" fillId="0" borderId="0" xfId="0" applyNumberFormat="1" applyFont="1" applyAlignment="1">
      <alignment horizontal="center"/>
    </xf>
    <xf numFmtId="3" fontId="5" fillId="0" borderId="0" xfId="0" applyNumberFormat="1" applyFont="1" applyAlignment="1">
      <alignment horizontal="center"/>
    </xf>
    <xf numFmtId="2" fontId="0" fillId="0" borderId="0" xfId="0" applyNumberFormat="1" applyAlignment="1">
      <alignment horizontal="center"/>
    </xf>
    <xf numFmtId="2" fontId="5" fillId="0" borderId="0" xfId="0" applyNumberFormat="1" applyFont="1" applyAlignment="1">
      <alignment horizontal="center"/>
    </xf>
    <xf numFmtId="9" fontId="1" fillId="0" borderId="0" xfId="0" applyNumberFormat="1" applyFont="1" applyAlignment="1">
      <alignment horizontal="center"/>
    </xf>
    <xf numFmtId="9" fontId="0" fillId="0" borderId="0" xfId="0" applyNumberFormat="1" applyAlignment="1">
      <alignment horizontal="center"/>
    </xf>
    <xf numFmtId="4" fontId="0" fillId="0" borderId="0" xfId="0" applyNumberFormat="1" applyAlignment="1">
      <alignment horizontal="center"/>
    </xf>
    <xf numFmtId="164" fontId="0" fillId="0" borderId="0" xfId="0" applyNumberFormat="1" applyAlignment="1">
      <alignment horizontal="center"/>
    </xf>
    <xf numFmtId="165" fontId="0" fillId="0" borderId="0" xfId="0" applyNumberFormat="1"/>
    <xf numFmtId="165" fontId="0" fillId="0" borderId="0" xfId="0" applyNumberFormat="1" applyAlignment="1">
      <alignment horizontal="center"/>
    </xf>
    <xf numFmtId="8" fontId="0" fillId="0" borderId="0" xfId="0" applyNumberFormat="1"/>
    <xf numFmtId="9" fontId="8"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621974</xdr:colOff>
      <xdr:row>0</xdr:row>
      <xdr:rowOff>74083</xdr:rowOff>
    </xdr:from>
    <xdr:to>
      <xdr:col>12</xdr:col>
      <xdr:colOff>10583</xdr:colOff>
      <xdr:row>161</xdr:row>
      <xdr:rowOff>78968</xdr:rowOff>
    </xdr:to>
    <xdr:cxnSp macro="">
      <xdr:nvCxnSpPr>
        <xdr:cNvPr id="3" name="Straight Connector 2">
          <a:extLst>
            <a:ext uri="{FF2B5EF4-FFF2-40B4-BE49-F238E27FC236}">
              <a16:creationId xmlns:a16="http://schemas.microsoft.com/office/drawing/2014/main" id="{894ACBCC-B8E6-1AF5-6714-C23EC12D0AC8}"/>
            </a:ext>
          </a:extLst>
        </xdr:cNvPr>
        <xdr:cNvCxnSpPr/>
      </xdr:nvCxnSpPr>
      <xdr:spPr>
        <a:xfrm flipH="1">
          <a:off x="8612391" y="74083"/>
          <a:ext cx="65942" cy="28971468"/>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537308</xdr:colOff>
      <xdr:row>0</xdr:row>
      <xdr:rowOff>19538</xdr:rowOff>
    </xdr:from>
    <xdr:to>
      <xdr:col>18</xdr:col>
      <xdr:colOff>29308</xdr:colOff>
      <xdr:row>161</xdr:row>
      <xdr:rowOff>78153</xdr:rowOff>
    </xdr:to>
    <xdr:cxnSp macro="">
      <xdr:nvCxnSpPr>
        <xdr:cNvPr id="5" name="Straight Connector 4">
          <a:extLst>
            <a:ext uri="{FF2B5EF4-FFF2-40B4-BE49-F238E27FC236}">
              <a16:creationId xmlns:a16="http://schemas.microsoft.com/office/drawing/2014/main" id="{B6EDE891-58F8-0545-BD39-755F5ED68CAE}"/>
            </a:ext>
          </a:extLst>
        </xdr:cNvPr>
        <xdr:cNvCxnSpPr/>
      </xdr:nvCxnSpPr>
      <xdr:spPr>
        <a:xfrm flipH="1">
          <a:off x="12475308" y="19538"/>
          <a:ext cx="117231" cy="27138923"/>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1io3yog0oux5.cloudfront.net/_024b1df0d6b93362b99f9ce62625e427/olaplex/news/2022-11-09_OLAPLEX_Reports_Third_Quarter_2022_23.pdf" TargetMode="External"/><Relationship Id="rId2" Type="http://schemas.openxmlformats.org/officeDocument/2006/relationships/hyperlink" Target="https://d1io3yog0oux5.cloudfront.net/_024b1df0d6b93362b99f9ce62625e427/olaplex/news/2023-02-28_OLAPLEX_Reports_Fourth_Quarter_and_Full_Year_2022__27.pdf" TargetMode="External"/><Relationship Id="rId1" Type="http://schemas.openxmlformats.org/officeDocument/2006/relationships/hyperlink" Target="https://d1io3yog0oux5.cloudfront.net/_024b1df0d6b93362b99f9ce62625e427/olaplex/news/2023-05-09_OLAPLEX_Reports_First_Quarter_2023_30.pdf" TargetMode="External"/><Relationship Id="rId6" Type="http://schemas.openxmlformats.org/officeDocument/2006/relationships/hyperlink" Target="https://cdn.shopify.com/s/files/1/0434/1661/files/All-S-RIPT_01_02_22_RFV01_R.pdf?v=1676087022" TargetMode="External"/><Relationship Id="rId5" Type="http://schemas.openxmlformats.org/officeDocument/2006/relationships/hyperlink" Target="https://cdn.shopify.com/s/files/1/0434/1661/files/HRIPT_Fact_Sheet.pdf?v=1677775156" TargetMode="External"/><Relationship Id="rId4" Type="http://schemas.openxmlformats.org/officeDocument/2006/relationships/hyperlink" Target="https://olaplex.com/pages/testing-results?ranMID=49376&amp;ranEAID=TnL5HPStwNw&amp;ranSiteID=TnL5HPStwNw-wLImj_uB0BRDjGPdh1lnaA"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D576-FBCB-244D-B38F-698F5F55E4AC}">
  <dimension ref="B2:I30"/>
  <sheetViews>
    <sheetView topLeftCell="D1" zoomScale="206" workbookViewId="0">
      <selection activeCell="I10" sqref="I10"/>
    </sheetView>
  </sheetViews>
  <sheetFormatPr baseColWidth="10" defaultRowHeight="14"/>
  <cols>
    <col min="1" max="1" width="10.83203125" style="1"/>
    <col min="2" max="2" width="21.6640625" style="1" bestFit="1" customWidth="1"/>
    <col min="3" max="3" width="10.83203125" style="1"/>
    <col min="4" max="4" width="11" style="1" bestFit="1" customWidth="1"/>
    <col min="5" max="5" width="19.33203125" style="1" bestFit="1" customWidth="1"/>
    <col min="6" max="6" width="10.83203125" style="1"/>
    <col min="7" max="7" width="3.5" style="1" bestFit="1" customWidth="1"/>
    <col min="8" max="8" width="5.5" style="1" bestFit="1" customWidth="1"/>
    <col min="9" max="9" width="5.1640625" style="1" bestFit="1" customWidth="1"/>
    <col min="10" max="16384" width="10.83203125" style="1"/>
  </cols>
  <sheetData>
    <row r="2" spans="2:9">
      <c r="B2" s="1" t="s">
        <v>133</v>
      </c>
      <c r="C2" s="1">
        <v>2014</v>
      </c>
    </row>
    <row r="3" spans="2:9">
      <c r="B3" s="1" t="s">
        <v>130</v>
      </c>
      <c r="C3" s="1" t="s">
        <v>131</v>
      </c>
    </row>
    <row r="4" spans="2:9">
      <c r="B4" s="1" t="s">
        <v>132</v>
      </c>
    </row>
    <row r="6" spans="2:9">
      <c r="G6" s="1" t="s">
        <v>0</v>
      </c>
      <c r="H6" s="2">
        <v>2.5499999999999998</v>
      </c>
    </row>
    <row r="7" spans="2:9">
      <c r="G7" s="1" t="s">
        <v>1</v>
      </c>
      <c r="H7" s="1">
        <v>654.698308</v>
      </c>
      <c r="I7" s="1" t="s">
        <v>144</v>
      </c>
    </row>
    <row r="8" spans="2:9">
      <c r="G8" s="1" t="s">
        <v>2</v>
      </c>
      <c r="H8" s="1">
        <f>+H6*H7</f>
        <v>1669.4806853999999</v>
      </c>
    </row>
    <row r="9" spans="2:9">
      <c r="G9" s="1" t="s">
        <v>3</v>
      </c>
      <c r="H9" s="1">
        <v>378.41800000000001</v>
      </c>
      <c r="I9" s="1" t="str">
        <f>+I7</f>
        <v>q223</v>
      </c>
    </row>
    <row r="10" spans="2:9">
      <c r="G10" s="1" t="s">
        <v>5</v>
      </c>
      <c r="H10" s="1">
        <f>6.75+651.678</f>
        <v>658.428</v>
      </c>
      <c r="I10" s="1" t="str">
        <f>+I9</f>
        <v>q223</v>
      </c>
    </row>
    <row r="11" spans="2:9">
      <c r="G11" s="1" t="s">
        <v>4</v>
      </c>
      <c r="H11" s="1">
        <f>+H8-H9+H10</f>
        <v>1949.4906853999996</v>
      </c>
    </row>
    <row r="13" spans="2:9">
      <c r="B13" s="3" t="s">
        <v>18</v>
      </c>
    </row>
    <row r="14" spans="2:9">
      <c r="B14" s="1" t="s">
        <v>19</v>
      </c>
    </row>
    <row r="15" spans="2:9">
      <c r="B15" s="1" t="s">
        <v>20</v>
      </c>
    </row>
    <row r="16" spans="2:9">
      <c r="B16" s="1" t="s">
        <v>21</v>
      </c>
    </row>
    <row r="17" spans="2:5">
      <c r="B17" s="1" t="s">
        <v>22</v>
      </c>
    </row>
    <row r="20" spans="2:5">
      <c r="B20" s="3" t="s">
        <v>23</v>
      </c>
    </row>
    <row r="21" spans="2:5">
      <c r="B21" s="9" t="s">
        <v>10</v>
      </c>
    </row>
    <row r="22" spans="2:5">
      <c r="B22" s="9" t="s">
        <v>9</v>
      </c>
    </row>
    <row r="23" spans="2:5">
      <c r="B23" s="9" t="s">
        <v>8</v>
      </c>
    </row>
    <row r="25" spans="2:5">
      <c r="B25" s="9" t="s">
        <v>136</v>
      </c>
      <c r="C25" s="3" t="s">
        <v>141</v>
      </c>
      <c r="D25" s="3" t="s">
        <v>142</v>
      </c>
      <c r="E25" s="1" t="s">
        <v>143</v>
      </c>
    </row>
    <row r="26" spans="2:5">
      <c r="B26" s="9" t="s">
        <v>137</v>
      </c>
    </row>
    <row r="27" spans="2:5">
      <c r="B27" s="9" t="s">
        <v>140</v>
      </c>
      <c r="C27" s="1">
        <v>91</v>
      </c>
      <c r="D27" s="1">
        <v>51</v>
      </c>
      <c r="E27" s="4">
        <f>+D27/C27</f>
        <v>0.56043956043956045</v>
      </c>
    </row>
    <row r="29" spans="2:5">
      <c r="B29" s="1" t="s">
        <v>138</v>
      </c>
      <c r="C29" s="1">
        <v>80</v>
      </c>
    </row>
    <row r="30" spans="2:5">
      <c r="B30" s="1" t="s">
        <v>139</v>
      </c>
      <c r="C30" s="1">
        <v>100</v>
      </c>
    </row>
  </sheetData>
  <hyperlinks>
    <hyperlink ref="B21" r:id="rId1" xr:uid="{7985E61E-559D-8B44-830F-F8E086897B90}"/>
    <hyperlink ref="B22" r:id="rId2" xr:uid="{6163F63C-5BC0-1749-B98A-B4942A89FC2E}"/>
    <hyperlink ref="B23" r:id="rId3" xr:uid="{E6868B7F-68C7-1F4D-A995-FFB7CBAB52C6}"/>
    <hyperlink ref="B25" r:id="rId4" xr:uid="{43148144-8B9F-E04A-AC70-997384FDB7E8}"/>
    <hyperlink ref="B26" r:id="rId5" xr:uid="{D5D84EA7-9615-CB41-8F4E-AEF5C98500EB}"/>
    <hyperlink ref="B27" r:id="rId6" xr:uid="{5727FE85-C9A2-F443-AB55-C0EC54D1AD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45777-FB84-E24B-A7E8-8275FAC8E2AE}">
  <dimension ref="B2:DS136"/>
  <sheetViews>
    <sheetView tabSelected="1" zoomScale="120" zoomScaleNormal="120" workbookViewId="0">
      <pane xSplit="2" ySplit="3" topLeftCell="H4" activePane="bottomRight" state="frozen"/>
      <selection pane="topRight" activeCell="C1" sqref="C1"/>
      <selection pane="bottomLeft" activeCell="A3" sqref="A3"/>
      <selection pane="bottomRight" activeCell="S25" sqref="S25"/>
    </sheetView>
  </sheetViews>
  <sheetFormatPr baseColWidth="10" defaultRowHeight="14"/>
  <cols>
    <col min="1" max="1" width="2.6640625" style="1" customWidth="1"/>
    <col min="2" max="2" width="25" style="1" bestFit="1" customWidth="1"/>
    <col min="3" max="4" width="7.5" style="10" bestFit="1" customWidth="1"/>
    <col min="5" max="11" width="8.83203125" style="10" bestFit="1" customWidth="1"/>
    <col min="12" max="12" width="8.83203125" style="1" bestFit="1" customWidth="1"/>
    <col min="13" max="14" width="7.5" style="1" bestFit="1" customWidth="1"/>
    <col min="15" max="15" width="2.5" style="1" customWidth="1"/>
    <col min="16" max="16" width="9.5" style="1" bestFit="1" customWidth="1"/>
    <col min="17" max="17" width="7.5" style="1" bestFit="1" customWidth="1"/>
    <col min="18" max="18" width="8.1640625" style="1" bestFit="1" customWidth="1"/>
    <col min="19" max="30" width="7.5" style="1" bestFit="1" customWidth="1"/>
    <col min="31" max="31" width="7.6640625" style="1" bestFit="1" customWidth="1"/>
    <col min="32" max="32" width="12.6640625" style="1" bestFit="1" customWidth="1"/>
    <col min="33" max="33" width="7.5" style="1" bestFit="1" customWidth="1"/>
    <col min="34" max="34" width="8.6640625" style="1" bestFit="1" customWidth="1"/>
    <col min="35" max="35" width="7.5" style="1" bestFit="1" customWidth="1"/>
    <col min="36" max="36" width="9.6640625" style="1" bestFit="1" customWidth="1"/>
    <col min="37" max="123" width="7.5" style="1" bestFit="1" customWidth="1"/>
    <col min="124" max="16384" width="10.83203125" style="1"/>
  </cols>
  <sheetData>
    <row r="2" spans="2:28" s="21" customFormat="1">
      <c r="C2" s="22">
        <v>44286</v>
      </c>
      <c r="D2" s="22">
        <v>44377</v>
      </c>
      <c r="E2" s="22">
        <v>44469</v>
      </c>
      <c r="F2" s="22">
        <f>+Q2</f>
        <v>44561</v>
      </c>
      <c r="G2" s="22">
        <v>44651</v>
      </c>
      <c r="H2" s="22">
        <v>44742</v>
      </c>
      <c r="I2" s="22">
        <v>44834</v>
      </c>
      <c r="J2" s="22">
        <f>+R2</f>
        <v>44926</v>
      </c>
      <c r="K2" s="22">
        <v>45016</v>
      </c>
      <c r="L2" s="21">
        <v>45107</v>
      </c>
      <c r="P2" s="21">
        <f>+Q2-365</f>
        <v>44196</v>
      </c>
      <c r="Q2" s="21">
        <f>+R2-365</f>
        <v>44561</v>
      </c>
      <c r="R2" s="21">
        <v>44926</v>
      </c>
    </row>
    <row r="3" spans="2:28">
      <c r="C3" s="10" t="s">
        <v>14</v>
      </c>
      <c r="D3" s="10" t="s">
        <v>15</v>
      </c>
      <c r="E3" s="10" t="s">
        <v>16</v>
      </c>
      <c r="F3" s="10" t="s">
        <v>17</v>
      </c>
      <c r="G3" s="10" t="s">
        <v>6</v>
      </c>
      <c r="H3" s="10" t="s">
        <v>7</v>
      </c>
      <c r="I3" s="10" t="s">
        <v>8</v>
      </c>
      <c r="J3" s="10" t="s">
        <v>9</v>
      </c>
      <c r="K3" s="10" t="s">
        <v>10</v>
      </c>
      <c r="L3" s="1" t="s">
        <v>11</v>
      </c>
      <c r="M3" s="1" t="s">
        <v>12</v>
      </c>
      <c r="N3" s="1" t="s">
        <v>13</v>
      </c>
      <c r="P3" s="5">
        <v>2020</v>
      </c>
      <c r="Q3" s="5">
        <f>+P3+1</f>
        <v>2021</v>
      </c>
      <c r="R3" s="5">
        <f>+Q3+1</f>
        <v>2022</v>
      </c>
      <c r="S3" s="5">
        <f t="shared" ref="S3:AB3" si="0">+R3+1</f>
        <v>2023</v>
      </c>
      <c r="T3" s="5">
        <f t="shared" si="0"/>
        <v>2024</v>
      </c>
      <c r="U3" s="5">
        <f t="shared" si="0"/>
        <v>2025</v>
      </c>
      <c r="V3" s="5">
        <f t="shared" si="0"/>
        <v>2026</v>
      </c>
      <c r="W3" s="5">
        <f t="shared" si="0"/>
        <v>2027</v>
      </c>
      <c r="X3" s="5">
        <f t="shared" si="0"/>
        <v>2028</v>
      </c>
      <c r="Y3" s="5">
        <f t="shared" si="0"/>
        <v>2029</v>
      </c>
      <c r="Z3" s="5">
        <f t="shared" si="0"/>
        <v>2030</v>
      </c>
      <c r="AA3" s="5">
        <f t="shared" si="0"/>
        <v>2031</v>
      </c>
      <c r="AB3" s="5">
        <f t="shared" si="0"/>
        <v>2032</v>
      </c>
    </row>
    <row r="4" spans="2:28">
      <c r="B4" s="1" t="s">
        <v>134</v>
      </c>
      <c r="C4" s="10">
        <v>72758</v>
      </c>
      <c r="D4" s="10">
        <v>85855</v>
      </c>
      <c r="E4" s="10">
        <v>93611</v>
      </c>
      <c r="G4" s="10">
        <v>120110</v>
      </c>
      <c r="H4" s="10">
        <v>121320</v>
      </c>
      <c r="I4" s="10">
        <v>89543</v>
      </c>
      <c r="K4" s="10">
        <v>47662</v>
      </c>
      <c r="R4" s="1">
        <v>0.154</v>
      </c>
    </row>
    <row r="5" spans="2:28">
      <c r="B5" s="1" t="s">
        <v>135</v>
      </c>
      <c r="C5" s="10">
        <v>45361</v>
      </c>
      <c r="D5" s="10">
        <v>66269</v>
      </c>
      <c r="E5" s="10">
        <v>68013</v>
      </c>
      <c r="G5" s="10">
        <v>66086</v>
      </c>
      <c r="H5" s="10">
        <v>89583</v>
      </c>
      <c r="I5" s="10">
        <v>86911</v>
      </c>
      <c r="K5" s="10">
        <v>66125</v>
      </c>
      <c r="R5" s="1">
        <v>0.20899999999999999</v>
      </c>
    </row>
    <row r="6" spans="2:28">
      <c r="B6" s="1" t="s">
        <v>65</v>
      </c>
      <c r="C6" s="10">
        <v>47389</v>
      </c>
      <c r="D6" s="10">
        <v>79488</v>
      </c>
      <c r="E6" s="10">
        <v>74978</v>
      </c>
      <c r="F6" s="10">
        <f t="shared" ref="F6:F11" si="1">+Q6-SUM(C6:E6)</f>
        <v>57154</v>
      </c>
      <c r="G6" s="10">
        <v>77059</v>
      </c>
      <c r="H6" s="10">
        <v>105489</v>
      </c>
      <c r="I6" s="10">
        <v>62991</v>
      </c>
      <c r="J6" s="10">
        <f t="shared" ref="J6:J11" si="2">+R6-SUM(G6:I6)</f>
        <v>54933</v>
      </c>
      <c r="K6" s="10">
        <v>48397</v>
      </c>
      <c r="L6" s="1">
        <v>40940</v>
      </c>
      <c r="M6" s="1">
        <f>+I6*0.8</f>
        <v>50392.800000000003</v>
      </c>
      <c r="N6" s="1">
        <f t="shared" ref="M6:N6" si="3">+J6*1.03</f>
        <v>56580.99</v>
      </c>
      <c r="P6" s="1">
        <v>156199</v>
      </c>
      <c r="Q6" s="1">
        <v>259009</v>
      </c>
      <c r="R6" s="1">
        <v>300472</v>
      </c>
      <c r="S6" s="1">
        <f t="shared" ref="S6:S12" si="4">SUM(K6:N6)</f>
        <v>196310.78999999998</v>
      </c>
      <c r="T6" s="1">
        <f>+S6*1.01</f>
        <v>198273.89789999998</v>
      </c>
      <c r="U6" s="1">
        <f t="shared" ref="U6:AB6" si="5">+T6*1.01</f>
        <v>200256.636879</v>
      </c>
      <c r="V6" s="1">
        <f t="shared" si="5"/>
        <v>202259.20324778999</v>
      </c>
      <c r="W6" s="1">
        <f t="shared" si="5"/>
        <v>204281.79528026789</v>
      </c>
      <c r="X6" s="1">
        <f t="shared" si="5"/>
        <v>206324.61323307056</v>
      </c>
      <c r="Y6" s="1">
        <f t="shared" si="5"/>
        <v>208387.85936540127</v>
      </c>
      <c r="Z6" s="1">
        <f t="shared" si="5"/>
        <v>210471.73795905529</v>
      </c>
      <c r="AA6" s="1">
        <f t="shared" si="5"/>
        <v>212576.45533864584</v>
      </c>
      <c r="AB6" s="1">
        <f t="shared" si="5"/>
        <v>214702.2198920323</v>
      </c>
    </row>
    <row r="7" spans="2:28">
      <c r="B7" s="1" t="s">
        <v>66</v>
      </c>
      <c r="C7" s="10">
        <v>31740</v>
      </c>
      <c r="D7" s="10">
        <v>38118</v>
      </c>
      <c r="E7" s="10">
        <v>46343</v>
      </c>
      <c r="F7" s="10">
        <f t="shared" si="1"/>
        <v>59598</v>
      </c>
      <c r="G7" s="10">
        <v>64272</v>
      </c>
      <c r="H7" s="10">
        <v>64229</v>
      </c>
      <c r="I7" s="10">
        <v>74191</v>
      </c>
      <c r="J7" s="10">
        <f t="shared" si="2"/>
        <v>32618</v>
      </c>
      <c r="K7" s="10">
        <v>34859</v>
      </c>
      <c r="L7" s="1">
        <v>29767</v>
      </c>
      <c r="M7" s="1">
        <f>+J7*0.93</f>
        <v>30334.74</v>
      </c>
      <c r="N7" s="1">
        <f t="shared" ref="M7:N7" si="6">+K7*1.01</f>
        <v>35207.590000000004</v>
      </c>
      <c r="P7" s="1">
        <v>50718</v>
      </c>
      <c r="Q7" s="1">
        <v>175799</v>
      </c>
      <c r="R7" s="1">
        <v>235310</v>
      </c>
      <c r="S7" s="1">
        <f t="shared" si="4"/>
        <v>130168.33000000002</v>
      </c>
      <c r="T7" s="1">
        <f t="shared" ref="T7:AB8" si="7">+S7*1.01</f>
        <v>131470.01330000002</v>
      </c>
      <c r="U7" s="1">
        <f t="shared" si="7"/>
        <v>132784.71343300003</v>
      </c>
      <c r="V7" s="1">
        <f t="shared" si="7"/>
        <v>134112.56056733002</v>
      </c>
      <c r="W7" s="1">
        <f t="shared" si="7"/>
        <v>135453.68617300331</v>
      </c>
      <c r="X7" s="1">
        <f t="shared" si="7"/>
        <v>136808.22303473335</v>
      </c>
      <c r="Y7" s="1">
        <f t="shared" si="7"/>
        <v>138176.30526508068</v>
      </c>
      <c r="Z7" s="1">
        <f t="shared" si="7"/>
        <v>139558.06831773149</v>
      </c>
      <c r="AA7" s="1">
        <f t="shared" si="7"/>
        <v>140953.6490009088</v>
      </c>
      <c r="AB7" s="1">
        <f t="shared" si="7"/>
        <v>142363.18549091788</v>
      </c>
    </row>
    <row r="8" spans="2:28">
      <c r="B8" s="1" t="s">
        <v>67</v>
      </c>
      <c r="C8" s="10">
        <v>38990</v>
      </c>
      <c r="D8" s="10">
        <v>34518</v>
      </c>
      <c r="E8" s="10">
        <v>40303</v>
      </c>
      <c r="F8" s="10">
        <f t="shared" si="1"/>
        <v>49746</v>
      </c>
      <c r="G8" s="10">
        <v>44865</v>
      </c>
      <c r="H8" s="10">
        <v>41185</v>
      </c>
      <c r="I8" s="10">
        <v>39272</v>
      </c>
      <c r="J8" s="10">
        <f t="shared" si="2"/>
        <v>43170</v>
      </c>
      <c r="K8" s="10">
        <v>30531</v>
      </c>
      <c r="L8" s="1">
        <v>38534</v>
      </c>
      <c r="M8" s="1">
        <f>+J8*0.9</f>
        <v>38853</v>
      </c>
      <c r="N8" s="1">
        <f t="shared" ref="N8" si="8">+K8*0.99</f>
        <v>30225.69</v>
      </c>
      <c r="P8" s="1">
        <v>75333</v>
      </c>
      <c r="Q8" s="1">
        <v>163557</v>
      </c>
      <c r="R8" s="1">
        <v>168492</v>
      </c>
      <c r="S8" s="1">
        <f t="shared" si="4"/>
        <v>138143.69</v>
      </c>
      <c r="T8" s="1">
        <f t="shared" si="7"/>
        <v>139525.1269</v>
      </c>
      <c r="U8" s="1">
        <f t="shared" si="7"/>
        <v>140920.378169</v>
      </c>
      <c r="V8" s="1">
        <f t="shared" si="7"/>
        <v>142329.58195069002</v>
      </c>
      <c r="W8" s="1">
        <f t="shared" si="7"/>
        <v>143752.87777019691</v>
      </c>
      <c r="X8" s="1">
        <f t="shared" si="7"/>
        <v>145190.40654789889</v>
      </c>
      <c r="Y8" s="1">
        <f t="shared" si="7"/>
        <v>146642.31061337789</v>
      </c>
      <c r="Z8" s="1">
        <f t="shared" si="7"/>
        <v>148108.73371951169</v>
      </c>
      <c r="AA8" s="1">
        <f t="shared" si="7"/>
        <v>149589.8210567068</v>
      </c>
      <c r="AB8" s="1">
        <f t="shared" si="7"/>
        <v>151085.71926727387</v>
      </c>
    </row>
    <row r="9" spans="2:28" s="3" customFormat="1">
      <c r="B9" s="3" t="s">
        <v>87</v>
      </c>
      <c r="C9" s="11">
        <f>+SUM(C6:C8)</f>
        <v>118119</v>
      </c>
      <c r="D9" s="11">
        <f>+SUM(D6:D8)</f>
        <v>152124</v>
      </c>
      <c r="E9" s="11">
        <f>+SUM(E6:E8)</f>
        <v>161624</v>
      </c>
      <c r="F9" s="11">
        <f t="shared" si="1"/>
        <v>166498</v>
      </c>
      <c r="G9" s="11">
        <f>+SUM(G6:G8)</f>
        <v>186196</v>
      </c>
      <c r="H9" s="12">
        <f>SUM(H6:H8)</f>
        <v>210903</v>
      </c>
      <c r="I9" s="11">
        <f>+SUM(I6:I8)</f>
        <v>176454</v>
      </c>
      <c r="J9" s="11">
        <f t="shared" si="2"/>
        <v>130721</v>
      </c>
      <c r="K9" s="11">
        <f>+SUM(K6:K8)</f>
        <v>113787</v>
      </c>
      <c r="L9" s="3">
        <f>SUM(L6:L8)</f>
        <v>109241</v>
      </c>
      <c r="M9" s="3">
        <f>SUM(M6:M8)</f>
        <v>119580.54000000001</v>
      </c>
      <c r="N9" s="3">
        <f>SUM(N6:N8)</f>
        <v>122014.27</v>
      </c>
      <c r="P9" s="3">
        <f>SUM(P6:P8)</f>
        <v>282250</v>
      </c>
      <c r="Q9" s="3">
        <f>SUM(Q6:Q8)</f>
        <v>598365</v>
      </c>
      <c r="R9" s="3">
        <f>SUM(R6:R8)</f>
        <v>704274</v>
      </c>
      <c r="S9" s="3">
        <f t="shared" si="4"/>
        <v>464622.81000000006</v>
      </c>
      <c r="T9" s="3">
        <f t="shared" ref="T9:AB9" si="9">SUM(T6:T8)</f>
        <v>469269.03810000001</v>
      </c>
      <c r="U9" s="3">
        <f t="shared" si="9"/>
        <v>473961.72848100006</v>
      </c>
      <c r="V9" s="3">
        <f t="shared" si="9"/>
        <v>478701.34576580999</v>
      </c>
      <c r="W9" s="3">
        <f t="shared" si="9"/>
        <v>483488.35922346811</v>
      </c>
      <c r="X9" s="3">
        <f t="shared" si="9"/>
        <v>488323.2428157028</v>
      </c>
      <c r="Y9" s="3">
        <f t="shared" si="9"/>
        <v>493206.47524385987</v>
      </c>
      <c r="Z9" s="3">
        <f t="shared" si="9"/>
        <v>498138.5399962985</v>
      </c>
      <c r="AA9" s="3">
        <f t="shared" si="9"/>
        <v>503119.9253962615</v>
      </c>
      <c r="AB9" s="3">
        <f t="shared" si="9"/>
        <v>508151.12465022411</v>
      </c>
    </row>
    <row r="10" spans="2:28">
      <c r="B10" s="1" t="s">
        <v>69</v>
      </c>
      <c r="C10" s="10">
        <v>22073</v>
      </c>
      <c r="D10" s="13">
        <v>29324</v>
      </c>
      <c r="E10" s="10">
        <v>32462</v>
      </c>
      <c r="F10" s="14">
        <f t="shared" si="1"/>
        <v>32695</v>
      </c>
      <c r="G10" s="10">
        <v>43222</v>
      </c>
      <c r="H10" s="13">
        <v>52293</v>
      </c>
      <c r="I10" s="10">
        <v>45484</v>
      </c>
      <c r="J10" s="14">
        <f t="shared" si="2"/>
        <v>36222</v>
      </c>
      <c r="K10" s="10">
        <v>31235</v>
      </c>
      <c r="L10" s="1">
        <v>29781</v>
      </c>
      <c r="M10" s="1">
        <f>+M$9*(I10/I$9)*1.03</f>
        <v>31748.621849325034</v>
      </c>
      <c r="N10" s="1">
        <f>+N$9*(J10/J$9)*1.07</f>
        <v>36176.0769126292</v>
      </c>
      <c r="P10" s="1">
        <v>96611</v>
      </c>
      <c r="Q10" s="1">
        <v>116554</v>
      </c>
      <c r="R10" s="1">
        <v>177221</v>
      </c>
      <c r="S10" s="1">
        <f t="shared" si="4"/>
        <v>128940.69876195423</v>
      </c>
      <c r="T10" s="1">
        <f t="shared" ref="T10:AB10" si="10">+T$9*(S10/S$9)</f>
        <v>130230.10574957376</v>
      </c>
      <c r="U10" s="1">
        <f t="shared" si="10"/>
        <v>131532.40680706952</v>
      </c>
      <c r="V10" s="1">
        <f t="shared" si="10"/>
        <v>132847.7308751402</v>
      </c>
      <c r="W10" s="1">
        <f t="shared" si="10"/>
        <v>134176.20818389161</v>
      </c>
      <c r="X10" s="1">
        <f t="shared" si="10"/>
        <v>135517.97026573052</v>
      </c>
      <c r="Y10" s="1">
        <f t="shared" si="10"/>
        <v>136873.14996838785</v>
      </c>
      <c r="Z10" s="1">
        <f t="shared" si="10"/>
        <v>138241.88146807175</v>
      </c>
      <c r="AA10" s="1">
        <f t="shared" si="10"/>
        <v>139624.30028275246</v>
      </c>
      <c r="AB10" s="1">
        <f t="shared" si="10"/>
        <v>141020.54328558</v>
      </c>
    </row>
    <row r="11" spans="2:28">
      <c r="B11" s="1" t="s">
        <v>70</v>
      </c>
      <c r="C11" s="10">
        <v>2451</v>
      </c>
      <c r="D11" s="13">
        <v>2268</v>
      </c>
      <c r="E11" s="10">
        <v>1680</v>
      </c>
      <c r="F11" s="14">
        <f t="shared" si="1"/>
        <v>1590</v>
      </c>
      <c r="G11" s="10">
        <v>1769</v>
      </c>
      <c r="H11" s="13">
        <v>2180</v>
      </c>
      <c r="I11" s="10">
        <v>1142</v>
      </c>
      <c r="J11" s="14">
        <f t="shared" si="2"/>
        <v>2409</v>
      </c>
      <c r="K11" s="10">
        <v>1742</v>
      </c>
      <c r="L11" s="1">
        <v>1964</v>
      </c>
      <c r="M11" s="1">
        <f>+M$9*(I11/I$9)</f>
        <v>773.91828283858695</v>
      </c>
      <c r="N11" s="1">
        <f>+N$9*(J11/J$9)</f>
        <v>2248.5474899212827</v>
      </c>
      <c r="P11" s="1">
        <v>6052</v>
      </c>
      <c r="Q11" s="1">
        <v>7989</v>
      </c>
      <c r="R11" s="1">
        <v>7500</v>
      </c>
      <c r="S11" s="1">
        <f t="shared" si="4"/>
        <v>6728.4657727598697</v>
      </c>
      <c r="T11" s="1">
        <f t="shared" ref="T11:AB11" si="11">+T$9*(S11/S$9)</f>
        <v>6795.7504304874674</v>
      </c>
      <c r="U11" s="1">
        <f t="shared" si="11"/>
        <v>6863.7079347923427</v>
      </c>
      <c r="V11" s="1">
        <f t="shared" si="11"/>
        <v>6932.3450141402654</v>
      </c>
      <c r="W11" s="1">
        <f t="shared" si="11"/>
        <v>7001.6684642816681</v>
      </c>
      <c r="X11" s="1">
        <f t="shared" si="11"/>
        <v>7071.6851489244846</v>
      </c>
      <c r="Y11" s="1">
        <f t="shared" si="11"/>
        <v>7142.4020004137292</v>
      </c>
      <c r="Z11" s="1">
        <f t="shared" si="11"/>
        <v>7213.8260204178669</v>
      </c>
      <c r="AA11" s="1">
        <f t="shared" si="11"/>
        <v>7285.9642806220463</v>
      </c>
      <c r="AB11" s="1">
        <f t="shared" si="11"/>
        <v>7358.8239234282664</v>
      </c>
    </row>
    <row r="12" spans="2:28">
      <c r="B12" s="1" t="s">
        <v>71</v>
      </c>
      <c r="C12" s="10">
        <f t="shared" ref="C12:K12" si="12">+SUM(C10:C11)</f>
        <v>24524</v>
      </c>
      <c r="D12" s="10">
        <f t="shared" si="12"/>
        <v>31592</v>
      </c>
      <c r="E12" s="10">
        <f t="shared" si="12"/>
        <v>34142</v>
      </c>
      <c r="F12" s="10">
        <f t="shared" si="12"/>
        <v>34285</v>
      </c>
      <c r="G12" s="10">
        <f t="shared" si="12"/>
        <v>44991</v>
      </c>
      <c r="H12" s="10">
        <f t="shared" si="12"/>
        <v>54473</v>
      </c>
      <c r="I12" s="10">
        <f t="shared" si="12"/>
        <v>46626</v>
      </c>
      <c r="J12" s="10">
        <f t="shared" si="12"/>
        <v>38631</v>
      </c>
      <c r="K12" s="10">
        <f t="shared" si="12"/>
        <v>32977</v>
      </c>
      <c r="L12" s="1">
        <f t="shared" ref="L12:N12" si="13">+SUM(L10:L11)</f>
        <v>31745</v>
      </c>
      <c r="M12" s="1">
        <f t="shared" si="13"/>
        <v>32522.54013216362</v>
      </c>
      <c r="N12" s="1">
        <f t="shared" si="13"/>
        <v>38424.624402550486</v>
      </c>
      <c r="P12" s="1">
        <f>+SUM(P10:P11)</f>
        <v>102663</v>
      </c>
      <c r="Q12" s="1">
        <f>+SUM(Q10:Q11)</f>
        <v>124543</v>
      </c>
      <c r="R12" s="1">
        <f>+SUM(R10:R11)</f>
        <v>184721</v>
      </c>
      <c r="S12" s="1">
        <f t="shared" si="4"/>
        <v>135669.1645347141</v>
      </c>
      <c r="T12" s="1">
        <f t="shared" ref="T12:AB12" si="14">+SUM(T10:T11)</f>
        <v>137025.85618006124</v>
      </c>
      <c r="U12" s="1">
        <f t="shared" si="14"/>
        <v>138396.11474186188</v>
      </c>
      <c r="V12" s="1">
        <f t="shared" si="14"/>
        <v>139780.07588928047</v>
      </c>
      <c r="W12" s="1">
        <f t="shared" si="14"/>
        <v>141177.87664817326</v>
      </c>
      <c r="X12" s="1">
        <f t="shared" si="14"/>
        <v>142589.65541465499</v>
      </c>
      <c r="Y12" s="1">
        <f t="shared" si="14"/>
        <v>144015.55196880159</v>
      </c>
      <c r="Z12" s="1">
        <f t="shared" si="14"/>
        <v>145455.70748848963</v>
      </c>
      <c r="AA12" s="1">
        <f t="shared" si="14"/>
        <v>146910.26456337451</v>
      </c>
      <c r="AB12" s="1">
        <f t="shared" si="14"/>
        <v>148379.36720900825</v>
      </c>
    </row>
    <row r="13" spans="2:28">
      <c r="B13" s="1" t="s">
        <v>72</v>
      </c>
      <c r="C13" s="10">
        <f t="shared" ref="C13:K13" si="15">+C9-C12</f>
        <v>93595</v>
      </c>
      <c r="D13" s="10">
        <f t="shared" si="15"/>
        <v>120532</v>
      </c>
      <c r="E13" s="10">
        <f t="shared" si="15"/>
        <v>127482</v>
      </c>
      <c r="F13" s="10">
        <f t="shared" si="15"/>
        <v>132213</v>
      </c>
      <c r="G13" s="10">
        <f t="shared" si="15"/>
        <v>141205</v>
      </c>
      <c r="H13" s="10">
        <f t="shared" si="15"/>
        <v>156430</v>
      </c>
      <c r="I13" s="10">
        <f t="shared" si="15"/>
        <v>129828</v>
      </c>
      <c r="J13" s="10">
        <f t="shared" si="15"/>
        <v>92090</v>
      </c>
      <c r="K13" s="10">
        <f t="shared" si="15"/>
        <v>80810</v>
      </c>
      <c r="L13" s="1">
        <f t="shared" ref="L13:N13" si="16">+L9-L12</f>
        <v>77496</v>
      </c>
      <c r="M13" s="1">
        <f t="shared" si="16"/>
        <v>87057.999867836392</v>
      </c>
      <c r="N13" s="1">
        <f t="shared" si="16"/>
        <v>83589.645597449518</v>
      </c>
      <c r="P13" s="1">
        <f t="shared" ref="P13:AB13" si="17">+P9-P12</f>
        <v>179587</v>
      </c>
      <c r="Q13" s="1">
        <f t="shared" si="17"/>
        <v>473822</v>
      </c>
      <c r="R13" s="1">
        <f t="shared" si="17"/>
        <v>519553</v>
      </c>
      <c r="S13" s="1">
        <f t="shared" si="17"/>
        <v>328953.64546528598</v>
      </c>
      <c r="T13" s="1">
        <f t="shared" si="17"/>
        <v>332243.18191993877</v>
      </c>
      <c r="U13" s="1">
        <f t="shared" si="17"/>
        <v>335565.61373913818</v>
      </c>
      <c r="V13" s="1">
        <f t="shared" si="17"/>
        <v>338921.26987652952</v>
      </c>
      <c r="W13" s="1">
        <f t="shared" si="17"/>
        <v>342310.48257529485</v>
      </c>
      <c r="X13" s="1">
        <f t="shared" si="17"/>
        <v>345733.58740104781</v>
      </c>
      <c r="Y13" s="1">
        <f t="shared" si="17"/>
        <v>349190.92327505827</v>
      </c>
      <c r="Z13" s="1">
        <f t="shared" si="17"/>
        <v>352682.83250780887</v>
      </c>
      <c r="AA13" s="1">
        <f t="shared" si="17"/>
        <v>356209.66083288699</v>
      </c>
      <c r="AB13" s="1">
        <f t="shared" si="17"/>
        <v>359771.75744121586</v>
      </c>
    </row>
    <row r="14" spans="2:28">
      <c r="B14" s="1" t="s">
        <v>73</v>
      </c>
      <c r="C14" s="10">
        <v>11280</v>
      </c>
      <c r="D14" s="13">
        <v>33786</v>
      </c>
      <c r="E14" s="10">
        <v>30257</v>
      </c>
      <c r="F14" s="14">
        <f>+Q14-SUM(C14:E14)</f>
        <v>23555</v>
      </c>
      <c r="G14" s="10">
        <v>22314</v>
      </c>
      <c r="H14" s="13">
        <v>26111</v>
      </c>
      <c r="I14" s="10">
        <v>30807</v>
      </c>
      <c r="J14" s="14">
        <f>+R14-SUM(G14:I14)</f>
        <v>34645</v>
      </c>
      <c r="K14" s="10">
        <v>34924</v>
      </c>
      <c r="L14" s="1">
        <v>48413</v>
      </c>
      <c r="M14" s="1">
        <f t="shared" ref="M14:N15" si="18">+M$9*(I14/I$9)</f>
        <v>20877.496094052844</v>
      </c>
      <c r="N14" s="1">
        <f t="shared" si="18"/>
        <v>32337.454457585241</v>
      </c>
      <c r="P14" s="1">
        <v>37170</v>
      </c>
      <c r="Q14" s="1">
        <v>98878</v>
      </c>
      <c r="R14" s="1">
        <v>113877</v>
      </c>
      <c r="S14" s="1">
        <f>SUM(K14:N14)</f>
        <v>136551.95055163809</v>
      </c>
      <c r="T14" s="1">
        <f t="shared" ref="T14:AB14" si="19">+T$9*(S14/S$9)</f>
        <v>137917.47005715445</v>
      </c>
      <c r="U14" s="1">
        <f t="shared" si="19"/>
        <v>139296.644757726</v>
      </c>
      <c r="V14" s="1">
        <f t="shared" si="19"/>
        <v>140689.61120530326</v>
      </c>
      <c r="W14" s="1">
        <f t="shared" si="19"/>
        <v>142096.5073173563</v>
      </c>
      <c r="X14" s="1">
        <f t="shared" si="19"/>
        <v>143517.47239052985</v>
      </c>
      <c r="Y14" s="1">
        <f t="shared" si="19"/>
        <v>144952.64711443515</v>
      </c>
      <c r="Z14" s="1">
        <f t="shared" si="19"/>
        <v>146402.17358557953</v>
      </c>
      <c r="AA14" s="1">
        <f t="shared" si="19"/>
        <v>147866.19532143531</v>
      </c>
      <c r="AB14" s="1">
        <f t="shared" si="19"/>
        <v>149344.85727464966</v>
      </c>
    </row>
    <row r="15" spans="2:28">
      <c r="B15" s="1" t="s">
        <v>74</v>
      </c>
      <c r="C15" s="10">
        <v>10182</v>
      </c>
      <c r="D15" s="13">
        <v>10183</v>
      </c>
      <c r="E15" s="10">
        <v>10182</v>
      </c>
      <c r="F15" s="14">
        <f>+Q15-SUM(C15:E15)</f>
        <v>10243</v>
      </c>
      <c r="G15" s="10">
        <v>10266</v>
      </c>
      <c r="H15" s="13">
        <v>10295</v>
      </c>
      <c r="I15" s="10">
        <v>10329</v>
      </c>
      <c r="J15" s="14">
        <f>+R15-SUM(G15:I15)</f>
        <v>10392</v>
      </c>
      <c r="K15" s="10">
        <v>10323</v>
      </c>
      <c r="L15" s="1">
        <v>10324</v>
      </c>
      <c r="M15" s="1">
        <f t="shared" si="18"/>
        <v>6999.8265704376217</v>
      </c>
      <c r="N15" s="1">
        <f t="shared" si="18"/>
        <v>9699.8362454387607</v>
      </c>
      <c r="P15" s="1">
        <f>39825+16499</f>
        <v>56324</v>
      </c>
      <c r="Q15" s="1">
        <v>40790</v>
      </c>
      <c r="R15" s="1">
        <v>41282</v>
      </c>
      <c r="S15" s="1">
        <f>SUM(K15:N15)</f>
        <v>37346.662815876378</v>
      </c>
      <c r="T15" s="1">
        <f t="shared" ref="T15:AB15" si="20">+T$9*(S15/S$9)</f>
        <v>37720.129444035141</v>
      </c>
      <c r="U15" s="1">
        <f t="shared" si="20"/>
        <v>38097.330738475495</v>
      </c>
      <c r="V15" s="1">
        <f t="shared" si="20"/>
        <v>38478.304045860248</v>
      </c>
      <c r="W15" s="1">
        <f t="shared" si="20"/>
        <v>38863.087086318854</v>
      </c>
      <c r="X15" s="1">
        <f t="shared" si="20"/>
        <v>39251.717957182045</v>
      </c>
      <c r="Y15" s="1">
        <f t="shared" si="20"/>
        <v>39644.235136753865</v>
      </c>
      <c r="Z15" s="1">
        <f t="shared" si="20"/>
        <v>40040.677488121408</v>
      </c>
      <c r="AA15" s="1">
        <f t="shared" si="20"/>
        <v>40441.084263002624</v>
      </c>
      <c r="AB15" s="1">
        <f t="shared" si="20"/>
        <v>40845.495105632654</v>
      </c>
    </row>
    <row r="16" spans="2:28">
      <c r="B16" s="1" t="s">
        <v>75</v>
      </c>
      <c r="C16" s="10">
        <f t="shared" ref="C16:N16" si="21">+SUM(C14:C15)</f>
        <v>21462</v>
      </c>
      <c r="D16" s="10">
        <f t="shared" si="21"/>
        <v>43969</v>
      </c>
      <c r="E16" s="10">
        <f t="shared" si="21"/>
        <v>40439</v>
      </c>
      <c r="F16" s="10">
        <f t="shared" si="21"/>
        <v>33798</v>
      </c>
      <c r="G16" s="10">
        <f t="shared" si="21"/>
        <v>32580</v>
      </c>
      <c r="H16" s="10">
        <f t="shared" si="21"/>
        <v>36406</v>
      </c>
      <c r="I16" s="10">
        <f t="shared" si="21"/>
        <v>41136</v>
      </c>
      <c r="J16" s="10">
        <f t="shared" si="21"/>
        <v>45037</v>
      </c>
      <c r="K16" s="10">
        <f t="shared" si="21"/>
        <v>45247</v>
      </c>
      <c r="L16" s="1">
        <f t="shared" si="21"/>
        <v>58737</v>
      </c>
      <c r="M16" s="1">
        <f t="shared" si="21"/>
        <v>27877.322664490464</v>
      </c>
      <c r="N16" s="1">
        <f t="shared" si="21"/>
        <v>42037.290703024002</v>
      </c>
      <c r="P16" s="1">
        <f t="shared" ref="P16:AB16" si="22">+SUM(P14:P15)</f>
        <v>93494</v>
      </c>
      <c r="Q16" s="1">
        <f t="shared" si="22"/>
        <v>139668</v>
      </c>
      <c r="R16" s="1">
        <f t="shared" si="22"/>
        <v>155159</v>
      </c>
      <c r="S16" s="1">
        <f t="shared" si="22"/>
        <v>173898.61336751445</v>
      </c>
      <c r="T16" s="1">
        <f t="shared" si="22"/>
        <v>175637.5995011896</v>
      </c>
      <c r="U16" s="1">
        <f t="shared" si="22"/>
        <v>177393.97549620148</v>
      </c>
      <c r="V16" s="1">
        <f t="shared" si="22"/>
        <v>179167.9152511635</v>
      </c>
      <c r="W16" s="1">
        <f t="shared" si="22"/>
        <v>180959.59440367515</v>
      </c>
      <c r="X16" s="1">
        <f t="shared" si="22"/>
        <v>182769.1903477119</v>
      </c>
      <c r="Y16" s="1">
        <f t="shared" si="22"/>
        <v>184596.88225118903</v>
      </c>
      <c r="Z16" s="1">
        <f t="shared" si="22"/>
        <v>186442.85107370093</v>
      </c>
      <c r="AA16" s="1">
        <f t="shared" si="22"/>
        <v>188307.27958443793</v>
      </c>
      <c r="AB16" s="1">
        <f t="shared" si="22"/>
        <v>190190.3523802823</v>
      </c>
    </row>
    <row r="17" spans="2:123">
      <c r="B17" s="1" t="s">
        <v>76</v>
      </c>
      <c r="C17" s="10">
        <f t="shared" ref="C17:N17" si="23">+C13-C16</f>
        <v>72133</v>
      </c>
      <c r="D17" s="10">
        <f t="shared" si="23"/>
        <v>76563</v>
      </c>
      <c r="E17" s="10">
        <f t="shared" si="23"/>
        <v>87043</v>
      </c>
      <c r="F17" s="10">
        <f t="shared" si="23"/>
        <v>98415</v>
      </c>
      <c r="G17" s="10">
        <f t="shared" si="23"/>
        <v>108625</v>
      </c>
      <c r="H17" s="10">
        <f t="shared" si="23"/>
        <v>120024</v>
      </c>
      <c r="I17" s="10">
        <f t="shared" si="23"/>
        <v>88692</v>
      </c>
      <c r="J17" s="10">
        <f t="shared" si="23"/>
        <v>47053</v>
      </c>
      <c r="K17" s="10">
        <f t="shared" si="23"/>
        <v>35563</v>
      </c>
      <c r="L17" s="1">
        <f t="shared" si="23"/>
        <v>18759</v>
      </c>
      <c r="M17" s="1">
        <f t="shared" si="23"/>
        <v>59180.677203345927</v>
      </c>
      <c r="N17" s="1">
        <f t="shared" si="23"/>
        <v>41552.354894425516</v>
      </c>
      <c r="P17" s="1">
        <f t="shared" ref="P17:AB17" si="24">+P13-P16</f>
        <v>86093</v>
      </c>
      <c r="Q17" s="1">
        <f t="shared" si="24"/>
        <v>334154</v>
      </c>
      <c r="R17" s="1">
        <f t="shared" si="24"/>
        <v>364394</v>
      </c>
      <c r="S17" s="1">
        <f t="shared" si="24"/>
        <v>155055.03209777153</v>
      </c>
      <c r="T17" s="1">
        <f t="shared" si="24"/>
        <v>156605.58241874917</v>
      </c>
      <c r="U17" s="1">
        <f t="shared" si="24"/>
        <v>158171.63824293669</v>
      </c>
      <c r="V17" s="1">
        <f t="shared" si="24"/>
        <v>159753.35462536602</v>
      </c>
      <c r="W17" s="1">
        <f t="shared" si="24"/>
        <v>161350.88817161971</v>
      </c>
      <c r="X17" s="1">
        <f t="shared" si="24"/>
        <v>162964.39705333591</v>
      </c>
      <c r="Y17" s="1">
        <f t="shared" si="24"/>
        <v>164594.04102386924</v>
      </c>
      <c r="Z17" s="1">
        <f t="shared" si="24"/>
        <v>166239.98143410793</v>
      </c>
      <c r="AA17" s="1">
        <f t="shared" si="24"/>
        <v>167902.38124844906</v>
      </c>
      <c r="AB17" s="1">
        <f t="shared" si="24"/>
        <v>169581.40506093355</v>
      </c>
    </row>
    <row r="18" spans="2:123">
      <c r="B18" s="1" t="s">
        <v>77</v>
      </c>
      <c r="C18" s="10">
        <v>-15502</v>
      </c>
      <c r="D18" s="13">
        <v>-15563</v>
      </c>
      <c r="E18" s="10">
        <v>-14987</v>
      </c>
      <c r="F18" s="14">
        <f>+Q18-SUM(C18:E18)</f>
        <v>-15096</v>
      </c>
      <c r="G18" s="10">
        <v>-11460</v>
      </c>
      <c r="H18" s="13">
        <v>-8694</v>
      </c>
      <c r="I18" s="10">
        <v>-10499</v>
      </c>
      <c r="J18" s="14">
        <f>+R18-SUM(G18:I18)</f>
        <v>-10525</v>
      </c>
      <c r="K18" s="10">
        <v>-10543</v>
      </c>
      <c r="L18" s="1">
        <v>-10206</v>
      </c>
      <c r="M18" s="1">
        <f>+M$9*(I18/I$9)*1.05</f>
        <v>-7470.7849860756914</v>
      </c>
      <c r="N18" s="1">
        <f>+N$9*(J18/J$9)*1.08</f>
        <v>-10609.89593936705</v>
      </c>
      <c r="P18" s="1">
        <v>-38645</v>
      </c>
      <c r="Q18" s="1">
        <v>-61148</v>
      </c>
      <c r="R18" s="1">
        <v>-41178</v>
      </c>
      <c r="S18" s="1">
        <f>SUM(K18:N18)</f>
        <v>-38829.680925442743</v>
      </c>
      <c r="T18" s="1">
        <f t="shared" ref="T18:AB18" si="25">+T$9*(S18/S$9)</f>
        <v>-39217.977734697168</v>
      </c>
      <c r="U18" s="1">
        <f t="shared" si="25"/>
        <v>-39610.157512044141</v>
      </c>
      <c r="V18" s="1">
        <f t="shared" si="25"/>
        <v>-40006.259087164581</v>
      </c>
      <c r="W18" s="1">
        <f t="shared" si="25"/>
        <v>-40406.321678036227</v>
      </c>
      <c r="X18" s="1">
        <f t="shared" si="25"/>
        <v>-40810.384894816591</v>
      </c>
      <c r="Y18" s="1">
        <f t="shared" si="25"/>
        <v>-41218.488743764756</v>
      </c>
      <c r="Z18" s="1">
        <f t="shared" si="25"/>
        <v>-41630.673631202408</v>
      </c>
      <c r="AA18" s="1">
        <f t="shared" si="25"/>
        <v>-42046.980367514436</v>
      </c>
      <c r="AB18" s="1">
        <f t="shared" si="25"/>
        <v>-42467.450171189579</v>
      </c>
    </row>
    <row r="19" spans="2:123">
      <c r="B19" s="1" t="s">
        <v>78</v>
      </c>
      <c r="C19" s="10">
        <v>-47</v>
      </c>
      <c r="D19" s="13">
        <v>-157</v>
      </c>
      <c r="E19" s="10">
        <v>-213</v>
      </c>
      <c r="F19" s="14">
        <f>+Q19-SUM(C19:E19)</f>
        <v>3020</v>
      </c>
      <c r="G19" s="10">
        <v>-19180</v>
      </c>
      <c r="H19" s="13">
        <v>-1224</v>
      </c>
      <c r="I19" s="10">
        <v>-2251</v>
      </c>
      <c r="J19" s="14">
        <f>+R19-SUM(G19:I19)</f>
        <v>4680</v>
      </c>
      <c r="K19" s="10">
        <v>242</v>
      </c>
      <c r="L19" s="1">
        <v>-600</v>
      </c>
      <c r="M19" s="1">
        <f>+M$9*(I19/I$9)</f>
        <v>-1525.4729025128363</v>
      </c>
      <c r="N19" s="1">
        <f>+N$9*(J19/J$9)</f>
        <v>4368.286530855793</v>
      </c>
      <c r="P19" s="1">
        <v>-190</v>
      </c>
      <c r="Q19" s="1">
        <v>2603</v>
      </c>
      <c r="R19" s="1">
        <v>-17975</v>
      </c>
      <c r="S19" s="1">
        <f>SUM(K19:N19)</f>
        <v>2484.8136283429567</v>
      </c>
      <c r="T19" s="1">
        <f t="shared" ref="T19:AB19" si="26">+T$9*(S19/S$9)</f>
        <v>2509.6617646263858</v>
      </c>
      <c r="U19" s="1">
        <f t="shared" si="26"/>
        <v>2534.7583822726501</v>
      </c>
      <c r="V19" s="1">
        <f t="shared" si="26"/>
        <v>2560.1059660953761</v>
      </c>
      <c r="W19" s="1">
        <f t="shared" si="26"/>
        <v>2585.70702575633</v>
      </c>
      <c r="X19" s="1">
        <f t="shared" si="26"/>
        <v>2611.5640960138935</v>
      </c>
      <c r="Y19" s="1">
        <f t="shared" si="26"/>
        <v>2637.6797369740325</v>
      </c>
      <c r="Z19" s="1">
        <f t="shared" si="26"/>
        <v>2664.0565343437729</v>
      </c>
      <c r="AA19" s="1">
        <f t="shared" si="26"/>
        <v>2690.697099687211</v>
      </c>
      <c r="AB19" s="1">
        <f t="shared" si="26"/>
        <v>2717.6040706840831</v>
      </c>
    </row>
    <row r="20" spans="2:123">
      <c r="B20" s="1" t="s">
        <v>79</v>
      </c>
      <c r="C20" s="10">
        <f t="shared" ref="C20:N20" si="27">+SUM(C17:C19)</f>
        <v>56584</v>
      </c>
      <c r="D20" s="10">
        <f t="shared" si="27"/>
        <v>60843</v>
      </c>
      <c r="E20" s="10">
        <f t="shared" si="27"/>
        <v>71843</v>
      </c>
      <c r="F20" s="10">
        <f t="shared" si="27"/>
        <v>86339</v>
      </c>
      <c r="G20" s="10">
        <f t="shared" si="27"/>
        <v>77985</v>
      </c>
      <c r="H20" s="10">
        <f t="shared" si="27"/>
        <v>110106</v>
      </c>
      <c r="I20" s="10">
        <f t="shared" si="27"/>
        <v>75942</v>
      </c>
      <c r="J20" s="10">
        <f t="shared" si="27"/>
        <v>41208</v>
      </c>
      <c r="K20" s="10">
        <f t="shared" si="27"/>
        <v>25262</v>
      </c>
      <c r="L20" s="1">
        <f t="shared" si="27"/>
        <v>7953</v>
      </c>
      <c r="M20" s="1">
        <f t="shared" si="27"/>
        <v>50184.419314757397</v>
      </c>
      <c r="N20" s="1">
        <f t="shared" si="27"/>
        <v>35310.74548591426</v>
      </c>
      <c r="P20" s="1">
        <f t="shared" ref="P20:AB20" si="28">+SUM(P17:P19)</f>
        <v>47258</v>
      </c>
      <c r="Q20" s="1">
        <f t="shared" si="28"/>
        <v>275609</v>
      </c>
      <c r="R20" s="1">
        <f t="shared" si="28"/>
        <v>305241</v>
      </c>
      <c r="S20" s="1">
        <f t="shared" si="28"/>
        <v>118710.16480067174</v>
      </c>
      <c r="T20" s="1">
        <f t="shared" si="28"/>
        <v>119897.26644867839</v>
      </c>
      <c r="U20" s="1">
        <f t="shared" si="28"/>
        <v>121096.2391131652</v>
      </c>
      <c r="V20" s="1">
        <f t="shared" si="28"/>
        <v>122307.20150429681</v>
      </c>
      <c r="W20" s="1">
        <f t="shared" si="28"/>
        <v>123530.27351933981</v>
      </c>
      <c r="X20" s="1">
        <f t="shared" si="28"/>
        <v>124765.57625453323</v>
      </c>
      <c r="Y20" s="1">
        <f t="shared" si="28"/>
        <v>126013.23201707852</v>
      </c>
      <c r="Z20" s="1">
        <f t="shared" si="28"/>
        <v>127273.36433724931</v>
      </c>
      <c r="AA20" s="1">
        <f t="shared" si="28"/>
        <v>128546.09798062184</v>
      </c>
      <c r="AB20" s="1">
        <f t="shared" si="28"/>
        <v>129831.55896042805</v>
      </c>
    </row>
    <row r="21" spans="2:123">
      <c r="B21" s="1" t="s">
        <v>80</v>
      </c>
      <c r="C21" s="10">
        <v>11053</v>
      </c>
      <c r="D21" s="13">
        <v>11492</v>
      </c>
      <c r="E21" s="10">
        <v>15252</v>
      </c>
      <c r="F21" s="14">
        <f>+Q21-SUM(C21:E21)</f>
        <v>17028</v>
      </c>
      <c r="G21" s="10">
        <v>16024</v>
      </c>
      <c r="H21" s="13">
        <v>22391</v>
      </c>
      <c r="I21" s="10">
        <v>15179</v>
      </c>
      <c r="J21" s="14">
        <f>+R21-SUM(G21:I21)</f>
        <v>7575</v>
      </c>
      <c r="K21" s="10">
        <v>4298</v>
      </c>
      <c r="L21" s="1">
        <v>1797</v>
      </c>
      <c r="M21" s="1">
        <f t="shared" ref="M21:N21" si="29">+M20*(I21/I20)</f>
        <v>10030.672102113487</v>
      </c>
      <c r="N21" s="1">
        <f t="shared" si="29"/>
        <v>6490.9458613812985</v>
      </c>
      <c r="P21" s="1">
        <v>7980</v>
      </c>
      <c r="Q21" s="1">
        <v>54825</v>
      </c>
      <c r="R21" s="1">
        <v>61169</v>
      </c>
      <c r="S21" s="1">
        <f>SUM(K21:N21)</f>
        <v>22616.617963494784</v>
      </c>
      <c r="T21" s="1">
        <f t="shared" ref="T21:AB21" si="30">+T$9*(S21/S$9)</f>
        <v>22842.784143129727</v>
      </c>
      <c r="U21" s="1">
        <f t="shared" si="30"/>
        <v>23071.211984561029</v>
      </c>
      <c r="V21" s="1">
        <f t="shared" si="30"/>
        <v>23301.924104406637</v>
      </c>
      <c r="W21" s="1">
        <f t="shared" si="30"/>
        <v>23534.943345450702</v>
      </c>
      <c r="X21" s="1">
        <f t="shared" si="30"/>
        <v>23770.292778905212</v>
      </c>
      <c r="Y21" s="1">
        <f t="shared" si="30"/>
        <v>24007.995706694266</v>
      </c>
      <c r="Z21" s="1">
        <f t="shared" si="30"/>
        <v>24248.07566376121</v>
      </c>
      <c r="AA21" s="1">
        <f t="shared" si="30"/>
        <v>24490.556420398825</v>
      </c>
      <c r="AB21" s="1">
        <f t="shared" si="30"/>
        <v>24735.461984602811</v>
      </c>
    </row>
    <row r="22" spans="2:123" s="3" customFormat="1">
      <c r="B22" s="1" t="s">
        <v>62</v>
      </c>
      <c r="C22" s="11">
        <f t="shared" ref="C22:K22" si="31">+C20-C21</f>
        <v>45531</v>
      </c>
      <c r="D22" s="11">
        <f t="shared" si="31"/>
        <v>49351</v>
      </c>
      <c r="E22" s="11">
        <f t="shared" si="31"/>
        <v>56591</v>
      </c>
      <c r="F22" s="11">
        <f t="shared" si="31"/>
        <v>69311</v>
      </c>
      <c r="G22" s="11">
        <f t="shared" si="31"/>
        <v>61961</v>
      </c>
      <c r="H22" s="11">
        <f t="shared" si="31"/>
        <v>87715</v>
      </c>
      <c r="I22" s="11">
        <f t="shared" si="31"/>
        <v>60763</v>
      </c>
      <c r="J22" s="11">
        <f t="shared" si="31"/>
        <v>33633</v>
      </c>
      <c r="K22" s="11">
        <f t="shared" si="31"/>
        <v>20964</v>
      </c>
      <c r="L22" s="3">
        <f t="shared" ref="L22:N22" si="32">+L20-L21</f>
        <v>6156</v>
      </c>
      <c r="M22" s="3">
        <f t="shared" si="32"/>
        <v>40153.74721264391</v>
      </c>
      <c r="N22" s="3">
        <f t="shared" si="32"/>
        <v>28819.799624532963</v>
      </c>
      <c r="P22" s="3">
        <f t="shared" ref="P22:AB22" si="33">+P20-P21</f>
        <v>39278</v>
      </c>
      <c r="Q22" s="3">
        <f t="shared" si="33"/>
        <v>220784</v>
      </c>
      <c r="R22" s="3">
        <f t="shared" si="33"/>
        <v>244072</v>
      </c>
      <c r="S22" s="3">
        <f t="shared" si="33"/>
        <v>96093.546837176953</v>
      </c>
      <c r="T22" s="3">
        <f t="shared" si="33"/>
        <v>97054.482305548663</v>
      </c>
      <c r="U22" s="3">
        <f t="shared" si="33"/>
        <v>98025.027128604168</v>
      </c>
      <c r="V22" s="3">
        <f t="shared" si="33"/>
        <v>99005.277399890183</v>
      </c>
      <c r="W22" s="3">
        <f t="shared" si="33"/>
        <v>99995.330173889117</v>
      </c>
      <c r="X22" s="3">
        <f t="shared" si="33"/>
        <v>100995.28347562801</v>
      </c>
      <c r="Y22" s="3">
        <f t="shared" si="33"/>
        <v>102005.23631038427</v>
      </c>
      <c r="Z22" s="3">
        <f t="shared" si="33"/>
        <v>103025.2886734881</v>
      </c>
      <c r="AA22" s="3">
        <f t="shared" si="33"/>
        <v>104055.54156022301</v>
      </c>
      <c r="AB22" s="3">
        <f t="shared" si="33"/>
        <v>105096.09697582525</v>
      </c>
      <c r="AC22" s="3">
        <f>+AB22*(1+$AF$28)</f>
        <v>106147.0579455835</v>
      </c>
      <c r="AD22" s="3">
        <f t="shared" ref="AD22:CO22" si="34">+AC22*(1+$AF$28)</f>
        <v>107208.52852503934</v>
      </c>
      <c r="AE22" s="3">
        <f t="shared" si="34"/>
        <v>108280.61381028972</v>
      </c>
      <c r="AF22" s="3">
        <f t="shared" si="34"/>
        <v>109363.41994839262</v>
      </c>
      <c r="AG22" s="3">
        <f t="shared" si="34"/>
        <v>110457.05414787655</v>
      </c>
      <c r="AH22" s="3">
        <f t="shared" si="34"/>
        <v>111561.62468935532</v>
      </c>
      <c r="AI22" s="3">
        <f t="shared" si="34"/>
        <v>112677.24093624887</v>
      </c>
      <c r="AJ22" s="3">
        <f t="shared" si="34"/>
        <v>113804.01334561135</v>
      </c>
      <c r="AK22" s="3">
        <f t="shared" si="34"/>
        <v>114942.05347906747</v>
      </c>
      <c r="AL22" s="3">
        <f t="shared" si="34"/>
        <v>116091.47401385815</v>
      </c>
      <c r="AM22" s="3">
        <f t="shared" si="34"/>
        <v>117252.38875399674</v>
      </c>
      <c r="AN22" s="3">
        <f t="shared" si="34"/>
        <v>118424.91264153671</v>
      </c>
      <c r="AO22" s="3">
        <f t="shared" si="34"/>
        <v>119609.16176795207</v>
      </c>
      <c r="AP22" s="3">
        <f t="shared" si="34"/>
        <v>120805.2533856316</v>
      </c>
      <c r="AQ22" s="3">
        <f t="shared" si="34"/>
        <v>122013.30591948792</v>
      </c>
      <c r="AR22" s="3">
        <f t="shared" si="34"/>
        <v>123233.4389786828</v>
      </c>
      <c r="AS22" s="3">
        <f t="shared" si="34"/>
        <v>124465.77336846963</v>
      </c>
      <c r="AT22" s="3">
        <f t="shared" si="34"/>
        <v>125710.43110215433</v>
      </c>
      <c r="AU22" s="3">
        <f t="shared" si="34"/>
        <v>126967.53541317586</v>
      </c>
      <c r="AV22" s="3">
        <f t="shared" si="34"/>
        <v>128237.21076730762</v>
      </c>
      <c r="AW22" s="3">
        <f t="shared" si="34"/>
        <v>129519.5828749807</v>
      </c>
      <c r="AX22" s="3">
        <f t="shared" si="34"/>
        <v>130814.77870373051</v>
      </c>
      <c r="AY22" s="3">
        <f t="shared" si="34"/>
        <v>132122.92649076783</v>
      </c>
      <c r="AZ22" s="3">
        <f t="shared" si="34"/>
        <v>133444.15575567551</v>
      </c>
      <c r="BA22" s="3">
        <f t="shared" si="34"/>
        <v>134778.59731323228</v>
      </c>
      <c r="BB22" s="3">
        <f t="shared" si="34"/>
        <v>136126.38328636461</v>
      </c>
      <c r="BC22" s="3">
        <f t="shared" si="34"/>
        <v>137487.64711922826</v>
      </c>
      <c r="BD22" s="3">
        <f t="shared" si="34"/>
        <v>138862.52359042055</v>
      </c>
      <c r="BE22" s="3">
        <f t="shared" si="34"/>
        <v>140251.14882632476</v>
      </c>
      <c r="BF22" s="3">
        <f t="shared" si="34"/>
        <v>141653.66031458802</v>
      </c>
      <c r="BG22" s="3">
        <f t="shared" si="34"/>
        <v>143070.19691773391</v>
      </c>
      <c r="BH22" s="3">
        <f t="shared" si="34"/>
        <v>144500.89888691125</v>
      </c>
      <c r="BI22" s="3">
        <f t="shared" si="34"/>
        <v>145945.90787578037</v>
      </c>
      <c r="BJ22" s="3">
        <f t="shared" si="34"/>
        <v>147405.36695453816</v>
      </c>
      <c r="BK22" s="3">
        <f t="shared" si="34"/>
        <v>148879.42062408355</v>
      </c>
      <c r="BL22" s="3">
        <f t="shared" si="34"/>
        <v>150368.21483032437</v>
      </c>
      <c r="BM22" s="3">
        <f t="shared" si="34"/>
        <v>151871.89697862763</v>
      </c>
      <c r="BN22" s="3">
        <f t="shared" si="34"/>
        <v>153390.61594841391</v>
      </c>
      <c r="BO22" s="3">
        <f t="shared" si="34"/>
        <v>154924.52210789805</v>
      </c>
      <c r="BP22" s="3">
        <f t="shared" si="34"/>
        <v>156473.76732897703</v>
      </c>
      <c r="BQ22" s="3">
        <f t="shared" si="34"/>
        <v>158038.50500226681</v>
      </c>
      <c r="BR22" s="3">
        <f t="shared" si="34"/>
        <v>159618.8900522895</v>
      </c>
      <c r="BS22" s="3">
        <f t="shared" si="34"/>
        <v>161215.07895281239</v>
      </c>
      <c r="BT22" s="3">
        <f t="shared" si="34"/>
        <v>162827.22974234051</v>
      </c>
      <c r="BU22" s="3">
        <f t="shared" si="34"/>
        <v>164455.50203976393</v>
      </c>
      <c r="BV22" s="3">
        <f t="shared" si="34"/>
        <v>166100.05706016158</v>
      </c>
      <c r="BW22" s="3">
        <f t="shared" si="34"/>
        <v>167761.05763076319</v>
      </c>
      <c r="BX22" s="3">
        <f t="shared" si="34"/>
        <v>169438.66820707082</v>
      </c>
      <c r="BY22" s="3">
        <f t="shared" si="34"/>
        <v>171133.05488914152</v>
      </c>
      <c r="BZ22" s="3">
        <f t="shared" si="34"/>
        <v>172844.38543803294</v>
      </c>
      <c r="CA22" s="3">
        <f t="shared" si="34"/>
        <v>174572.82929241328</v>
      </c>
      <c r="CB22" s="3">
        <f t="shared" si="34"/>
        <v>176318.55758533743</v>
      </c>
      <c r="CC22" s="3">
        <f t="shared" si="34"/>
        <v>178081.7431611908</v>
      </c>
      <c r="CD22" s="3">
        <f t="shared" si="34"/>
        <v>179862.56059280271</v>
      </c>
      <c r="CE22" s="3">
        <f t="shared" si="34"/>
        <v>181661.18619873075</v>
      </c>
      <c r="CF22" s="3">
        <f t="shared" si="34"/>
        <v>183477.79806071805</v>
      </c>
      <c r="CG22" s="3">
        <f t="shared" si="34"/>
        <v>185312.57604132523</v>
      </c>
      <c r="CH22" s="3">
        <f t="shared" si="34"/>
        <v>187165.70180173847</v>
      </c>
      <c r="CI22" s="3">
        <f t="shared" si="34"/>
        <v>189037.35881975584</v>
      </c>
      <c r="CJ22" s="3">
        <f t="shared" si="34"/>
        <v>190927.73240795342</v>
      </c>
      <c r="CK22" s="3">
        <f t="shared" si="34"/>
        <v>192837.00973203295</v>
      </c>
      <c r="CL22" s="3">
        <f t="shared" si="34"/>
        <v>194765.37982935327</v>
      </c>
      <c r="CM22" s="3">
        <f t="shared" si="34"/>
        <v>196713.0336276468</v>
      </c>
      <c r="CN22" s="3">
        <f t="shared" si="34"/>
        <v>198680.16396392326</v>
      </c>
      <c r="CO22" s="3">
        <f t="shared" si="34"/>
        <v>200666.96560356251</v>
      </c>
      <c r="CP22" s="3">
        <f t="shared" ref="CP22:DS22" si="35">+CO22*(1+$AF$28)</f>
        <v>202673.63525959814</v>
      </c>
      <c r="CQ22" s="3">
        <f t="shared" si="35"/>
        <v>204700.37161219414</v>
      </c>
      <c r="CR22" s="3">
        <f t="shared" si="35"/>
        <v>206747.37532831609</v>
      </c>
      <c r="CS22" s="3">
        <f t="shared" si="35"/>
        <v>208814.84908159924</v>
      </c>
      <c r="CT22" s="3">
        <f t="shared" si="35"/>
        <v>210902.99757241525</v>
      </c>
      <c r="CU22" s="3">
        <f t="shared" si="35"/>
        <v>213012.02754813939</v>
      </c>
      <c r="CV22" s="3">
        <f t="shared" si="35"/>
        <v>215142.14782362079</v>
      </c>
      <c r="CW22" s="3">
        <f t="shared" si="35"/>
        <v>217293.569301857</v>
      </c>
      <c r="CX22" s="3">
        <f t="shared" si="35"/>
        <v>219466.50499487558</v>
      </c>
      <c r="CY22" s="3">
        <f t="shared" si="35"/>
        <v>221661.17004482434</v>
      </c>
      <c r="CZ22" s="3">
        <f t="shared" si="35"/>
        <v>223877.78174527257</v>
      </c>
      <c r="DA22" s="3">
        <f t="shared" si="35"/>
        <v>226116.55956272531</v>
      </c>
      <c r="DB22" s="3">
        <f t="shared" si="35"/>
        <v>228377.72515835255</v>
      </c>
      <c r="DC22" s="3">
        <f t="shared" si="35"/>
        <v>230661.50240993607</v>
      </c>
      <c r="DD22" s="3">
        <f t="shared" si="35"/>
        <v>232968.11743403543</v>
      </c>
      <c r="DE22" s="3">
        <f t="shared" si="35"/>
        <v>235297.7986083758</v>
      </c>
      <c r="DF22" s="3">
        <f t="shared" si="35"/>
        <v>237650.77659445957</v>
      </c>
      <c r="DG22" s="3">
        <f t="shared" si="35"/>
        <v>240027.28436040418</v>
      </c>
      <c r="DH22" s="3">
        <f t="shared" si="35"/>
        <v>242427.55720400822</v>
      </c>
      <c r="DI22" s="3">
        <f t="shared" si="35"/>
        <v>244851.83277604831</v>
      </c>
      <c r="DJ22" s="3">
        <f t="shared" si="35"/>
        <v>247300.35110380879</v>
      </c>
      <c r="DK22" s="3">
        <f t="shared" si="35"/>
        <v>249773.35461484687</v>
      </c>
      <c r="DL22" s="3">
        <f t="shared" si="35"/>
        <v>252271.08816099534</v>
      </c>
      <c r="DM22" s="3">
        <f t="shared" si="35"/>
        <v>254793.7990426053</v>
      </c>
      <c r="DN22" s="3">
        <f t="shared" si="35"/>
        <v>257341.73703303136</v>
      </c>
      <c r="DO22" s="3">
        <f t="shared" si="35"/>
        <v>259915.15440336167</v>
      </c>
      <c r="DP22" s="3">
        <f t="shared" si="35"/>
        <v>262514.30594739527</v>
      </c>
      <c r="DQ22" s="3">
        <f t="shared" si="35"/>
        <v>265139.44900686922</v>
      </c>
      <c r="DR22" s="3">
        <f t="shared" si="35"/>
        <v>267790.84349693795</v>
      </c>
      <c r="DS22" s="3">
        <f t="shared" si="35"/>
        <v>270468.75193190732</v>
      </c>
    </row>
    <row r="23" spans="2:123">
      <c r="B23" s="1" t="s">
        <v>81</v>
      </c>
      <c r="C23" s="10">
        <v>656268.31599999999</v>
      </c>
      <c r="D23" s="13">
        <v>656745.55700000003</v>
      </c>
      <c r="E23" s="10">
        <v>390711.78200000001</v>
      </c>
      <c r="F23" s="10">
        <f>+F22/F24</f>
        <v>2261520.8746036957</v>
      </c>
      <c r="G23" s="10">
        <v>693021.09699999995</v>
      </c>
      <c r="H23" s="13">
        <v>691365.07200000004</v>
      </c>
      <c r="I23" s="10">
        <v>691257.65399999998</v>
      </c>
      <c r="J23" s="10">
        <f>+J22/J24</f>
        <v>685950.13327874616</v>
      </c>
      <c r="K23" s="10">
        <v>683485.18200000003</v>
      </c>
      <c r="L23" s="1">
        <v>680349.16099999996</v>
      </c>
      <c r="M23" s="1">
        <f t="shared" ref="M23:N23" si="36">+L23</f>
        <v>680349.16099999996</v>
      </c>
      <c r="N23" s="1">
        <f t="shared" si="36"/>
        <v>680349.16099999996</v>
      </c>
      <c r="P23" s="1">
        <v>636819.97499999998</v>
      </c>
      <c r="Q23" s="1">
        <v>689923.79200000002</v>
      </c>
      <c r="R23" s="1">
        <v>691005.84600000002</v>
      </c>
      <c r="S23" s="1">
        <f>+S22/S24</f>
        <v>681030.86616101174</v>
      </c>
      <c r="T23" s="1">
        <f>+S23</f>
        <v>681030.86616101174</v>
      </c>
      <c r="U23" s="1">
        <f t="shared" ref="U23:AB23" si="37">+T23</f>
        <v>681030.86616101174</v>
      </c>
      <c r="V23" s="1">
        <f t="shared" si="37"/>
        <v>681030.86616101174</v>
      </c>
      <c r="W23" s="1">
        <f t="shared" si="37"/>
        <v>681030.86616101174</v>
      </c>
      <c r="X23" s="1">
        <f t="shared" si="37"/>
        <v>681030.86616101174</v>
      </c>
      <c r="Y23" s="1">
        <f t="shared" si="37"/>
        <v>681030.86616101174</v>
      </c>
      <c r="Z23" s="1">
        <f t="shared" si="37"/>
        <v>681030.86616101174</v>
      </c>
      <c r="AA23" s="1">
        <f t="shared" si="37"/>
        <v>681030.86616101174</v>
      </c>
      <c r="AB23" s="1">
        <f t="shared" si="37"/>
        <v>681030.86616101174</v>
      </c>
    </row>
    <row r="24" spans="2:123" s="7" customFormat="1">
      <c r="B24" s="1" t="s">
        <v>82</v>
      </c>
      <c r="C24" s="15">
        <f>+C22/C23</f>
        <v>6.93786350642593E-2</v>
      </c>
      <c r="D24" s="15">
        <f>+D22/D23</f>
        <v>7.5144779395896241E-2</v>
      </c>
      <c r="E24" s="15">
        <f>+E22/E23</f>
        <v>0.14484078189380017</v>
      </c>
      <c r="F24" s="16">
        <f>+Q24-SUM(C24:E24)</f>
        <v>3.0647959423388438E-2</v>
      </c>
      <c r="G24" s="15">
        <f>+G22/G23</f>
        <v>8.940709058962458E-2</v>
      </c>
      <c r="H24" s="15">
        <f>+H22/H23</f>
        <v>0.12687218888026208</v>
      </c>
      <c r="I24" s="15">
        <f>+I22/I23</f>
        <v>8.7902100827949747E-2</v>
      </c>
      <c r="J24" s="16">
        <f>+R24-SUM(G24:I24)</f>
        <v>4.9031260974087054E-2</v>
      </c>
      <c r="K24" s="15">
        <f>+K22/K23</f>
        <v>3.0672208486884209E-2</v>
      </c>
      <c r="L24" s="7">
        <f>+L22/L23</f>
        <v>9.0482951297414776E-3</v>
      </c>
      <c r="M24" s="7">
        <f t="shared" ref="M24:N24" si="38">+M22/M23</f>
        <v>5.9019323480350279E-2</v>
      </c>
      <c r="N24" s="7">
        <f t="shared" si="38"/>
        <v>4.2360307437099884E-2</v>
      </c>
      <c r="P24" s="7">
        <f>+P22/P23</f>
        <v>6.1678341669480455E-2</v>
      </c>
      <c r="Q24" s="7">
        <f>+Q22/Q23</f>
        <v>0.32001215577734415</v>
      </c>
      <c r="R24" s="7">
        <f>+R22/R23</f>
        <v>0.35321264127192348</v>
      </c>
      <c r="S24" s="7">
        <f>SUM(K24:N24)</f>
        <v>0.14110013453407583</v>
      </c>
      <c r="T24" s="7">
        <f t="shared" ref="T24:AB24" si="39">+T22/T23</f>
        <v>0.14251113587941652</v>
      </c>
      <c r="U24" s="7">
        <f t="shared" si="39"/>
        <v>0.14393624723821069</v>
      </c>
      <c r="V24" s="7">
        <f t="shared" si="39"/>
        <v>0.14537560971059277</v>
      </c>
      <c r="W24" s="7">
        <f t="shared" si="39"/>
        <v>0.14682936580769873</v>
      </c>
      <c r="X24" s="7">
        <f t="shared" si="39"/>
        <v>0.14829765946577572</v>
      </c>
      <c r="Y24" s="7">
        <f t="shared" si="39"/>
        <v>0.14978063606043346</v>
      </c>
      <c r="Z24" s="7">
        <f t="shared" si="39"/>
        <v>0.15127844242103777</v>
      </c>
      <c r="AA24" s="7">
        <f t="shared" si="39"/>
        <v>0.15279122684524818</v>
      </c>
      <c r="AB24" s="7">
        <f t="shared" si="39"/>
        <v>0.15431913911370068</v>
      </c>
    </row>
    <row r="25" spans="2:123">
      <c r="B25" s="1" t="s">
        <v>35</v>
      </c>
      <c r="S25" s="24"/>
    </row>
    <row r="26" spans="2:123" s="3" customFormat="1">
      <c r="B26" s="3" t="s">
        <v>83</v>
      </c>
      <c r="C26" s="11"/>
      <c r="D26" s="11"/>
      <c r="E26" s="11"/>
      <c r="F26" s="11"/>
      <c r="G26" s="11"/>
      <c r="H26" s="11"/>
      <c r="I26" s="11"/>
      <c r="J26" s="11"/>
      <c r="K26" s="11"/>
    </row>
    <row r="27" spans="2:123" s="4" customFormat="1">
      <c r="B27" s="1" t="s">
        <v>65</v>
      </c>
      <c r="C27" s="17"/>
      <c r="D27" s="17"/>
      <c r="E27" s="17"/>
      <c r="F27" s="17"/>
      <c r="G27" s="18">
        <f t="shared" ref="G27:N27" si="40">+G6/C6-1</f>
        <v>0.62609466331849162</v>
      </c>
      <c r="H27" s="18">
        <f t="shared" si="40"/>
        <v>0.32710597826086962</v>
      </c>
      <c r="I27" s="18">
        <f t="shared" si="40"/>
        <v>-0.15987356291178745</v>
      </c>
      <c r="J27" s="18">
        <f t="shared" si="40"/>
        <v>-3.8859922315148565E-2</v>
      </c>
      <c r="K27" s="18">
        <f t="shared" si="40"/>
        <v>-0.37194876652954234</v>
      </c>
      <c r="L27" s="4">
        <f t="shared" si="40"/>
        <v>-0.61190266283688355</v>
      </c>
      <c r="M27" s="4">
        <f t="shared" si="40"/>
        <v>-0.19999999999999996</v>
      </c>
      <c r="N27" s="4">
        <f t="shared" si="40"/>
        <v>3.0000000000000027E-2</v>
      </c>
      <c r="Q27" s="4">
        <f>+Q6/P6-1</f>
        <v>0.65819883610010299</v>
      </c>
      <c r="R27" s="4">
        <f>+R6/Q6-1</f>
        <v>0.1600832403507213</v>
      </c>
      <c r="S27" s="4">
        <f>+S6/R6-1</f>
        <v>-0.34665862376527601</v>
      </c>
      <c r="T27" s="4">
        <f t="shared" ref="T27:AB27" si="41">+T6/S6-1</f>
        <v>1.0000000000000009E-2</v>
      </c>
      <c r="U27" s="4">
        <f t="shared" si="41"/>
        <v>1.0000000000000009E-2</v>
      </c>
      <c r="V27" s="4">
        <f t="shared" si="41"/>
        <v>1.0000000000000009E-2</v>
      </c>
      <c r="W27" s="4">
        <f t="shared" si="41"/>
        <v>1.0000000000000009E-2</v>
      </c>
      <c r="X27" s="4">
        <f t="shared" si="41"/>
        <v>1.0000000000000009E-2</v>
      </c>
      <c r="Y27" s="4">
        <f t="shared" si="41"/>
        <v>1.0000000000000009E-2</v>
      </c>
      <c r="Z27" s="4">
        <f t="shared" si="41"/>
        <v>1.0000000000000009E-2</v>
      </c>
      <c r="AA27" s="4">
        <f t="shared" si="41"/>
        <v>1.0000000000000009E-2</v>
      </c>
      <c r="AB27" s="4">
        <f t="shared" si="41"/>
        <v>1.0000000000000009E-2</v>
      </c>
    </row>
    <row r="28" spans="2:123" s="4" customFormat="1">
      <c r="B28" s="1" t="s">
        <v>66</v>
      </c>
      <c r="C28" s="17"/>
      <c r="D28" s="17"/>
      <c r="E28" s="17"/>
      <c r="F28" s="17"/>
      <c r="G28" s="18">
        <f t="shared" ref="G28:N28" si="42">+G7/C7-1</f>
        <v>1.0249527410207939</v>
      </c>
      <c r="H28" s="18">
        <f t="shared" si="42"/>
        <v>0.68500445983524849</v>
      </c>
      <c r="I28" s="18">
        <f t="shared" si="42"/>
        <v>0.60091060138532248</v>
      </c>
      <c r="J28" s="18">
        <f t="shared" si="42"/>
        <v>-0.45269975502533644</v>
      </c>
      <c r="K28" s="18">
        <f t="shared" si="42"/>
        <v>-0.45763318396813546</v>
      </c>
      <c r="L28" s="4">
        <f t="shared" si="42"/>
        <v>-0.53654891092808543</v>
      </c>
      <c r="M28" s="4">
        <f t="shared" si="42"/>
        <v>-0.591126416950843</v>
      </c>
      <c r="N28" s="4">
        <f t="shared" si="42"/>
        <v>7.9391440309031891E-2</v>
      </c>
      <c r="Q28" s="4">
        <f t="shared" ref="Q28:R29" si="43">+Q7/P7-1</f>
        <v>2.4662052920067827</v>
      </c>
      <c r="R28" s="4">
        <f t="shared" si="43"/>
        <v>0.33851728394359459</v>
      </c>
      <c r="S28" s="4">
        <f t="shared" ref="S28:AB28" si="44">+S7/R7-1</f>
        <v>-0.4468219370192511</v>
      </c>
      <c r="T28" s="4">
        <f t="shared" si="44"/>
        <v>1.0000000000000009E-2</v>
      </c>
      <c r="U28" s="4">
        <f t="shared" si="44"/>
        <v>1.0000000000000009E-2</v>
      </c>
      <c r="V28" s="4">
        <f t="shared" si="44"/>
        <v>1.0000000000000009E-2</v>
      </c>
      <c r="W28" s="4">
        <f t="shared" si="44"/>
        <v>1.0000000000000009E-2</v>
      </c>
      <c r="X28" s="4">
        <f t="shared" si="44"/>
        <v>1.0000000000000009E-2</v>
      </c>
      <c r="Y28" s="4">
        <f t="shared" si="44"/>
        <v>1.0000000000000009E-2</v>
      </c>
      <c r="Z28" s="4">
        <f t="shared" si="44"/>
        <v>1.0000000000000009E-2</v>
      </c>
      <c r="AA28" s="4">
        <f t="shared" si="44"/>
        <v>1.0000000000000009E-2</v>
      </c>
      <c r="AB28" s="4">
        <f t="shared" si="44"/>
        <v>1.0000000000000009E-2</v>
      </c>
      <c r="AE28" s="4" t="s">
        <v>122</v>
      </c>
      <c r="AF28" s="4">
        <v>0.01</v>
      </c>
    </row>
    <row r="29" spans="2:123" s="4" customFormat="1">
      <c r="B29" s="1" t="s">
        <v>67</v>
      </c>
      <c r="C29" s="17"/>
      <c r="D29" s="17"/>
      <c r="E29" s="17"/>
      <c r="F29" s="17"/>
      <c r="G29" s="18">
        <f t="shared" ref="G29:N29" si="45">+G8/C8-1</f>
        <v>0.15067966145165435</v>
      </c>
      <c r="H29" s="18">
        <f t="shared" si="45"/>
        <v>0.19314560519149437</v>
      </c>
      <c r="I29" s="18">
        <f t="shared" si="45"/>
        <v>-2.5581222241520485E-2</v>
      </c>
      <c r="J29" s="18">
        <f t="shared" si="45"/>
        <v>-0.13219153298757691</v>
      </c>
      <c r="K29" s="18">
        <f t="shared" si="45"/>
        <v>-0.31949180875961214</v>
      </c>
      <c r="L29" s="4">
        <f t="shared" si="45"/>
        <v>-6.436809518028408E-2</v>
      </c>
      <c r="M29" s="4">
        <f t="shared" si="45"/>
        <v>-1.0669179058871436E-2</v>
      </c>
      <c r="N29" s="4">
        <f t="shared" si="45"/>
        <v>-0.29984503127171647</v>
      </c>
      <c r="Q29" s="4">
        <f t="shared" si="43"/>
        <v>1.1711202261956912</v>
      </c>
      <c r="R29" s="4">
        <f t="shared" si="43"/>
        <v>3.0172967222436231E-2</v>
      </c>
      <c r="S29" s="4">
        <f t="shared" ref="S29:AB29" si="46">+S8/R8-1</f>
        <v>-0.18011721624765564</v>
      </c>
      <c r="T29" s="4">
        <f t="shared" si="46"/>
        <v>1.0000000000000009E-2</v>
      </c>
      <c r="U29" s="4">
        <f t="shared" si="46"/>
        <v>1.0000000000000009E-2</v>
      </c>
      <c r="V29" s="4">
        <f t="shared" si="46"/>
        <v>1.0000000000000009E-2</v>
      </c>
      <c r="W29" s="4">
        <f t="shared" si="46"/>
        <v>1.0000000000000009E-2</v>
      </c>
      <c r="X29" s="4">
        <f t="shared" si="46"/>
        <v>1.0000000000000009E-2</v>
      </c>
      <c r="Y29" s="4">
        <f t="shared" si="46"/>
        <v>1.0000000000000009E-2</v>
      </c>
      <c r="Z29" s="4">
        <f t="shared" si="46"/>
        <v>1.0000000000000009E-2</v>
      </c>
      <c r="AA29" s="4">
        <f t="shared" si="46"/>
        <v>1.0000000000000009E-2</v>
      </c>
      <c r="AB29" s="4">
        <f t="shared" si="46"/>
        <v>1.0000000000000009E-2</v>
      </c>
      <c r="AE29" s="4" t="s">
        <v>123</v>
      </c>
      <c r="AF29" s="4">
        <v>0.1</v>
      </c>
    </row>
    <row r="30" spans="2:123" s="4" customFormat="1">
      <c r="B30" s="1" t="s">
        <v>68</v>
      </c>
      <c r="C30" s="18"/>
      <c r="D30" s="18"/>
      <c r="E30" s="18"/>
      <c r="F30" s="18"/>
      <c r="G30" s="18">
        <f t="shared" ref="G30:N30" si="47">+G9/C9-1</f>
        <v>0.5763425020530144</v>
      </c>
      <c r="H30" s="18">
        <f t="shared" si="47"/>
        <v>0.38638873550524577</v>
      </c>
      <c r="I30" s="18">
        <f t="shared" si="47"/>
        <v>9.1756174825520898E-2</v>
      </c>
      <c r="J30" s="18">
        <f t="shared" si="47"/>
        <v>-0.21487945801150765</v>
      </c>
      <c r="K30" s="17">
        <f t="shared" si="47"/>
        <v>-0.38888590517519173</v>
      </c>
      <c r="L30" s="4">
        <f t="shared" si="47"/>
        <v>-0.48203202420069891</v>
      </c>
      <c r="M30" s="4">
        <f t="shared" si="47"/>
        <v>-0.32231323744431972</v>
      </c>
      <c r="N30" s="4">
        <f t="shared" si="47"/>
        <v>-6.6605442124830661E-2</v>
      </c>
      <c r="Q30" s="4">
        <f t="shared" ref="Q30:AB30" si="48">+Q9/P9-1</f>
        <v>1.1199822852081489</v>
      </c>
      <c r="R30" s="4">
        <f t="shared" si="48"/>
        <v>0.17699731769070715</v>
      </c>
      <c r="S30" s="4">
        <f t="shared" si="48"/>
        <v>-0.34028118317586609</v>
      </c>
      <c r="T30" s="4">
        <f t="shared" si="48"/>
        <v>9.9999999999997868E-3</v>
      </c>
      <c r="U30" s="4">
        <f t="shared" si="48"/>
        <v>1.0000000000000009E-2</v>
      </c>
      <c r="V30" s="4">
        <f t="shared" si="48"/>
        <v>9.9999999999997868E-3</v>
      </c>
      <c r="W30" s="4">
        <f t="shared" si="48"/>
        <v>1.0000000000000009E-2</v>
      </c>
      <c r="X30" s="4">
        <f t="shared" si="48"/>
        <v>1.0000000000000009E-2</v>
      </c>
      <c r="Y30" s="4">
        <f t="shared" si="48"/>
        <v>1.0000000000000009E-2</v>
      </c>
      <c r="Z30" s="4">
        <f t="shared" si="48"/>
        <v>1.0000000000000009E-2</v>
      </c>
      <c r="AA30" s="4">
        <f t="shared" si="48"/>
        <v>1.0000000000000009E-2</v>
      </c>
      <c r="AB30" s="4">
        <f t="shared" si="48"/>
        <v>1.0000000000000009E-2</v>
      </c>
      <c r="AE30" s="4" t="s">
        <v>124</v>
      </c>
      <c r="AF30" s="23">
        <f>NPV(AF29,S22:DS22)</f>
        <v>1067569.314416914</v>
      </c>
    </row>
    <row r="31" spans="2:123" s="4" customFormat="1">
      <c r="B31" s="1" t="s">
        <v>71</v>
      </c>
      <c r="C31" s="18"/>
      <c r="D31" s="18"/>
      <c r="E31" s="18"/>
      <c r="F31" s="18"/>
      <c r="G31" s="18">
        <f t="shared" ref="G31:J31" si="49">+G12/C12-1</f>
        <v>0.83457021693035394</v>
      </c>
      <c r="H31" s="18">
        <f t="shared" si="49"/>
        <v>0.72426563687009371</v>
      </c>
      <c r="I31" s="18">
        <f t="shared" si="49"/>
        <v>0.36564934684552752</v>
      </c>
      <c r="J31" s="18">
        <f t="shared" si="49"/>
        <v>0.12676097418696219</v>
      </c>
      <c r="K31" s="18">
        <f t="shared" ref="K31:N33" si="50">+K12/G12-1</f>
        <v>-0.2670311840145807</v>
      </c>
      <c r="L31" s="4">
        <f t="shared" si="50"/>
        <v>-0.41723422613037653</v>
      </c>
      <c r="M31" s="4">
        <f t="shared" si="50"/>
        <v>-0.30248058739408012</v>
      </c>
      <c r="N31" s="4">
        <f t="shared" si="50"/>
        <v>-5.3422276785357603E-3</v>
      </c>
      <c r="Q31" s="4">
        <f t="shared" ref="Q31:AB31" si="51">+Q12/P12-1</f>
        <v>0.21312449470597983</v>
      </c>
      <c r="R31" s="4">
        <f t="shared" si="51"/>
        <v>0.4831905446311715</v>
      </c>
      <c r="S31" s="4">
        <f t="shared" si="51"/>
        <v>-0.26554552793286035</v>
      </c>
      <c r="T31" s="4">
        <f t="shared" si="51"/>
        <v>1.0000000000000009E-2</v>
      </c>
      <c r="U31" s="4">
        <f t="shared" si="51"/>
        <v>1.0000000000000231E-2</v>
      </c>
      <c r="V31" s="4">
        <f t="shared" si="51"/>
        <v>9.9999999999997868E-3</v>
      </c>
      <c r="W31" s="4">
        <f t="shared" si="51"/>
        <v>9.9999999999997868E-3</v>
      </c>
      <c r="X31" s="4">
        <f t="shared" si="51"/>
        <v>1.0000000000000009E-2</v>
      </c>
      <c r="Y31" s="4">
        <f t="shared" si="51"/>
        <v>1.0000000000000453E-2</v>
      </c>
      <c r="Z31" s="4">
        <f t="shared" si="51"/>
        <v>1.0000000000000231E-2</v>
      </c>
      <c r="AA31" s="4">
        <f t="shared" si="51"/>
        <v>1.0000000000000009E-2</v>
      </c>
      <c r="AB31" s="4">
        <f t="shared" si="51"/>
        <v>1.0000000000000009E-2</v>
      </c>
      <c r="AE31" s="4" t="s">
        <v>24</v>
      </c>
      <c r="AF31" s="1">
        <f>+O!H9*1000</f>
        <v>378418</v>
      </c>
    </row>
    <row r="32" spans="2:123" s="4" customFormat="1">
      <c r="B32" s="1" t="s">
        <v>72</v>
      </c>
      <c r="C32" s="18"/>
      <c r="D32" s="18"/>
      <c r="E32" s="18"/>
      <c r="F32" s="18"/>
      <c r="G32" s="18">
        <f t="shared" ref="G32:J32" si="52">+G13/C13-1</f>
        <v>0.50868101928521825</v>
      </c>
      <c r="H32" s="18">
        <f t="shared" si="52"/>
        <v>0.29782962200909302</v>
      </c>
      <c r="I32" s="18">
        <f t="shared" si="52"/>
        <v>1.8402598013837146E-2</v>
      </c>
      <c r="J32" s="18">
        <f t="shared" si="52"/>
        <v>-0.30347242706844257</v>
      </c>
      <c r="K32" s="18">
        <f t="shared" si="50"/>
        <v>-0.42771148330441555</v>
      </c>
      <c r="L32" s="4">
        <f t="shared" si="50"/>
        <v>-0.50459630505657482</v>
      </c>
      <c r="M32" s="4">
        <f t="shared" si="50"/>
        <v>-0.3294358700138923</v>
      </c>
      <c r="N32" s="4">
        <f t="shared" si="50"/>
        <v>-9.2304858318497995E-2</v>
      </c>
      <c r="Q32" s="4">
        <f t="shared" ref="Q32:AB32" si="53">+Q13/P13-1</f>
        <v>1.6383981023125282</v>
      </c>
      <c r="R32" s="4">
        <f t="shared" si="53"/>
        <v>9.6515147038339189E-2</v>
      </c>
      <c r="S32" s="4">
        <f t="shared" si="53"/>
        <v>-0.36685257237416402</v>
      </c>
      <c r="T32" s="4">
        <f t="shared" si="53"/>
        <v>9.9999999999997868E-3</v>
      </c>
      <c r="U32" s="4">
        <f t="shared" si="53"/>
        <v>1.0000000000000009E-2</v>
      </c>
      <c r="V32" s="4">
        <f t="shared" si="53"/>
        <v>9.9999999999997868E-3</v>
      </c>
      <c r="W32" s="4">
        <f t="shared" si="53"/>
        <v>1.0000000000000009E-2</v>
      </c>
      <c r="X32" s="4">
        <f t="shared" si="53"/>
        <v>1.0000000000000009E-2</v>
      </c>
      <c r="Y32" s="4">
        <f t="shared" si="53"/>
        <v>1.0000000000000009E-2</v>
      </c>
      <c r="Z32" s="4">
        <f t="shared" si="53"/>
        <v>1.0000000000000009E-2</v>
      </c>
      <c r="AA32" s="4">
        <f t="shared" si="53"/>
        <v>1.0000000000000009E-2</v>
      </c>
      <c r="AB32" s="4">
        <f t="shared" si="53"/>
        <v>1.0000000000000009E-2</v>
      </c>
      <c r="AE32" s="4" t="s">
        <v>39</v>
      </c>
      <c r="AF32" s="1">
        <f>+O!H10*1000</f>
        <v>658428</v>
      </c>
    </row>
    <row r="33" spans="2:36" s="4" customFormat="1">
      <c r="B33" s="1" t="s">
        <v>73</v>
      </c>
      <c r="C33" s="18"/>
      <c r="D33" s="18"/>
      <c r="E33" s="18"/>
      <c r="F33" s="18"/>
      <c r="G33" s="18">
        <f t="shared" ref="G33:J33" si="54">+G14/C14-1</f>
        <v>0.97819148936170208</v>
      </c>
      <c r="H33" s="18">
        <f t="shared" si="54"/>
        <v>-0.22716509796957318</v>
      </c>
      <c r="I33" s="18">
        <f t="shared" si="54"/>
        <v>1.8177611792312476E-2</v>
      </c>
      <c r="J33" s="18">
        <f t="shared" si="54"/>
        <v>0.47081299087242634</v>
      </c>
      <c r="K33" s="18">
        <f t="shared" si="50"/>
        <v>0.56511607062830516</v>
      </c>
      <c r="L33" s="4">
        <f t="shared" si="50"/>
        <v>0.85412278350120641</v>
      </c>
      <c r="M33" s="4">
        <f t="shared" si="50"/>
        <v>-0.32231323744431972</v>
      </c>
      <c r="N33" s="4">
        <f t="shared" si="50"/>
        <v>-6.6605442124830661E-2</v>
      </c>
      <c r="Q33" s="4">
        <f t="shared" ref="Q33:AB33" si="55">+Q14/P14-1</f>
        <v>1.6601560398170569</v>
      </c>
      <c r="R33" s="4">
        <f t="shared" si="55"/>
        <v>0.15169198406116635</v>
      </c>
      <c r="S33" s="4">
        <f t="shared" si="55"/>
        <v>0.19911791276234969</v>
      </c>
      <c r="T33" s="4">
        <f t="shared" si="55"/>
        <v>9.9999999999997868E-3</v>
      </c>
      <c r="U33" s="4">
        <f t="shared" si="55"/>
        <v>1.0000000000000009E-2</v>
      </c>
      <c r="V33" s="4">
        <f t="shared" si="55"/>
        <v>1.0000000000000009E-2</v>
      </c>
      <c r="W33" s="4">
        <f t="shared" si="55"/>
        <v>1.0000000000000009E-2</v>
      </c>
      <c r="X33" s="4">
        <f t="shared" si="55"/>
        <v>9.9999999999997868E-3</v>
      </c>
      <c r="Y33" s="4">
        <f t="shared" si="55"/>
        <v>1.0000000000000009E-2</v>
      </c>
      <c r="Z33" s="4">
        <f t="shared" si="55"/>
        <v>1.0000000000000231E-2</v>
      </c>
      <c r="AA33" s="4">
        <f t="shared" si="55"/>
        <v>1.0000000000000009E-2</v>
      </c>
      <c r="AB33" s="4">
        <f t="shared" si="55"/>
        <v>1.0000000000000009E-2</v>
      </c>
      <c r="AE33" s="8" t="s">
        <v>125</v>
      </c>
      <c r="AF33" s="3">
        <f>+AF30-AF31+AF32</f>
        <v>1347579.314416914</v>
      </c>
    </row>
    <row r="34" spans="2:36" s="4" customFormat="1">
      <c r="B34" s="1" t="s">
        <v>76</v>
      </c>
      <c r="C34" s="18"/>
      <c r="D34" s="18"/>
      <c r="E34" s="18"/>
      <c r="F34" s="18"/>
      <c r="G34" s="18">
        <f t="shared" ref="G34:J34" si="56">+G17/C17-1</f>
        <v>0.50589882578015599</v>
      </c>
      <c r="H34" s="18">
        <f t="shared" si="56"/>
        <v>0.56765017044786648</v>
      </c>
      <c r="I34" s="18">
        <f t="shared" si="56"/>
        <v>1.8944659536091368E-2</v>
      </c>
      <c r="J34" s="18">
        <f t="shared" si="56"/>
        <v>-0.52189198800995784</v>
      </c>
      <c r="K34" s="18">
        <f>+K17/G17-1</f>
        <v>-0.67260759493670885</v>
      </c>
      <c r="L34" s="4">
        <f>+L17/H17-1</f>
        <v>-0.84370625874825034</v>
      </c>
      <c r="M34" s="4">
        <f>+M17/I17-1</f>
        <v>-0.33273939923165641</v>
      </c>
      <c r="N34" s="4">
        <f>+N17/J17-1</f>
        <v>-0.11690317526139637</v>
      </c>
      <c r="Q34" s="4">
        <f t="shared" ref="Q34:AB34" si="57">+Q17/P17-1</f>
        <v>2.8813143925754705</v>
      </c>
      <c r="R34" s="4">
        <f t="shared" si="57"/>
        <v>9.0497195903685101E-2</v>
      </c>
      <c r="S34" s="4">
        <f t="shared" si="57"/>
        <v>-0.57448522177156724</v>
      </c>
      <c r="T34" s="4">
        <f t="shared" si="57"/>
        <v>9.9999999999995648E-3</v>
      </c>
      <c r="U34" s="4">
        <f t="shared" si="57"/>
        <v>1.0000000000000231E-2</v>
      </c>
      <c r="V34" s="4">
        <f t="shared" si="57"/>
        <v>9.9999999999997868E-3</v>
      </c>
      <c r="W34" s="4">
        <f t="shared" si="57"/>
        <v>1.0000000000000231E-2</v>
      </c>
      <c r="X34" s="4">
        <f t="shared" si="57"/>
        <v>1.0000000000000009E-2</v>
      </c>
      <c r="Y34" s="4">
        <f t="shared" si="57"/>
        <v>9.9999999999997868E-3</v>
      </c>
      <c r="Z34" s="4">
        <f t="shared" si="57"/>
        <v>1.0000000000000009E-2</v>
      </c>
      <c r="AA34" s="4">
        <f t="shared" si="57"/>
        <v>1.0000000000000231E-2</v>
      </c>
      <c r="AB34" s="4">
        <f t="shared" si="57"/>
        <v>1.0000000000000009E-2</v>
      </c>
      <c r="AE34" s="4" t="s">
        <v>126</v>
      </c>
      <c r="AF34" s="1">
        <f>+O!H7*1000</f>
        <v>654698.30799999996</v>
      </c>
    </row>
    <row r="35" spans="2:36" s="4" customFormat="1">
      <c r="B35" s="1" t="s">
        <v>79</v>
      </c>
      <c r="C35" s="18"/>
      <c r="D35" s="18"/>
      <c r="E35" s="18"/>
      <c r="F35" s="18"/>
      <c r="G35" s="18">
        <f t="shared" ref="G35:J35" si="58">+G20/C20-1</f>
        <v>0.37821645694896078</v>
      </c>
      <c r="H35" s="18">
        <f t="shared" si="58"/>
        <v>0.80967407918741685</v>
      </c>
      <c r="I35" s="18">
        <f t="shared" si="58"/>
        <v>5.7054967080996111E-2</v>
      </c>
      <c r="J35" s="18">
        <f t="shared" si="58"/>
        <v>-0.52271858603875421</v>
      </c>
      <c r="K35" s="18">
        <f>+K20/G20-1</f>
        <v>-0.67606591011091877</v>
      </c>
      <c r="L35" s="4">
        <f>+L20/H20-1</f>
        <v>-0.92776960383630325</v>
      </c>
      <c r="M35" s="4">
        <f>+M20/I20-1</f>
        <v>-0.33917437893711788</v>
      </c>
      <c r="N35" s="4">
        <f>+N20/J20-1</f>
        <v>-0.14310945724339308</v>
      </c>
      <c r="Q35" s="4">
        <f t="shared" ref="Q35:AB35" si="59">+Q20/P20-1</f>
        <v>4.8320072791908251</v>
      </c>
      <c r="R35" s="4">
        <f t="shared" si="59"/>
        <v>0.10751463123482896</v>
      </c>
      <c r="S35" s="4">
        <f t="shared" si="59"/>
        <v>-0.61109364469166416</v>
      </c>
      <c r="T35" s="4">
        <f t="shared" si="59"/>
        <v>9.9999999999993427E-3</v>
      </c>
      <c r="U35" s="4">
        <f t="shared" si="59"/>
        <v>1.0000000000000231E-2</v>
      </c>
      <c r="V35" s="4">
        <f t="shared" si="59"/>
        <v>9.9999999999997868E-3</v>
      </c>
      <c r="W35" s="4">
        <f t="shared" si="59"/>
        <v>1.0000000000000231E-2</v>
      </c>
      <c r="X35" s="4">
        <f t="shared" si="59"/>
        <v>1.0000000000000231E-2</v>
      </c>
      <c r="Y35" s="4">
        <f t="shared" si="59"/>
        <v>9.9999999999997868E-3</v>
      </c>
      <c r="Z35" s="4">
        <f t="shared" si="59"/>
        <v>1.0000000000000009E-2</v>
      </c>
      <c r="AA35" s="4">
        <f t="shared" si="59"/>
        <v>1.0000000000000231E-2</v>
      </c>
      <c r="AB35" s="4">
        <f t="shared" si="59"/>
        <v>1.0000000000000009E-2</v>
      </c>
      <c r="AE35" s="4" t="s">
        <v>127</v>
      </c>
      <c r="AF35" s="2">
        <f>+AF33/AF34</f>
        <v>2.0583210586469303</v>
      </c>
      <c r="AH35" s="1"/>
    </row>
    <row r="36" spans="2:36" s="4" customFormat="1">
      <c r="B36" s="1" t="s">
        <v>62</v>
      </c>
      <c r="C36" s="18"/>
      <c r="D36" s="18"/>
      <c r="E36" s="18"/>
      <c r="F36" s="18"/>
      <c r="G36" s="18">
        <f t="shared" ref="G36:J36" si="60">+G22/C22-1</f>
        <v>0.36085304517801053</v>
      </c>
      <c r="H36" s="18">
        <f t="shared" si="60"/>
        <v>0.77737026605337278</v>
      </c>
      <c r="I36" s="18">
        <f t="shared" si="60"/>
        <v>7.3721969924546382E-2</v>
      </c>
      <c r="J36" s="18">
        <f t="shared" si="60"/>
        <v>-0.51475234811213233</v>
      </c>
      <c r="K36" s="18">
        <f t="shared" ref="K36:N38" si="61">+K22/G22-1</f>
        <v>-0.66165813979761468</v>
      </c>
      <c r="L36" s="4">
        <f t="shared" si="61"/>
        <v>-0.92981816108989346</v>
      </c>
      <c r="M36" s="4">
        <f t="shared" si="61"/>
        <v>-0.33917437893711777</v>
      </c>
      <c r="N36" s="4">
        <f t="shared" si="61"/>
        <v>-0.14310945724339297</v>
      </c>
      <c r="Q36" s="4">
        <f t="shared" ref="Q36:AB36" si="62">+Q22/P22-1</f>
        <v>4.621060135444778</v>
      </c>
      <c r="R36" s="4">
        <f t="shared" si="62"/>
        <v>0.10547865787375899</v>
      </c>
      <c r="S36" s="4">
        <f t="shared" si="62"/>
        <v>-0.60629016504483535</v>
      </c>
      <c r="T36" s="4">
        <f t="shared" si="62"/>
        <v>9.9999999999993427E-3</v>
      </c>
      <c r="U36" s="4">
        <f t="shared" si="62"/>
        <v>1.0000000000000231E-2</v>
      </c>
      <c r="V36" s="4">
        <f t="shared" si="62"/>
        <v>9.9999999999997868E-3</v>
      </c>
      <c r="W36" s="4">
        <f t="shared" si="62"/>
        <v>1.0000000000000231E-2</v>
      </c>
      <c r="X36" s="4">
        <f t="shared" si="62"/>
        <v>1.0000000000000009E-2</v>
      </c>
      <c r="Y36" s="4">
        <f t="shared" si="62"/>
        <v>9.9999999999997868E-3</v>
      </c>
      <c r="Z36" s="4">
        <f t="shared" si="62"/>
        <v>1.0000000000000009E-2</v>
      </c>
      <c r="AA36" s="4">
        <f t="shared" si="62"/>
        <v>1.0000000000000231E-2</v>
      </c>
      <c r="AB36" s="4">
        <f t="shared" si="62"/>
        <v>1.0000000000000009E-2</v>
      </c>
      <c r="AE36" s="4" t="s">
        <v>128</v>
      </c>
      <c r="AF36" s="2">
        <f>+O!H6</f>
        <v>2.5499999999999998</v>
      </c>
      <c r="AH36" s="1"/>
    </row>
    <row r="37" spans="2:36" s="4" customFormat="1">
      <c r="B37" s="1" t="s">
        <v>81</v>
      </c>
      <c r="C37" s="18"/>
      <c r="D37" s="18"/>
      <c r="E37" s="18"/>
      <c r="F37" s="18"/>
      <c r="G37" s="18">
        <f t="shared" ref="G37:G38" si="63">+G23/C23-1</f>
        <v>5.6002674674301867E-2</v>
      </c>
      <c r="H37" s="18">
        <f t="shared" ref="H37:H38" si="64">+H23/D23-1</f>
        <v>5.2713740703692391E-2</v>
      </c>
      <c r="I37" s="18">
        <f t="shared" ref="I37" si="65">+I23/E23-1</f>
        <v>0.76922653947507524</v>
      </c>
      <c r="J37" s="18">
        <f t="shared" ref="J37" si="66">+J23/F23-1</f>
        <v>-0.69668635784803423</v>
      </c>
      <c r="K37" s="18">
        <f t="shared" si="61"/>
        <v>-1.3759920212068066E-2</v>
      </c>
      <c r="L37" s="4">
        <f t="shared" si="61"/>
        <v>-1.5933565993047516E-2</v>
      </c>
      <c r="M37" s="4">
        <f t="shared" si="61"/>
        <v>-1.5780646965538048E-2</v>
      </c>
      <c r="N37" s="4">
        <f t="shared" si="61"/>
        <v>-8.1652761724446687E-3</v>
      </c>
      <c r="Q37" s="4">
        <f t="shared" ref="Q37:AB37" si="67">+Q23/P23-1</f>
        <v>8.3389056695340136E-2</v>
      </c>
      <c r="R37" s="4">
        <f t="shared" si="67"/>
        <v>1.5683674233979428E-3</v>
      </c>
      <c r="S37" s="4">
        <f t="shared" si="67"/>
        <v>-1.4435449275472911E-2</v>
      </c>
      <c r="T37" s="4">
        <f t="shared" si="67"/>
        <v>0</v>
      </c>
      <c r="U37" s="4">
        <f t="shared" si="67"/>
        <v>0</v>
      </c>
      <c r="V37" s="4">
        <f t="shared" si="67"/>
        <v>0</v>
      </c>
      <c r="W37" s="4">
        <f t="shared" si="67"/>
        <v>0</v>
      </c>
      <c r="X37" s="4">
        <f t="shared" si="67"/>
        <v>0</v>
      </c>
      <c r="Y37" s="4">
        <f t="shared" si="67"/>
        <v>0</v>
      </c>
      <c r="Z37" s="4">
        <f t="shared" si="67"/>
        <v>0</v>
      </c>
      <c r="AA37" s="4">
        <f t="shared" si="67"/>
        <v>0</v>
      </c>
      <c r="AB37" s="4">
        <f t="shared" si="67"/>
        <v>0</v>
      </c>
      <c r="AE37" s="8" t="s">
        <v>129</v>
      </c>
      <c r="AF37" s="8">
        <f>+AF35/AF36-1</f>
        <v>-0.19281527111885077</v>
      </c>
      <c r="AH37" s="5"/>
    </row>
    <row r="38" spans="2:36" s="4" customFormat="1">
      <c r="B38" s="1" t="s">
        <v>82</v>
      </c>
      <c r="C38" s="18"/>
      <c r="D38" s="18"/>
      <c r="E38" s="18"/>
      <c r="F38" s="18"/>
      <c r="G38" s="18">
        <f t="shared" si="63"/>
        <v>0.28868333178960204</v>
      </c>
      <c r="H38" s="18">
        <f t="shared" si="64"/>
        <v>0.68836996928080341</v>
      </c>
      <c r="I38" s="18">
        <f>+I24/E24-1</f>
        <v>-0.39311221826735843</v>
      </c>
      <c r="J38" s="18">
        <f>+J24/F24-1</f>
        <v>0.599821387673521</v>
      </c>
      <c r="K38" s="18">
        <f t="shared" si="61"/>
        <v>-0.65693762894412289</v>
      </c>
      <c r="L38" s="4">
        <f t="shared" si="61"/>
        <v>-0.92868180797068955</v>
      </c>
      <c r="M38" s="4">
        <f t="shared" si="61"/>
        <v>-0.3285789199069491</v>
      </c>
      <c r="N38" s="4">
        <f t="shared" si="61"/>
        <v>-0.13605510860739967</v>
      </c>
      <c r="Q38" s="4">
        <f t="shared" ref="Q38:AB38" si="68">+Q24/P24-1</f>
        <v>4.1884040185809974</v>
      </c>
      <c r="R38" s="4">
        <f t="shared" si="68"/>
        <v>0.10374757613169949</v>
      </c>
      <c r="S38" s="4">
        <f t="shared" si="68"/>
        <v>-0.60052354291179288</v>
      </c>
      <c r="T38" s="4">
        <f t="shared" si="68"/>
        <v>9.9999999999995648E-3</v>
      </c>
      <c r="U38" s="4">
        <f t="shared" si="68"/>
        <v>1.0000000000000009E-2</v>
      </c>
      <c r="V38" s="4">
        <f t="shared" si="68"/>
        <v>9.9999999999997868E-3</v>
      </c>
      <c r="W38" s="4">
        <f t="shared" si="68"/>
        <v>1.0000000000000231E-2</v>
      </c>
      <c r="X38" s="4">
        <f t="shared" si="68"/>
        <v>1.0000000000000009E-2</v>
      </c>
      <c r="Y38" s="4">
        <f t="shared" si="68"/>
        <v>9.9999999999997868E-3</v>
      </c>
      <c r="Z38" s="4">
        <f t="shared" si="68"/>
        <v>9.9999999999997868E-3</v>
      </c>
      <c r="AA38" s="4">
        <f t="shared" si="68"/>
        <v>1.0000000000000231E-2</v>
      </c>
      <c r="AB38" s="4">
        <f t="shared" si="68"/>
        <v>1.0000000000000231E-2</v>
      </c>
      <c r="AH38" s="1"/>
      <c r="AJ38" s="1"/>
    </row>
    <row r="39" spans="2:36" s="4" customFormat="1">
      <c r="B39" s="1" t="s">
        <v>84</v>
      </c>
      <c r="C39" s="18">
        <f>+C13/C9</f>
        <v>0.79237887215435276</v>
      </c>
      <c r="D39" s="18">
        <f t="shared" ref="D39:K39" si="69">+D13/D9</f>
        <v>0.79232731192974148</v>
      </c>
      <c r="E39" s="18">
        <f t="shared" si="69"/>
        <v>0.78875662030391525</v>
      </c>
      <c r="F39" s="18">
        <f t="shared" si="69"/>
        <v>0.794081610589917</v>
      </c>
      <c r="G39" s="18">
        <f t="shared" si="69"/>
        <v>0.75836752669230278</v>
      </c>
      <c r="H39" s="18">
        <f t="shared" si="69"/>
        <v>0.74171538574605389</v>
      </c>
      <c r="I39" s="18">
        <f t="shared" si="69"/>
        <v>0.73576116154918558</v>
      </c>
      <c r="J39" s="18">
        <f t="shared" si="69"/>
        <v>0.70447747492751733</v>
      </c>
      <c r="K39" s="18">
        <f t="shared" si="69"/>
        <v>0.71018657667396101</v>
      </c>
      <c r="L39" s="4">
        <f t="shared" ref="L39:N39" si="70">+L13/L9</f>
        <v>0.70940397835977331</v>
      </c>
      <c r="M39" s="4">
        <f t="shared" si="70"/>
        <v>0.72802815464653681</v>
      </c>
      <c r="N39" s="4">
        <f t="shared" si="70"/>
        <v>0.68508089748395429</v>
      </c>
      <c r="P39" s="4">
        <f t="shared" ref="P39:R39" si="71">+P13/P9</f>
        <v>0.63626926483613822</v>
      </c>
      <c r="Q39" s="4">
        <f t="shared" si="71"/>
        <v>0.79186115498065557</v>
      </c>
      <c r="R39" s="4">
        <f t="shared" si="71"/>
        <v>0.73771429869624605</v>
      </c>
      <c r="S39" s="4">
        <f t="shared" ref="S39:AB39" si="72">+S13/S9</f>
        <v>0.70800149795763567</v>
      </c>
      <c r="T39" s="4">
        <f t="shared" si="72"/>
        <v>0.70800149795763556</v>
      </c>
      <c r="U39" s="4">
        <f t="shared" si="72"/>
        <v>0.70800149795763556</v>
      </c>
      <c r="V39" s="4">
        <f t="shared" si="72"/>
        <v>0.70800149795763556</v>
      </c>
      <c r="W39" s="4">
        <f t="shared" si="72"/>
        <v>0.70800149795763556</v>
      </c>
      <c r="X39" s="4">
        <f t="shared" si="72"/>
        <v>0.70800149795763567</v>
      </c>
      <c r="Y39" s="4">
        <f t="shared" si="72"/>
        <v>0.70800149795763556</v>
      </c>
      <c r="Z39" s="4">
        <f t="shared" si="72"/>
        <v>0.70800149795763556</v>
      </c>
      <c r="AA39" s="4">
        <f t="shared" si="72"/>
        <v>0.70800149795763556</v>
      </c>
      <c r="AB39" s="4">
        <f t="shared" si="72"/>
        <v>0.70800149795763556</v>
      </c>
    </row>
    <row r="40" spans="2:36" s="4" customFormat="1">
      <c r="B40" s="1" t="s">
        <v>85</v>
      </c>
      <c r="C40" s="18">
        <f>+C17/C9</f>
        <v>0.61068075415470835</v>
      </c>
      <c r="D40" s="18">
        <f t="shared" ref="D40:K40" si="73">+D17/D9</f>
        <v>0.50329336593831353</v>
      </c>
      <c r="E40" s="18">
        <f t="shared" si="73"/>
        <v>0.53855244270652869</v>
      </c>
      <c r="F40" s="18">
        <f t="shared" si="73"/>
        <v>0.59108818123941431</v>
      </c>
      <c r="G40" s="18">
        <f t="shared" si="73"/>
        <v>0.58339062063631875</v>
      </c>
      <c r="H40" s="18">
        <f t="shared" si="73"/>
        <v>0.56909574543747599</v>
      </c>
      <c r="I40" s="18">
        <f t="shared" si="73"/>
        <v>0.50263524771328505</v>
      </c>
      <c r="J40" s="18">
        <f t="shared" si="73"/>
        <v>0.3599498167853673</v>
      </c>
      <c r="K40" s="18">
        <f t="shared" si="73"/>
        <v>0.3125400968476188</v>
      </c>
      <c r="L40" s="4">
        <f t="shared" ref="L40:N40" si="74">+L17/L9</f>
        <v>0.17172124019370016</v>
      </c>
      <c r="M40" s="4">
        <f t="shared" si="74"/>
        <v>0.49490224081063627</v>
      </c>
      <c r="N40" s="4">
        <f t="shared" si="74"/>
        <v>0.34055323934180415</v>
      </c>
      <c r="P40" s="4">
        <f t="shared" ref="P40:R40" si="75">+P17/P9</f>
        <v>0.30502391496899911</v>
      </c>
      <c r="Q40" s="4">
        <f t="shared" si="75"/>
        <v>0.55844509622053429</v>
      </c>
      <c r="R40" s="4">
        <f t="shared" si="75"/>
        <v>0.5174037377497962</v>
      </c>
      <c r="S40" s="4">
        <f t="shared" ref="S40:AB40" si="76">+S17/S9</f>
        <v>0.33372238461080184</v>
      </c>
      <c r="T40" s="4">
        <f t="shared" si="76"/>
        <v>0.33372238461080173</v>
      </c>
      <c r="U40" s="4">
        <f t="shared" si="76"/>
        <v>0.33372238461080178</v>
      </c>
      <c r="V40" s="4">
        <f t="shared" si="76"/>
        <v>0.33372238461080173</v>
      </c>
      <c r="W40" s="4">
        <f t="shared" si="76"/>
        <v>0.33372238461080178</v>
      </c>
      <c r="X40" s="4">
        <f t="shared" si="76"/>
        <v>0.33372238461080178</v>
      </c>
      <c r="Y40" s="4">
        <f t="shared" si="76"/>
        <v>0.33372238461080167</v>
      </c>
      <c r="Z40" s="4">
        <f t="shared" si="76"/>
        <v>0.33372238461080167</v>
      </c>
      <c r="AA40" s="4">
        <f t="shared" si="76"/>
        <v>0.33372238461080173</v>
      </c>
      <c r="AB40" s="4">
        <f t="shared" si="76"/>
        <v>0.33372238461080173</v>
      </c>
    </row>
    <row r="41" spans="2:36" s="4" customFormat="1">
      <c r="B41" s="1" t="s">
        <v>86</v>
      </c>
      <c r="C41" s="18">
        <f>+C22/C9</f>
        <v>0.3854671983338836</v>
      </c>
      <c r="D41" s="18">
        <f t="shared" ref="D41:K41" si="77">+D22/D9</f>
        <v>0.32441297888564591</v>
      </c>
      <c r="E41" s="18">
        <f t="shared" si="77"/>
        <v>0.35013983071821014</v>
      </c>
      <c r="F41" s="18">
        <f t="shared" si="77"/>
        <v>0.41628728273012289</v>
      </c>
      <c r="G41" s="18">
        <f t="shared" si="77"/>
        <v>0.33277299190100756</v>
      </c>
      <c r="H41" s="18">
        <f t="shared" si="77"/>
        <v>0.41590209717263388</v>
      </c>
      <c r="I41" s="18">
        <f t="shared" si="77"/>
        <v>0.34435603613406329</v>
      </c>
      <c r="J41" s="18">
        <f t="shared" si="77"/>
        <v>0.2572884234361732</v>
      </c>
      <c r="K41" s="18">
        <f t="shared" si="77"/>
        <v>0.18423897281763293</v>
      </c>
      <c r="L41" s="4">
        <f t="shared" ref="L41:N41" si="78">+L22/L9</f>
        <v>5.635246839556577E-2</v>
      </c>
      <c r="M41" s="4">
        <f t="shared" si="78"/>
        <v>0.33578830813645688</v>
      </c>
      <c r="N41" s="4">
        <f t="shared" si="78"/>
        <v>0.23620023809127377</v>
      </c>
      <c r="P41" s="4">
        <f t="shared" ref="P41:R41" si="79">+P22/P9</f>
        <v>0.13916031886625332</v>
      </c>
      <c r="Q41" s="4">
        <f t="shared" si="79"/>
        <v>0.36897880056487259</v>
      </c>
      <c r="R41" s="4">
        <f t="shared" si="79"/>
        <v>0.34655829975265307</v>
      </c>
      <c r="S41" s="4">
        <f t="shared" ref="S41:AB41" si="80">+S22/S9</f>
        <v>0.20682055372437902</v>
      </c>
      <c r="T41" s="4">
        <f t="shared" si="80"/>
        <v>0.20682055372437891</v>
      </c>
      <c r="U41" s="4">
        <f t="shared" si="80"/>
        <v>0.20682055372437894</v>
      </c>
      <c r="V41" s="4">
        <f t="shared" si="80"/>
        <v>0.20682055372437888</v>
      </c>
      <c r="W41" s="4">
        <f t="shared" si="80"/>
        <v>0.20682055372437896</v>
      </c>
      <c r="X41" s="4">
        <f t="shared" si="80"/>
        <v>0.20682055372437894</v>
      </c>
      <c r="Y41" s="4">
        <f t="shared" si="80"/>
        <v>0.20682055372437888</v>
      </c>
      <c r="Z41" s="4">
        <f t="shared" si="80"/>
        <v>0.20682055372437885</v>
      </c>
      <c r="AA41" s="4">
        <f t="shared" si="80"/>
        <v>0.20682055372437891</v>
      </c>
      <c r="AB41" s="4">
        <f t="shared" si="80"/>
        <v>0.20682055372437894</v>
      </c>
    </row>
    <row r="43" spans="2:36">
      <c r="S43" s="4"/>
    </row>
    <row r="44" spans="2:36">
      <c r="B44" s="1" t="s">
        <v>24</v>
      </c>
      <c r="E44" s="10">
        <v>121479</v>
      </c>
      <c r="F44" s="10">
        <v>186388</v>
      </c>
      <c r="G44" s="10">
        <v>143347</v>
      </c>
      <c r="H44" s="10">
        <v>198028</v>
      </c>
      <c r="I44" s="10">
        <v>249399</v>
      </c>
      <c r="J44" s="10">
        <v>322808</v>
      </c>
      <c r="K44" s="10">
        <v>369340</v>
      </c>
      <c r="L44" s="10">
        <v>378418</v>
      </c>
    </row>
    <row r="45" spans="2:36">
      <c r="B45" s="1" t="s">
        <v>25</v>
      </c>
      <c r="E45" s="10">
        <v>59283</v>
      </c>
      <c r="F45" s="10">
        <v>40779</v>
      </c>
      <c r="G45" s="10">
        <v>68914</v>
      </c>
      <c r="H45" s="10">
        <v>81345</v>
      </c>
      <c r="I45" s="10">
        <v>93286</v>
      </c>
      <c r="J45" s="10">
        <v>46220</v>
      </c>
      <c r="K45" s="10">
        <v>45516</v>
      </c>
      <c r="L45" s="10">
        <v>50298</v>
      </c>
    </row>
    <row r="46" spans="2:36">
      <c r="B46" s="1" t="s">
        <v>26</v>
      </c>
      <c r="E46" s="10">
        <v>69088</v>
      </c>
      <c r="F46" s="10">
        <v>98399</v>
      </c>
      <c r="G46" s="10">
        <v>117471</v>
      </c>
      <c r="H46" s="10">
        <v>140316</v>
      </c>
      <c r="I46" s="10">
        <v>151283</v>
      </c>
      <c r="J46" s="10">
        <v>144425</v>
      </c>
      <c r="K46" s="10">
        <v>132014</v>
      </c>
      <c r="L46" s="10">
        <v>128509</v>
      </c>
    </row>
    <row r="47" spans="2:36">
      <c r="B47" s="1" t="s">
        <v>27</v>
      </c>
      <c r="E47" s="10">
        <v>8182</v>
      </c>
      <c r="F47" s="10">
        <v>9621</v>
      </c>
      <c r="G47" s="10">
        <v>8196</v>
      </c>
      <c r="H47" s="10">
        <v>5765</v>
      </c>
      <c r="I47" s="10">
        <v>3277</v>
      </c>
      <c r="J47" s="10">
        <v>8771</v>
      </c>
      <c r="K47" s="10">
        <v>16665</v>
      </c>
      <c r="L47" s="10">
        <v>13398</v>
      </c>
    </row>
    <row r="48" spans="2:36" s="3" customFormat="1">
      <c r="B48" s="1" t="s">
        <v>28</v>
      </c>
      <c r="C48" s="11"/>
      <c r="D48" s="11"/>
      <c r="E48" s="11">
        <f t="shared" ref="E48:K48" si="81">+SUM(E44:E47)</f>
        <v>258032</v>
      </c>
      <c r="F48" s="11">
        <f t="shared" si="81"/>
        <v>335187</v>
      </c>
      <c r="G48" s="11">
        <f t="shared" si="81"/>
        <v>337928</v>
      </c>
      <c r="H48" s="11">
        <f t="shared" si="81"/>
        <v>425454</v>
      </c>
      <c r="I48" s="11">
        <f t="shared" si="81"/>
        <v>497245</v>
      </c>
      <c r="J48" s="11">
        <f t="shared" si="81"/>
        <v>522224</v>
      </c>
      <c r="K48" s="11">
        <f t="shared" si="81"/>
        <v>563535</v>
      </c>
      <c r="L48" s="11">
        <f t="shared" ref="L48" si="82">+SUM(L44:L47)</f>
        <v>570623</v>
      </c>
    </row>
    <row r="49" spans="2:12">
      <c r="B49" s="1" t="s">
        <v>29</v>
      </c>
      <c r="E49" s="10">
        <v>806</v>
      </c>
      <c r="F49" s="10">
        <v>747</v>
      </c>
      <c r="G49" s="10">
        <v>740</v>
      </c>
      <c r="H49" s="10">
        <v>670</v>
      </c>
      <c r="I49" s="10">
        <v>614</v>
      </c>
      <c r="J49" s="10">
        <v>1034</v>
      </c>
      <c r="K49" s="10">
        <v>1026</v>
      </c>
      <c r="L49" s="10">
        <v>932</v>
      </c>
    </row>
    <row r="50" spans="2:12">
      <c r="B50" s="1" t="s">
        <v>30</v>
      </c>
      <c r="E50" s="10">
        <v>1054962</v>
      </c>
      <c r="F50" s="10">
        <v>1043344</v>
      </c>
      <c r="G50" s="10">
        <v>1031232</v>
      </c>
      <c r="H50" s="10">
        <v>1019120</v>
      </c>
      <c r="I50" s="10">
        <v>1007267</v>
      </c>
      <c r="J50" s="10">
        <v>995028</v>
      </c>
      <c r="K50" s="10">
        <v>982962</v>
      </c>
      <c r="L50" s="10">
        <v>971715</v>
      </c>
    </row>
    <row r="51" spans="2:12">
      <c r="B51" s="1" t="s">
        <v>31</v>
      </c>
      <c r="E51" s="10">
        <v>168300</v>
      </c>
      <c r="F51" s="10">
        <v>168300</v>
      </c>
      <c r="G51" s="10">
        <v>168300</v>
      </c>
      <c r="H51" s="10">
        <v>168300</v>
      </c>
      <c r="I51" s="10">
        <v>168300</v>
      </c>
      <c r="J51" s="10">
        <v>168300</v>
      </c>
      <c r="K51" s="10">
        <v>168300</v>
      </c>
      <c r="L51" s="10">
        <v>168300</v>
      </c>
    </row>
    <row r="52" spans="2:12">
      <c r="B52" s="1" t="s">
        <v>32</v>
      </c>
      <c r="E52" s="10">
        <v>6978</v>
      </c>
      <c r="F52" s="10">
        <v>8344</v>
      </c>
      <c r="G52" s="10">
        <v>10056</v>
      </c>
      <c r="H52" s="10">
        <v>11881</v>
      </c>
      <c r="I52" s="10">
        <v>12876</v>
      </c>
      <c r="L52" s="10"/>
    </row>
    <row r="53" spans="2:12">
      <c r="B53" s="1" t="s">
        <v>33</v>
      </c>
      <c r="E53" s="10">
        <v>4500</v>
      </c>
      <c r="F53" s="10">
        <v>4500</v>
      </c>
      <c r="G53" s="10">
        <v>6364</v>
      </c>
      <c r="H53" s="10">
        <v>6234</v>
      </c>
      <c r="I53" s="10">
        <v>10498</v>
      </c>
      <c r="J53" s="10">
        <v>11089</v>
      </c>
      <c r="K53" s="10">
        <v>10004</v>
      </c>
      <c r="L53" s="10">
        <v>11354</v>
      </c>
    </row>
    <row r="54" spans="2:12" s="3" customFormat="1">
      <c r="B54" s="1" t="s">
        <v>34</v>
      </c>
      <c r="C54" s="11"/>
      <c r="D54" s="11"/>
      <c r="E54" s="11">
        <f t="shared" ref="E54:K54" si="83">+SUM(E48:E53)</f>
        <v>1493578</v>
      </c>
      <c r="F54" s="11">
        <f t="shared" si="83"/>
        <v>1560422</v>
      </c>
      <c r="G54" s="11">
        <f t="shared" si="83"/>
        <v>1554620</v>
      </c>
      <c r="H54" s="11">
        <f t="shared" si="83"/>
        <v>1631659</v>
      </c>
      <c r="I54" s="11">
        <f t="shared" si="83"/>
        <v>1696800</v>
      </c>
      <c r="J54" s="11">
        <f t="shared" si="83"/>
        <v>1697675</v>
      </c>
      <c r="K54" s="11">
        <f t="shared" si="83"/>
        <v>1725827</v>
      </c>
      <c r="L54" s="11">
        <f t="shared" ref="L54" si="84">+SUM(L48:L53)</f>
        <v>1722924</v>
      </c>
    </row>
    <row r="55" spans="2:12">
      <c r="B55" s="1" t="s">
        <v>35</v>
      </c>
      <c r="L55" s="10"/>
    </row>
    <row r="56" spans="2:12">
      <c r="B56" s="1" t="s">
        <v>36</v>
      </c>
      <c r="E56" s="10">
        <v>14303</v>
      </c>
      <c r="F56" s="10">
        <v>19167</v>
      </c>
      <c r="G56" s="10">
        <v>29005</v>
      </c>
      <c r="H56" s="10">
        <v>20699</v>
      </c>
      <c r="I56" s="10">
        <v>23126</v>
      </c>
      <c r="J56" s="10">
        <v>9748</v>
      </c>
      <c r="K56" s="10">
        <v>9408</v>
      </c>
      <c r="L56" s="10">
        <v>13666</v>
      </c>
    </row>
    <row r="57" spans="2:12">
      <c r="B57" s="1" t="s">
        <v>37</v>
      </c>
      <c r="E57" s="10">
        <v>0</v>
      </c>
      <c r="F57" s="10">
        <v>17332</v>
      </c>
      <c r="G57" s="10">
        <v>11361</v>
      </c>
      <c r="H57" s="10">
        <v>20546</v>
      </c>
      <c r="I57" s="10">
        <v>26031</v>
      </c>
      <c r="J57" s="10">
        <v>3415</v>
      </c>
      <c r="K57" s="10">
        <v>5799</v>
      </c>
      <c r="L57" s="10">
        <v>0</v>
      </c>
    </row>
    <row r="58" spans="2:12">
      <c r="B58" s="1" t="s">
        <v>38</v>
      </c>
      <c r="E58" s="10">
        <v>30894</v>
      </c>
      <c r="F58" s="10">
        <v>12144</v>
      </c>
      <c r="G58" s="10">
        <v>30895</v>
      </c>
      <c r="H58" s="10">
        <v>18199</v>
      </c>
      <c r="I58" s="10">
        <v>16096</v>
      </c>
      <c r="J58" s="10">
        <v>17107</v>
      </c>
      <c r="K58" s="10">
        <v>19919</v>
      </c>
      <c r="L58" s="10">
        <v>24649</v>
      </c>
    </row>
    <row r="59" spans="2:12">
      <c r="B59" s="1" t="s">
        <v>39</v>
      </c>
      <c r="E59" s="10">
        <v>20112</v>
      </c>
      <c r="F59" s="10">
        <v>20112</v>
      </c>
      <c r="G59" s="10">
        <v>6750</v>
      </c>
      <c r="H59" s="10">
        <v>6750</v>
      </c>
      <c r="I59" s="10">
        <v>6750</v>
      </c>
      <c r="J59" s="10">
        <v>8438</v>
      </c>
      <c r="K59" s="10">
        <v>6750</v>
      </c>
      <c r="L59" s="10">
        <v>6750</v>
      </c>
    </row>
    <row r="60" spans="2:12">
      <c r="B60" s="1" t="s">
        <v>40</v>
      </c>
      <c r="E60" s="10">
        <v>0</v>
      </c>
      <c r="F60" s="10">
        <v>4157</v>
      </c>
      <c r="G60" s="10">
        <v>4157</v>
      </c>
      <c r="H60" s="10">
        <v>20786</v>
      </c>
      <c r="I60" s="10">
        <v>16557</v>
      </c>
      <c r="J60" s="10">
        <v>16380</v>
      </c>
      <c r="K60" s="10">
        <v>16352</v>
      </c>
      <c r="L60" s="10">
        <v>16184</v>
      </c>
    </row>
    <row r="61" spans="2:12" s="3" customFormat="1">
      <c r="B61" s="1" t="s">
        <v>41</v>
      </c>
      <c r="C61" s="11"/>
      <c r="D61" s="11"/>
      <c r="E61" s="11">
        <f t="shared" ref="E61:K61" si="85">+SUM(E56:E60)</f>
        <v>65309</v>
      </c>
      <c r="F61" s="11">
        <f t="shared" si="85"/>
        <v>72912</v>
      </c>
      <c r="G61" s="11">
        <f t="shared" si="85"/>
        <v>82168</v>
      </c>
      <c r="H61" s="11">
        <f t="shared" si="85"/>
        <v>86980</v>
      </c>
      <c r="I61" s="11">
        <f t="shared" si="85"/>
        <v>88560</v>
      </c>
      <c r="J61" s="11">
        <f t="shared" si="85"/>
        <v>55088</v>
      </c>
      <c r="K61" s="11">
        <f t="shared" si="85"/>
        <v>58228</v>
      </c>
      <c r="L61" s="11">
        <f t="shared" ref="L61" si="86">+SUM(L56:L60)</f>
        <v>61249</v>
      </c>
    </row>
    <row r="62" spans="2:12">
      <c r="B62" s="1" t="s">
        <v>42</v>
      </c>
      <c r="E62" s="10">
        <v>742371</v>
      </c>
      <c r="F62" s="10">
        <v>738090</v>
      </c>
      <c r="G62" s="10">
        <v>658315</v>
      </c>
      <c r="H62" s="10">
        <v>656989</v>
      </c>
      <c r="I62" s="10">
        <v>655662</v>
      </c>
      <c r="J62" s="10">
        <v>654333</v>
      </c>
      <c r="K62" s="10">
        <v>653006</v>
      </c>
      <c r="L62" s="10">
        <v>651678</v>
      </c>
    </row>
    <row r="63" spans="2:12">
      <c r="B63" s="1" t="s">
        <v>43</v>
      </c>
      <c r="E63" s="10">
        <v>0</v>
      </c>
      <c r="F63" s="10">
        <v>0</v>
      </c>
      <c r="G63" s="10">
        <v>0</v>
      </c>
      <c r="H63" s="10">
        <v>0</v>
      </c>
      <c r="I63" s="10">
        <v>0</v>
      </c>
      <c r="J63" s="10">
        <v>1622</v>
      </c>
      <c r="K63" s="10">
        <v>2301</v>
      </c>
      <c r="L63" s="10">
        <v>2754</v>
      </c>
    </row>
    <row r="64" spans="2:12">
      <c r="B64" s="1" t="s">
        <v>44</v>
      </c>
      <c r="E64" s="10">
        <v>232893</v>
      </c>
      <c r="F64" s="10">
        <v>225122</v>
      </c>
      <c r="G64" s="10">
        <v>225122</v>
      </c>
      <c r="H64" s="10">
        <v>208493</v>
      </c>
      <c r="I64" s="10">
        <v>208582</v>
      </c>
      <c r="J64" s="10">
        <v>205675</v>
      </c>
      <c r="K64" s="10">
        <v>205675</v>
      </c>
      <c r="L64" s="10">
        <v>189391</v>
      </c>
    </row>
    <row r="65" spans="2:12" s="3" customFormat="1">
      <c r="B65" s="1" t="s">
        <v>45</v>
      </c>
      <c r="C65" s="11"/>
      <c r="D65" s="11"/>
      <c r="E65" s="11">
        <f t="shared" ref="E65:K65" si="87">+SUM(E61:E64)</f>
        <v>1040573</v>
      </c>
      <c r="F65" s="11">
        <f t="shared" si="87"/>
        <v>1036124</v>
      </c>
      <c r="G65" s="11">
        <f t="shared" si="87"/>
        <v>965605</v>
      </c>
      <c r="H65" s="11">
        <f t="shared" si="87"/>
        <v>952462</v>
      </c>
      <c r="I65" s="11">
        <f t="shared" si="87"/>
        <v>952804</v>
      </c>
      <c r="J65" s="11">
        <f t="shared" si="87"/>
        <v>916718</v>
      </c>
      <c r="K65" s="11">
        <f t="shared" si="87"/>
        <v>919210</v>
      </c>
      <c r="L65" s="11">
        <f t="shared" ref="L65" si="88">+SUM(L61:L64)</f>
        <v>905072</v>
      </c>
    </row>
    <row r="66" spans="2:12">
      <c r="B66" s="1" t="s">
        <v>46</v>
      </c>
      <c r="E66" s="10">
        <v>453005</v>
      </c>
      <c r="F66" s="10">
        <v>524298</v>
      </c>
      <c r="G66" s="10">
        <v>589015</v>
      </c>
      <c r="H66" s="10">
        <v>679197</v>
      </c>
      <c r="I66" s="10">
        <v>743996</v>
      </c>
      <c r="J66" s="10">
        <v>780957</v>
      </c>
      <c r="K66" s="10">
        <v>806617</v>
      </c>
      <c r="L66" s="10">
        <v>817852</v>
      </c>
    </row>
    <row r="67" spans="2:12" s="3" customFormat="1">
      <c r="B67" s="1" t="s">
        <v>47</v>
      </c>
      <c r="C67" s="11"/>
      <c r="D67" s="11"/>
      <c r="E67" s="11">
        <f t="shared" ref="E67:K67" si="89">+SUM(E65:E66)</f>
        <v>1493578</v>
      </c>
      <c r="F67" s="11">
        <f t="shared" si="89"/>
        <v>1560422</v>
      </c>
      <c r="G67" s="11">
        <f t="shared" si="89"/>
        <v>1554620</v>
      </c>
      <c r="H67" s="11">
        <f t="shared" si="89"/>
        <v>1631659</v>
      </c>
      <c r="I67" s="11">
        <f t="shared" si="89"/>
        <v>1696800</v>
      </c>
      <c r="J67" s="11">
        <f t="shared" si="89"/>
        <v>1697675</v>
      </c>
      <c r="K67" s="11">
        <f t="shared" si="89"/>
        <v>1725827</v>
      </c>
      <c r="L67" s="11">
        <f t="shared" ref="L67" si="90">+SUM(L65:L66)</f>
        <v>1722924</v>
      </c>
    </row>
    <row r="68" spans="2:12">
      <c r="B68" s="1" t="s">
        <v>35</v>
      </c>
      <c r="E68" s="10" t="b">
        <f t="shared" ref="E68:J68" si="91">E54=E67</f>
        <v>1</v>
      </c>
      <c r="F68" s="10" t="b">
        <f t="shared" si="91"/>
        <v>1</v>
      </c>
      <c r="G68" s="10" t="b">
        <f t="shared" si="91"/>
        <v>1</v>
      </c>
      <c r="H68" s="10" t="b">
        <f t="shared" si="91"/>
        <v>1</v>
      </c>
      <c r="I68" s="10" t="b">
        <f t="shared" si="91"/>
        <v>1</v>
      </c>
      <c r="J68" s="10" t="b">
        <f t="shared" si="91"/>
        <v>1</v>
      </c>
      <c r="K68" s="10" t="b">
        <f>K54=K67</f>
        <v>1</v>
      </c>
      <c r="L68" s="10" t="b">
        <f>L54=L67</f>
        <v>1</v>
      </c>
    </row>
    <row r="69" spans="2:12">
      <c r="B69" s="1" t="s">
        <v>48</v>
      </c>
    </row>
    <row r="70" spans="2:12">
      <c r="B70" s="1" t="s">
        <v>49</v>
      </c>
      <c r="E70" s="10">
        <f t="shared" ref="E70:J70" si="92">+E62+E59</f>
        <v>762483</v>
      </c>
      <c r="F70" s="10">
        <f t="shared" si="92"/>
        <v>758202</v>
      </c>
      <c r="G70" s="10">
        <f t="shared" si="92"/>
        <v>665065</v>
      </c>
      <c r="H70" s="10">
        <f t="shared" si="92"/>
        <v>663739</v>
      </c>
      <c r="I70" s="10">
        <f t="shared" si="92"/>
        <v>662412</v>
      </c>
      <c r="J70" s="10">
        <f t="shared" si="92"/>
        <v>662771</v>
      </c>
      <c r="K70" s="10">
        <f>+K62+K59</f>
        <v>659756</v>
      </c>
      <c r="L70" s="10">
        <f>+L62+L59</f>
        <v>658428</v>
      </c>
    </row>
    <row r="71" spans="2:12">
      <c r="B71" s="1" t="s">
        <v>50</v>
      </c>
      <c r="E71" s="10">
        <f t="shared" ref="E71:J71" si="93">+E70-E44</f>
        <v>641004</v>
      </c>
      <c r="F71" s="10">
        <f t="shared" si="93"/>
        <v>571814</v>
      </c>
      <c r="G71" s="10">
        <f t="shared" si="93"/>
        <v>521718</v>
      </c>
      <c r="H71" s="10">
        <f t="shared" si="93"/>
        <v>465711</v>
      </c>
      <c r="I71" s="10">
        <f t="shared" si="93"/>
        <v>413013</v>
      </c>
      <c r="J71" s="10">
        <f t="shared" si="93"/>
        <v>339963</v>
      </c>
      <c r="K71" s="10">
        <f>+K70-K44</f>
        <v>290416</v>
      </c>
      <c r="L71" s="10">
        <f>+L70-L44</f>
        <v>280010</v>
      </c>
    </row>
    <row r="72" spans="2:12">
      <c r="B72" s="1" t="s">
        <v>51</v>
      </c>
      <c r="E72" s="19">
        <f t="shared" ref="E72:J72" si="94">+E71/E23</f>
        <v>1.6406057598744233</v>
      </c>
      <c r="F72" s="19">
        <f t="shared" si="94"/>
        <v>0.25284489142741323</v>
      </c>
      <c r="G72" s="19">
        <f t="shared" si="94"/>
        <v>0.75281690883358499</v>
      </c>
      <c r="H72" s="19">
        <f t="shared" si="94"/>
        <v>0.67361083002469058</v>
      </c>
      <c r="I72" s="19">
        <f t="shared" si="94"/>
        <v>0.59748054522084182</v>
      </c>
      <c r="J72" s="19">
        <f t="shared" si="94"/>
        <v>0.49560891310717325</v>
      </c>
      <c r="K72" s="19">
        <f>+K71/K23</f>
        <v>0.42490460312569001</v>
      </c>
      <c r="L72" s="19">
        <f>+L71/L23</f>
        <v>0.41156808305375425</v>
      </c>
    </row>
    <row r="73" spans="2:12">
      <c r="B73" s="1" t="s">
        <v>52</v>
      </c>
      <c r="E73" s="20">
        <f t="shared" ref="E73:J73" si="95">(E70/(E70+E66))</f>
        <v>0.62730606966090985</v>
      </c>
      <c r="F73" s="20">
        <f t="shared" si="95"/>
        <v>0.59119064327485382</v>
      </c>
      <c r="G73" s="20">
        <f t="shared" si="95"/>
        <v>0.53032103215105897</v>
      </c>
      <c r="H73" s="20">
        <f t="shared" si="95"/>
        <v>0.49424469967295537</v>
      </c>
      <c r="I73" s="20">
        <f t="shared" si="95"/>
        <v>0.47099561435941772</v>
      </c>
      <c r="J73" s="20">
        <f t="shared" si="95"/>
        <v>0.45906915984174307</v>
      </c>
      <c r="K73" s="20">
        <f>(K70/(K70+K66))</f>
        <v>0.44992372336370079</v>
      </c>
      <c r="L73" s="20">
        <f>(L70/(L70+L66))</f>
        <v>0.44600482293331889</v>
      </c>
    </row>
    <row r="74" spans="2:12">
      <c r="B74" s="1" t="s">
        <v>53</v>
      </c>
      <c r="E74" s="10">
        <f t="shared" ref="E74:J74" si="96">+E48/E61</f>
        <v>3.9509409116660796</v>
      </c>
      <c r="F74" s="10">
        <f t="shared" si="96"/>
        <v>4.5971445029624753</v>
      </c>
      <c r="G74" s="10">
        <f t="shared" si="96"/>
        <v>4.1126472592736834</v>
      </c>
      <c r="H74" s="10">
        <f t="shared" si="96"/>
        <v>4.8914003219130837</v>
      </c>
      <c r="I74" s="10">
        <f t="shared" si="96"/>
        <v>5.6147809394760611</v>
      </c>
      <c r="J74" s="10">
        <f t="shared" si="96"/>
        <v>9.4798141155968629</v>
      </c>
      <c r="K74" s="10">
        <f>+K48/K61</f>
        <v>9.6780758398021565</v>
      </c>
      <c r="L74" s="10">
        <f>+L48/L61</f>
        <v>9.3164459827915564</v>
      </c>
    </row>
    <row r="75" spans="2:12">
      <c r="B75" s="1" t="s">
        <v>54</v>
      </c>
      <c r="E75" s="10">
        <f t="shared" ref="E75:J75" si="97">+E48-E61</f>
        <v>192723</v>
      </c>
      <c r="F75" s="10">
        <f t="shared" si="97"/>
        <v>262275</v>
      </c>
      <c r="G75" s="10">
        <f t="shared" si="97"/>
        <v>255760</v>
      </c>
      <c r="H75" s="10">
        <f t="shared" si="97"/>
        <v>338474</v>
      </c>
      <c r="I75" s="10">
        <f t="shared" si="97"/>
        <v>408685</v>
      </c>
      <c r="J75" s="10">
        <f t="shared" si="97"/>
        <v>467136</v>
      </c>
      <c r="K75" s="10">
        <f>+K48-K61</f>
        <v>505307</v>
      </c>
      <c r="L75" s="10">
        <f>+L48-L61</f>
        <v>509374</v>
      </c>
    </row>
    <row r="76" spans="2:12">
      <c r="B76" s="1" t="s">
        <v>55</v>
      </c>
      <c r="E76" s="10">
        <f t="shared" ref="E76:J76" si="98">(E48-E44)-(E61-E59)</f>
        <v>91356</v>
      </c>
      <c r="F76" s="10">
        <f t="shared" si="98"/>
        <v>95999</v>
      </c>
      <c r="G76" s="10">
        <f t="shared" si="98"/>
        <v>119163</v>
      </c>
      <c r="H76" s="10">
        <f t="shared" si="98"/>
        <v>147196</v>
      </c>
      <c r="I76" s="10">
        <f t="shared" si="98"/>
        <v>166036</v>
      </c>
      <c r="J76" s="10">
        <f t="shared" si="98"/>
        <v>152766</v>
      </c>
      <c r="K76" s="10">
        <f>(K48-K44)-(K61-K59)</f>
        <v>142717</v>
      </c>
      <c r="L76" s="10">
        <f>(L48-L44)-(L61-L59)</f>
        <v>137706</v>
      </c>
    </row>
    <row r="77" spans="2:12">
      <c r="B77" s="1" t="s">
        <v>35</v>
      </c>
    </row>
    <row r="78" spans="2:12">
      <c r="B78" s="1" t="s">
        <v>56</v>
      </c>
    </row>
    <row r="79" spans="2:12">
      <c r="B79" s="1" t="s">
        <v>57</v>
      </c>
      <c r="E79" s="18"/>
      <c r="F79" s="18">
        <f t="shared" ref="F79:L79" si="99">ABS(SUM(C18:F18))/F70</f>
        <v>8.0648692564778246E-2</v>
      </c>
      <c r="G79" s="18">
        <f t="shared" si="99"/>
        <v>8.5865291362498403E-2</v>
      </c>
      <c r="H79" s="18">
        <f t="shared" si="99"/>
        <v>7.5687883339686235E-2</v>
      </c>
      <c r="I79" s="18">
        <f t="shared" si="99"/>
        <v>6.9064268159393247E-2</v>
      </c>
      <c r="J79" s="18">
        <f t="shared" si="99"/>
        <v>6.2130056988009434E-2</v>
      </c>
      <c r="K79" s="18">
        <f t="shared" si="99"/>
        <v>6.102407556733095E-2</v>
      </c>
      <c r="L79" s="18">
        <f t="shared" si="99"/>
        <v>6.3443535208101726E-2</v>
      </c>
    </row>
    <row r="80" spans="2:12">
      <c r="B80" s="1" t="s">
        <v>58</v>
      </c>
      <c r="F80" s="10">
        <f t="shared" ref="F80:L80" si="100">F45/((SUM(C9:F9)/365))</f>
        <v>24.87500940061668</v>
      </c>
      <c r="G80" s="10">
        <f t="shared" si="100"/>
        <v>37.743134436305034</v>
      </c>
      <c r="H80" s="10">
        <f t="shared" si="100"/>
        <v>40.940520200049363</v>
      </c>
      <c r="I80" s="10">
        <f t="shared" si="100"/>
        <v>46.009518262930527</v>
      </c>
      <c r="J80" s="10">
        <f t="shared" si="100"/>
        <v>23.954171245850336</v>
      </c>
      <c r="K80" s="10">
        <f t="shared" si="100"/>
        <v>26.292546667405219</v>
      </c>
      <c r="L80" s="10">
        <f t="shared" si="100"/>
        <v>34.625926296154489</v>
      </c>
    </row>
    <row r="81" spans="2:18">
      <c r="B81" s="1" t="s">
        <v>59</v>
      </c>
      <c r="F81" s="20">
        <f t="shared" ref="F81:I81" si="101">SUM(C12:F12)/AVERAGE(E46:F46)</f>
        <v>1.4871960211837336</v>
      </c>
      <c r="G81" s="20">
        <f t="shared" si="101"/>
        <v>1.3434937693982489</v>
      </c>
      <c r="H81" s="20">
        <f t="shared" si="101"/>
        <v>1.3025559861435991</v>
      </c>
      <c r="I81" s="20">
        <f t="shared" si="101"/>
        <v>1.237144160302333</v>
      </c>
      <c r="J81" s="20">
        <f>SUM(G12:J12)/AVERAGE(I46:J46)</f>
        <v>1.2493473291219717</v>
      </c>
      <c r="K81" s="20">
        <f>SUM(H12:K12)/AVERAGE(J46:K46)</f>
        <v>1.2495125506893021</v>
      </c>
      <c r="L81" s="20">
        <f>SUM(I12:L12)/AVERAGE(K46:L46)</f>
        <v>1.1513685931760345</v>
      </c>
    </row>
    <row r="82" spans="2:18">
      <c r="B82" s="1" t="s">
        <v>60</v>
      </c>
      <c r="F82" s="20">
        <f>365/F81</f>
        <v>245.4283058863204</v>
      </c>
      <c r="G82" s="20">
        <f t="shared" ref="G82:K82" si="102">365/G81</f>
        <v>271.67971174401765</v>
      </c>
      <c r="H82" s="20">
        <f t="shared" si="102"/>
        <v>280.21828150407111</v>
      </c>
      <c r="I82" s="20">
        <f t="shared" si="102"/>
        <v>295.03433125433128</v>
      </c>
      <c r="J82" s="20">
        <f t="shared" si="102"/>
        <v>292.15254356570182</v>
      </c>
      <c r="K82" s="20">
        <f t="shared" si="102"/>
        <v>292.113912580266</v>
      </c>
      <c r="L82" s="20">
        <f t="shared" ref="L82" si="103">365/L81</f>
        <v>317.01403196447501</v>
      </c>
    </row>
    <row r="83" spans="2:18">
      <c r="B83" s="1" t="s">
        <v>61</v>
      </c>
      <c r="F83" s="10">
        <f t="shared" ref="F83:J83" si="104">F56/((SUM(C12:F12)/365))</f>
        <v>56.173008519145995</v>
      </c>
      <c r="G83" s="10">
        <f t="shared" si="104"/>
        <v>73.007551203365281</v>
      </c>
      <c r="H83" s="10">
        <f t="shared" si="104"/>
        <v>45.000238249816846</v>
      </c>
      <c r="I83" s="10">
        <f t="shared" si="104"/>
        <v>46.796895356895355</v>
      </c>
      <c r="J83" s="10">
        <f t="shared" si="104"/>
        <v>19.261589099236144</v>
      </c>
      <c r="K83" s="10">
        <f>K56/((SUM(H12:K12)/365))</f>
        <v>19.882923100974484</v>
      </c>
      <c r="L83" s="10">
        <f>L56/((SUM(I12:L12)/365))</f>
        <v>33.258589535868353</v>
      </c>
    </row>
    <row r="84" spans="2:18">
      <c r="B84" s="1" t="s">
        <v>35</v>
      </c>
    </row>
    <row r="85" spans="2:18">
      <c r="B85" s="1" t="s">
        <v>35</v>
      </c>
    </row>
    <row r="86" spans="2:18">
      <c r="B86" s="1" t="s">
        <v>62</v>
      </c>
      <c r="C86" s="10">
        <v>45531</v>
      </c>
      <c r="D86" s="10">
        <f>94882-C86</f>
        <v>49351</v>
      </c>
      <c r="E86" s="10">
        <f>151473-SUM(C86:D86)</f>
        <v>56591</v>
      </c>
      <c r="F86" s="10">
        <f>+Q86-SUM(C86:E86)</f>
        <v>69311</v>
      </c>
      <c r="G86" s="10">
        <v>61961</v>
      </c>
      <c r="H86" s="10">
        <f>149676-G86</f>
        <v>87715</v>
      </c>
      <c r="I86" s="10">
        <f>210439-SUM(G86:H86)</f>
        <v>60763</v>
      </c>
      <c r="J86" s="10">
        <f>+R86-SUM(G86:I86)</f>
        <v>33633</v>
      </c>
      <c r="K86" s="10">
        <f>+K22</f>
        <v>20964</v>
      </c>
      <c r="L86" s="1">
        <f>27120-K86</f>
        <v>6156</v>
      </c>
      <c r="P86" s="1">
        <f t="shared" ref="P86:Q86" si="105">+P22</f>
        <v>39278</v>
      </c>
      <c r="Q86" s="1">
        <f t="shared" si="105"/>
        <v>220784</v>
      </c>
      <c r="R86" s="1">
        <f>+R22</f>
        <v>244072</v>
      </c>
    </row>
    <row r="87" spans="2:18">
      <c r="B87" s="1" t="s">
        <v>63</v>
      </c>
      <c r="C87" s="10">
        <v>2451</v>
      </c>
      <c r="D87" s="10">
        <f>4719-C87</f>
        <v>2268</v>
      </c>
      <c r="E87" s="10">
        <f>6399-SUM(C87:D87)</f>
        <v>1680</v>
      </c>
      <c r="F87" s="10">
        <f t="shared" ref="F87:F103" si="106">+Q87-SUM(C87:E87)</f>
        <v>1590</v>
      </c>
      <c r="G87" s="10">
        <v>1769</v>
      </c>
      <c r="H87" s="10">
        <f>3949-G87</f>
        <v>2180</v>
      </c>
      <c r="I87" s="10">
        <f>5091-SUM(G87:H87)</f>
        <v>1142</v>
      </c>
      <c r="J87" s="10">
        <f t="shared" ref="J87:J103" si="107">+R87-SUM(G87:I87)</f>
        <v>2409</v>
      </c>
      <c r="K87" s="10">
        <v>1742</v>
      </c>
      <c r="L87" s="1">
        <f>3706-K87</f>
        <v>1964</v>
      </c>
      <c r="P87" s="1">
        <v>6052</v>
      </c>
      <c r="Q87" s="1">
        <v>7989</v>
      </c>
      <c r="R87" s="1">
        <v>7500</v>
      </c>
    </row>
    <row r="88" spans="2:18">
      <c r="B88" s="1" t="s">
        <v>64</v>
      </c>
      <c r="C88" s="10">
        <v>10182</v>
      </c>
      <c r="D88" s="10">
        <f>20365-C88</f>
        <v>10183</v>
      </c>
      <c r="E88" s="10">
        <f>30547-SUM(C88:D88)</f>
        <v>10182</v>
      </c>
      <c r="F88" s="10">
        <f t="shared" si="106"/>
        <v>10243</v>
      </c>
      <c r="G88" s="10">
        <v>10266</v>
      </c>
      <c r="H88" s="10">
        <f>20561-G88</f>
        <v>10295</v>
      </c>
      <c r="I88" s="10">
        <f>30890-SUM(G88:H88)</f>
        <v>10329</v>
      </c>
      <c r="J88" s="10">
        <f t="shared" si="107"/>
        <v>10392</v>
      </c>
      <c r="K88" s="10">
        <v>10323</v>
      </c>
      <c r="L88" s="1">
        <f>20647-K88</f>
        <v>10324</v>
      </c>
      <c r="P88" s="1">
        <v>39825</v>
      </c>
      <c r="Q88" s="1">
        <v>40790</v>
      </c>
      <c r="R88" s="1">
        <v>41282</v>
      </c>
    </row>
    <row r="89" spans="2:18">
      <c r="B89" s="1" t="s">
        <v>89</v>
      </c>
      <c r="C89" s="10">
        <v>0</v>
      </c>
      <c r="D89" s="10">
        <f>0-C89</f>
        <v>0</v>
      </c>
      <c r="E89" s="10">
        <f>0-SUM(C89:D89)</f>
        <v>0</v>
      </c>
      <c r="F89" s="10">
        <f t="shared" si="106"/>
        <v>0</v>
      </c>
      <c r="G89" s="10">
        <v>4324</v>
      </c>
      <c r="H89" s="10">
        <f>4324-G89</f>
        <v>0</v>
      </c>
      <c r="I89" s="10">
        <f>5958-SUM(G89:H89)</f>
        <v>1634</v>
      </c>
      <c r="J89" s="10">
        <f t="shared" si="107"/>
        <v>2222</v>
      </c>
      <c r="K89" s="10">
        <v>2610</v>
      </c>
      <c r="L89" s="1">
        <f>6167-K89</f>
        <v>3557</v>
      </c>
      <c r="P89" s="1">
        <v>0</v>
      </c>
      <c r="Q89" s="1">
        <v>0</v>
      </c>
      <c r="R89" s="1">
        <v>8180</v>
      </c>
    </row>
    <row r="90" spans="2:18">
      <c r="B90" s="1" t="s">
        <v>90</v>
      </c>
      <c r="C90" s="10">
        <v>0</v>
      </c>
      <c r="D90" s="10">
        <f>0-C90</f>
        <v>0</v>
      </c>
      <c r="E90" s="10">
        <f>87-SUM(C90:D90)</f>
        <v>87</v>
      </c>
      <c r="F90" s="10">
        <f t="shared" si="106"/>
        <v>75</v>
      </c>
      <c r="G90" s="10">
        <v>75</v>
      </c>
      <c r="H90" s="10">
        <f>152-G90</f>
        <v>77</v>
      </c>
      <c r="I90" s="10">
        <f>233-SUM(G90:H90)</f>
        <v>81</v>
      </c>
      <c r="J90" s="10">
        <f t="shared" si="107"/>
        <v>130</v>
      </c>
      <c r="K90" s="10">
        <v>116</v>
      </c>
      <c r="L90" s="1">
        <f>230-K90</f>
        <v>114</v>
      </c>
      <c r="P90" s="1">
        <v>0</v>
      </c>
      <c r="Q90" s="1">
        <v>162</v>
      </c>
      <c r="R90" s="1">
        <v>363</v>
      </c>
    </row>
    <row r="91" spans="2:18">
      <c r="B91" s="1" t="s">
        <v>113</v>
      </c>
      <c r="F91" s="10">
        <f t="shared" si="106"/>
        <v>0</v>
      </c>
      <c r="J91" s="10">
        <f t="shared" si="107"/>
        <v>0</v>
      </c>
      <c r="L91" s="1">
        <v>0</v>
      </c>
      <c r="P91" s="1">
        <v>44721</v>
      </c>
      <c r="Q91" s="1">
        <v>0</v>
      </c>
      <c r="R91" s="1">
        <v>0</v>
      </c>
    </row>
    <row r="92" spans="2:18">
      <c r="B92" s="1" t="s">
        <v>91</v>
      </c>
      <c r="C92" s="10">
        <v>690</v>
      </c>
      <c r="D92" s="10">
        <f>1380-C92</f>
        <v>690</v>
      </c>
      <c r="E92" s="10">
        <f>2084-SUM(C92:D92)</f>
        <v>704</v>
      </c>
      <c r="F92" s="10">
        <f t="shared" si="106"/>
        <v>746</v>
      </c>
      <c r="G92" s="10">
        <v>146</v>
      </c>
      <c r="H92" s="10">
        <f>636-G92</f>
        <v>490</v>
      </c>
      <c r="I92" s="10">
        <f>2955-SUM(G92:H92)</f>
        <v>2319</v>
      </c>
      <c r="J92" s="10">
        <f t="shared" si="107"/>
        <v>-1412</v>
      </c>
      <c r="K92" s="10">
        <v>453</v>
      </c>
      <c r="L92" s="1">
        <f>906-K92</f>
        <v>453</v>
      </c>
      <c r="P92" s="1">
        <v>1752</v>
      </c>
      <c r="Q92" s="1">
        <v>2830</v>
      </c>
      <c r="R92" s="1">
        <v>1543</v>
      </c>
    </row>
    <row r="93" spans="2:18">
      <c r="B93" s="1" t="s">
        <v>92</v>
      </c>
      <c r="C93" s="10">
        <v>1937</v>
      </c>
      <c r="D93" s="10">
        <f>1331-C93</f>
        <v>-606</v>
      </c>
      <c r="E93" s="10">
        <f>3852-SUM(C93:D93)</f>
        <v>2521</v>
      </c>
      <c r="F93" s="10">
        <f t="shared" si="106"/>
        <v>-1366</v>
      </c>
      <c r="G93" s="10">
        <v>-1712</v>
      </c>
      <c r="H93" s="10">
        <f>+-3537-G93</f>
        <v>-1825</v>
      </c>
      <c r="I93" s="10">
        <f>+-4532-SUM(G93:H93)</f>
        <v>-995</v>
      </c>
      <c r="J93" s="10">
        <f t="shared" si="107"/>
        <v>13711</v>
      </c>
      <c r="K93" s="10">
        <v>847</v>
      </c>
      <c r="L93" s="1">
        <f>1240-K93</f>
        <v>393</v>
      </c>
      <c r="P93" s="1">
        <v>-4428</v>
      </c>
      <c r="Q93" s="1">
        <v>2486</v>
      </c>
      <c r="R93" s="1">
        <v>9179</v>
      </c>
    </row>
    <row r="94" spans="2:18">
      <c r="B94" s="1" t="s">
        <v>114</v>
      </c>
      <c r="F94" s="10">
        <f t="shared" si="106"/>
        <v>-3615</v>
      </c>
      <c r="J94" s="10">
        <f t="shared" si="107"/>
        <v>-3084</v>
      </c>
      <c r="L94" s="1">
        <f>0-K94</f>
        <v>0</v>
      </c>
      <c r="P94" s="1">
        <v>0</v>
      </c>
      <c r="Q94" s="1">
        <v>-3615</v>
      </c>
      <c r="R94" s="1">
        <v>-3084</v>
      </c>
    </row>
    <row r="95" spans="2:18">
      <c r="B95" s="1" t="s">
        <v>93</v>
      </c>
      <c r="C95" s="10">
        <v>627</v>
      </c>
      <c r="D95" s="10">
        <f>1174-C95</f>
        <v>547</v>
      </c>
      <c r="E95" s="10">
        <f>3119-SUM(C95:D95)</f>
        <v>1945</v>
      </c>
      <c r="F95" s="10">
        <f t="shared" si="106"/>
        <v>844</v>
      </c>
      <c r="G95" s="10">
        <v>1696</v>
      </c>
      <c r="H95" s="10">
        <f>3423-G95</f>
        <v>1727</v>
      </c>
      <c r="I95" s="10">
        <f>5454-SUM(G95:H95)</f>
        <v>2031</v>
      </c>
      <c r="J95" s="10">
        <f t="shared" si="107"/>
        <v>1821</v>
      </c>
      <c r="K95" s="10">
        <v>2018</v>
      </c>
      <c r="L95" s="1">
        <f>4652-K95</f>
        <v>2634</v>
      </c>
      <c r="P95" s="1">
        <v>1527</v>
      </c>
      <c r="Q95" s="1">
        <v>3963</v>
      </c>
      <c r="R95" s="1">
        <v>7275</v>
      </c>
    </row>
    <row r="96" spans="2:18">
      <c r="B96" s="1" t="s">
        <v>94</v>
      </c>
      <c r="C96" s="10">
        <v>0</v>
      </c>
      <c r="D96" s="10">
        <f>0-C96</f>
        <v>0</v>
      </c>
      <c r="E96" s="10">
        <f>0-SUM(C96:D96)</f>
        <v>0</v>
      </c>
      <c r="F96" s="10">
        <f t="shared" si="106"/>
        <v>0</v>
      </c>
      <c r="G96" s="10">
        <v>18803</v>
      </c>
      <c r="H96" s="10">
        <f>18803-G96</f>
        <v>0</v>
      </c>
      <c r="I96" s="10">
        <f>18803-SUM(G96:H96)</f>
        <v>0</v>
      </c>
      <c r="J96" s="10">
        <f t="shared" si="107"/>
        <v>0</v>
      </c>
      <c r="K96" s="10">
        <v>0</v>
      </c>
      <c r="L96" s="1">
        <f>0-K96</f>
        <v>0</v>
      </c>
      <c r="P96" s="1">
        <v>0</v>
      </c>
      <c r="Q96" s="1">
        <v>0</v>
      </c>
      <c r="R96" s="1">
        <v>18803</v>
      </c>
    </row>
    <row r="97" spans="2:18">
      <c r="B97" s="1" t="s">
        <v>95</v>
      </c>
      <c r="C97" s="10">
        <v>0</v>
      </c>
      <c r="D97" s="10">
        <f>0-C97</f>
        <v>0</v>
      </c>
      <c r="E97" s="10">
        <f>0-SUM(C97:D97)</f>
        <v>0</v>
      </c>
      <c r="F97" s="10">
        <f t="shared" si="106"/>
        <v>0</v>
      </c>
      <c r="G97" s="10">
        <v>0</v>
      </c>
      <c r="H97" s="10">
        <f>0-G97</f>
        <v>0</v>
      </c>
      <c r="I97" s="10">
        <f>147-SUM(G97:H97)</f>
        <v>147</v>
      </c>
      <c r="J97" s="10">
        <f t="shared" si="107"/>
        <v>265</v>
      </c>
      <c r="K97" s="10">
        <v>265</v>
      </c>
      <c r="L97" s="1">
        <f>530-K97</f>
        <v>265</v>
      </c>
      <c r="P97" s="1">
        <v>0</v>
      </c>
      <c r="Q97" s="1">
        <v>0</v>
      </c>
      <c r="R97" s="1">
        <v>412</v>
      </c>
    </row>
    <row r="98" spans="2:18">
      <c r="B98" s="1" t="s">
        <v>25</v>
      </c>
      <c r="C98" s="10">
        <v>-20394</v>
      </c>
      <c r="D98" s="10">
        <f>+-28715-C98</f>
        <v>-8321</v>
      </c>
      <c r="E98" s="10">
        <f>+-44906-SUM(C98:D98)</f>
        <v>-16191</v>
      </c>
      <c r="F98" s="10">
        <f t="shared" si="106"/>
        <v>18504</v>
      </c>
      <c r="G98" s="10">
        <v>-28135</v>
      </c>
      <c r="H98" s="10">
        <f>+-40566-G98</f>
        <v>-12431</v>
      </c>
      <c r="I98" s="10">
        <f>+-52507-SUM(G98:H98)</f>
        <v>-11941</v>
      </c>
      <c r="J98" s="10">
        <f t="shared" si="107"/>
        <v>47066</v>
      </c>
      <c r="K98" s="10">
        <v>704</v>
      </c>
      <c r="L98" s="1">
        <f>+-4078-K98</f>
        <v>-4782</v>
      </c>
      <c r="P98" s="1">
        <v>-7118</v>
      </c>
      <c r="Q98" s="1">
        <v>-26402</v>
      </c>
      <c r="R98" s="1">
        <v>-5441</v>
      </c>
    </row>
    <row r="99" spans="2:18">
      <c r="B99" s="1" t="s">
        <v>26</v>
      </c>
      <c r="C99" s="10">
        <v>-8865</v>
      </c>
      <c r="D99" s="10">
        <f>+-23777-C99</f>
        <v>-14912</v>
      </c>
      <c r="E99" s="10">
        <f>+-35090-SUM(C99:D99)</f>
        <v>-11313</v>
      </c>
      <c r="F99" s="10">
        <f t="shared" si="106"/>
        <v>-28634</v>
      </c>
      <c r="G99" s="10">
        <v>-22899</v>
      </c>
      <c r="H99" s="10">
        <f>+-45657-G99</f>
        <v>-22758</v>
      </c>
      <c r="I99" s="10">
        <f>+-57132-SUM(G99:H99)</f>
        <v>-11475</v>
      </c>
      <c r="J99" s="10">
        <f t="shared" si="107"/>
        <v>4492</v>
      </c>
      <c r="K99" s="10">
        <v>10407</v>
      </c>
      <c r="L99" s="1">
        <f>10657-K99</f>
        <v>250</v>
      </c>
      <c r="P99" s="1">
        <v>-14242</v>
      </c>
      <c r="Q99" s="1">
        <v>-63724</v>
      </c>
      <c r="R99" s="1">
        <v>-52640</v>
      </c>
    </row>
    <row r="100" spans="2:18">
      <c r="B100" s="1" t="s">
        <v>27</v>
      </c>
      <c r="C100" s="10">
        <v>-2633</v>
      </c>
      <c r="D100" s="10">
        <f>-3421-C100</f>
        <v>-788</v>
      </c>
      <c r="E100" s="10">
        <f>-5760-SUM(C100:D100)</f>
        <v>-2339</v>
      </c>
      <c r="F100" s="10">
        <f t="shared" si="106"/>
        <v>-1439</v>
      </c>
      <c r="G100" s="10">
        <v>1425</v>
      </c>
      <c r="H100" s="10">
        <f>3856-G100</f>
        <v>2431</v>
      </c>
      <c r="I100" s="10">
        <f>6344-SUM(G100:H100)</f>
        <v>2488</v>
      </c>
      <c r="J100" s="10">
        <f t="shared" si="107"/>
        <v>-5494</v>
      </c>
      <c r="K100" s="10">
        <v>-7108</v>
      </c>
      <c r="L100" s="1">
        <f>+-4627-K100</f>
        <v>2481</v>
      </c>
      <c r="P100" s="1">
        <v>-2094</v>
      </c>
      <c r="Q100" s="1">
        <v>-7199</v>
      </c>
      <c r="R100" s="1">
        <v>850</v>
      </c>
    </row>
    <row r="101" spans="2:18">
      <c r="B101" s="1" t="s">
        <v>36</v>
      </c>
      <c r="C101" s="10">
        <v>-5422</v>
      </c>
      <c r="D101" s="10">
        <f>723-C101</f>
        <v>6145</v>
      </c>
      <c r="E101" s="10">
        <f>9165-SUM(C101:D101)</f>
        <v>8442</v>
      </c>
      <c r="F101" s="10">
        <f t="shared" si="106"/>
        <v>-6813</v>
      </c>
      <c r="G101" s="10">
        <v>9838</v>
      </c>
      <c r="H101" s="10">
        <f>1532-G101</f>
        <v>-8306</v>
      </c>
      <c r="I101" s="10">
        <f>3959-SUM(G101:H101)</f>
        <v>2427</v>
      </c>
      <c r="J101" s="10">
        <f t="shared" si="107"/>
        <v>-13378</v>
      </c>
      <c r="K101" s="10">
        <v>-340</v>
      </c>
      <c r="L101" s="1">
        <f>3918-K101</f>
        <v>4258</v>
      </c>
      <c r="P101" s="1">
        <v>14865</v>
      </c>
      <c r="Q101" s="1">
        <v>2352</v>
      </c>
      <c r="R101" s="1">
        <v>-9419</v>
      </c>
    </row>
    <row r="102" spans="2:18">
      <c r="B102" s="1" t="s">
        <v>96</v>
      </c>
      <c r="C102" s="10">
        <v>17186</v>
      </c>
      <c r="D102" s="10">
        <f>6292-C102</f>
        <v>-10894</v>
      </c>
      <c r="E102" s="10">
        <f>9355-SUM(C102:D102)</f>
        <v>3063</v>
      </c>
      <c r="F102" s="10">
        <f t="shared" si="106"/>
        <v>10258</v>
      </c>
      <c r="G102" s="10">
        <v>14412</v>
      </c>
      <c r="H102" s="10">
        <f>10901-G102</f>
        <v>-3511</v>
      </c>
      <c r="I102" s="10">
        <f>14283-SUM(G102:H102)</f>
        <v>3382</v>
      </c>
      <c r="J102" s="10">
        <f t="shared" si="107"/>
        <v>-21605</v>
      </c>
      <c r="K102" s="10">
        <v>5116</v>
      </c>
      <c r="L102" s="1">
        <f>4047-K102</f>
        <v>-1069</v>
      </c>
      <c r="P102" s="1">
        <v>8837</v>
      </c>
      <c r="Q102" s="6">
        <v>19613</v>
      </c>
      <c r="R102" s="6">
        <v>-7322</v>
      </c>
    </row>
    <row r="103" spans="2:18">
      <c r="B103" s="1" t="s">
        <v>97</v>
      </c>
      <c r="C103" s="10">
        <v>0</v>
      </c>
      <c r="D103" s="10">
        <f>0-C103</f>
        <v>0</v>
      </c>
      <c r="E103" s="10">
        <f>0-SUM(C103:D103)</f>
        <v>0</v>
      </c>
      <c r="F103" s="10">
        <f t="shared" si="106"/>
        <v>0</v>
      </c>
      <c r="G103" s="10">
        <v>0</v>
      </c>
      <c r="H103" s="10">
        <f>0-G103</f>
        <v>0</v>
      </c>
      <c r="I103" s="10">
        <f>+-8578-SUM(G103:H103)</f>
        <v>-8578</v>
      </c>
      <c r="J103" s="10">
        <f t="shared" si="107"/>
        <v>2349</v>
      </c>
      <c r="K103" s="10">
        <v>-28</v>
      </c>
      <c r="L103" s="1">
        <f>+-28-K103</f>
        <v>0</v>
      </c>
      <c r="P103" s="1">
        <v>0</v>
      </c>
      <c r="Q103" s="1">
        <v>0</v>
      </c>
      <c r="R103" s="1">
        <v>-6229</v>
      </c>
    </row>
    <row r="104" spans="2:18" s="3" customFormat="1">
      <c r="B104" s="3" t="s">
        <v>88</v>
      </c>
      <c r="C104" s="11">
        <f t="shared" ref="C104:L104" si="108">+SUM(C86:C103)</f>
        <v>41290</v>
      </c>
      <c r="D104" s="11">
        <f t="shared" si="108"/>
        <v>33663</v>
      </c>
      <c r="E104" s="11">
        <f t="shared" si="108"/>
        <v>55372</v>
      </c>
      <c r="F104" s="11">
        <f t="shared" si="108"/>
        <v>69704</v>
      </c>
      <c r="G104" s="11">
        <f t="shared" si="108"/>
        <v>71969</v>
      </c>
      <c r="H104" s="11">
        <f t="shared" si="108"/>
        <v>56084</v>
      </c>
      <c r="I104" s="11">
        <f t="shared" si="108"/>
        <v>53754</v>
      </c>
      <c r="J104" s="11">
        <f t="shared" si="108"/>
        <v>73517</v>
      </c>
      <c r="K104" s="11">
        <f t="shared" si="108"/>
        <v>48089</v>
      </c>
      <c r="L104" s="11">
        <f t="shared" si="108"/>
        <v>26998</v>
      </c>
      <c r="P104" s="11">
        <f>+SUM(P86:P103)</f>
        <v>128975</v>
      </c>
      <c r="Q104" s="11">
        <f>+SUM(Q86:Q103)</f>
        <v>200029</v>
      </c>
      <c r="R104" s="11">
        <f>+SUM(R86:R103)</f>
        <v>255324</v>
      </c>
    </row>
    <row r="106" spans="2:18">
      <c r="B106" s="1" t="s">
        <v>98</v>
      </c>
      <c r="C106" s="10">
        <v>0</v>
      </c>
      <c r="D106" s="10">
        <f>+-64-C106</f>
        <v>-64</v>
      </c>
      <c r="E106" s="10">
        <f>+-859-SUM(C106:D106)</f>
        <v>-795</v>
      </c>
      <c r="F106" s="10">
        <f t="shared" ref="F106:F109" si="109">+Q106-SUM(C106:E106)</f>
        <v>-16</v>
      </c>
      <c r="G106" s="10">
        <v>-68</v>
      </c>
      <c r="H106" s="10">
        <f>+-75-G106</f>
        <v>-7</v>
      </c>
      <c r="I106" s="10">
        <f>+-100-SUM(G106:H106)</f>
        <v>-25</v>
      </c>
      <c r="J106" s="10">
        <f t="shared" ref="J106:J109" si="110">+R106-SUM(G106:I106)</f>
        <v>-550</v>
      </c>
      <c r="K106" s="10">
        <v>-107</v>
      </c>
      <c r="L106" s="1">
        <f>+-128-K106</f>
        <v>-21</v>
      </c>
      <c r="P106" s="1">
        <v>-27</v>
      </c>
      <c r="Q106" s="1">
        <v>-875</v>
      </c>
      <c r="R106" s="1">
        <v>-650</v>
      </c>
    </row>
    <row r="107" spans="2:18">
      <c r="B107" s="1" t="s">
        <v>99</v>
      </c>
      <c r="C107" s="10">
        <v>0</v>
      </c>
      <c r="D107" s="10">
        <f>0-C107</f>
        <v>0</v>
      </c>
      <c r="E107" s="10">
        <f>0-SUM(C107:D107)</f>
        <v>0</v>
      </c>
      <c r="F107" s="10">
        <f t="shared" si="109"/>
        <v>-890</v>
      </c>
      <c r="G107" s="10">
        <v>-421</v>
      </c>
      <c r="H107" s="10">
        <f>+-870-G107</f>
        <v>-449</v>
      </c>
      <c r="I107" s="10">
        <f>+-1612-SUM(G107:H107)</f>
        <v>-742</v>
      </c>
      <c r="J107" s="10">
        <f t="shared" si="110"/>
        <v>-420</v>
      </c>
      <c r="K107" s="10">
        <v>-524</v>
      </c>
      <c r="L107" s="1">
        <f>+-1368-K107</f>
        <v>-844</v>
      </c>
      <c r="Q107" s="1">
        <v>-890</v>
      </c>
      <c r="R107" s="1">
        <v>-2032</v>
      </c>
    </row>
    <row r="108" spans="2:18">
      <c r="B108" s="1" t="s">
        <v>118</v>
      </c>
      <c r="F108" s="10">
        <f t="shared" si="109"/>
        <v>0</v>
      </c>
      <c r="J108" s="10">
        <f t="shared" si="110"/>
        <v>0</v>
      </c>
      <c r="L108" s="1">
        <v>0</v>
      </c>
      <c r="P108" s="1">
        <v>-1381582</v>
      </c>
    </row>
    <row r="109" spans="2:18">
      <c r="B109" s="1" t="s">
        <v>112</v>
      </c>
      <c r="E109" s="10">
        <f>+-4500-SUM(C109:D109)</f>
        <v>-4500</v>
      </c>
      <c r="F109" s="10">
        <f t="shared" si="109"/>
        <v>0</v>
      </c>
      <c r="J109" s="10">
        <f t="shared" si="110"/>
        <v>0</v>
      </c>
      <c r="L109" s="1">
        <v>0</v>
      </c>
      <c r="P109" s="1">
        <v>0</v>
      </c>
      <c r="Q109" s="1">
        <v>-4500</v>
      </c>
    </row>
    <row r="110" spans="2:18">
      <c r="B110" s="1" t="s">
        <v>145</v>
      </c>
      <c r="L110" s="1">
        <f>+-500-K110</f>
        <v>-500</v>
      </c>
    </row>
    <row r="111" spans="2:18" s="3" customFormat="1">
      <c r="B111" s="3" t="s">
        <v>100</v>
      </c>
      <c r="C111" s="11">
        <f t="shared" ref="C111:K111" si="111">+SUM(C106:C109)</f>
        <v>0</v>
      </c>
      <c r="D111" s="11">
        <f>+SUM(D106:D109)</f>
        <v>-64</v>
      </c>
      <c r="E111" s="11">
        <f t="shared" si="111"/>
        <v>-5295</v>
      </c>
      <c r="F111" s="11">
        <f t="shared" si="111"/>
        <v>-906</v>
      </c>
      <c r="G111" s="11">
        <f t="shared" si="111"/>
        <v>-489</v>
      </c>
      <c r="H111" s="11">
        <f t="shared" si="111"/>
        <v>-456</v>
      </c>
      <c r="I111" s="11">
        <f t="shared" si="111"/>
        <v>-767</v>
      </c>
      <c r="J111" s="11">
        <f t="shared" si="111"/>
        <v>-970</v>
      </c>
      <c r="K111" s="11">
        <f t="shared" si="111"/>
        <v>-631</v>
      </c>
      <c r="L111" s="11">
        <f>+SUM(L106:L110)</f>
        <v>-1365</v>
      </c>
      <c r="P111" s="11">
        <f t="shared" ref="P111" si="112">+SUM(P106:P109)</f>
        <v>-1381609</v>
      </c>
      <c r="Q111" s="11">
        <f t="shared" ref="Q111" si="113">+SUM(Q106:Q109)</f>
        <v>-6265</v>
      </c>
      <c r="R111" s="11">
        <f t="shared" ref="R111" si="114">+SUM(R106:R109)</f>
        <v>-2682</v>
      </c>
    </row>
    <row r="113" spans="2:18">
      <c r="B113" s="1" t="s">
        <v>115</v>
      </c>
      <c r="F113" s="10">
        <f t="shared" ref="F113:F121" si="115">+Q113-SUM(C113:E113)</f>
        <v>0</v>
      </c>
      <c r="J113" s="10">
        <f t="shared" ref="J113:J121" si="116">+R113-SUM(G113:I113)</f>
        <v>0</v>
      </c>
      <c r="P113" s="1">
        <v>-470000</v>
      </c>
      <c r="Q113" s="1">
        <v>0</v>
      </c>
      <c r="R113" s="1">
        <v>0</v>
      </c>
    </row>
    <row r="114" spans="2:18">
      <c r="B114" s="1" t="s">
        <v>111</v>
      </c>
      <c r="C114" s="10">
        <v>633</v>
      </c>
      <c r="D114" s="10">
        <f>633-C114</f>
        <v>0</v>
      </c>
      <c r="F114" s="10">
        <f t="shared" si="115"/>
        <v>0</v>
      </c>
      <c r="J114" s="10">
        <f t="shared" si="116"/>
        <v>0</v>
      </c>
      <c r="P114" s="1">
        <v>959868</v>
      </c>
      <c r="Q114" s="1">
        <v>633</v>
      </c>
      <c r="R114" s="1">
        <v>0</v>
      </c>
    </row>
    <row r="115" spans="2:18">
      <c r="B115" s="1" t="s">
        <v>101</v>
      </c>
      <c r="C115" s="10">
        <v>0</v>
      </c>
      <c r="D115" s="10">
        <f>0-C115</f>
        <v>0</v>
      </c>
      <c r="E115" s="10">
        <f>633-SUM(C115:D115)</f>
        <v>633</v>
      </c>
      <c r="F115" s="10">
        <f t="shared" si="115"/>
        <v>505</v>
      </c>
      <c r="G115" s="10">
        <v>0</v>
      </c>
      <c r="H115" s="10">
        <f>740-G115</f>
        <v>740</v>
      </c>
      <c r="I115" s="10">
        <f>814-SUM(G115:H115)</f>
        <v>74</v>
      </c>
      <c r="J115" s="10">
        <f t="shared" si="116"/>
        <v>1062</v>
      </c>
      <c r="K115" s="10">
        <v>2513</v>
      </c>
      <c r="L115" s="1">
        <f>4097-K115</f>
        <v>1584</v>
      </c>
      <c r="P115" s="1">
        <v>0</v>
      </c>
      <c r="Q115" s="1">
        <v>1138</v>
      </c>
      <c r="R115" s="1">
        <v>1876</v>
      </c>
    </row>
    <row r="116" spans="2:18">
      <c r="B116" s="1" t="s">
        <v>116</v>
      </c>
      <c r="F116" s="10">
        <f t="shared" si="115"/>
        <v>0</v>
      </c>
      <c r="J116" s="10">
        <f t="shared" si="116"/>
        <v>0</v>
      </c>
      <c r="P116" s="1">
        <v>50000</v>
      </c>
      <c r="Q116" s="1">
        <v>0</v>
      </c>
      <c r="R116" s="1">
        <v>0</v>
      </c>
    </row>
    <row r="117" spans="2:18">
      <c r="B117" s="1" t="s">
        <v>117</v>
      </c>
      <c r="F117" s="10">
        <f t="shared" si="115"/>
        <v>0</v>
      </c>
      <c r="J117" s="10">
        <f t="shared" si="116"/>
        <v>0</v>
      </c>
      <c r="P117" s="1">
        <v>-50000</v>
      </c>
      <c r="Q117" s="1">
        <v>0</v>
      </c>
      <c r="R117" s="1">
        <v>0</v>
      </c>
    </row>
    <row r="118" spans="2:18">
      <c r="B118" s="1" t="s">
        <v>102</v>
      </c>
      <c r="C118" s="10">
        <v>0</v>
      </c>
      <c r="D118" s="10">
        <f>0-C118</f>
        <v>0</v>
      </c>
      <c r="E118" s="10">
        <f>0-SUM(C118:D118)</f>
        <v>0</v>
      </c>
      <c r="F118" s="10">
        <f t="shared" si="115"/>
        <v>0</v>
      </c>
      <c r="G118" s="10">
        <v>-572</v>
      </c>
      <c r="H118" s="10">
        <f>+-572-G118</f>
        <v>0</v>
      </c>
      <c r="I118" s="10">
        <f>-572-SUM(G118:H118)</f>
        <v>0</v>
      </c>
      <c r="J118" s="10">
        <f t="shared" si="116"/>
        <v>-202</v>
      </c>
      <c r="K118" s="10">
        <v>-64</v>
      </c>
      <c r="L118" s="1">
        <f>+-64-K118</f>
        <v>0</v>
      </c>
      <c r="P118" s="1">
        <v>0</v>
      </c>
      <c r="Q118" s="1">
        <v>0</v>
      </c>
      <c r="R118" s="1">
        <v>-774</v>
      </c>
    </row>
    <row r="119" spans="2:18">
      <c r="B119" s="1" t="s">
        <v>103</v>
      </c>
      <c r="C119" s="10">
        <v>-5028</v>
      </c>
      <c r="D119" s="10">
        <f>+-10056-C119</f>
        <v>-5028</v>
      </c>
      <c r="E119" s="10">
        <f>+-15084-SUM(C119:D119)</f>
        <v>-5028</v>
      </c>
      <c r="F119" s="10">
        <f t="shared" si="115"/>
        <v>-5027</v>
      </c>
      <c r="G119" s="10">
        <v>-777005</v>
      </c>
      <c r="H119" s="10">
        <f>+-778692-G119</f>
        <v>-1687</v>
      </c>
      <c r="I119" s="10">
        <f>+-780382-SUM(G119:H119)</f>
        <v>-1690</v>
      </c>
      <c r="J119" s="10">
        <f t="shared" si="116"/>
        <v>2</v>
      </c>
      <c r="K119" s="10">
        <v>-3375</v>
      </c>
      <c r="L119" s="1">
        <f>+-5062-K119</f>
        <v>-1687</v>
      </c>
      <c r="P119" s="1">
        <v>-10653</v>
      </c>
      <c r="Q119" s="1">
        <v>-20111</v>
      </c>
      <c r="R119" s="1">
        <v>-780380</v>
      </c>
    </row>
    <row r="120" spans="2:18">
      <c r="B120" s="1" t="s">
        <v>104</v>
      </c>
      <c r="C120" s="10">
        <v>0</v>
      </c>
      <c r="D120" s="10">
        <f>0-C120</f>
        <v>0</v>
      </c>
      <c r="E120" s="10">
        <f>0-SUM(C120:D120)</f>
        <v>0</v>
      </c>
      <c r="F120" s="10">
        <f t="shared" si="115"/>
        <v>0</v>
      </c>
      <c r="G120" s="10">
        <v>675000</v>
      </c>
      <c r="H120" s="10">
        <f>675000-G120</f>
        <v>0</v>
      </c>
      <c r="I120" s="10">
        <f>675000-SUM(G120:H120)</f>
        <v>0</v>
      </c>
      <c r="J120" s="10">
        <f>+R120-SUM(G120:I120)</f>
        <v>0</v>
      </c>
      <c r="K120" s="10">
        <v>0</v>
      </c>
      <c r="P120" s="1">
        <v>800000</v>
      </c>
      <c r="Q120" s="1">
        <v>0</v>
      </c>
      <c r="R120" s="1">
        <v>675000</v>
      </c>
    </row>
    <row r="121" spans="2:18">
      <c r="B121" s="1" t="s">
        <v>105</v>
      </c>
      <c r="C121" s="10">
        <v>0</v>
      </c>
      <c r="D121" s="10">
        <f>0-C121</f>
        <v>0</v>
      </c>
      <c r="E121" s="10">
        <f>0-SUM(C121:D121)</f>
        <v>0</v>
      </c>
      <c r="F121" s="10">
        <f t="shared" si="115"/>
        <v>0</v>
      </c>
      <c r="G121" s="10">
        <v>-11944</v>
      </c>
      <c r="H121" s="10">
        <f>+-11944-G121</f>
        <v>0</v>
      </c>
      <c r="I121" s="10">
        <f>+-11944-SUM(G121:H121)</f>
        <v>0</v>
      </c>
      <c r="J121" s="10">
        <f t="shared" si="116"/>
        <v>0</v>
      </c>
      <c r="K121" s="10">
        <v>0</v>
      </c>
      <c r="L121" s="1">
        <f>0-K121</f>
        <v>0</v>
      </c>
      <c r="P121" s="1">
        <v>-15617</v>
      </c>
      <c r="Q121" s="1">
        <v>0</v>
      </c>
      <c r="R121" s="1">
        <v>-11944</v>
      </c>
    </row>
    <row r="122" spans="2:18">
      <c r="B122" s="1" t="s">
        <v>146</v>
      </c>
    </row>
    <row r="123" spans="2:18">
      <c r="B123" s="1" t="s">
        <v>147</v>
      </c>
      <c r="L123" s="1">
        <f>+-16452-K123</f>
        <v>-16452</v>
      </c>
    </row>
    <row r="124" spans="2:18" s="3" customFormat="1">
      <c r="B124" s="3" t="s">
        <v>106</v>
      </c>
      <c r="C124" s="11">
        <f t="shared" ref="C124:L124" si="117">+SUM(C114:C121)</f>
        <v>-4395</v>
      </c>
      <c r="D124" s="11">
        <f>+SUM(D114:D121)</f>
        <v>-5028</v>
      </c>
      <c r="E124" s="11">
        <f t="shared" si="117"/>
        <v>-4395</v>
      </c>
      <c r="F124" s="11">
        <f t="shared" si="117"/>
        <v>-4522</v>
      </c>
      <c r="G124" s="11">
        <f t="shared" si="117"/>
        <v>-114521</v>
      </c>
      <c r="H124" s="11">
        <f t="shared" si="117"/>
        <v>-947</v>
      </c>
      <c r="I124" s="11">
        <f t="shared" si="117"/>
        <v>-1616</v>
      </c>
      <c r="J124" s="11">
        <f t="shared" si="117"/>
        <v>862</v>
      </c>
      <c r="K124" s="11">
        <f t="shared" si="117"/>
        <v>-926</v>
      </c>
      <c r="L124" s="11">
        <f>+SUM(L114:L123)</f>
        <v>-16555</v>
      </c>
      <c r="P124" s="11">
        <f>+SUM(P113:P121)</f>
        <v>1263598</v>
      </c>
      <c r="Q124" s="11">
        <f>+SUM(Q113:Q121)</f>
        <v>-18340</v>
      </c>
      <c r="R124" s="11">
        <f>+SUM(R113:R121)</f>
        <v>-116222</v>
      </c>
    </row>
    <row r="126" spans="2:18">
      <c r="B126" s="1" t="s">
        <v>107</v>
      </c>
      <c r="C126" s="10">
        <f t="shared" ref="C126:L126" si="118">+C104+C111+C124</f>
        <v>36895</v>
      </c>
      <c r="D126" s="10">
        <f t="shared" si="118"/>
        <v>28571</v>
      </c>
      <c r="E126" s="10">
        <f t="shared" si="118"/>
        <v>45682</v>
      </c>
      <c r="F126" s="10">
        <f t="shared" si="118"/>
        <v>64276</v>
      </c>
      <c r="G126" s="10">
        <f t="shared" si="118"/>
        <v>-43041</v>
      </c>
      <c r="H126" s="10">
        <f t="shared" si="118"/>
        <v>54681</v>
      </c>
      <c r="I126" s="10">
        <f t="shared" si="118"/>
        <v>51371</v>
      </c>
      <c r="J126" s="10">
        <f t="shared" si="118"/>
        <v>73409</v>
      </c>
      <c r="K126" s="10">
        <f t="shared" si="118"/>
        <v>46532</v>
      </c>
      <c r="L126" s="10">
        <f t="shared" si="118"/>
        <v>9078</v>
      </c>
      <c r="P126" s="10">
        <f>+P104+P111+P124</f>
        <v>10964</v>
      </c>
      <c r="Q126" s="10">
        <f>+Q104+Q111+Q124</f>
        <v>175424</v>
      </c>
      <c r="R126" s="10">
        <f>+R104+R111+R124</f>
        <v>136420</v>
      </c>
    </row>
    <row r="127" spans="2:18">
      <c r="B127" s="1" t="s">
        <v>108</v>
      </c>
      <c r="C127" s="10">
        <v>10964</v>
      </c>
      <c r="D127" s="10">
        <f t="shared" ref="D127:K127" si="119">+C128</f>
        <v>47859</v>
      </c>
      <c r="E127" s="10">
        <f t="shared" si="119"/>
        <v>76430</v>
      </c>
      <c r="F127" s="10">
        <f t="shared" si="119"/>
        <v>122112</v>
      </c>
      <c r="G127" s="10">
        <f t="shared" si="119"/>
        <v>186388</v>
      </c>
      <c r="H127" s="10">
        <f t="shared" si="119"/>
        <v>143347</v>
      </c>
      <c r="I127" s="10">
        <f t="shared" si="119"/>
        <v>198028</v>
      </c>
      <c r="J127" s="10">
        <f t="shared" si="119"/>
        <v>249399</v>
      </c>
      <c r="K127" s="10">
        <f t="shared" si="119"/>
        <v>322808</v>
      </c>
      <c r="L127" s="1">
        <f>+K128</f>
        <v>369340</v>
      </c>
      <c r="P127" s="10">
        <v>0</v>
      </c>
      <c r="Q127" s="10">
        <v>10964</v>
      </c>
      <c r="R127" s="10">
        <f>+F44</f>
        <v>186388</v>
      </c>
    </row>
    <row r="128" spans="2:18" s="3" customFormat="1">
      <c r="B128" s="3" t="s">
        <v>109</v>
      </c>
      <c r="C128" s="11">
        <f>+SUM(C126:C127)</f>
        <v>47859</v>
      </c>
      <c r="D128" s="11">
        <f>SUM(D126:D127)</f>
        <v>76430</v>
      </c>
      <c r="E128" s="11">
        <f>+SUM(E126:E127)</f>
        <v>122112</v>
      </c>
      <c r="F128" s="11">
        <f>+SUM(F126:F127)</f>
        <v>186388</v>
      </c>
      <c r="G128" s="11">
        <f>+SUM(G126:G127)</f>
        <v>143347</v>
      </c>
      <c r="H128" s="11">
        <f>SUM(H126:H127)</f>
        <v>198028</v>
      </c>
      <c r="I128" s="11">
        <f>+SUM(I126:I127)</f>
        <v>249399</v>
      </c>
      <c r="J128" s="11">
        <f>+SUM(J126:J127)</f>
        <v>322808</v>
      </c>
      <c r="K128" s="11">
        <f>+SUM(K126:K127)</f>
        <v>369340</v>
      </c>
      <c r="L128" s="3">
        <f>SUM(L126:L127)</f>
        <v>378418</v>
      </c>
      <c r="P128" s="11">
        <f>+SUM(P126:P127)</f>
        <v>10964</v>
      </c>
      <c r="Q128" s="11">
        <f>+SUM(Q126:Q127)</f>
        <v>186388</v>
      </c>
      <c r="R128" s="11">
        <f>+SUM(R126:R127)</f>
        <v>322808</v>
      </c>
    </row>
    <row r="131" spans="2:12" s="3" customFormat="1">
      <c r="B131" s="3" t="s">
        <v>110</v>
      </c>
      <c r="C131" s="11">
        <f t="shared" ref="C131:J131" si="120">+C104+C106</f>
        <v>41290</v>
      </c>
      <c r="D131" s="11">
        <f t="shared" si="120"/>
        <v>33599</v>
      </c>
      <c r="E131" s="11">
        <f t="shared" si="120"/>
        <v>54577</v>
      </c>
      <c r="F131" s="11">
        <f t="shared" si="120"/>
        <v>69688</v>
      </c>
      <c r="G131" s="11">
        <f t="shared" si="120"/>
        <v>71901</v>
      </c>
      <c r="H131" s="11">
        <f t="shared" si="120"/>
        <v>56077</v>
      </c>
      <c r="I131" s="11">
        <f t="shared" si="120"/>
        <v>53729</v>
      </c>
      <c r="J131" s="11">
        <f t="shared" si="120"/>
        <v>72967</v>
      </c>
      <c r="K131" s="11">
        <f>+K104+K106</f>
        <v>47982</v>
      </c>
      <c r="L131" s="11">
        <f>+L104+L106</f>
        <v>26977</v>
      </c>
    </row>
    <row r="132" spans="2:12">
      <c r="B132" s="1" t="s">
        <v>62</v>
      </c>
      <c r="C132" s="10">
        <f>+C22</f>
        <v>45531</v>
      </c>
      <c r="D132" s="10">
        <f t="shared" ref="D132:K132" si="121">+D22</f>
        <v>49351</v>
      </c>
      <c r="E132" s="10">
        <f t="shared" si="121"/>
        <v>56591</v>
      </c>
      <c r="F132" s="10">
        <f t="shared" si="121"/>
        <v>69311</v>
      </c>
      <c r="G132" s="10">
        <f t="shared" si="121"/>
        <v>61961</v>
      </c>
      <c r="H132" s="10">
        <f t="shared" si="121"/>
        <v>87715</v>
      </c>
      <c r="I132" s="10">
        <f t="shared" si="121"/>
        <v>60763</v>
      </c>
      <c r="J132" s="10">
        <f t="shared" si="121"/>
        <v>33633</v>
      </c>
      <c r="K132" s="10">
        <f t="shared" si="121"/>
        <v>20964</v>
      </c>
      <c r="L132" s="10">
        <f t="shared" ref="L132" si="122">+L22</f>
        <v>6156</v>
      </c>
    </row>
    <row r="134" spans="2:12">
      <c r="B134" s="1" t="s">
        <v>119</v>
      </c>
      <c r="F134" s="10">
        <f t="shared" ref="F134:J134" si="123">SUM(C131:F131)</f>
        <v>199154</v>
      </c>
      <c r="G134" s="10">
        <f t="shared" si="123"/>
        <v>229765</v>
      </c>
      <c r="H134" s="10">
        <f t="shared" si="123"/>
        <v>252243</v>
      </c>
      <c r="I134" s="10">
        <f t="shared" si="123"/>
        <v>251395</v>
      </c>
      <c r="J134" s="10">
        <f t="shared" si="123"/>
        <v>254674</v>
      </c>
      <c r="K134" s="10">
        <f>SUM(H131:K131)</f>
        <v>230755</v>
      </c>
      <c r="L134" s="10">
        <f>SUM(I131:L131)</f>
        <v>201655</v>
      </c>
    </row>
    <row r="135" spans="2:12">
      <c r="B135" s="1" t="s">
        <v>120</v>
      </c>
      <c r="F135" s="10">
        <f t="shared" ref="F135:J135" si="124">SUM(C132:F132)</f>
        <v>220784</v>
      </c>
      <c r="G135" s="10">
        <f t="shared" si="124"/>
        <v>237214</v>
      </c>
      <c r="H135" s="10">
        <f t="shared" si="124"/>
        <v>275578</v>
      </c>
      <c r="I135" s="10">
        <f t="shared" si="124"/>
        <v>279750</v>
      </c>
      <c r="J135" s="10">
        <f t="shared" si="124"/>
        <v>244072</v>
      </c>
      <c r="K135" s="10">
        <f>SUM(H132:K132)</f>
        <v>203075</v>
      </c>
      <c r="L135" s="10">
        <f>SUM(I132:L132)</f>
        <v>121516</v>
      </c>
    </row>
    <row r="136" spans="2:12">
      <c r="B136" s="1" t="s">
        <v>121</v>
      </c>
      <c r="F136" s="10">
        <f>+F134-F135</f>
        <v>-21630</v>
      </c>
      <c r="G136" s="10">
        <f t="shared" ref="G136:K136" si="125">+G134-G135</f>
        <v>-7449</v>
      </c>
      <c r="H136" s="10">
        <f t="shared" si="125"/>
        <v>-23335</v>
      </c>
      <c r="I136" s="10">
        <f t="shared" si="125"/>
        <v>-28355</v>
      </c>
      <c r="J136" s="10">
        <f t="shared" si="125"/>
        <v>10602</v>
      </c>
      <c r="K136" s="10">
        <f t="shared" si="125"/>
        <v>27680</v>
      </c>
      <c r="L136" s="10">
        <f t="shared" ref="L136" si="126">+L134-L135</f>
        <v>80139</v>
      </c>
    </row>
  </sheetData>
  <pageMargins left="0.7" right="0.7" top="0.75" bottom="0.75" header="0.3" footer="0.3"/>
  <ignoredErrors>
    <ignoredError sqref="P12:R12 G12 C15 C12 F12 C13 F13 C19 C16:C17 F16:F17 C14 F14 F15 C22 C20 C18 F18 F19 C24 C23 C21 P9 F81:K81" formulaRange="1"/>
    <ignoredError sqref="I12 D12:E12 D22:E22 D24:E24 D21:E21 D23:E23 D19:E19 D18:E18 D20:E20 D15:E15 D14:E14 D16:E17 D13:E13 F21 F20" formula="1" formulaRange="1"/>
    <ignoredError sqref="D11:E11 J12 D10:E10 G10 G11 G14 G15 G18 G19 G21 F24:G24 G13 G16:G17 G20 G22 G23 J9 I10:J10 I11:J11 I13:J13 I14:J14 I15:J15 I16:J17 I18:J18 I19:J19 I20:J20 I21:J21 I22:J22 I23:J23 I24:J24 F9:H9 S9:AB24" formula="1"/>
  </ignoredErrors>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t:lpstr>
      <vt:lpstr>OLPX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jameelbrannon</dc:creator>
  <cp:lastModifiedBy>jameelbrannon</cp:lastModifiedBy>
  <dcterms:created xsi:type="dcterms:W3CDTF">2023-07-19T04:28:18Z</dcterms:created>
  <dcterms:modified xsi:type="dcterms:W3CDTF">2023-09-07T13:27:54Z</dcterms:modified>
</cp:coreProperties>
</file>