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10F4499B-9338-0A44-8094-2848A0628F7C}" xr6:coauthVersionLast="47" xr6:coauthVersionMax="47" xr10:uidLastSave="{00000000-0000-0000-0000-000000000000}"/>
  <bookViews>
    <workbookView xWindow="23620" yWindow="500" windowWidth="27440" windowHeight="28300" xr2:uid="{00000000-000D-0000-FFFF-FFFF00000000}"/>
  </bookViews>
  <sheets>
    <sheet name="Main" sheetId="1" r:id="rId1"/>
    <sheet name="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88" i="2" l="1"/>
  <c r="BB87" i="2"/>
  <c r="BB86" i="2"/>
  <c r="AK34" i="2"/>
  <c r="AK33" i="2"/>
  <c r="AK32" i="2"/>
  <c r="AK31" i="2"/>
  <c r="AK30" i="2"/>
  <c r="AK29" i="2"/>
  <c r="AK28" i="2"/>
  <c r="AJ34" i="2"/>
  <c r="AJ33" i="2"/>
  <c r="AJ32" i="2"/>
  <c r="AJ31" i="2"/>
  <c r="AJ30" i="2"/>
  <c r="AJ29" i="2"/>
  <c r="AJ28" i="2"/>
  <c r="AI34" i="2"/>
  <c r="AI33" i="2"/>
  <c r="AI32" i="2"/>
  <c r="AI31" i="2"/>
  <c r="AI30" i="2"/>
  <c r="AI29" i="2"/>
  <c r="AI28" i="2"/>
  <c r="AK26" i="2"/>
  <c r="AJ26" i="2"/>
  <c r="AI26" i="2"/>
  <c r="K34" i="2"/>
  <c r="K33" i="2"/>
  <c r="K32" i="2"/>
  <c r="K31" i="2"/>
  <c r="K30" i="2"/>
  <c r="K29" i="2"/>
  <c r="K28" i="2"/>
  <c r="K26" i="2"/>
  <c r="S34" i="2"/>
  <c r="S33" i="2"/>
  <c r="S32" i="2"/>
  <c r="S31" i="2"/>
  <c r="S30" i="2"/>
  <c r="S29" i="2"/>
  <c r="S28" i="2"/>
  <c r="Q34" i="2"/>
  <c r="Q33" i="2"/>
  <c r="Q32" i="2"/>
  <c r="Q31" i="2"/>
  <c r="Q30" i="2"/>
  <c r="Q29" i="2"/>
  <c r="Q28" i="2"/>
  <c r="P34" i="2"/>
  <c r="P33" i="2"/>
  <c r="P32" i="2"/>
  <c r="P31" i="2"/>
  <c r="P30" i="2"/>
  <c r="P29" i="2"/>
  <c r="P28" i="2"/>
  <c r="O34" i="2"/>
  <c r="O33" i="2"/>
  <c r="O32" i="2"/>
  <c r="O31" i="2"/>
  <c r="O30" i="2"/>
  <c r="O29" i="2"/>
  <c r="O28" i="2"/>
  <c r="L34" i="2"/>
  <c r="L33" i="2"/>
  <c r="L32" i="2"/>
  <c r="L31" i="2"/>
  <c r="L30" i="2"/>
  <c r="L29" i="2"/>
  <c r="L28" i="2"/>
  <c r="M34" i="2"/>
  <c r="M33" i="2"/>
  <c r="M32" i="2"/>
  <c r="M31" i="2"/>
  <c r="M30" i="2"/>
  <c r="M29" i="2"/>
  <c r="M28" i="2"/>
  <c r="L26" i="2"/>
  <c r="P26" i="2"/>
  <c r="M26" i="2"/>
  <c r="O26" i="2"/>
  <c r="Q26" i="2"/>
  <c r="S26" i="2"/>
  <c r="S75" i="2"/>
  <c r="S74" i="2"/>
  <c r="S63" i="2"/>
  <c r="S58" i="2"/>
  <c r="S51" i="2"/>
  <c r="S83" i="2" s="1"/>
  <c r="M10" i="1"/>
  <c r="V3" i="2"/>
  <c r="U3" i="2"/>
  <c r="T3" i="2"/>
  <c r="S3" i="2"/>
  <c r="S43" i="2" s="1"/>
  <c r="Z6" i="2"/>
  <c r="X3" i="2"/>
  <c r="X4" i="2"/>
  <c r="AL66" i="2"/>
  <c r="T62" i="2"/>
  <c r="U62" i="2" s="1"/>
  <c r="V62" i="2" s="1"/>
  <c r="T61" i="2"/>
  <c r="U61" i="2" s="1"/>
  <c r="V61" i="2" s="1"/>
  <c r="T60" i="2"/>
  <c r="U60" i="2" s="1"/>
  <c r="V60" i="2" s="1"/>
  <c r="N87" i="2"/>
  <c r="O87" i="2"/>
  <c r="P87" i="2"/>
  <c r="Q87" i="2"/>
  <c r="R87" i="2"/>
  <c r="N180" i="2"/>
  <c r="R180" i="2"/>
  <c r="N181" i="2"/>
  <c r="R181" i="2"/>
  <c r="N182" i="2"/>
  <c r="R182" i="2"/>
  <c r="N183" i="2"/>
  <c r="R183" i="2"/>
  <c r="G184" i="2"/>
  <c r="H184" i="2"/>
  <c r="I184" i="2"/>
  <c r="K184" i="2"/>
  <c r="L184" i="2"/>
  <c r="M184" i="2"/>
  <c r="O184" i="2"/>
  <c r="P184" i="2"/>
  <c r="Q184" i="2"/>
  <c r="L187" i="2"/>
  <c r="M187" i="2" s="1"/>
  <c r="N187" i="2" s="1"/>
  <c r="P187" i="2"/>
  <c r="Q187" i="2" s="1"/>
  <c r="R187" i="2"/>
  <c r="R179" i="2"/>
  <c r="N179" i="2"/>
  <c r="AI45" i="2"/>
  <c r="AI44" i="2"/>
  <c r="AI43" i="2"/>
  <c r="R75" i="2"/>
  <c r="Q75" i="2"/>
  <c r="P75" i="2"/>
  <c r="O75" i="2"/>
  <c r="R74" i="2"/>
  <c r="Q74" i="2"/>
  <c r="P74" i="2"/>
  <c r="O74" i="2"/>
  <c r="AI9" i="2"/>
  <c r="AI8" i="2"/>
  <c r="AI7" i="2"/>
  <c r="AJ9" i="2"/>
  <c r="AJ8" i="2"/>
  <c r="AJ7" i="2"/>
  <c r="AJ5" i="2"/>
  <c r="AJ45" i="2" s="1"/>
  <c r="AJ4" i="2"/>
  <c r="AJ44" i="2" s="1"/>
  <c r="AJ3" i="2"/>
  <c r="AJ43" i="2" s="1"/>
  <c r="AK9" i="2"/>
  <c r="AK8" i="2"/>
  <c r="AK7" i="2"/>
  <c r="AK5" i="2"/>
  <c r="AK4" i="2"/>
  <c r="AK3" i="2"/>
  <c r="R45" i="2"/>
  <c r="V5" i="2" s="1"/>
  <c r="Q45" i="2"/>
  <c r="U5" i="2" s="1"/>
  <c r="P45" i="2"/>
  <c r="T5" i="2" s="1"/>
  <c r="O45" i="2"/>
  <c r="S5" i="2" s="1"/>
  <c r="S45" i="2" s="1"/>
  <c r="M45" i="2"/>
  <c r="R44" i="2"/>
  <c r="V4" i="2" s="1"/>
  <c r="Q44" i="2"/>
  <c r="U4" i="2" s="1"/>
  <c r="P44" i="2"/>
  <c r="T4" i="2" s="1"/>
  <c r="O44" i="2"/>
  <c r="S4" i="2" s="1"/>
  <c r="M44" i="2"/>
  <c r="R43" i="2"/>
  <c r="Q43" i="2"/>
  <c r="P43" i="2"/>
  <c r="O43" i="2"/>
  <c r="M43" i="2"/>
  <c r="P6" i="2"/>
  <c r="O12" i="2"/>
  <c r="O37" i="2" s="1"/>
  <c r="R14" i="2"/>
  <c r="R39" i="2" s="1"/>
  <c r="Q14" i="2"/>
  <c r="Q39" i="2" s="1"/>
  <c r="P14" i="2"/>
  <c r="P39" i="2" s="1"/>
  <c r="O14" i="2"/>
  <c r="R13" i="2"/>
  <c r="R38" i="2" s="1"/>
  <c r="Q13" i="2"/>
  <c r="Q38" i="2" s="1"/>
  <c r="P13" i="2"/>
  <c r="P38" i="2" s="1"/>
  <c r="O13" i="2"/>
  <c r="R12" i="2"/>
  <c r="R37" i="2" s="1"/>
  <c r="Q12" i="2"/>
  <c r="Q37" i="2" s="1"/>
  <c r="P12" i="2"/>
  <c r="R10" i="2"/>
  <c r="Q10" i="2"/>
  <c r="P10" i="2"/>
  <c r="O10" i="2"/>
  <c r="N10" i="2"/>
  <c r="R6" i="2"/>
  <c r="Q6" i="2"/>
  <c r="O6" i="2"/>
  <c r="O63" i="2"/>
  <c r="O58" i="2"/>
  <c r="O51" i="2"/>
  <c r="O84" i="2" s="1"/>
  <c r="P63" i="2"/>
  <c r="P58" i="2"/>
  <c r="P51" i="2"/>
  <c r="P84" i="2" s="1"/>
  <c r="Q63" i="2"/>
  <c r="Q58" i="2"/>
  <c r="Q51" i="2"/>
  <c r="Q83" i="2" s="1"/>
  <c r="N63" i="2"/>
  <c r="N58" i="2"/>
  <c r="N51" i="2"/>
  <c r="N84" i="2" s="1"/>
  <c r="R63" i="2"/>
  <c r="R58" i="2"/>
  <c r="R51" i="2"/>
  <c r="R83" i="2" s="1"/>
  <c r="AK63" i="2"/>
  <c r="AK58" i="2"/>
  <c r="AK51" i="2"/>
  <c r="AL51" i="2" s="1"/>
  <c r="AJ63" i="2"/>
  <c r="AJ58" i="2"/>
  <c r="AJ51" i="2"/>
  <c r="AI2" i="2"/>
  <c r="BA78" i="2"/>
  <c r="BB78" i="2" s="1"/>
  <c r="BC78" i="2" s="1"/>
  <c r="BD78" i="2" s="1"/>
  <c r="BE78" i="2" s="1"/>
  <c r="BF78" i="2" s="1"/>
  <c r="BG78" i="2" s="1"/>
  <c r="BH78" i="2" s="1"/>
  <c r="BI78" i="2" s="1"/>
  <c r="R11" i="1"/>
  <c r="R10" i="1"/>
  <c r="R7" i="1"/>
  <c r="R9" i="1" s="1"/>
  <c r="P8" i="1"/>
  <c r="S8" i="1" s="1"/>
  <c r="P9" i="1"/>
  <c r="P12" i="1" s="1"/>
  <c r="R12" i="1" s="1"/>
  <c r="K130" i="2"/>
  <c r="J130" i="2"/>
  <c r="I130" i="2"/>
  <c r="H130" i="2"/>
  <c r="G130" i="2"/>
  <c r="K129" i="2"/>
  <c r="J129" i="2"/>
  <c r="I129" i="2"/>
  <c r="H129" i="2"/>
  <c r="G129" i="2"/>
  <c r="K127" i="2"/>
  <c r="J127" i="2"/>
  <c r="I127" i="2"/>
  <c r="H127" i="2"/>
  <c r="G127" i="2"/>
  <c r="K126" i="2"/>
  <c r="J126" i="2"/>
  <c r="I126" i="2"/>
  <c r="H126" i="2"/>
  <c r="G126" i="2"/>
  <c r="L130" i="2"/>
  <c r="L129" i="2"/>
  <c r="L127" i="2"/>
  <c r="L126" i="2"/>
  <c r="M122" i="2"/>
  <c r="L122" i="2"/>
  <c r="K122" i="2"/>
  <c r="J122" i="2"/>
  <c r="I122" i="2"/>
  <c r="H122" i="2"/>
  <c r="G122" i="2"/>
  <c r="F122" i="2"/>
  <c r="M171" i="2"/>
  <c r="L171" i="2"/>
  <c r="K171" i="2"/>
  <c r="J171" i="2"/>
  <c r="I171" i="2"/>
  <c r="H171" i="2"/>
  <c r="G171" i="2"/>
  <c r="F171" i="2"/>
  <c r="E171" i="2"/>
  <c r="D171" i="2"/>
  <c r="C171" i="2"/>
  <c r="G43" i="2"/>
  <c r="C163" i="2"/>
  <c r="C154" i="2"/>
  <c r="C147" i="2"/>
  <c r="D163" i="2"/>
  <c r="D154" i="2"/>
  <c r="D147" i="2"/>
  <c r="E63" i="2"/>
  <c r="E58" i="2"/>
  <c r="E51" i="2"/>
  <c r="E163" i="2"/>
  <c r="E154" i="2"/>
  <c r="E147" i="2"/>
  <c r="F63" i="2"/>
  <c r="F58" i="2"/>
  <c r="F51" i="2"/>
  <c r="F163" i="2"/>
  <c r="F154" i="2"/>
  <c r="F147" i="2"/>
  <c r="F168" i="2" s="1"/>
  <c r="J163" i="2"/>
  <c r="J154" i="2"/>
  <c r="J147" i="2"/>
  <c r="J168" i="2" s="1"/>
  <c r="G163" i="2"/>
  <c r="G154" i="2"/>
  <c r="G147" i="2"/>
  <c r="G168" i="2" s="1"/>
  <c r="K163" i="2"/>
  <c r="K154" i="2"/>
  <c r="K147" i="2"/>
  <c r="K168" i="2" s="1"/>
  <c r="L14" i="2"/>
  <c r="L39" i="2" s="1"/>
  <c r="K14" i="2"/>
  <c r="K39" i="2" s="1"/>
  <c r="I14" i="2"/>
  <c r="I39" i="2" s="1"/>
  <c r="H14" i="2"/>
  <c r="H39" i="2" s="1"/>
  <c r="G14" i="2"/>
  <c r="G39" i="2" s="1"/>
  <c r="E14" i="2"/>
  <c r="E39" i="2" s="1"/>
  <c r="D14" i="2"/>
  <c r="D39" i="2" s="1"/>
  <c r="C14" i="2"/>
  <c r="C39" i="2" s="1"/>
  <c r="L13" i="2"/>
  <c r="L38" i="2" s="1"/>
  <c r="K13" i="2"/>
  <c r="K38" i="2" s="1"/>
  <c r="I13" i="2"/>
  <c r="I38" i="2" s="1"/>
  <c r="H13" i="2"/>
  <c r="H38" i="2" s="1"/>
  <c r="G13" i="2"/>
  <c r="G38" i="2" s="1"/>
  <c r="F13" i="2"/>
  <c r="E13" i="2"/>
  <c r="D13" i="2"/>
  <c r="D38" i="2" s="1"/>
  <c r="C13" i="2"/>
  <c r="C38" i="2" s="1"/>
  <c r="L12" i="2"/>
  <c r="K12" i="2"/>
  <c r="K37" i="2" s="1"/>
  <c r="I12" i="2"/>
  <c r="H12" i="2"/>
  <c r="H37" i="2" s="1"/>
  <c r="G12" i="2"/>
  <c r="E12" i="2"/>
  <c r="E37" i="2" s="1"/>
  <c r="D12" i="2"/>
  <c r="C12" i="2"/>
  <c r="M143" i="2"/>
  <c r="M140" i="2"/>
  <c r="I163" i="2"/>
  <c r="I154" i="2"/>
  <c r="I147" i="2"/>
  <c r="I168" i="2" s="1"/>
  <c r="M163" i="2"/>
  <c r="M154" i="2"/>
  <c r="L10" i="2"/>
  <c r="K10" i="2"/>
  <c r="J10" i="2"/>
  <c r="I10" i="2"/>
  <c r="H10" i="2"/>
  <c r="G10" i="2"/>
  <c r="F10" i="2"/>
  <c r="E10" i="2"/>
  <c r="D10" i="2"/>
  <c r="C10" i="2"/>
  <c r="M14" i="2"/>
  <c r="M39" i="2" s="1"/>
  <c r="M13" i="2"/>
  <c r="M38" i="2" s="1"/>
  <c r="M12" i="2"/>
  <c r="M37" i="2" s="1"/>
  <c r="M10" i="2"/>
  <c r="AL84" i="2"/>
  <c r="AM84" i="2" s="1"/>
  <c r="AN84" i="2" s="1"/>
  <c r="AO84" i="2" s="1"/>
  <c r="AP84" i="2" s="1"/>
  <c r="AQ84" i="2" s="1"/>
  <c r="AR84" i="2" s="1"/>
  <c r="AS84" i="2" s="1"/>
  <c r="AT84" i="2" s="1"/>
  <c r="AU84" i="2" s="1"/>
  <c r="AL83" i="2"/>
  <c r="AM83" i="2" s="1"/>
  <c r="AN83" i="2" s="1"/>
  <c r="AO83" i="2" s="1"/>
  <c r="AP83" i="2" s="1"/>
  <c r="AQ83" i="2" s="1"/>
  <c r="AR83" i="2" s="1"/>
  <c r="AS83" i="2" s="1"/>
  <c r="AT83" i="2" s="1"/>
  <c r="AU83" i="2" s="1"/>
  <c r="AL81" i="2"/>
  <c r="AM81" i="2" s="1"/>
  <c r="AN81" i="2" s="1"/>
  <c r="AO81" i="2" s="1"/>
  <c r="AP81" i="2" s="1"/>
  <c r="AQ81" i="2" s="1"/>
  <c r="AR81" i="2" s="1"/>
  <c r="AS81" i="2" s="1"/>
  <c r="AT81" i="2" s="1"/>
  <c r="AF51" i="2"/>
  <c r="AE51" i="2"/>
  <c r="AD51" i="2"/>
  <c r="AC51" i="2"/>
  <c r="AB51" i="2"/>
  <c r="AA51" i="2"/>
  <c r="AK72" i="2" s="1"/>
  <c r="AU49" i="2" s="1"/>
  <c r="L45" i="2"/>
  <c r="K45" i="2"/>
  <c r="I45" i="2"/>
  <c r="H45" i="2"/>
  <c r="G45" i="2"/>
  <c r="L44" i="2"/>
  <c r="K44" i="2"/>
  <c r="I44" i="2"/>
  <c r="H44" i="2"/>
  <c r="G44" i="2"/>
  <c r="L43" i="2"/>
  <c r="K43" i="2"/>
  <c r="I43" i="2"/>
  <c r="H43" i="2"/>
  <c r="F14" i="2"/>
  <c r="F3" i="2"/>
  <c r="F12" i="2" s="1"/>
  <c r="J5" i="2"/>
  <c r="N45" i="2" s="1"/>
  <c r="J4" i="2"/>
  <c r="N44" i="2" s="1"/>
  <c r="J3" i="2"/>
  <c r="N43" i="2" s="1"/>
  <c r="AH39" i="2"/>
  <c r="AH38" i="2"/>
  <c r="AH37" i="2"/>
  <c r="AI39" i="2"/>
  <c r="AI38" i="2"/>
  <c r="AI37" i="2"/>
  <c r="AI15" i="2"/>
  <c r="AH6" i="2"/>
  <c r="AH40" i="2" s="1"/>
  <c r="AI6" i="2"/>
  <c r="L113" i="2"/>
  <c r="I6" i="2"/>
  <c r="K6" i="2"/>
  <c r="H6" i="2"/>
  <c r="G6" i="2"/>
  <c r="E6" i="2"/>
  <c r="D6" i="2"/>
  <c r="C6" i="2"/>
  <c r="M6" i="2"/>
  <c r="M121" i="2"/>
  <c r="M113" i="2"/>
  <c r="M102" i="2"/>
  <c r="M106" i="2" s="1"/>
  <c r="M92" i="2"/>
  <c r="M97" i="2" s="1"/>
  <c r="M87" i="2"/>
  <c r="M75" i="2"/>
  <c r="M74" i="2"/>
  <c r="M63" i="2"/>
  <c r="M58" i="2"/>
  <c r="M51" i="2"/>
  <c r="M84" i="2" s="1"/>
  <c r="I63" i="2"/>
  <c r="L6" i="2"/>
  <c r="H163" i="2"/>
  <c r="H154" i="2"/>
  <c r="L163" i="2"/>
  <c r="L154" i="2"/>
  <c r="K121" i="2"/>
  <c r="J121" i="2"/>
  <c r="I121" i="2"/>
  <c r="H121" i="2"/>
  <c r="G121" i="2"/>
  <c r="L121" i="2"/>
  <c r="G113" i="2"/>
  <c r="G102" i="2"/>
  <c r="G106" i="2" s="1"/>
  <c r="G92" i="2"/>
  <c r="G97" i="2" s="1"/>
  <c r="G87" i="2"/>
  <c r="H113" i="2"/>
  <c r="H102" i="2"/>
  <c r="H106" i="2" s="1"/>
  <c r="H92" i="2"/>
  <c r="H97" i="2" s="1"/>
  <c r="H87" i="2"/>
  <c r="F113" i="2"/>
  <c r="F102" i="2"/>
  <c r="F106" i="2" s="1"/>
  <c r="F92" i="2"/>
  <c r="F97" i="2" s="1"/>
  <c r="F87" i="2"/>
  <c r="I113" i="2"/>
  <c r="I102" i="2"/>
  <c r="I106" i="2" s="1"/>
  <c r="I92" i="2"/>
  <c r="I97" i="2" s="1"/>
  <c r="I87" i="2"/>
  <c r="L102" i="2"/>
  <c r="L106" i="2" s="1"/>
  <c r="L92" i="2"/>
  <c r="L97" i="2" s="1"/>
  <c r="L87" i="2"/>
  <c r="J87" i="2"/>
  <c r="K87" i="2"/>
  <c r="K113" i="2"/>
  <c r="K102" i="2"/>
  <c r="K106" i="2" s="1"/>
  <c r="K92" i="2"/>
  <c r="K97" i="2" s="1"/>
  <c r="J113" i="2"/>
  <c r="J102" i="2"/>
  <c r="J106" i="2" s="1"/>
  <c r="J92" i="2"/>
  <c r="J97" i="2" s="1"/>
  <c r="G74" i="2"/>
  <c r="H74" i="2"/>
  <c r="G75" i="2"/>
  <c r="H75" i="2"/>
  <c r="C63" i="2"/>
  <c r="C58" i="2"/>
  <c r="C51" i="2"/>
  <c r="C80" i="2" s="1"/>
  <c r="J49" i="2"/>
  <c r="D63" i="2"/>
  <c r="D58" i="2"/>
  <c r="D51" i="2"/>
  <c r="D80" i="2" s="1"/>
  <c r="BA82" i="2"/>
  <c r="BB82" i="2" s="1"/>
  <c r="BC82" i="2" s="1"/>
  <c r="BD82" i="2" s="1"/>
  <c r="BE82" i="2" s="1"/>
  <c r="BF82" i="2" s="1"/>
  <c r="BG82" i="2" s="1"/>
  <c r="BH82" i="2" s="1"/>
  <c r="BI82" i="2" s="1"/>
  <c r="J50" i="2"/>
  <c r="J52" i="2"/>
  <c r="J53" i="2"/>
  <c r="J54" i="2"/>
  <c r="J55" i="2"/>
  <c r="J56" i="2"/>
  <c r="J57" i="2"/>
  <c r="J60" i="2"/>
  <c r="J61" i="2"/>
  <c r="J62" i="2"/>
  <c r="J65" i="2"/>
  <c r="J66" i="2"/>
  <c r="J68" i="2"/>
  <c r="I75" i="2"/>
  <c r="I74" i="2"/>
  <c r="I58" i="2"/>
  <c r="I51" i="2"/>
  <c r="I78" i="2" s="1"/>
  <c r="AH75" i="2"/>
  <c r="AH74" i="2"/>
  <c r="AI75" i="2"/>
  <c r="AI74" i="2"/>
  <c r="AG63" i="2"/>
  <c r="AG58" i="2"/>
  <c r="AG51" i="2"/>
  <c r="AG84" i="2" s="1"/>
  <c r="AH63" i="2"/>
  <c r="AH58" i="2"/>
  <c r="AH51" i="2"/>
  <c r="AH82" i="2" s="1"/>
  <c r="K75" i="2"/>
  <c r="K74" i="2"/>
  <c r="L75" i="2"/>
  <c r="L74" i="2"/>
  <c r="AI63" i="2"/>
  <c r="AI58" i="2"/>
  <c r="AI51" i="2"/>
  <c r="AI78" i="2" s="1"/>
  <c r="AG2" i="2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K63" i="2"/>
  <c r="K58" i="2"/>
  <c r="K51" i="2"/>
  <c r="K83" i="2" s="1"/>
  <c r="G63" i="2"/>
  <c r="G58" i="2"/>
  <c r="G51" i="2"/>
  <c r="G78" i="2" s="1"/>
  <c r="L63" i="2"/>
  <c r="L58" i="2"/>
  <c r="L51" i="2"/>
  <c r="L83" i="2" s="1"/>
  <c r="H58" i="2"/>
  <c r="H63" i="2"/>
  <c r="H51" i="2"/>
  <c r="H78" i="2" s="1"/>
  <c r="N10" i="1"/>
  <c r="N11" i="1" s="1"/>
  <c r="M9" i="1"/>
  <c r="Z4" i="2" l="1"/>
  <c r="Y4" i="2"/>
  <c r="Z5" i="2"/>
  <c r="AL3" i="2"/>
  <c r="AL43" i="2" s="1"/>
  <c r="V6" i="2"/>
  <c r="V51" i="2" s="1"/>
  <c r="AK76" i="2"/>
  <c r="T63" i="2"/>
  <c r="U63" i="2" s="1"/>
  <c r="V63" i="2" s="1"/>
  <c r="Z3" i="2"/>
  <c r="U6" i="2"/>
  <c r="U51" i="2" s="1"/>
  <c r="S6" i="2"/>
  <c r="S46" i="2" s="1"/>
  <c r="AL4" i="2"/>
  <c r="AL44" i="2" s="1"/>
  <c r="S44" i="2"/>
  <c r="Q78" i="2"/>
  <c r="Q80" i="2"/>
  <c r="M81" i="2"/>
  <c r="Q82" i="2"/>
  <c r="M83" i="2"/>
  <c r="Q84" i="2"/>
  <c r="AK78" i="2"/>
  <c r="R78" i="2"/>
  <c r="R80" i="2"/>
  <c r="N81" i="2"/>
  <c r="R82" i="2"/>
  <c r="N83" i="2"/>
  <c r="R84" i="2"/>
  <c r="K78" i="2"/>
  <c r="S78" i="2"/>
  <c r="K80" i="2"/>
  <c r="S80" i="2"/>
  <c r="O81" i="2"/>
  <c r="K82" i="2"/>
  <c r="S82" i="2"/>
  <c r="O83" i="2"/>
  <c r="K84" i="2"/>
  <c r="S84" i="2"/>
  <c r="L78" i="2"/>
  <c r="L80" i="2"/>
  <c r="P81" i="2"/>
  <c r="L82" i="2"/>
  <c r="P83" i="2"/>
  <c r="L84" i="2"/>
  <c r="Y3" i="2"/>
  <c r="M78" i="2"/>
  <c r="M80" i="2"/>
  <c r="Q81" i="2"/>
  <c r="M82" i="2"/>
  <c r="N184" i="2"/>
  <c r="N78" i="2"/>
  <c r="N80" i="2"/>
  <c r="R81" i="2"/>
  <c r="N82" i="2"/>
  <c r="O78" i="2"/>
  <c r="O80" i="2"/>
  <c r="K81" i="2"/>
  <c r="S81" i="2"/>
  <c r="O82" i="2"/>
  <c r="P78" i="2"/>
  <c r="P80" i="2"/>
  <c r="L81" i="2"/>
  <c r="P82" i="2"/>
  <c r="AL63" i="2"/>
  <c r="S59" i="2"/>
  <c r="AL62" i="2"/>
  <c r="AM62" i="2" s="1"/>
  <c r="AN62" i="2" s="1"/>
  <c r="AO62" i="2" s="1"/>
  <c r="AP62" i="2" s="1"/>
  <c r="AQ62" i="2" s="1"/>
  <c r="AR62" i="2" s="1"/>
  <c r="AS62" i="2" s="1"/>
  <c r="AT62" i="2" s="1"/>
  <c r="AU62" i="2" s="1"/>
  <c r="AL60" i="2"/>
  <c r="AL61" i="2"/>
  <c r="AK87" i="2"/>
  <c r="AM4" i="2"/>
  <c r="AL5" i="2"/>
  <c r="AM5" i="2" s="1"/>
  <c r="AN5" i="2" s="1"/>
  <c r="AO5" i="2" s="1"/>
  <c r="AP5" i="2" s="1"/>
  <c r="AQ5" i="2" s="1"/>
  <c r="AR5" i="2" s="1"/>
  <c r="AS5" i="2" s="1"/>
  <c r="AT5" i="2" s="1"/>
  <c r="AU5" i="2" s="1"/>
  <c r="T6" i="2"/>
  <c r="T51" i="2" s="1"/>
  <c r="AU81" i="2"/>
  <c r="AI10" i="2"/>
  <c r="S76" i="2"/>
  <c r="M46" i="2"/>
  <c r="R184" i="2"/>
  <c r="Q46" i="2"/>
  <c r="P46" i="2"/>
  <c r="O15" i="2"/>
  <c r="O40" i="2" s="1"/>
  <c r="AJ10" i="2"/>
  <c r="O46" i="2"/>
  <c r="P15" i="2"/>
  <c r="P40" i="2" s="1"/>
  <c r="Q76" i="2"/>
  <c r="AK43" i="2"/>
  <c r="P76" i="2"/>
  <c r="R59" i="2"/>
  <c r="R79" i="2" s="1"/>
  <c r="AK13" i="2"/>
  <c r="AK38" i="2" s="1"/>
  <c r="AK44" i="2"/>
  <c r="R76" i="2"/>
  <c r="AK45" i="2"/>
  <c r="AI46" i="2"/>
  <c r="AJ6" i="2"/>
  <c r="AJ46" i="2" s="1"/>
  <c r="AK6" i="2"/>
  <c r="N59" i="2"/>
  <c r="O76" i="2"/>
  <c r="O38" i="2"/>
  <c r="AK10" i="2"/>
  <c r="AK14" i="2"/>
  <c r="AK39" i="2" s="1"/>
  <c r="O39" i="2"/>
  <c r="AK12" i="2"/>
  <c r="P37" i="2"/>
  <c r="Q15" i="2"/>
  <c r="R15" i="2"/>
  <c r="O59" i="2"/>
  <c r="O79" i="2" s="1"/>
  <c r="P59" i="2"/>
  <c r="P79" i="2" s="1"/>
  <c r="Q59" i="2"/>
  <c r="Q79" i="2" s="1"/>
  <c r="AK59" i="2"/>
  <c r="AJ59" i="2"/>
  <c r="F118" i="2"/>
  <c r="G118" i="2"/>
  <c r="H118" i="2"/>
  <c r="I118" i="2"/>
  <c r="J118" i="2"/>
  <c r="K118" i="2"/>
  <c r="L118" i="2"/>
  <c r="M118" i="2"/>
  <c r="M12" i="1"/>
  <c r="L123" i="2"/>
  <c r="I132" i="2"/>
  <c r="H132" i="2"/>
  <c r="G123" i="2"/>
  <c r="L132" i="2"/>
  <c r="G132" i="2"/>
  <c r="M123" i="2"/>
  <c r="H123" i="2"/>
  <c r="K132" i="2"/>
  <c r="J132" i="2"/>
  <c r="K123" i="2"/>
  <c r="I123" i="2"/>
  <c r="J123" i="2"/>
  <c r="M172" i="2"/>
  <c r="E165" i="2"/>
  <c r="E166" i="2" s="1"/>
  <c r="I15" i="2"/>
  <c r="I40" i="2" s="1"/>
  <c r="J165" i="2"/>
  <c r="J166" i="2" s="1"/>
  <c r="M147" i="2"/>
  <c r="M168" i="2" s="1"/>
  <c r="F59" i="2"/>
  <c r="K165" i="2"/>
  <c r="K166" i="2" s="1"/>
  <c r="G165" i="2"/>
  <c r="G166" i="2" s="1"/>
  <c r="C165" i="2"/>
  <c r="C166" i="2" s="1"/>
  <c r="C168" i="2"/>
  <c r="D165" i="2"/>
  <c r="D166" i="2" s="1"/>
  <c r="D168" i="2"/>
  <c r="E59" i="2"/>
  <c r="E80" i="2"/>
  <c r="E168" i="2"/>
  <c r="F165" i="2"/>
  <c r="F166" i="2" s="1"/>
  <c r="G15" i="2"/>
  <c r="G40" i="2" s="1"/>
  <c r="G37" i="2"/>
  <c r="I37" i="2"/>
  <c r="J13" i="2"/>
  <c r="J38" i="2" s="1"/>
  <c r="J14" i="2"/>
  <c r="J39" i="2" s="1"/>
  <c r="E15" i="2"/>
  <c r="E40" i="2" s="1"/>
  <c r="F15" i="2"/>
  <c r="I165" i="2"/>
  <c r="I166" i="2" s="1"/>
  <c r="E38" i="2"/>
  <c r="D15" i="2"/>
  <c r="L15" i="2"/>
  <c r="J12" i="2"/>
  <c r="M15" i="2"/>
  <c r="C15" i="2"/>
  <c r="K15" i="2"/>
  <c r="L37" i="2"/>
  <c r="H15" i="2"/>
  <c r="C37" i="2"/>
  <c r="D37" i="2"/>
  <c r="AC76" i="2"/>
  <c r="AE76" i="2"/>
  <c r="AD76" i="2"/>
  <c r="AF76" i="2"/>
  <c r="AG76" i="2"/>
  <c r="AB76" i="2"/>
  <c r="AG78" i="2"/>
  <c r="AI82" i="2"/>
  <c r="AG80" i="2"/>
  <c r="AH80" i="2"/>
  <c r="AG81" i="2"/>
  <c r="AI80" i="2"/>
  <c r="AH83" i="2"/>
  <c r="AG82" i="2"/>
  <c r="AI83" i="2"/>
  <c r="AG83" i="2"/>
  <c r="AH81" i="2"/>
  <c r="AI81" i="2"/>
  <c r="AH84" i="2"/>
  <c r="AH78" i="2"/>
  <c r="AI84" i="2"/>
  <c r="D82" i="2"/>
  <c r="C84" i="2"/>
  <c r="I84" i="2"/>
  <c r="G81" i="2"/>
  <c r="E82" i="2"/>
  <c r="D83" i="2"/>
  <c r="H81" i="2"/>
  <c r="E83" i="2"/>
  <c r="I81" i="2"/>
  <c r="G82" i="2"/>
  <c r="D84" i="2"/>
  <c r="C81" i="2"/>
  <c r="H82" i="2"/>
  <c r="G83" i="2"/>
  <c r="E84" i="2"/>
  <c r="C82" i="2"/>
  <c r="I82" i="2"/>
  <c r="H83" i="2"/>
  <c r="D81" i="2"/>
  <c r="I83" i="2"/>
  <c r="G84" i="2"/>
  <c r="E81" i="2"/>
  <c r="C83" i="2"/>
  <c r="H84" i="2"/>
  <c r="H46" i="2"/>
  <c r="G80" i="2"/>
  <c r="H80" i="2"/>
  <c r="C78" i="2"/>
  <c r="D78" i="2"/>
  <c r="I80" i="2"/>
  <c r="E78" i="2"/>
  <c r="I46" i="2"/>
  <c r="K46" i="2"/>
  <c r="J44" i="2"/>
  <c r="J45" i="2"/>
  <c r="L46" i="2"/>
  <c r="G46" i="2"/>
  <c r="J43" i="2"/>
  <c r="M114" i="2"/>
  <c r="M115" i="2" s="1"/>
  <c r="M76" i="2"/>
  <c r="AI40" i="2"/>
  <c r="F38" i="2"/>
  <c r="J6" i="2"/>
  <c r="F6" i="2"/>
  <c r="F39" i="2"/>
  <c r="F37" i="2"/>
  <c r="M59" i="2"/>
  <c r="M79" i="2" s="1"/>
  <c r="G76" i="2"/>
  <c r="J58" i="2"/>
  <c r="AH76" i="2"/>
  <c r="K76" i="2"/>
  <c r="J75" i="2"/>
  <c r="H59" i="2"/>
  <c r="D59" i="2"/>
  <c r="J74" i="2"/>
  <c r="J51" i="2"/>
  <c r="J78" i="2" s="1"/>
  <c r="L76" i="2"/>
  <c r="J114" i="2"/>
  <c r="J115" i="2" s="1"/>
  <c r="G114" i="2"/>
  <c r="G115" i="2" s="1"/>
  <c r="H114" i="2"/>
  <c r="H115" i="2" s="1"/>
  <c r="F114" i="2"/>
  <c r="F115" i="2" s="1"/>
  <c r="I114" i="2"/>
  <c r="I115" i="2" s="1"/>
  <c r="L114" i="2"/>
  <c r="L115" i="2" s="1"/>
  <c r="K114" i="2"/>
  <c r="K115" i="2" s="1"/>
  <c r="AI76" i="2"/>
  <c r="F78" i="2"/>
  <c r="H76" i="2"/>
  <c r="C59" i="2"/>
  <c r="I76" i="2"/>
  <c r="I59" i="2"/>
  <c r="AG59" i="2"/>
  <c r="AH59" i="2"/>
  <c r="AH79" i="2" s="1"/>
  <c r="AI59" i="2"/>
  <c r="AI79" i="2" s="1"/>
  <c r="K59" i="2"/>
  <c r="K79" i="2" s="1"/>
  <c r="G59" i="2"/>
  <c r="L59" i="2"/>
  <c r="L79" i="2" s="1"/>
  <c r="AM3" i="2" l="1"/>
  <c r="AN3" i="2" s="1"/>
  <c r="AO3" i="2" s="1"/>
  <c r="AP3" i="2" s="1"/>
  <c r="AQ3" i="2" s="1"/>
  <c r="AR3" i="2" s="1"/>
  <c r="AS3" i="2" s="1"/>
  <c r="AT3" i="2" s="1"/>
  <c r="AU3" i="2" s="1"/>
  <c r="AK46" i="2"/>
  <c r="N64" i="2"/>
  <c r="N67" i="2" s="1"/>
  <c r="N68" i="2" s="1"/>
  <c r="N79" i="2"/>
  <c r="AG64" i="2"/>
  <c r="AG67" i="2" s="1"/>
  <c r="AG69" i="2" s="1"/>
  <c r="AG79" i="2"/>
  <c r="AJ64" i="2"/>
  <c r="AJ67" i="2" s="1"/>
  <c r="AJ68" i="2" s="1"/>
  <c r="AJ79" i="2"/>
  <c r="AK64" i="2"/>
  <c r="AK67" i="2" s="1"/>
  <c r="AK68" i="2" s="1"/>
  <c r="AK79" i="2"/>
  <c r="U76" i="2"/>
  <c r="R16" i="2"/>
  <c r="T78" i="2"/>
  <c r="S64" i="2"/>
  <c r="S79" i="2"/>
  <c r="AL6" i="2"/>
  <c r="AL46" i="2" s="1"/>
  <c r="AL45" i="2"/>
  <c r="AM45" i="2"/>
  <c r="AL76" i="2"/>
  <c r="AM44" i="2"/>
  <c r="AN4" i="2"/>
  <c r="AM6" i="2"/>
  <c r="AM51" i="2" s="1"/>
  <c r="AM43" i="2"/>
  <c r="V76" i="2"/>
  <c r="T53" i="2"/>
  <c r="T81" i="2" s="1"/>
  <c r="T55" i="2"/>
  <c r="T52" i="2"/>
  <c r="T80" i="2" s="1"/>
  <c r="T57" i="2"/>
  <c r="U57" i="2" s="1"/>
  <c r="V57" i="2" s="1"/>
  <c r="T56" i="2"/>
  <c r="T54" i="2"/>
  <c r="T76" i="2"/>
  <c r="P64" i="2"/>
  <c r="P67" i="2" s="1"/>
  <c r="P69" i="2" s="1"/>
  <c r="O64" i="2"/>
  <c r="O67" i="2" s="1"/>
  <c r="O69" i="2" s="1"/>
  <c r="R64" i="2"/>
  <c r="R67" i="2" s="1"/>
  <c r="R69" i="2" s="1"/>
  <c r="T69" i="2" s="1"/>
  <c r="U69" i="2" s="1"/>
  <c r="V69" i="2" s="1"/>
  <c r="Q64" i="2"/>
  <c r="Q67" i="2" s="1"/>
  <c r="Q69" i="2" s="1"/>
  <c r="P16" i="2"/>
  <c r="M16" i="2"/>
  <c r="O16" i="2"/>
  <c r="L16" i="2"/>
  <c r="AK37" i="2"/>
  <c r="AK15" i="2"/>
  <c r="AK40" i="2" s="1"/>
  <c r="Q16" i="2"/>
  <c r="Q40" i="2"/>
  <c r="R40" i="2"/>
  <c r="L64" i="2"/>
  <c r="L67" i="2" s="1"/>
  <c r="C64" i="2"/>
  <c r="C72" i="2" s="1"/>
  <c r="C79" i="2"/>
  <c r="G64" i="2"/>
  <c r="G72" i="2" s="1"/>
  <c r="G79" i="2"/>
  <c r="F64" i="2"/>
  <c r="F67" i="2" s="1"/>
  <c r="F79" i="2"/>
  <c r="E64" i="2"/>
  <c r="E67" i="2" s="1"/>
  <c r="E169" i="2" s="1"/>
  <c r="E79" i="2"/>
  <c r="M64" i="2"/>
  <c r="M72" i="2" s="1"/>
  <c r="D64" i="2"/>
  <c r="D67" i="2" s="1"/>
  <c r="D79" i="2"/>
  <c r="I16" i="2"/>
  <c r="I79" i="2"/>
  <c r="H64" i="2"/>
  <c r="H67" i="2" s="1"/>
  <c r="H79" i="2"/>
  <c r="M165" i="2"/>
  <c r="M166" i="2" s="1"/>
  <c r="M173" i="2" s="1"/>
  <c r="F16" i="2"/>
  <c r="C16" i="2"/>
  <c r="E16" i="2"/>
  <c r="M40" i="2"/>
  <c r="G16" i="2"/>
  <c r="C40" i="2"/>
  <c r="D40" i="2"/>
  <c r="D16" i="2"/>
  <c r="K40" i="2"/>
  <c r="K16" i="2"/>
  <c r="H40" i="2"/>
  <c r="H16" i="2"/>
  <c r="L40" i="2"/>
  <c r="J15" i="2"/>
  <c r="J37" i="2"/>
  <c r="F82" i="2"/>
  <c r="AJ76" i="2"/>
  <c r="F81" i="2"/>
  <c r="K64" i="2"/>
  <c r="F84" i="2"/>
  <c r="J84" i="2"/>
  <c r="J81" i="2"/>
  <c r="AJ84" i="2"/>
  <c r="F83" i="2"/>
  <c r="J82" i="2"/>
  <c r="J83" i="2"/>
  <c r="N76" i="2"/>
  <c r="F80" i="2"/>
  <c r="J80" i="2"/>
  <c r="F40" i="2"/>
  <c r="J46" i="2"/>
  <c r="J76" i="2"/>
  <c r="AI64" i="2"/>
  <c r="J59" i="2"/>
  <c r="J79" i="2" s="1"/>
  <c r="AH64" i="2"/>
  <c r="U54" i="2" l="1"/>
  <c r="T82" i="2"/>
  <c r="U55" i="2"/>
  <c r="T83" i="2"/>
  <c r="U56" i="2"/>
  <c r="T84" i="2"/>
  <c r="S67" i="2"/>
  <c r="S68" i="2" s="1"/>
  <c r="S72" i="2"/>
  <c r="AN45" i="2"/>
  <c r="AO4" i="2"/>
  <c r="AN44" i="2"/>
  <c r="AN43" i="2"/>
  <c r="AN6" i="2"/>
  <c r="AN51" i="2" s="1"/>
  <c r="AM46" i="2"/>
  <c r="AL57" i="2"/>
  <c r="U53" i="2"/>
  <c r="P72" i="2"/>
  <c r="U52" i="2"/>
  <c r="T58" i="2"/>
  <c r="U58" i="2" s="1"/>
  <c r="V58" i="2" s="1"/>
  <c r="E72" i="2"/>
  <c r="O72" i="2"/>
  <c r="AJ82" i="2"/>
  <c r="AK82" i="2" s="1"/>
  <c r="AL82" i="2" s="1"/>
  <c r="AM82" i="2" s="1"/>
  <c r="AN82" i="2" s="1"/>
  <c r="AO82" i="2" s="1"/>
  <c r="AP82" i="2" s="1"/>
  <c r="AQ82" i="2" s="1"/>
  <c r="AR82" i="2" s="1"/>
  <c r="AS82" i="2" s="1"/>
  <c r="AT82" i="2" s="1"/>
  <c r="AJ80" i="2"/>
  <c r="Q72" i="2"/>
  <c r="R72" i="2"/>
  <c r="AJ83" i="2"/>
  <c r="L72" i="2"/>
  <c r="H72" i="2"/>
  <c r="E69" i="2"/>
  <c r="M67" i="2"/>
  <c r="M68" i="2" s="1"/>
  <c r="C67" i="2"/>
  <c r="F117" i="2" s="1"/>
  <c r="D72" i="2"/>
  <c r="G67" i="2"/>
  <c r="G117" i="2" s="1"/>
  <c r="F72" i="2"/>
  <c r="F169" i="2"/>
  <c r="F69" i="2"/>
  <c r="D69" i="2"/>
  <c r="D169" i="2"/>
  <c r="J16" i="2"/>
  <c r="J40" i="2"/>
  <c r="L136" i="2"/>
  <c r="L147" i="2" s="1"/>
  <c r="L168" i="2" s="1"/>
  <c r="L169" i="2"/>
  <c r="H69" i="2"/>
  <c r="H169" i="2"/>
  <c r="AJ81" i="2"/>
  <c r="H136" i="2"/>
  <c r="H147" i="2" s="1"/>
  <c r="H168" i="2" s="1"/>
  <c r="L69" i="2"/>
  <c r="K67" i="2"/>
  <c r="K169" i="2" s="1"/>
  <c r="K72" i="2"/>
  <c r="N74" i="2"/>
  <c r="N75" i="2"/>
  <c r="AJ78" i="2"/>
  <c r="AH67" i="2"/>
  <c r="AI67" i="2"/>
  <c r="C169" i="2" l="1"/>
  <c r="U80" i="2"/>
  <c r="U78" i="2"/>
  <c r="V56" i="2"/>
  <c r="U84" i="2"/>
  <c r="V53" i="2"/>
  <c r="V81" i="2" s="1"/>
  <c r="U81" i="2"/>
  <c r="V55" i="2"/>
  <c r="V83" i="2" s="1"/>
  <c r="U83" i="2"/>
  <c r="V54" i="2"/>
  <c r="U82" i="2"/>
  <c r="AO45" i="2"/>
  <c r="AP4" i="2"/>
  <c r="AO44" i="2"/>
  <c r="AN46" i="2"/>
  <c r="AO43" i="2"/>
  <c r="AO6" i="2"/>
  <c r="AO51" i="2" s="1"/>
  <c r="AL58" i="2"/>
  <c r="AU82" i="2"/>
  <c r="T59" i="2"/>
  <c r="T79" i="2" s="1"/>
  <c r="V52" i="2"/>
  <c r="H117" i="2"/>
  <c r="M169" i="2"/>
  <c r="C69" i="2"/>
  <c r="G169" i="2"/>
  <c r="G69" i="2"/>
  <c r="L165" i="2"/>
  <c r="L166" i="2" s="1"/>
  <c r="H165" i="2"/>
  <c r="H166" i="2" s="1"/>
  <c r="K69" i="2"/>
  <c r="AI69" i="2"/>
  <c r="AH69" i="2"/>
  <c r="AL53" i="2" l="1"/>
  <c r="V80" i="2"/>
  <c r="V78" i="2"/>
  <c r="V84" i="2"/>
  <c r="AL56" i="2"/>
  <c r="V82" i="2"/>
  <c r="AL54" i="2"/>
  <c r="AL55" i="2"/>
  <c r="AP45" i="2"/>
  <c r="AQ4" i="2"/>
  <c r="AP44" i="2"/>
  <c r="AO46" i="2"/>
  <c r="AP43" i="2"/>
  <c r="AP6" i="2"/>
  <c r="AP51" i="2" s="1"/>
  <c r="AL52" i="2"/>
  <c r="AM52" i="2" s="1"/>
  <c r="AN52" i="2" s="1"/>
  <c r="T64" i="2"/>
  <c r="U64" i="2" s="1"/>
  <c r="V64" i="2" s="1"/>
  <c r="U59" i="2"/>
  <c r="U79" i="2" s="1"/>
  <c r="AO52" i="2" l="1"/>
  <c r="AP52" i="2" s="1"/>
  <c r="AQ45" i="2"/>
  <c r="AR4" i="2"/>
  <c r="AQ44" i="2"/>
  <c r="AQ43" i="2"/>
  <c r="AQ6" i="2"/>
  <c r="AQ51" i="2" s="1"/>
  <c r="AP46" i="2"/>
  <c r="T65" i="2"/>
  <c r="U65" i="2" s="1"/>
  <c r="V65" i="2" s="1"/>
  <c r="AL64" i="2"/>
  <c r="V59" i="2"/>
  <c r="V79" i="2" s="1"/>
  <c r="AR45" i="2" l="1"/>
  <c r="AS4" i="2"/>
  <c r="AR44" i="2"/>
  <c r="AQ46" i="2"/>
  <c r="AQ52" i="2"/>
  <c r="AR43" i="2"/>
  <c r="AR6" i="2"/>
  <c r="AR51" i="2" s="1"/>
  <c r="AL65" i="2"/>
  <c r="AL59" i="2"/>
  <c r="AL79" i="2" s="1"/>
  <c r="T67" i="2"/>
  <c r="U67" i="2" s="1"/>
  <c r="V67" i="2" s="1"/>
  <c r="AS45" i="2" l="1"/>
  <c r="AT4" i="2"/>
  <c r="AS44" i="2"/>
  <c r="AR52" i="2"/>
  <c r="AR46" i="2"/>
  <c r="AS43" i="2"/>
  <c r="AS6" i="2"/>
  <c r="AS51" i="2" s="1"/>
  <c r="AL67" i="2"/>
  <c r="T68" i="2"/>
  <c r="U68" i="2" s="1"/>
  <c r="V68" i="2" s="1"/>
  <c r="I64" i="2"/>
  <c r="J63" i="2"/>
  <c r="AU45" i="2" l="1"/>
  <c r="AT45" i="2"/>
  <c r="AU4" i="2"/>
  <c r="AU44" i="2" s="1"/>
  <c r="AT44" i="2"/>
  <c r="AT43" i="2"/>
  <c r="AT6" i="2"/>
  <c r="AT51" i="2" s="1"/>
  <c r="AS52" i="2"/>
  <c r="AS46" i="2"/>
  <c r="AL68" i="2"/>
  <c r="AL69" i="2" s="1"/>
  <c r="AM69" i="2" s="1"/>
  <c r="AN69" i="2" s="1"/>
  <c r="AO69" i="2" s="1"/>
  <c r="AP69" i="2" s="1"/>
  <c r="AQ69" i="2" s="1"/>
  <c r="AR69" i="2" s="1"/>
  <c r="AS69" i="2" s="1"/>
  <c r="AT69" i="2" s="1"/>
  <c r="AU69" i="2" s="1"/>
  <c r="I67" i="2"/>
  <c r="J67" i="2" s="1"/>
  <c r="M117" i="2" s="1"/>
  <c r="I72" i="2"/>
  <c r="J64" i="2"/>
  <c r="J72" i="2" s="1"/>
  <c r="AT52" i="2" l="1"/>
  <c r="AT46" i="2"/>
  <c r="AU43" i="2"/>
  <c r="AU6" i="2"/>
  <c r="AU51" i="2" s="1"/>
  <c r="AU72" i="2" s="1"/>
  <c r="I169" i="2"/>
  <c r="L117" i="2"/>
  <c r="K117" i="2"/>
  <c r="I117" i="2"/>
  <c r="J117" i="2"/>
  <c r="I69" i="2"/>
  <c r="J69" i="2"/>
  <c r="J169" i="2"/>
  <c r="AU46" i="2" l="1"/>
  <c r="AU52" i="2"/>
  <c r="N72" i="2"/>
  <c r="AL78" i="2" l="1"/>
  <c r="AL87" i="2" l="1"/>
  <c r="AM60" i="2" s="1"/>
  <c r="N12" i="2" l="1"/>
  <c r="AJ12" i="2" s="1"/>
  <c r="AJ37" i="2" l="1"/>
  <c r="N37" i="2"/>
  <c r="N13" i="2"/>
  <c r="N6" i="2"/>
  <c r="N14" i="2"/>
  <c r="N15" i="2" l="1"/>
  <c r="N16" i="2" s="1"/>
  <c r="AJ14" i="2"/>
  <c r="AJ39" i="2" s="1"/>
  <c r="N46" i="2"/>
  <c r="R46" i="2"/>
  <c r="N38" i="2"/>
  <c r="AJ13" i="2"/>
  <c r="N39" i="2"/>
  <c r="N40" i="2" l="1"/>
  <c r="AJ38" i="2"/>
  <c r="AJ15" i="2"/>
  <c r="AJ40" i="2" s="1"/>
  <c r="AM53" i="2" l="1"/>
  <c r="AN53" i="2" s="1"/>
  <c r="AO53" i="2" s="1"/>
  <c r="AP53" i="2" s="1"/>
  <c r="AQ53" i="2" s="1"/>
  <c r="AR53" i="2" s="1"/>
  <c r="AS53" i="2" s="1"/>
  <c r="AT53" i="2" s="1"/>
  <c r="AU53" i="2" s="1"/>
  <c r="AM55" i="2"/>
  <c r="AN55" i="2" s="1"/>
  <c r="AO55" i="2" s="1"/>
  <c r="AP55" i="2" s="1"/>
  <c r="AQ55" i="2" s="1"/>
  <c r="AR55" i="2" s="1"/>
  <c r="AS55" i="2" s="1"/>
  <c r="AT55" i="2" s="1"/>
  <c r="AU55" i="2" s="1"/>
  <c r="AM56" i="2"/>
  <c r="AN56" i="2" s="1"/>
  <c r="AO56" i="2" s="1"/>
  <c r="AP56" i="2" s="1"/>
  <c r="AQ56" i="2" s="1"/>
  <c r="AR56" i="2" s="1"/>
  <c r="AS56" i="2" s="1"/>
  <c r="AT56" i="2" s="1"/>
  <c r="AU56" i="2" s="1"/>
  <c r="AM54" i="2"/>
  <c r="AN54" i="2" s="1"/>
  <c r="AO54" i="2" s="1"/>
  <c r="AP54" i="2" s="1"/>
  <c r="AQ54" i="2" s="1"/>
  <c r="AR54" i="2" s="1"/>
  <c r="AS54" i="2" s="1"/>
  <c r="AT54" i="2" s="1"/>
  <c r="AU54" i="2" s="1"/>
  <c r="AM57" i="2"/>
  <c r="AN57" i="2" s="1"/>
  <c r="AO57" i="2" s="1"/>
  <c r="AP57" i="2" s="1"/>
  <c r="AQ57" i="2" s="1"/>
  <c r="AR57" i="2" s="1"/>
  <c r="AS57" i="2" s="1"/>
  <c r="AT57" i="2" s="1"/>
  <c r="AU57" i="2" s="1"/>
  <c r="AM76" i="2"/>
  <c r="AM58" i="2" l="1"/>
  <c r="AM59" i="2" s="1"/>
  <c r="AM78" i="2"/>
  <c r="AM61" i="2" l="1"/>
  <c r="AM63" i="2" s="1"/>
  <c r="AM64" i="2" s="1"/>
  <c r="AM79" i="2"/>
  <c r="AM65" i="2" l="1"/>
  <c r="AM67" i="2" s="1"/>
  <c r="AM87" i="2" l="1"/>
  <c r="AM68" i="2"/>
  <c r="AN60" i="2" l="1"/>
  <c r="AQ76" i="2"/>
  <c r="AP76" i="2"/>
  <c r="AU76" i="2"/>
  <c r="AO76" i="2"/>
  <c r="AN78" i="2"/>
  <c r="AT76" i="2"/>
  <c r="AR76" i="2"/>
  <c r="AS76" i="2"/>
  <c r="AN76" i="2"/>
  <c r="AN58" i="2" l="1"/>
  <c r="AN59" i="2" s="1"/>
  <c r="AO58" i="2"/>
  <c r="AO59" i="2" s="1"/>
  <c r="AO78" i="2"/>
  <c r="AO79" i="2" l="1"/>
  <c r="AP58" i="2"/>
  <c r="AP59" i="2" s="1"/>
  <c r="AP78" i="2"/>
  <c r="AN61" i="2"/>
  <c r="AN63" i="2" s="1"/>
  <c r="AN64" i="2" s="1"/>
  <c r="AN79" i="2"/>
  <c r="AN65" i="2" l="1"/>
  <c r="AN67" i="2" s="1"/>
  <c r="AQ78" i="2"/>
  <c r="AQ58" i="2"/>
  <c r="AQ59" i="2" s="1"/>
  <c r="AP79" i="2"/>
  <c r="AO61" i="2"/>
  <c r="AP61" i="2" s="1"/>
  <c r="AN68" i="2" l="1"/>
  <c r="AN87" i="2"/>
  <c r="AQ61" i="2"/>
  <c r="AQ79" i="2"/>
  <c r="AR58" i="2"/>
  <c r="AR59" i="2" s="1"/>
  <c r="AR78" i="2"/>
  <c r="AO60" i="2" l="1"/>
  <c r="AO63" i="2" s="1"/>
  <c r="AO64" i="2" s="1"/>
  <c r="AS58" i="2"/>
  <c r="AS59" i="2" s="1"/>
  <c r="AS78" i="2"/>
  <c r="AR79" i="2"/>
  <c r="AR61" i="2"/>
  <c r="AT58" i="2" l="1"/>
  <c r="AT59" i="2" s="1"/>
  <c r="AT78" i="2"/>
  <c r="AS79" i="2"/>
  <c r="AS61" i="2"/>
  <c r="AO65" i="2"/>
  <c r="AO67" i="2" s="1"/>
  <c r="AO68" i="2" l="1"/>
  <c r="AO87" i="2"/>
  <c r="AT79" i="2"/>
  <c r="AT61" i="2"/>
  <c r="AU78" i="2"/>
  <c r="AU58" i="2"/>
  <c r="AU59" i="2" s="1"/>
  <c r="AU61" i="2" l="1"/>
  <c r="AU79" i="2"/>
  <c r="AP60" i="2"/>
  <c r="AP63" i="2" s="1"/>
  <c r="AP64" i="2" s="1"/>
  <c r="AP65" i="2" l="1"/>
  <c r="AP67" i="2" s="1"/>
  <c r="AP68" i="2" l="1"/>
  <c r="AP87" i="2"/>
  <c r="AQ60" i="2" l="1"/>
  <c r="AQ63" i="2" s="1"/>
  <c r="AQ64" i="2" s="1"/>
  <c r="AQ65" i="2" l="1"/>
  <c r="AQ67" i="2" s="1"/>
  <c r="AQ68" i="2" l="1"/>
  <c r="AQ87" i="2"/>
  <c r="AR60" i="2" l="1"/>
  <c r="AR63" i="2" s="1"/>
  <c r="AR64" i="2" s="1"/>
  <c r="AR65" i="2" l="1"/>
  <c r="AR67" i="2" s="1"/>
  <c r="AR68" i="2" s="1"/>
  <c r="AR87" i="2" l="1"/>
  <c r="AS60" i="2" l="1"/>
  <c r="AS63" i="2" s="1"/>
  <c r="AS64" i="2" s="1"/>
  <c r="AS65" i="2" l="1"/>
  <c r="AS67" i="2" s="1"/>
  <c r="AS68" i="2" l="1"/>
  <c r="AS87" i="2"/>
  <c r="AT60" i="2" l="1"/>
  <c r="AT63" i="2" s="1"/>
  <c r="AT64" i="2" s="1"/>
  <c r="AT65" i="2" l="1"/>
  <c r="AT67" i="2" s="1"/>
  <c r="AT68" i="2" l="1"/>
  <c r="AT87" i="2"/>
  <c r="AU60" i="2" l="1"/>
  <c r="AU63" i="2" s="1"/>
  <c r="AU64" i="2" s="1"/>
  <c r="AU65" i="2" l="1"/>
  <c r="AU67" i="2" s="1"/>
  <c r="AV67" i="2" l="1"/>
  <c r="AW67" i="2" s="1"/>
  <c r="AX67" i="2" s="1"/>
  <c r="AY67" i="2" s="1"/>
  <c r="AZ67" i="2" s="1"/>
  <c r="BA67" i="2" s="1"/>
  <c r="BB67" i="2" s="1"/>
  <c r="BC67" i="2" s="1"/>
  <c r="BD67" i="2" s="1"/>
  <c r="BE67" i="2" s="1"/>
  <c r="BF67" i="2" s="1"/>
  <c r="BG67" i="2" s="1"/>
  <c r="BH67" i="2" s="1"/>
  <c r="BI67" i="2" s="1"/>
  <c r="BJ67" i="2" s="1"/>
  <c r="BK67" i="2" s="1"/>
  <c r="BL67" i="2" s="1"/>
  <c r="BM67" i="2" s="1"/>
  <c r="BN67" i="2" s="1"/>
  <c r="BO67" i="2" s="1"/>
  <c r="BP67" i="2" s="1"/>
  <c r="BQ67" i="2" s="1"/>
  <c r="BR67" i="2" s="1"/>
  <c r="BS67" i="2" s="1"/>
  <c r="BT67" i="2" s="1"/>
  <c r="BU67" i="2" s="1"/>
  <c r="BV67" i="2" s="1"/>
  <c r="BW67" i="2" s="1"/>
  <c r="BX67" i="2" s="1"/>
  <c r="BY67" i="2" s="1"/>
  <c r="BZ67" i="2" s="1"/>
  <c r="CA67" i="2" s="1"/>
  <c r="CB67" i="2" s="1"/>
  <c r="CC67" i="2" s="1"/>
  <c r="CD67" i="2" s="1"/>
  <c r="CE67" i="2" s="1"/>
  <c r="CF67" i="2" s="1"/>
  <c r="CG67" i="2" s="1"/>
  <c r="CH67" i="2" s="1"/>
  <c r="CI67" i="2" s="1"/>
  <c r="CJ67" i="2" s="1"/>
  <c r="CK67" i="2" s="1"/>
  <c r="CL67" i="2" s="1"/>
  <c r="CM67" i="2" s="1"/>
  <c r="CN67" i="2" s="1"/>
  <c r="CO67" i="2" s="1"/>
  <c r="CP67" i="2" s="1"/>
  <c r="CQ67" i="2" s="1"/>
  <c r="CR67" i="2" s="1"/>
  <c r="CS67" i="2" s="1"/>
  <c r="CT67" i="2" s="1"/>
  <c r="CU67" i="2" s="1"/>
  <c r="CV67" i="2" s="1"/>
  <c r="CW67" i="2" s="1"/>
  <c r="CX67" i="2" s="1"/>
  <c r="CY67" i="2" s="1"/>
  <c r="CZ67" i="2" s="1"/>
  <c r="DA67" i="2" s="1"/>
  <c r="DB67" i="2" s="1"/>
  <c r="DC67" i="2" s="1"/>
  <c r="DD67" i="2" s="1"/>
  <c r="DE67" i="2" s="1"/>
  <c r="DF67" i="2" s="1"/>
  <c r="DG67" i="2" s="1"/>
  <c r="DH67" i="2" s="1"/>
  <c r="DI67" i="2" s="1"/>
  <c r="DJ67" i="2" s="1"/>
  <c r="DK67" i="2" s="1"/>
  <c r="DL67" i="2" s="1"/>
  <c r="DM67" i="2" s="1"/>
  <c r="DN67" i="2" s="1"/>
  <c r="DO67" i="2" s="1"/>
  <c r="DP67" i="2" s="1"/>
  <c r="DQ67" i="2" s="1"/>
  <c r="DR67" i="2" s="1"/>
  <c r="DS67" i="2" s="1"/>
  <c r="DT67" i="2" s="1"/>
  <c r="DU67" i="2" s="1"/>
  <c r="DV67" i="2" s="1"/>
  <c r="DW67" i="2" s="1"/>
  <c r="DX67" i="2" s="1"/>
  <c r="DY67" i="2" s="1"/>
  <c r="DZ67" i="2" s="1"/>
  <c r="EA67" i="2" s="1"/>
  <c r="EB67" i="2" s="1"/>
  <c r="EC67" i="2" s="1"/>
  <c r="ED67" i="2" s="1"/>
  <c r="EE67" i="2" s="1"/>
  <c r="EF67" i="2" s="1"/>
  <c r="EG67" i="2" s="1"/>
  <c r="EH67" i="2" s="1"/>
  <c r="EI67" i="2" s="1"/>
  <c r="EJ67" i="2" s="1"/>
  <c r="EK67" i="2" s="1"/>
  <c r="EL67" i="2" s="1"/>
  <c r="EM67" i="2" s="1"/>
  <c r="EN67" i="2" s="1"/>
  <c r="EO67" i="2" s="1"/>
  <c r="EP67" i="2" s="1"/>
  <c r="EQ67" i="2" s="1"/>
  <c r="ER67" i="2" s="1"/>
  <c r="ES67" i="2" s="1"/>
  <c r="ET67" i="2" s="1"/>
  <c r="EU67" i="2" s="1"/>
  <c r="EV67" i="2" s="1"/>
  <c r="EW67" i="2" s="1"/>
  <c r="EX67" i="2" s="1"/>
  <c r="EY67" i="2" s="1"/>
  <c r="EZ67" i="2" s="1"/>
  <c r="FA67" i="2" s="1"/>
  <c r="FB67" i="2" s="1"/>
  <c r="FC67" i="2" s="1"/>
  <c r="FD67" i="2" s="1"/>
  <c r="FE67" i="2" s="1"/>
  <c r="FF67" i="2" s="1"/>
  <c r="FG67" i="2" s="1"/>
  <c r="FH67" i="2" s="1"/>
  <c r="FI67" i="2" s="1"/>
  <c r="FJ67" i="2" s="1"/>
  <c r="FK67" i="2" s="1"/>
  <c r="FL67" i="2" s="1"/>
  <c r="FM67" i="2" s="1"/>
  <c r="FN67" i="2" s="1"/>
  <c r="FO67" i="2" s="1"/>
  <c r="FP67" i="2" s="1"/>
  <c r="FQ67" i="2" s="1"/>
  <c r="FR67" i="2" s="1"/>
  <c r="FS67" i="2" s="1"/>
  <c r="FT67" i="2" s="1"/>
  <c r="FU67" i="2" s="1"/>
  <c r="FV67" i="2" s="1"/>
  <c r="FW67" i="2" s="1"/>
  <c r="FX67" i="2" s="1"/>
  <c r="FY67" i="2" s="1"/>
  <c r="FZ67" i="2" s="1"/>
  <c r="GA67" i="2" s="1"/>
  <c r="GB67" i="2" s="1"/>
  <c r="GC67" i="2" s="1"/>
  <c r="GD67" i="2" s="1"/>
  <c r="GE67" i="2" s="1"/>
  <c r="GF67" i="2" s="1"/>
  <c r="GG67" i="2" s="1"/>
  <c r="GH67" i="2" s="1"/>
  <c r="GI67" i="2" s="1"/>
  <c r="GJ67" i="2" s="1"/>
  <c r="GK67" i="2" s="1"/>
  <c r="GL67" i="2" s="1"/>
  <c r="GM67" i="2" s="1"/>
  <c r="GN67" i="2" s="1"/>
  <c r="GO67" i="2" s="1"/>
  <c r="GP67" i="2" s="1"/>
  <c r="GQ67" i="2" s="1"/>
  <c r="GR67" i="2" s="1"/>
  <c r="GS67" i="2" s="1"/>
  <c r="GT67" i="2" s="1"/>
  <c r="GU67" i="2" s="1"/>
  <c r="GV67" i="2" s="1"/>
  <c r="GW67" i="2" s="1"/>
  <c r="GX67" i="2" s="1"/>
  <c r="GY67" i="2" s="1"/>
  <c r="GZ67" i="2" s="1"/>
  <c r="HA67" i="2" s="1"/>
  <c r="HB67" i="2" s="1"/>
  <c r="HC67" i="2" s="1"/>
  <c r="HD67" i="2" s="1"/>
  <c r="HE67" i="2" s="1"/>
  <c r="HF67" i="2" s="1"/>
  <c r="HG67" i="2" s="1"/>
  <c r="HH67" i="2" s="1"/>
  <c r="HI67" i="2" s="1"/>
  <c r="HJ67" i="2" s="1"/>
  <c r="HK67" i="2" s="1"/>
  <c r="HL67" i="2" s="1"/>
  <c r="HM67" i="2" s="1"/>
  <c r="HN67" i="2" s="1"/>
  <c r="HO67" i="2" s="1"/>
  <c r="HP67" i="2" s="1"/>
  <c r="HQ67" i="2" s="1"/>
  <c r="HR67" i="2" s="1"/>
  <c r="HS67" i="2" s="1"/>
  <c r="HT67" i="2" s="1"/>
  <c r="HU67" i="2" s="1"/>
  <c r="HV67" i="2" s="1"/>
  <c r="HW67" i="2" s="1"/>
  <c r="HX67" i="2" s="1"/>
  <c r="HY67" i="2" s="1"/>
  <c r="HZ67" i="2" s="1"/>
  <c r="IA67" i="2" s="1"/>
  <c r="IB67" i="2" s="1"/>
  <c r="IC67" i="2" s="1"/>
  <c r="ID67" i="2" s="1"/>
  <c r="IE67" i="2" s="1"/>
  <c r="IF67" i="2" s="1"/>
  <c r="IG67" i="2" s="1"/>
  <c r="IH67" i="2" s="1"/>
  <c r="II67" i="2" s="1"/>
  <c r="IJ67" i="2" s="1"/>
  <c r="IK67" i="2" s="1"/>
  <c r="IL67" i="2" s="1"/>
  <c r="IM67" i="2" s="1"/>
  <c r="IN67" i="2" s="1"/>
  <c r="IO67" i="2" s="1"/>
  <c r="IP67" i="2" s="1"/>
  <c r="IQ67" i="2" s="1"/>
  <c r="IR67" i="2" s="1"/>
  <c r="IS67" i="2" s="1"/>
  <c r="IT67" i="2" s="1"/>
  <c r="IU67" i="2" s="1"/>
  <c r="IV67" i="2" s="1"/>
  <c r="IW67" i="2" s="1"/>
  <c r="IX67" i="2" s="1"/>
  <c r="IY67" i="2" s="1"/>
  <c r="IZ67" i="2" s="1"/>
  <c r="JA67" i="2" s="1"/>
  <c r="JB67" i="2" s="1"/>
  <c r="JC67" i="2" s="1"/>
  <c r="JD67" i="2" s="1"/>
  <c r="JE67" i="2" s="1"/>
  <c r="JF67" i="2" s="1"/>
  <c r="JG67" i="2" s="1"/>
  <c r="JH67" i="2" s="1"/>
  <c r="JI67" i="2" s="1"/>
  <c r="JJ67" i="2" s="1"/>
  <c r="JK67" i="2" s="1"/>
  <c r="JL67" i="2" s="1"/>
  <c r="JM67" i="2" s="1"/>
  <c r="JN67" i="2" s="1"/>
  <c r="JO67" i="2" s="1"/>
  <c r="JP67" i="2" s="1"/>
  <c r="JQ67" i="2" s="1"/>
  <c r="JR67" i="2" s="1"/>
  <c r="JS67" i="2" s="1"/>
  <c r="JT67" i="2" s="1"/>
  <c r="JU67" i="2" s="1"/>
  <c r="JV67" i="2" s="1"/>
  <c r="JW67" i="2" s="1"/>
  <c r="JX67" i="2" s="1"/>
  <c r="JY67" i="2" s="1"/>
  <c r="JZ67" i="2" s="1"/>
  <c r="KA67" i="2" s="1"/>
  <c r="KB67" i="2" s="1"/>
  <c r="BA77" i="2" s="1"/>
  <c r="AU68" i="2"/>
  <c r="AU87" i="2"/>
  <c r="BC77" i="2" l="1"/>
  <c r="BC80" i="2" s="1"/>
  <c r="BC81" i="2" s="1"/>
  <c r="BC83" i="2" s="1"/>
  <c r="BB77" i="2"/>
  <c r="BB80" i="2" s="1"/>
  <c r="BB81" i="2" s="1"/>
  <c r="BH77" i="2"/>
  <c r="BH80" i="2" s="1"/>
  <c r="BH81" i="2" s="1"/>
  <c r="BH83" i="2" s="1"/>
  <c r="BF77" i="2"/>
  <c r="BF80" i="2" s="1"/>
  <c r="BF81" i="2" s="1"/>
  <c r="BF83" i="2" s="1"/>
  <c r="BA80" i="2"/>
  <c r="BA81" i="2" s="1"/>
  <c r="BD77" i="2"/>
  <c r="BD80" i="2" s="1"/>
  <c r="BD81" i="2" s="1"/>
  <c r="BD83" i="2" s="1"/>
  <c r="BE77" i="2"/>
  <c r="BE80" i="2" s="1"/>
  <c r="BE81" i="2" s="1"/>
  <c r="BE83" i="2" s="1"/>
  <c r="BI77" i="2"/>
  <c r="BI80" i="2" s="1"/>
  <c r="BI81" i="2" s="1"/>
  <c r="BI83" i="2" s="1"/>
  <c r="BG77" i="2"/>
  <c r="BG80" i="2" s="1"/>
  <c r="BG81" i="2" s="1"/>
  <c r="BG83" i="2" s="1"/>
  <c r="BB83" i="2" l="1"/>
  <c r="BG85" i="2"/>
  <c r="BG86" i="2" s="1"/>
  <c r="BA8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jameelbrannon</author>
  </authors>
  <commentList>
    <comment ref="D3" authorId="0" shapeId="0" xr:uid="{3FC36FE0-49D3-8746-A9BD-35DCED7583E8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-- AWS simple software to use
</t>
        </r>
        <r>
          <rPr>
            <sz val="10"/>
            <color rgb="FF000000"/>
            <rFont val="Tahoma"/>
            <family val="2"/>
          </rPr>
          <t xml:space="preserve">-- Payment Model is flexible for customers 
</t>
        </r>
        <r>
          <rPr>
            <sz val="10"/>
            <color rgb="FF000000"/>
            <rFont val="Tahoma"/>
            <family val="2"/>
          </rPr>
          <t>-- Is overall demand for AWS correlated w/ general economic sentiment???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jameelbrannon</author>
    <author>jameel</author>
    <author>tc={14FE80F9-6264-2A4A-99CB-EEF1FC083761}</author>
  </authors>
  <commentList>
    <comment ref="N6" authorId="0" shapeId="0" xr:uid="{632A0ED9-5909-E443-890F-8EFF0E0BC57C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Guide between: </t>
        </r>
        <r>
          <rPr>
            <sz val="10"/>
            <color rgb="FF000000"/>
            <rFont val="Calibri"/>
            <family val="2"/>
            <scheme val="minor"/>
          </rPr>
          <t>$140.0 billion and $148.0 billion</t>
        </r>
      </text>
    </comment>
    <comment ref="B19" authorId="1" shapeId="0" xr:uid="{C0E65B4A-161F-F645-930E-C757FB9B7D61}">
      <text>
        <r>
          <rPr>
            <b/>
            <sz val="10"/>
            <color rgb="FF000000"/>
            <rFont val="Tahoma"/>
            <family val="2"/>
          </rPr>
          <t>jameel:</t>
        </r>
      </text>
    </comment>
    <comment ref="B28" authorId="1" shapeId="0" xr:uid="{D555789C-0CA6-3741-BBD0-17F0F7009F8B}">
      <text>
        <r>
          <rPr>
            <b/>
            <sz val="10"/>
            <color rgb="FF000000"/>
            <rFont val="Tahoma"/>
            <family val="2"/>
          </rPr>
          <t>jameel:</t>
        </r>
      </text>
    </comment>
    <comment ref="M38" authorId="0" shapeId="0" xr:uid="{2B009173-00E8-AB49-AE7C-882305337D7C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Additional op costs in Europe (higher fuel costs moreso in U.S&gt; and primne day often has less profitability due to more discounts</t>
        </r>
      </text>
    </comment>
    <comment ref="M39" authorId="0" shapeId="0" xr:uid="{ECFDF212-992E-014A-B36A-60DB6B344E09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Margins lower due to SBC, energy costs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"they will fluctuate everytime we balance investments and negotiate prices w/ cust"</t>
        </r>
      </text>
    </comment>
    <comment ref="O45" authorId="2" shapeId="0" xr:uid="{14FE80F9-6264-2A4A-99CB-EEF1FC08376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Customer usage
</t>
      </text>
    </comment>
    <comment ref="M62" authorId="0" shapeId="0" xr:uid="{C85E9FED-09C1-1346-B042-30C362865B9C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INcluded is: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Security gain os $1.1B</t>
        </r>
      </text>
    </comment>
    <comment ref="AZ90" authorId="0" shapeId="0" xr:uid="{9E2F566A-BA35-2D4D-9E46-85025F300BD1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Current valuation assumes next 10 years wil grow ~800 basis points less than the prior 10 years.  Implicit ass: is that AWS will be primary growth driver for many years to come.  Investment in Rivian won't pay off for a while with the company suffering from losses awaiting higher adoption to EV's.  Short term "other" income losses may suffer more if economy goes inot a downtown many won't be purchasing EV's as disposable income may dry?</t>
        </r>
      </text>
    </comment>
  </commentList>
</comments>
</file>

<file path=xl/sharedStrings.xml><?xml version="1.0" encoding="utf-8"?>
<sst xmlns="http://schemas.openxmlformats.org/spreadsheetml/2006/main" count="226" uniqueCount="202">
  <si>
    <t>AMZN</t>
  </si>
  <si>
    <t>Price</t>
  </si>
  <si>
    <t>Shares</t>
  </si>
  <si>
    <t>MC</t>
  </si>
  <si>
    <t>Cash</t>
  </si>
  <si>
    <t>Debt</t>
  </si>
  <si>
    <t>EV</t>
  </si>
  <si>
    <t>Q222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</si>
  <si>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</si>
  <si>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</si>
  <si>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</si>
  <si>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</si>
  <si>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</si>
  <si>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</si>
  <si>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</si>
  <si>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</si>
  <si>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</si>
  <si>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</si>
  <si>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</si>
  <si>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Net Sales</t>
  </si>
  <si>
    <t>Product</t>
  </si>
  <si>
    <t>Service</t>
  </si>
  <si>
    <t>Costs</t>
  </si>
  <si>
    <t>Tech &amp; Content</t>
  </si>
  <si>
    <t>S&amp;M</t>
  </si>
  <si>
    <t>G&amp;A</t>
  </si>
  <si>
    <t>Other op</t>
  </si>
  <si>
    <t>Total Op E</t>
  </si>
  <si>
    <t>Op Income</t>
  </si>
  <si>
    <t>Interest income</t>
  </si>
  <si>
    <t>Interest expense</t>
  </si>
  <si>
    <t>Other income</t>
  </si>
  <si>
    <t>Total non-op income</t>
  </si>
  <si>
    <t>Income Before Taxes</t>
  </si>
  <si>
    <t>Taxes</t>
  </si>
  <si>
    <t xml:space="preserve">Net Income </t>
  </si>
  <si>
    <t>Equity Method</t>
  </si>
  <si>
    <t>Diluted</t>
  </si>
  <si>
    <t>Eps</t>
  </si>
  <si>
    <t>Fullfilment</t>
  </si>
  <si>
    <t>Revenue y/y</t>
  </si>
  <si>
    <t>Service y/y</t>
  </si>
  <si>
    <t>Product y/y</t>
  </si>
  <si>
    <t>Discount</t>
  </si>
  <si>
    <t>Terminal</t>
  </si>
  <si>
    <t>NPV</t>
  </si>
  <si>
    <t>Estimate</t>
  </si>
  <si>
    <t>Current</t>
  </si>
  <si>
    <t>TL</t>
  </si>
  <si>
    <t>TL + E</t>
  </si>
  <si>
    <t>Equity</t>
  </si>
  <si>
    <t>Securities</t>
  </si>
  <si>
    <t>Inventories</t>
  </si>
  <si>
    <t>A/R</t>
  </si>
  <si>
    <t xml:space="preserve">Current Assets </t>
  </si>
  <si>
    <t>PPE</t>
  </si>
  <si>
    <t>Op lease</t>
  </si>
  <si>
    <t>Goodwill</t>
  </si>
  <si>
    <t>OA</t>
  </si>
  <si>
    <t>TA</t>
  </si>
  <si>
    <t>A/P</t>
  </si>
  <si>
    <t>Accrued expenses</t>
  </si>
  <si>
    <t>Unearned revnue</t>
  </si>
  <si>
    <t>Current Liabilities</t>
  </si>
  <si>
    <t>LT Lease</t>
  </si>
  <si>
    <t>LTD</t>
  </si>
  <si>
    <t>Other LT</t>
  </si>
  <si>
    <t>Preferred stock</t>
  </si>
  <si>
    <t>Common</t>
  </si>
  <si>
    <t>Treasury</t>
  </si>
  <si>
    <t xml:space="preserve">Additional </t>
  </si>
  <si>
    <t>Accumalated Other</t>
  </si>
  <si>
    <t>Retained</t>
  </si>
  <si>
    <t xml:space="preserve">Net Cash </t>
  </si>
  <si>
    <t>Cash Burn q/q</t>
  </si>
  <si>
    <t>Cash + Restricted</t>
  </si>
  <si>
    <t>Net Income</t>
  </si>
  <si>
    <t>D&amp;A</t>
  </si>
  <si>
    <t>SBC</t>
  </si>
  <si>
    <t>Othe rop expense</t>
  </si>
  <si>
    <t>Other expense</t>
  </si>
  <si>
    <t>Deferred income tax</t>
  </si>
  <si>
    <t>Unearned revenue</t>
  </si>
  <si>
    <t>CFFO</t>
  </si>
  <si>
    <t>PPE Sales</t>
  </si>
  <si>
    <t>Acquisitions</t>
  </si>
  <si>
    <t>Purchases of securities</t>
  </si>
  <si>
    <t>CFFI</t>
  </si>
  <si>
    <t>Buybacks</t>
  </si>
  <si>
    <t>Proceeds from STD</t>
  </si>
  <si>
    <t>Repayments of STD</t>
  </si>
  <si>
    <t>Proceeds from LTD</t>
  </si>
  <si>
    <t>Repayments of LTD</t>
  </si>
  <si>
    <t>Principal Payments FL</t>
  </si>
  <si>
    <t>Principal Payments FO</t>
  </si>
  <si>
    <t>CFFF</t>
  </si>
  <si>
    <t>FX</t>
  </si>
  <si>
    <t>Net Cash Increase</t>
  </si>
  <si>
    <t>Cash Increase</t>
  </si>
  <si>
    <t>FCF</t>
  </si>
  <si>
    <t>NA</t>
  </si>
  <si>
    <t xml:space="preserve">International </t>
  </si>
  <si>
    <t>AWS</t>
  </si>
  <si>
    <t xml:space="preserve">Revenue </t>
  </si>
  <si>
    <t>NA OM%</t>
  </si>
  <si>
    <t>AWS OM %</t>
  </si>
  <si>
    <t>International OM %</t>
  </si>
  <si>
    <t>Consolidated OM%</t>
  </si>
  <si>
    <t>PR</t>
  </si>
  <si>
    <t xml:space="preserve">RIVIAN </t>
  </si>
  <si>
    <t>Consolidated OP I</t>
  </si>
  <si>
    <t>NA y/y</t>
  </si>
  <si>
    <t>Int'l y/y</t>
  </si>
  <si>
    <t>AWS y/y</t>
  </si>
  <si>
    <t>TR y/y</t>
  </si>
  <si>
    <t>GM</t>
  </si>
  <si>
    <t>Costs %</t>
  </si>
  <si>
    <t>Fullfilment  %</t>
  </si>
  <si>
    <t>T&amp;C %</t>
  </si>
  <si>
    <t>S&amp;M %</t>
  </si>
  <si>
    <t>G&amp;A %</t>
  </si>
  <si>
    <t xml:space="preserve">Tax Rate </t>
  </si>
  <si>
    <t>Delta</t>
  </si>
  <si>
    <t>Q123</t>
  </si>
  <si>
    <t>Q223</t>
  </si>
  <si>
    <t>Q323</t>
  </si>
  <si>
    <t>Q423</t>
  </si>
  <si>
    <t>NC</t>
  </si>
  <si>
    <t>Total V</t>
  </si>
  <si>
    <t>ROIC</t>
  </si>
  <si>
    <t>Mean P</t>
  </si>
  <si>
    <t>OpEx</t>
  </si>
  <si>
    <t>NA OpEx</t>
  </si>
  <si>
    <t>Int'l OpEx</t>
  </si>
  <si>
    <t>AWS OpEx</t>
  </si>
  <si>
    <t>NI</t>
  </si>
  <si>
    <t>Capex</t>
  </si>
  <si>
    <t>Sale of securities</t>
  </si>
  <si>
    <t xml:space="preserve">Mean </t>
  </si>
  <si>
    <t>11Y Cash CAGR</t>
  </si>
  <si>
    <t>OM</t>
  </si>
  <si>
    <t>LTD Debt Change q/q</t>
  </si>
  <si>
    <t>STD Change q/q</t>
  </si>
  <si>
    <t>LTD Debt Increase</t>
  </si>
  <si>
    <t>STD Debt Increase</t>
  </si>
  <si>
    <t>LTD Debt Decrease</t>
  </si>
  <si>
    <t>STD Debt Decrease</t>
  </si>
  <si>
    <t>Organic Debt Change</t>
  </si>
  <si>
    <t>ROE</t>
  </si>
  <si>
    <t>NWC</t>
  </si>
  <si>
    <t>Q3'22</t>
  </si>
  <si>
    <t>Q2'22</t>
  </si>
  <si>
    <t>Q1'22</t>
  </si>
  <si>
    <t>Q4'21</t>
  </si>
  <si>
    <t>Q3'21</t>
  </si>
  <si>
    <t>ER</t>
  </si>
  <si>
    <t>Video</t>
  </si>
  <si>
    <t>Benefits</t>
  </si>
  <si>
    <t>Exercise</t>
  </si>
  <si>
    <t xml:space="preserve">Comp: Azure, Google, IBM, Oracle, VMWare, Dell, Alibaba, Tencent, vCloud,Lumen, Blue Prism, </t>
  </si>
  <si>
    <t>Contains</t>
  </si>
  <si>
    <t>Crystal Dynamics deal to develop Tomb Raider</t>
  </si>
  <si>
    <t>AWS/AFI innovation</t>
  </si>
  <si>
    <t>Slalom collab</t>
  </si>
  <si>
    <t xml:space="preserve">$700M Equity Investment in Rivian </t>
  </si>
  <si>
    <t>Equity warrants</t>
  </si>
  <si>
    <t>Equity Invest. Revisions</t>
  </si>
  <si>
    <t>Fx</t>
  </si>
  <si>
    <t>Other, net</t>
  </si>
  <si>
    <t>Rivian Revenues</t>
  </si>
  <si>
    <t>Gp</t>
  </si>
  <si>
    <t>RIVN</t>
  </si>
  <si>
    <t>Note</t>
  </si>
  <si>
    <t>AMZN Ownership</t>
  </si>
  <si>
    <t>$m</t>
  </si>
  <si>
    <t>Rivian shares</t>
  </si>
  <si>
    <t>Rivian Valuation Change</t>
  </si>
  <si>
    <t>Total Other Income</t>
  </si>
  <si>
    <t>Q124</t>
  </si>
  <si>
    <t>Q224</t>
  </si>
  <si>
    <t>Q324</t>
  </si>
  <si>
    <t>Q424</t>
  </si>
  <si>
    <t>SCENARIOS</t>
  </si>
  <si>
    <t>Q4'23</t>
  </si>
  <si>
    <t>Q3'23</t>
  </si>
  <si>
    <t>Q2'23</t>
  </si>
  <si>
    <t>Q1'23</t>
  </si>
  <si>
    <t>Q4'22</t>
  </si>
  <si>
    <t xml:space="preserve">Precision Medicine </t>
  </si>
  <si>
    <t xml:space="preserve">Choice hotels </t>
  </si>
  <si>
    <t>ONLINE STORES</t>
  </si>
  <si>
    <t>PHYSICAL STORES</t>
  </si>
  <si>
    <t>3RD PART SELLERS</t>
  </si>
  <si>
    <t>ADS</t>
  </si>
  <si>
    <t>SUBSCRIPTION</t>
  </si>
  <si>
    <t>OTHER</t>
  </si>
  <si>
    <t>3RD PARTY SELLERS</t>
  </si>
  <si>
    <t>EV/23R</t>
  </si>
  <si>
    <t>EV/24R</t>
  </si>
  <si>
    <t>EV/24E</t>
  </si>
  <si>
    <t>EV/25E</t>
  </si>
  <si>
    <t>Q1'24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</si>
</sst>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7" formatCode="0\X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Intel Clear"/>
      <family val="2"/>
    </font>
    <font>
      <sz val="11"/>
      <color theme="1"/>
      <name val="Intel Clear"/>
      <family val="2"/>
    </font>
    <font>
      <b/>
      <sz val="11"/>
      <color rgb="FF000000"/>
      <name val="Intel Clear"/>
      <family val="2"/>
    </font>
    <font>
      <sz val="11"/>
      <color rgb="FF000000"/>
      <name val="Intel Clear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1"/>
      <color rgb="FF0432FF"/>
      <name val="Intel Clear"/>
      <family val="2"/>
    </font>
    <font>
      <u/>
      <sz val="11"/>
      <color theme="1"/>
      <name val="Intel Clear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0" tint="-0.249977111117893"/>
      <name val="Intel Clear"/>
      <family val="2"/>
    </font>
    <font>
      <b/>
      <i/>
      <sz val="11"/>
      <color theme="0" tint="-0.249977111117893"/>
      <name val="Intel Clear"/>
      <family val="2"/>
    </font>
    <font>
      <b/>
      <i/>
      <sz val="11"/>
      <color theme="1"/>
      <name val="Intel Clear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3" fontId="2" fillId="0" borderId="0" xfId="0" applyNumberFormat="1" applyFont="1" applyAlignment="1">
      <alignment horizontal="right"/>
    </xf>
    <xf numFmtId="3" fontId="1" fillId="0" borderId="0" xfId="0" applyNumberFormat="1" applyFont="1"/>
    <xf numFmtId="9" fontId="2" fillId="0" borderId="0" xfId="0" applyNumberFormat="1" applyFont="1"/>
    <xf numFmtId="1" fontId="2" fillId="0" borderId="0" xfId="0" applyNumberFormat="1" applyFont="1" applyAlignment="1">
      <alignment horizontal="right"/>
    </xf>
    <xf numFmtId="9" fontId="1" fillId="0" borderId="0" xfId="0" applyNumberFormat="1" applyFont="1"/>
    <xf numFmtId="0" fontId="1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/>
    </xf>
    <xf numFmtId="9" fontId="1" fillId="0" borderId="0" xfId="0" applyNumberFormat="1" applyFont="1" applyAlignment="1">
      <alignment horizontal="left"/>
    </xf>
    <xf numFmtId="9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right"/>
    </xf>
    <xf numFmtId="3" fontId="0" fillId="0" borderId="0" xfId="0" applyNumberFormat="1" applyAlignment="1">
      <alignment horizontal="left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1" fillId="0" borderId="0" xfId="0" applyNumberFormat="1" applyFont="1"/>
    <xf numFmtId="164" fontId="2" fillId="0" borderId="0" xfId="0" applyNumberFormat="1" applyFont="1"/>
    <xf numFmtId="9" fontId="8" fillId="0" borderId="0" xfId="0" applyNumberFormat="1" applyFont="1" applyAlignment="1">
      <alignment horizontal="right"/>
    </xf>
    <xf numFmtId="3" fontId="9" fillId="0" borderId="0" xfId="0" applyNumberFormat="1" applyFont="1"/>
    <xf numFmtId="1" fontId="2" fillId="0" borderId="0" xfId="0" applyNumberFormat="1" applyFont="1"/>
    <xf numFmtId="10" fontId="2" fillId="0" borderId="0" xfId="0" applyNumberFormat="1" applyFont="1"/>
    <xf numFmtId="3" fontId="2" fillId="2" borderId="1" xfId="0" applyNumberFormat="1" applyFont="1" applyFill="1" applyBorder="1"/>
    <xf numFmtId="164" fontId="2" fillId="2" borderId="2" xfId="0" applyNumberFormat="1" applyFont="1" applyFill="1" applyBorder="1"/>
    <xf numFmtId="3" fontId="2" fillId="2" borderId="2" xfId="0" applyNumberFormat="1" applyFont="1" applyFill="1" applyBorder="1"/>
    <xf numFmtId="3" fontId="2" fillId="2" borderId="3" xfId="0" applyNumberFormat="1" applyFont="1" applyFill="1" applyBorder="1"/>
    <xf numFmtId="3" fontId="1" fillId="2" borderId="4" xfId="0" applyNumberFormat="1" applyFont="1" applyFill="1" applyBorder="1"/>
    <xf numFmtId="3" fontId="2" fillId="2" borderId="0" xfId="0" applyNumberFormat="1" applyFont="1" applyFill="1"/>
    <xf numFmtId="164" fontId="2" fillId="2" borderId="0" xfId="0" applyNumberFormat="1" applyFont="1" applyFill="1"/>
    <xf numFmtId="3" fontId="2" fillId="2" borderId="4" xfId="0" applyNumberFormat="1" applyFont="1" applyFill="1" applyBorder="1"/>
    <xf numFmtId="9" fontId="2" fillId="2" borderId="4" xfId="0" applyNumberFormat="1" applyFont="1" applyFill="1" applyBorder="1"/>
    <xf numFmtId="9" fontId="1" fillId="2" borderId="4" xfId="0" applyNumberFormat="1" applyFont="1" applyFill="1" applyBorder="1"/>
    <xf numFmtId="3" fontId="2" fillId="2" borderId="6" xfId="0" applyNumberFormat="1" applyFont="1" applyFill="1" applyBorder="1"/>
    <xf numFmtId="9" fontId="2" fillId="2" borderId="7" xfId="0" applyNumberFormat="1" applyFont="1" applyFill="1" applyBorder="1"/>
    <xf numFmtId="9" fontId="2" fillId="2" borderId="0" xfId="0" applyNumberFormat="1" applyFont="1" applyFill="1"/>
    <xf numFmtId="3" fontId="1" fillId="2" borderId="1" xfId="0" applyNumberFormat="1" applyFont="1" applyFill="1" applyBorder="1"/>
    <xf numFmtId="3" fontId="1" fillId="2" borderId="3" xfId="0" applyNumberFormat="1" applyFont="1" applyFill="1" applyBorder="1" applyAlignment="1">
      <alignment horizontal="center"/>
    </xf>
    <xf numFmtId="3" fontId="1" fillId="2" borderId="6" xfId="0" applyNumberFormat="1" applyFont="1" applyFill="1" applyBorder="1"/>
    <xf numFmtId="9" fontId="1" fillId="3" borderId="8" xfId="0" applyNumberFormat="1" applyFont="1" applyFill="1" applyBorder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0" borderId="0" xfId="0" applyFont="1"/>
    <xf numFmtId="0" fontId="10" fillId="0" borderId="0" xfId="1"/>
    <xf numFmtId="14" fontId="2" fillId="0" borderId="0" xfId="0" applyNumberFormat="1" applyFont="1"/>
    <xf numFmtId="14" fontId="10" fillId="0" borderId="0" xfId="1" applyNumberFormat="1"/>
    <xf numFmtId="2" fontId="2" fillId="0" borderId="0" xfId="0" applyNumberFormat="1" applyFont="1" applyAlignment="1">
      <alignment horizontal="left"/>
    </xf>
    <xf numFmtId="2" fontId="2" fillId="0" borderId="0" xfId="0" applyNumberFormat="1" applyFont="1"/>
    <xf numFmtId="164" fontId="12" fillId="2" borderId="0" xfId="0" applyNumberFormat="1" applyFont="1" applyFill="1"/>
    <xf numFmtId="164" fontId="12" fillId="2" borderId="5" xfId="0" applyNumberFormat="1" applyFont="1" applyFill="1" applyBorder="1"/>
    <xf numFmtId="3" fontId="12" fillId="2" borderId="0" xfId="0" applyNumberFormat="1" applyFont="1" applyFill="1"/>
    <xf numFmtId="3" fontId="12" fillId="2" borderId="5" xfId="0" applyNumberFormat="1" applyFont="1" applyFill="1" applyBorder="1"/>
    <xf numFmtId="1" fontId="12" fillId="2" borderId="0" xfId="0" applyNumberFormat="1" applyFont="1" applyFill="1"/>
    <xf numFmtId="1" fontId="12" fillId="2" borderId="5" xfId="0" applyNumberFormat="1" applyFont="1" applyFill="1" applyBorder="1"/>
    <xf numFmtId="9" fontId="12" fillId="2" borderId="7" xfId="0" applyNumberFormat="1" applyFont="1" applyFill="1" applyBorder="1"/>
    <xf numFmtId="9" fontId="12" fillId="2" borderId="8" xfId="0" applyNumberFormat="1" applyFont="1" applyFill="1" applyBorder="1"/>
    <xf numFmtId="164" fontId="13" fillId="4" borderId="0" xfId="0" applyNumberFormat="1" applyFont="1" applyFill="1"/>
    <xf numFmtId="3" fontId="13" fillId="4" borderId="0" xfId="0" applyNumberFormat="1" applyFont="1" applyFill="1"/>
    <xf numFmtId="1" fontId="13" fillId="4" borderId="0" xfId="0" applyNumberFormat="1" applyFont="1" applyFill="1"/>
    <xf numFmtId="9" fontId="13" fillId="4" borderId="7" xfId="0" applyNumberFormat="1" applyFont="1" applyFill="1" applyBorder="1"/>
    <xf numFmtId="43" fontId="1" fillId="0" borderId="0" xfId="2" applyFont="1" applyAlignment="1">
      <alignment horizontal="right"/>
    </xf>
    <xf numFmtId="0" fontId="10" fillId="0" borderId="0" xfId="1" applyAlignment="1">
      <alignment horizontal="left"/>
    </xf>
    <xf numFmtId="3" fontId="14" fillId="2" borderId="0" xfId="0" applyNumberFormat="1" applyFont="1" applyFill="1" applyAlignment="1">
      <alignment horizontal="center"/>
    </xf>
    <xf numFmtId="3" fontId="14" fillId="2" borderId="5" xfId="0" applyNumberFormat="1" applyFont="1" applyFill="1" applyBorder="1" applyAlignment="1">
      <alignment horizontal="center"/>
    </xf>
    <xf numFmtId="164" fontId="1" fillId="5" borderId="0" xfId="0" applyNumberFormat="1" applyFont="1" applyFill="1"/>
    <xf numFmtId="9" fontId="2" fillId="5" borderId="0" xfId="0" applyNumberFormat="1" applyFont="1" applyFill="1" applyAlignment="1">
      <alignment horizontal="right"/>
    </xf>
    <xf numFmtId="9" fontId="2" fillId="6" borderId="0" xfId="0" applyNumberFormat="1" applyFont="1" applyFill="1" applyAlignment="1">
      <alignment horizontal="right"/>
    </xf>
    <xf numFmtId="167" fontId="2" fillId="0" borderId="0" xfId="0" applyNumberFormat="1" applyFont="1"/>
    <xf numFmtId="167" fontId="1" fillId="0" borderId="0" xfId="0" applyNumberFormat="1" applyFont="1"/>
    <xf numFmtId="3" fontId="2" fillId="5" borderId="0" xfId="0" applyNumberFormat="1" applyFont="1" applyFill="1"/>
  </cellXfs>
  <cellStyles count="3">
    <cellStyle name="Comma" xfId="2" builtinId="3"/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18</xdr:col>
      <xdr:colOff>9621</xdr:colOff>
      <xdr:row>215</xdr:row>
      <xdr:rowOff>46181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A277579-C167-5839-E10F-966E564910AB}"/>
            </a:ext>
          </a:extLst>
        </xdr:cNvPr>
        <xdr:cNvCxnSpPr/>
      </xdr:nvCxnSpPr>
      <xdr:spPr>
        <a:xfrm flipH="1">
          <a:off x="12803909" y="0"/>
          <a:ext cx="9621" cy="38365545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829348</xdr:colOff>
      <xdr:row>0</xdr:row>
      <xdr:rowOff>0</xdr:rowOff>
    </xdr:from>
    <xdr:to>
      <xdr:col>37</xdr:col>
      <xdr:colOff>5131</xdr:colOff>
      <xdr:row>103</xdr:row>
      <xdr:rowOff>35278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274DBFD1-01D4-A14F-7106-7912F7823456}"/>
            </a:ext>
          </a:extLst>
        </xdr:cNvPr>
        <xdr:cNvCxnSpPr/>
      </xdr:nvCxnSpPr>
      <xdr:spPr>
        <a:xfrm>
          <a:off x="23689348" y="0"/>
          <a:ext cx="7056" cy="18750460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4C49DF36-F2CD-A847-BF05-9B8AE051B2CD}" userId="jameel" providerId="Non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45" dT="2024-02-13T19:59:30.77" personId="{4C49DF36-F2CD-A847-BF05-9B8AE051B2CD}" id="{14FE80F9-6264-2A4A-99CB-EEF1FC083761}">
    <text xml:space="preserve">Customer usage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ess.aboutamazon.com/2022/11/aws-and-slalom-expand-next-generation-strategic-collaboration" TargetMode="External"/><Relationship Id="rId13" Type="http://schemas.openxmlformats.org/officeDocument/2006/relationships/hyperlink" Target="https://s2.q4cdn.com/299287126/files/doc_financials/2022/q4/Q4-2022-Amazon-Earnings-Release.pdf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www.google.com/url?sa=t&amp;rct=j&amp;q=&amp;esrc=s&amp;source=web&amp;cd=&amp;cad=rja&amp;uact=8&amp;ved=2ahUKEwjcu7Suo6n8AhV2MEQIHU4LDlUQtwJ6BAgqEAI&amp;url=https%3A%2F%2Fwww.youtube.com%2Fwatch%3Fv%3Da9__D53WsUs&amp;usg=AOvVaw2i0PdHNdTgUAIlIL6Odxx_" TargetMode="External"/><Relationship Id="rId7" Type="http://schemas.openxmlformats.org/officeDocument/2006/relationships/hyperlink" Target="https://press.aboutamazon.com/2022/12/american-family-insurance-and-aws-team-up-to-drive-innovation-in-the-insurance-industry" TargetMode="External"/><Relationship Id="rId12" Type="http://schemas.openxmlformats.org/officeDocument/2006/relationships/hyperlink" Target="https://s2.q4cdn.com/299287126/files/doc_financials/2023/q1/Q1-2023-Amazon-Earnings-Release.pdf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s://en.wikipedia.org/wiki/Amazon_Web_Services" TargetMode="External"/><Relationship Id="rId16" Type="http://schemas.openxmlformats.org/officeDocument/2006/relationships/hyperlink" Target="https://ir.aboutamazon.com/news-release/news-release-details/2024/Amazon.com-Announces-First-Quarter-Results-68b9258cd/" TargetMode="External"/><Relationship Id="rId1" Type="http://schemas.openxmlformats.org/officeDocument/2006/relationships/hyperlink" Target="https://s2.q4cdn.com/299287126/files/doc_financials/2022/q3/Q3-2022-Amazon-Earnings-Release.pdf" TargetMode="External"/><Relationship Id="rId6" Type="http://schemas.openxmlformats.org/officeDocument/2006/relationships/hyperlink" Target="https://press.aboutamazon.com/2022/12/amazon-games-and-crystal-dynamics-strike-deal-to-develop-and-publish-next-major-entry-in-iconic-tomb-raider-series" TargetMode="External"/><Relationship Id="rId11" Type="http://schemas.openxmlformats.org/officeDocument/2006/relationships/hyperlink" Target="https://s2.q4cdn.com/299287126/files/doc_financials/2023/q2/Q2-2023-Amazon-Earnings-Release.pdf" TargetMode="External"/><Relationship Id="rId5" Type="http://schemas.openxmlformats.org/officeDocument/2006/relationships/hyperlink" Target="https://aws.amazon.com/getting-started/hands-on/build-web-app-s3-lambda-api-gateway-dynamodb/" TargetMode="External"/><Relationship Id="rId15" Type="http://schemas.openxmlformats.org/officeDocument/2006/relationships/hyperlink" Target="https://press.aboutamazon.com/aws/2024/1/choice-hotels-becomes-first-hotel-company-to-complete-total-data-center-migration-to-aws" TargetMode="External"/><Relationship Id="rId10" Type="http://schemas.openxmlformats.org/officeDocument/2006/relationships/hyperlink" Target="https://s2.q4cdn.com/299287126/files/doc_financials/2023/q3/AMZN-Q3-2023-Earnings-Release.pdf" TargetMode="External"/><Relationship Id="rId4" Type="http://schemas.openxmlformats.org/officeDocument/2006/relationships/hyperlink" Target="https://aws.amazon.com/application-hosting/benefits/" TargetMode="External"/><Relationship Id="rId9" Type="http://schemas.openxmlformats.org/officeDocument/2006/relationships/hyperlink" Target="https://s2.q4cdn.com/299287126/files/doc_financials/2023/q4/AMZN-Q4-2023-Earnings-Release.pdf" TargetMode="External"/><Relationship Id="rId14" Type="http://schemas.openxmlformats.org/officeDocument/2006/relationships/hyperlink" Target="https://press.aboutamazon.com/aws/2024/2/techbio-unicorn-owkin-teams-up-with-aws-to-advance-generative-ai-for-precision-medicin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W22"/>
  <sheetViews>
    <sheetView tabSelected="1" zoomScale="150" zoomScaleNormal="150" workbookViewId="0">
      <selection activeCell="B9" sqref="B9"/>
    </sheetView>
  </sheetViews>
  <sheetFormatPr baseColWidth="10" defaultColWidth="8.83203125" defaultRowHeight="15" x14ac:dyDescent="0.2"/>
  <cols>
    <col min="1" max="1" width="1.1640625" style="1" customWidth="1"/>
    <col min="2" max="2" width="8.83203125" style="1"/>
    <col min="3" max="3" width="9.5" style="1" bestFit="1" customWidth="1"/>
    <col min="4" max="11" width="8.83203125" style="1"/>
    <col min="12" max="12" width="6.83203125" style="1" bestFit="1" customWidth="1"/>
    <col min="13" max="13" width="10" style="1" bestFit="1" customWidth="1"/>
    <col min="14" max="14" width="6" style="1" bestFit="1" customWidth="1"/>
    <col min="15" max="15" width="8.83203125" style="1"/>
    <col min="16" max="16" width="15.5" style="1" bestFit="1" customWidth="1"/>
    <col min="17" max="17" width="8.83203125" style="1"/>
    <col min="18" max="18" width="15" style="1" bestFit="1" customWidth="1"/>
    <col min="19" max="16384" width="8.83203125" style="1"/>
  </cols>
  <sheetData>
    <row r="3" spans="2:23" x14ac:dyDescent="0.2">
      <c r="D3" s="48" t="s">
        <v>102</v>
      </c>
      <c r="E3" s="48" t="s">
        <v>156</v>
      </c>
      <c r="F3" s="48" t="s">
        <v>158</v>
      </c>
      <c r="G3" s="48" t="s">
        <v>157</v>
      </c>
      <c r="H3" s="1" t="s">
        <v>159</v>
      </c>
    </row>
    <row r="6" spans="2:23" x14ac:dyDescent="0.2">
      <c r="L6" s="9" t="s">
        <v>0</v>
      </c>
      <c r="P6" s="47" t="s">
        <v>171</v>
      </c>
      <c r="R6" s="1" t="s">
        <v>173</v>
      </c>
    </row>
    <row r="7" spans="2:23" x14ac:dyDescent="0.2">
      <c r="B7" s="1" t="s">
        <v>109</v>
      </c>
      <c r="L7" s="1" t="s">
        <v>1</v>
      </c>
      <c r="M7" s="2">
        <v>187.48</v>
      </c>
      <c r="P7" s="2">
        <v>18.43</v>
      </c>
      <c r="R7" s="2">
        <f>+P7</f>
        <v>18.43</v>
      </c>
    </row>
    <row r="8" spans="2:23" x14ac:dyDescent="0.2">
      <c r="B8" s="47" t="s">
        <v>155</v>
      </c>
      <c r="C8" s="1" t="s">
        <v>108</v>
      </c>
      <c r="D8" s="1" t="s">
        <v>160</v>
      </c>
      <c r="L8" s="1" t="s">
        <v>2</v>
      </c>
      <c r="M8" s="2">
        <v>10406.627415000001</v>
      </c>
      <c r="N8" s="1" t="s">
        <v>178</v>
      </c>
      <c r="P8" s="2">
        <f>913130805+7825</f>
        <v>913138630</v>
      </c>
      <c r="R8" s="2">
        <v>150000000</v>
      </c>
      <c r="S8" s="8">
        <f>+R8/P8</f>
        <v>0.16426859522962028</v>
      </c>
      <c r="T8" s="2"/>
      <c r="U8" s="2"/>
      <c r="V8" s="2"/>
      <c r="W8" s="2"/>
    </row>
    <row r="9" spans="2:23" x14ac:dyDescent="0.2">
      <c r="B9" s="48" t="s">
        <v>201</v>
      </c>
      <c r="L9" s="1" t="s">
        <v>3</v>
      </c>
      <c r="M9" s="5">
        <f>+M7*M8</f>
        <v>1951034.5077642</v>
      </c>
      <c r="P9" s="5">
        <f>+P7*P8</f>
        <v>16829144950.9</v>
      </c>
      <c r="R9" s="2">
        <f>+R7*R8</f>
        <v>2764500000</v>
      </c>
      <c r="S9" s="2"/>
      <c r="T9" s="2"/>
      <c r="U9" s="2"/>
      <c r="V9" s="2"/>
      <c r="W9" s="2"/>
    </row>
    <row r="10" spans="2:23" x14ac:dyDescent="0.2">
      <c r="B10" s="48" t="s">
        <v>183</v>
      </c>
      <c r="C10" s="49">
        <v>45330</v>
      </c>
      <c r="D10" s="48" t="s">
        <v>188</v>
      </c>
      <c r="L10" s="1" t="s">
        <v>4</v>
      </c>
      <c r="M10" s="2">
        <f>78387+13393</f>
        <v>91780</v>
      </c>
      <c r="N10" s="1" t="str">
        <f>+N8</f>
        <v>Q124</v>
      </c>
      <c r="P10" s="2">
        <v>18133</v>
      </c>
      <c r="R10" s="2">
        <f>+P10</f>
        <v>18133</v>
      </c>
      <c r="S10" s="2"/>
      <c r="T10" s="2"/>
      <c r="U10" s="2"/>
      <c r="V10" s="2"/>
      <c r="W10" s="2"/>
    </row>
    <row r="11" spans="2:23" x14ac:dyDescent="0.2">
      <c r="B11" s="66" t="s">
        <v>184</v>
      </c>
      <c r="C11" s="49">
        <v>45320</v>
      </c>
      <c r="D11" s="48" t="s">
        <v>189</v>
      </c>
      <c r="L11" s="1" t="s">
        <v>5</v>
      </c>
      <c r="M11" s="2">
        <v>58314</v>
      </c>
      <c r="N11" s="1" t="str">
        <f>+N10</f>
        <v>Q124</v>
      </c>
      <c r="P11" s="2">
        <v>1226</v>
      </c>
      <c r="R11" s="2">
        <f>+P11</f>
        <v>1226</v>
      </c>
      <c r="S11" s="2"/>
      <c r="T11" s="2"/>
      <c r="U11" s="2"/>
      <c r="V11" s="2"/>
      <c r="W11" s="2"/>
    </row>
    <row r="12" spans="2:23" x14ac:dyDescent="0.2">
      <c r="B12" s="48" t="s">
        <v>185</v>
      </c>
      <c r="L12" s="1" t="s">
        <v>6</v>
      </c>
      <c r="M12" s="2">
        <f>+M9-M10+M11</f>
        <v>1917568.5077642</v>
      </c>
      <c r="P12" s="2">
        <f>+P9-P10+P11</f>
        <v>16829128043.9</v>
      </c>
      <c r="R12" s="2">
        <f>+P12</f>
        <v>16829128043.9</v>
      </c>
      <c r="S12" s="2"/>
      <c r="T12" s="2"/>
      <c r="U12" s="2"/>
      <c r="V12" s="2"/>
      <c r="W12" s="2"/>
    </row>
    <row r="13" spans="2:23" x14ac:dyDescent="0.2">
      <c r="B13" s="48" t="s">
        <v>186</v>
      </c>
      <c r="C13" s="50">
        <v>44910</v>
      </c>
      <c r="D13" s="1" t="s">
        <v>161</v>
      </c>
    </row>
    <row r="14" spans="2:23" x14ac:dyDescent="0.2">
      <c r="B14" s="48" t="s">
        <v>187</v>
      </c>
      <c r="C14" s="50">
        <v>44896</v>
      </c>
      <c r="D14" s="1" t="s">
        <v>162</v>
      </c>
    </row>
    <row r="15" spans="2:23" x14ac:dyDescent="0.2">
      <c r="B15" s="48" t="s">
        <v>150</v>
      </c>
      <c r="C15" s="50">
        <v>44925</v>
      </c>
      <c r="D15" s="1" t="s">
        <v>163</v>
      </c>
    </row>
    <row r="16" spans="2:23" x14ac:dyDescent="0.2">
      <c r="B16" s="1" t="s">
        <v>151</v>
      </c>
    </row>
    <row r="17" spans="2:3" x14ac:dyDescent="0.2">
      <c r="B17" s="1" t="s">
        <v>152</v>
      </c>
    </row>
    <row r="18" spans="2:3" x14ac:dyDescent="0.2">
      <c r="B18" s="1" t="s">
        <v>153</v>
      </c>
    </row>
    <row r="19" spans="2:3" x14ac:dyDescent="0.2">
      <c r="B19" s="1" t="s">
        <v>154</v>
      </c>
    </row>
    <row r="21" spans="2:3" x14ac:dyDescent="0.2">
      <c r="B21" s="47" t="s">
        <v>6</v>
      </c>
    </row>
    <row r="22" spans="2:3" x14ac:dyDescent="0.2">
      <c r="B22" s="49">
        <v>43511</v>
      </c>
      <c r="C22" s="1" t="s">
        <v>164</v>
      </c>
    </row>
  </sheetData>
  <hyperlinks>
    <hyperlink ref="B15" r:id="rId1" xr:uid="{2BA6B349-CF74-974B-B19D-8284DE0E40EC}"/>
    <hyperlink ref="D3" r:id="rId2" xr:uid="{B59F0072-3643-CF4A-B19D-28BEF3472CF7}"/>
    <hyperlink ref="E3" r:id="rId3" xr:uid="{815ADE35-4B92-794D-B9AC-B5D311F8A1CE}"/>
    <hyperlink ref="G3" r:id="rId4" xr:uid="{BF73B40D-EE3D-7249-B265-3A63EECB9942}"/>
    <hyperlink ref="F3" r:id="rId5" xr:uid="{F9642775-6194-CC42-8874-42EF7EC611EB}"/>
    <hyperlink ref="C13" r:id="rId6" display="https://press.aboutamazon.com/2022/12/amazon-games-and-crystal-dynamics-strike-deal-to-develop-and-publish-next-major-entry-in-iconic-tomb-raider-series" xr:uid="{634BF3A5-3CFF-9344-89D8-C7017096E12A}"/>
    <hyperlink ref="C14" r:id="rId7" display="https://press.aboutamazon.com/2022/12/american-family-insurance-and-aws-team-up-to-drive-innovation-in-the-insurance-industry" xr:uid="{3E58AD50-75F4-5F4E-B9B0-113D90EF26CC}"/>
    <hyperlink ref="C15" r:id="rId8" display="https://press.aboutamazon.com/2022/11/aws-and-slalom-expand-next-generation-strategic-collaboration" xr:uid="{3EA9DC51-688B-BF4C-A34A-4B224A1ABBDC}"/>
    <hyperlink ref="B10" r:id="rId9" xr:uid="{00C76CEF-564C-504F-9A8B-CABDDEBB3BFC}"/>
    <hyperlink ref="B11" r:id="rId10" xr:uid="{3B7FBCD9-F1AA-4341-94FD-CAFB609C9333}"/>
    <hyperlink ref="B12" r:id="rId11" xr:uid="{F2F813AA-1AEA-9F44-AE9E-24A859375311}"/>
    <hyperlink ref="B13" r:id="rId12" xr:uid="{BDB8852C-E89C-FF46-B346-350EE24637A9}"/>
    <hyperlink ref="B14" r:id="rId13" xr:uid="{FE2E4803-DD01-8242-A3F0-8A840FDD1839}"/>
    <hyperlink ref="D10" r:id="rId14" xr:uid="{5EBC30CF-CE28-474D-8A92-E0442D124F23}"/>
    <hyperlink ref="D11" r:id="rId15" xr:uid="{470948EF-2BA2-A04E-A934-7F4EB5523B20}"/>
    <hyperlink ref="B9" r:id="rId16" xr:uid="{3FE2AD2D-234A-AD4C-93EF-C483582C1B7F}"/>
  </hyperlinks>
  <pageMargins left="0.7" right="0.7" top="0.75" bottom="0.75" header="0.3" footer="0.3"/>
  <legacy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1B74-384C-A044-8517-616352A76775}">
  <dimension ref="A1:KB191"/>
  <sheetViews>
    <sheetView zoomScale="90" zoomScaleNormal="90" workbookViewId="0">
      <pane xSplit="2" ySplit="2" topLeftCell="C17" activePane="bottomRight" state="frozen"/>
      <selection pane="topRight" activeCell="C1" sqref="C1"/>
      <selection pane="bottomLeft" activeCell="A3" sqref="A3"/>
      <selection pane="bottomRight" activeCell="AS58" sqref="AS58"/>
    </sheetView>
  </sheetViews>
  <sheetFormatPr baseColWidth="10" defaultRowHeight="15" outlineLevelRow="1" x14ac:dyDescent="0.2"/>
  <cols>
    <col min="1" max="1" width="4" style="2" bestFit="1" customWidth="1"/>
    <col min="2" max="2" width="21.6640625" style="10" bestFit="1" customWidth="1"/>
    <col min="3" max="3" width="8" style="2" bestFit="1" customWidth="1"/>
    <col min="4" max="5" width="8.1640625" style="2" bestFit="1" customWidth="1"/>
    <col min="6" max="16" width="8.6640625" style="2" bestFit="1" customWidth="1"/>
    <col min="17" max="23" width="8.6640625" style="2" customWidth="1"/>
    <col min="24" max="24" width="8.5" style="2" bestFit="1" customWidth="1"/>
    <col min="25" max="26" width="7.33203125" style="2" bestFit="1" customWidth="1"/>
    <col min="27" max="28" width="7.5" style="2" bestFit="1" customWidth="1"/>
    <col min="29" max="42" width="8.6640625" style="2" bestFit="1" customWidth="1"/>
    <col min="43" max="47" width="10.33203125" style="2" bestFit="1" customWidth="1"/>
    <col min="48" max="50" width="7.33203125" style="2" bestFit="1" customWidth="1"/>
    <col min="51" max="51" width="8.5" style="2" bestFit="1" customWidth="1"/>
    <col min="52" max="52" width="8.83203125" style="2" bestFit="1" customWidth="1"/>
    <col min="53" max="53" width="10" style="2" bestFit="1" customWidth="1"/>
    <col min="54" max="54" width="10.6640625" style="2" bestFit="1" customWidth="1"/>
    <col min="55" max="58" width="9.1640625" style="2" bestFit="1" customWidth="1"/>
    <col min="59" max="59" width="9.33203125" style="2" bestFit="1" customWidth="1"/>
    <col min="60" max="61" width="9.1640625" style="2" bestFit="1" customWidth="1"/>
    <col min="62" max="240" width="8.5" style="2" bestFit="1" customWidth="1"/>
    <col min="241" max="16384" width="10.83203125" style="2"/>
  </cols>
  <sheetData>
    <row r="1" spans="1:50" s="3" customFormat="1" x14ac:dyDescent="0.2">
      <c r="A1" s="2"/>
      <c r="B1" s="18"/>
    </row>
    <row r="2" spans="1:50" s="4" customFormat="1" x14ac:dyDescent="0.2">
      <c r="A2" s="4" t="s">
        <v>174</v>
      </c>
      <c r="B2" s="10"/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7</v>
      </c>
      <c r="M2" s="4" t="s">
        <v>17</v>
      </c>
      <c r="N2" s="4" t="s">
        <v>18</v>
      </c>
      <c r="O2" s="4" t="s">
        <v>123</v>
      </c>
      <c r="P2" s="4" t="s">
        <v>124</v>
      </c>
      <c r="Q2" s="4" t="s">
        <v>125</v>
      </c>
      <c r="R2" s="4" t="s">
        <v>126</v>
      </c>
      <c r="S2" s="4" t="s">
        <v>178</v>
      </c>
      <c r="T2" s="4" t="s">
        <v>179</v>
      </c>
      <c r="U2" s="4" t="s">
        <v>180</v>
      </c>
      <c r="V2" s="4" t="s">
        <v>181</v>
      </c>
      <c r="AA2" s="7">
        <v>2013</v>
      </c>
      <c r="AB2" s="7">
        <v>2014</v>
      </c>
      <c r="AC2" s="7">
        <v>2015</v>
      </c>
      <c r="AD2" s="7">
        <v>2016</v>
      </c>
      <c r="AE2" s="7">
        <v>2017</v>
      </c>
      <c r="AF2" s="7">
        <v>2018</v>
      </c>
      <c r="AG2" s="7">
        <f>+AF2+1</f>
        <v>2019</v>
      </c>
      <c r="AH2" s="7">
        <v>2020</v>
      </c>
      <c r="AI2" s="7">
        <f>+AH2+1</f>
        <v>2021</v>
      </c>
      <c r="AJ2" s="7">
        <f t="shared" ref="AJ2:AS2" si="0">+AI2+1</f>
        <v>2022</v>
      </c>
      <c r="AK2" s="7">
        <f t="shared" si="0"/>
        <v>2023</v>
      </c>
      <c r="AL2" s="7">
        <f t="shared" si="0"/>
        <v>2024</v>
      </c>
      <c r="AM2" s="7">
        <f t="shared" si="0"/>
        <v>2025</v>
      </c>
      <c r="AN2" s="7">
        <f t="shared" si="0"/>
        <v>2026</v>
      </c>
      <c r="AO2" s="7">
        <f t="shared" si="0"/>
        <v>2027</v>
      </c>
      <c r="AP2" s="7">
        <f t="shared" si="0"/>
        <v>2028</v>
      </c>
      <c r="AQ2" s="7">
        <f t="shared" si="0"/>
        <v>2029</v>
      </c>
      <c r="AR2" s="7">
        <f t="shared" si="0"/>
        <v>2030</v>
      </c>
      <c r="AS2" s="7">
        <f t="shared" si="0"/>
        <v>2031</v>
      </c>
      <c r="AT2" s="7">
        <f t="shared" ref="AT2" si="1">+AS2+1</f>
        <v>2032</v>
      </c>
      <c r="AU2" s="7">
        <f t="shared" ref="AU2" si="2">+AT2+1</f>
        <v>2033</v>
      </c>
      <c r="AV2" s="7"/>
      <c r="AW2" s="7"/>
      <c r="AX2" s="7"/>
    </row>
    <row r="3" spans="1:50" s="4" customFormat="1" hidden="1" outlineLevel="1" x14ac:dyDescent="0.2">
      <c r="B3" s="10" t="s">
        <v>100</v>
      </c>
      <c r="C3" s="4">
        <v>46127</v>
      </c>
      <c r="D3" s="4">
        <v>55436</v>
      </c>
      <c r="E3" s="4">
        <v>59373</v>
      </c>
      <c r="F3" s="4">
        <f>+AH3-SUM(C3:E3)</f>
        <v>75346</v>
      </c>
      <c r="G3" s="4">
        <v>64366</v>
      </c>
      <c r="H3" s="4">
        <v>67550</v>
      </c>
      <c r="I3" s="4">
        <v>65557</v>
      </c>
      <c r="J3" s="4">
        <f>+AI3-SUM(G3:I3)</f>
        <v>82360</v>
      </c>
      <c r="K3" s="4">
        <v>69244</v>
      </c>
      <c r="L3" s="4">
        <v>74430</v>
      </c>
      <c r="M3" s="4">
        <v>78843</v>
      </c>
      <c r="N3" s="4">
        <v>93363</v>
      </c>
      <c r="O3" s="4">
        <v>76881</v>
      </c>
      <c r="P3" s="4">
        <v>82546</v>
      </c>
      <c r="Q3" s="4">
        <v>87887</v>
      </c>
      <c r="R3" s="4">
        <v>105514</v>
      </c>
      <c r="S3" s="4">
        <f>+O3*1.1</f>
        <v>84569.1</v>
      </c>
      <c r="T3" s="4">
        <f t="shared" ref="T3:V3" si="3">+P3*1.1</f>
        <v>90800.6</v>
      </c>
      <c r="U3" s="4">
        <f t="shared" si="3"/>
        <v>96675.700000000012</v>
      </c>
      <c r="V3" s="4">
        <f t="shared" si="3"/>
        <v>116065.40000000001</v>
      </c>
      <c r="X3" s="4">
        <f t="shared" ref="X3" si="4">+AI3-AH3</f>
        <v>43551</v>
      </c>
      <c r="Y3" s="4">
        <f t="shared" ref="Y3" si="5">+AJ3-AI3</f>
        <v>36047</v>
      </c>
      <c r="Z3" s="4">
        <f>+AK3-AJ3</f>
        <v>36948</v>
      </c>
      <c r="AH3" s="4">
        <v>236282</v>
      </c>
      <c r="AI3" s="4">
        <v>279833</v>
      </c>
      <c r="AJ3" s="4">
        <f>SUM(K3:N3)</f>
        <v>315880</v>
      </c>
      <c r="AK3" s="4">
        <f>SUM(O3:R3)</f>
        <v>352828</v>
      </c>
      <c r="AL3" s="4">
        <f>SUM(S3:V3)</f>
        <v>388110.80000000005</v>
      </c>
      <c r="AM3" s="4">
        <f>+AL3*1.1</f>
        <v>426921.88000000006</v>
      </c>
      <c r="AN3" s="4">
        <f t="shared" ref="AN3:AU3" si="6">+AM3*1.1</f>
        <v>469614.06800000009</v>
      </c>
      <c r="AO3" s="4">
        <f t="shared" si="6"/>
        <v>516575.47480000014</v>
      </c>
      <c r="AP3" s="4">
        <f t="shared" si="6"/>
        <v>568233.02228000015</v>
      </c>
      <c r="AQ3" s="4">
        <f t="shared" si="6"/>
        <v>625056.32450800017</v>
      </c>
      <c r="AR3" s="4">
        <f t="shared" si="6"/>
        <v>687561.95695880021</v>
      </c>
      <c r="AS3" s="4">
        <f t="shared" si="6"/>
        <v>756318.15265468031</v>
      </c>
      <c r="AT3" s="4">
        <f t="shared" si="6"/>
        <v>831949.9679201484</v>
      </c>
      <c r="AU3" s="4">
        <f t="shared" si="6"/>
        <v>915144.96471216332</v>
      </c>
    </row>
    <row r="4" spans="1:50" s="4" customFormat="1" hidden="1" outlineLevel="1" x14ac:dyDescent="0.2">
      <c r="B4" s="10" t="s">
        <v>101</v>
      </c>
      <c r="C4" s="4">
        <v>19106</v>
      </c>
      <c r="D4" s="4">
        <v>22668</v>
      </c>
      <c r="E4" s="4">
        <v>25171</v>
      </c>
      <c r="F4" s="4">
        <v>37467</v>
      </c>
      <c r="G4" s="4">
        <v>30649</v>
      </c>
      <c r="H4" s="4">
        <v>30721</v>
      </c>
      <c r="I4" s="4">
        <v>29145</v>
      </c>
      <c r="J4" s="4">
        <f>+AI4-SUM(G4:I4)</f>
        <v>37272</v>
      </c>
      <c r="K4" s="4">
        <v>28759</v>
      </c>
      <c r="L4" s="4">
        <v>27065</v>
      </c>
      <c r="M4" s="4">
        <v>27720</v>
      </c>
      <c r="N4" s="4">
        <v>34463</v>
      </c>
      <c r="O4" s="4">
        <v>29123</v>
      </c>
      <c r="P4" s="4">
        <v>29697</v>
      </c>
      <c r="Q4" s="4">
        <v>32137</v>
      </c>
      <c r="R4" s="4">
        <v>40243</v>
      </c>
      <c r="S4" s="4">
        <f>+O4*(1+O44)</f>
        <v>29491.607114294653</v>
      </c>
      <c r="T4" s="4">
        <f t="shared" ref="T4:V4" si="7">+P4*(1+P44)</f>
        <v>32584.955071125074</v>
      </c>
      <c r="U4" s="4">
        <f t="shared" si="7"/>
        <v>37257.819949494951</v>
      </c>
      <c r="V4" s="4">
        <f t="shared" si="7"/>
        <v>46992.39906566462</v>
      </c>
      <c r="X4" s="4">
        <f t="shared" ref="X4:Y4" si="8">+AI4-AH4</f>
        <v>23375</v>
      </c>
      <c r="Y4" s="4">
        <f t="shared" si="8"/>
        <v>-9780</v>
      </c>
      <c r="Z4" s="4">
        <f>+AK4-AJ4</f>
        <v>13193</v>
      </c>
      <c r="AH4" s="4">
        <v>104412</v>
      </c>
      <c r="AI4" s="4">
        <v>127787</v>
      </c>
      <c r="AJ4" s="4">
        <f t="shared" ref="AJ4:AJ9" si="9">SUM(K4:N4)</f>
        <v>118007</v>
      </c>
      <c r="AK4" s="4">
        <f t="shared" ref="AK4:AK9" si="10">SUM(O4:R4)</f>
        <v>131200</v>
      </c>
      <c r="AL4" s="4">
        <f>SUM(S4:V4)</f>
        <v>146326.78120057931</v>
      </c>
      <c r="AM4" s="4">
        <f>+AL4*1.09</f>
        <v>159496.19150863145</v>
      </c>
      <c r="AN4" s="4">
        <f t="shared" ref="AN4:AU4" si="11">+AM4*1.09</f>
        <v>173850.84874440829</v>
      </c>
      <c r="AO4" s="4">
        <f t="shared" si="11"/>
        <v>189497.42513140503</v>
      </c>
      <c r="AP4" s="4">
        <f t="shared" si="11"/>
        <v>206552.19339323152</v>
      </c>
      <c r="AQ4" s="4">
        <f t="shared" si="11"/>
        <v>225141.89079862236</v>
      </c>
      <c r="AR4" s="4">
        <f t="shared" si="11"/>
        <v>245404.6609704984</v>
      </c>
      <c r="AS4" s="4">
        <f t="shared" si="11"/>
        <v>267491.08045784326</v>
      </c>
      <c r="AT4" s="4">
        <f t="shared" si="11"/>
        <v>291565.27769904915</v>
      </c>
      <c r="AU4" s="4">
        <f t="shared" si="11"/>
        <v>317806.15269196359</v>
      </c>
    </row>
    <row r="5" spans="1:50" s="4" customFormat="1" hidden="1" outlineLevel="1" x14ac:dyDescent="0.2">
      <c r="B5" s="10" t="s">
        <v>102</v>
      </c>
      <c r="C5" s="4">
        <v>10219</v>
      </c>
      <c r="D5" s="4">
        <v>10808</v>
      </c>
      <c r="E5" s="4">
        <v>11601</v>
      </c>
      <c r="F5" s="4">
        <v>12742</v>
      </c>
      <c r="G5" s="4">
        <v>13503</v>
      </c>
      <c r="H5" s="4">
        <v>14809</v>
      </c>
      <c r="I5" s="4">
        <v>16110</v>
      </c>
      <c r="J5" s="4">
        <f>+AI5-SUM(G5:I5)</f>
        <v>17780</v>
      </c>
      <c r="K5" s="4">
        <v>18441</v>
      </c>
      <c r="L5" s="4">
        <v>19739</v>
      </c>
      <c r="M5" s="4">
        <v>20538</v>
      </c>
      <c r="N5" s="4">
        <v>21378</v>
      </c>
      <c r="O5" s="4">
        <v>21354</v>
      </c>
      <c r="P5" s="4">
        <v>22140</v>
      </c>
      <c r="Q5" s="4">
        <v>23059</v>
      </c>
      <c r="R5" s="4">
        <v>24204</v>
      </c>
      <c r="S5" s="4">
        <f>+O5*(1+O45)</f>
        <v>24727.146900927284</v>
      </c>
      <c r="T5" s="4">
        <f t="shared" ref="T5" si="12">+P5*(1+P45)</f>
        <v>24833.051319722374</v>
      </c>
      <c r="U5" s="4">
        <f t="shared" ref="U5" si="13">+Q5*(1+Q45)</f>
        <v>25889.447901450971</v>
      </c>
      <c r="V5" s="4">
        <f t="shared" ref="V5" si="14">+R5*(1+R45)</f>
        <v>27403.574515857425</v>
      </c>
      <c r="X5" s="4">
        <v>2.5</v>
      </c>
      <c r="Z5" s="4">
        <f>+AK4-140000</f>
        <v>-8800</v>
      </c>
      <c r="AH5" s="4">
        <v>45370</v>
      </c>
      <c r="AI5" s="4">
        <v>62202</v>
      </c>
      <c r="AJ5" s="4">
        <f t="shared" si="9"/>
        <v>80096</v>
      </c>
      <c r="AK5" s="4">
        <f t="shared" si="10"/>
        <v>90757</v>
      </c>
      <c r="AL5" s="4">
        <f>SUM(S5:V5)</f>
        <v>102853.22063795806</v>
      </c>
      <c r="AM5" s="4">
        <f>+AL5*1.13</f>
        <v>116224.1393208926</v>
      </c>
      <c r="AN5" s="4">
        <f t="shared" ref="AN5:AU5" si="15">+AM5*1.13</f>
        <v>131333.27743260862</v>
      </c>
      <c r="AO5" s="4">
        <f t="shared" si="15"/>
        <v>148406.60349884772</v>
      </c>
      <c r="AP5" s="4">
        <f t="shared" si="15"/>
        <v>167699.4619536979</v>
      </c>
      <c r="AQ5" s="4">
        <f t="shared" si="15"/>
        <v>189500.3920076786</v>
      </c>
      <c r="AR5" s="4">
        <f t="shared" si="15"/>
        <v>214135.4429686768</v>
      </c>
      <c r="AS5" s="4">
        <f t="shared" si="15"/>
        <v>241973.05055460476</v>
      </c>
      <c r="AT5" s="4">
        <f t="shared" si="15"/>
        <v>273429.54712670337</v>
      </c>
      <c r="AU5" s="4">
        <f t="shared" si="15"/>
        <v>308975.38825317478</v>
      </c>
    </row>
    <row r="6" spans="1:50" s="11" customFormat="1" hidden="1" outlineLevel="1" x14ac:dyDescent="0.2">
      <c r="B6" s="13" t="s">
        <v>103</v>
      </c>
      <c r="C6" s="11">
        <f t="shared" ref="C6:K6" si="16">+SUM(C3:C5)</f>
        <v>75452</v>
      </c>
      <c r="D6" s="11">
        <f t="shared" si="16"/>
        <v>88912</v>
      </c>
      <c r="E6" s="11">
        <f t="shared" si="16"/>
        <v>96145</v>
      </c>
      <c r="F6" s="11">
        <f t="shared" si="16"/>
        <v>125555</v>
      </c>
      <c r="G6" s="11">
        <f t="shared" si="16"/>
        <v>108518</v>
      </c>
      <c r="H6" s="11">
        <f t="shared" si="16"/>
        <v>113080</v>
      </c>
      <c r="I6" s="11">
        <f>+SUM(I3:I5)</f>
        <v>110812</v>
      </c>
      <c r="J6" s="11">
        <f t="shared" si="16"/>
        <v>137412</v>
      </c>
      <c r="K6" s="11">
        <f t="shared" si="16"/>
        <v>116444</v>
      </c>
      <c r="L6" s="11">
        <f>+SUM(L3:L5)</f>
        <v>121234</v>
      </c>
      <c r="M6" s="11">
        <f>+SUM(M3:M5)</f>
        <v>127101</v>
      </c>
      <c r="N6" s="11">
        <f>+SUM(N3:N5)</f>
        <v>149204</v>
      </c>
      <c r="O6" s="11">
        <f>+SUM(O3:O5)</f>
        <v>127358</v>
      </c>
      <c r="P6" s="11">
        <f t="shared" ref="P6:V6" si="17">+SUM(P3:P5)</f>
        <v>134383</v>
      </c>
      <c r="Q6" s="11">
        <f t="shared" si="17"/>
        <v>143083</v>
      </c>
      <c r="R6" s="11">
        <f t="shared" si="17"/>
        <v>169961</v>
      </c>
      <c r="S6" s="11">
        <f t="shared" si="17"/>
        <v>138787.85401522194</v>
      </c>
      <c r="T6" s="11">
        <f t="shared" si="17"/>
        <v>148218.60639084745</v>
      </c>
      <c r="U6" s="11">
        <f t="shared" si="17"/>
        <v>159822.96785094595</v>
      </c>
      <c r="V6" s="11">
        <f t="shared" si="17"/>
        <v>190461.37358152206</v>
      </c>
      <c r="Z6" s="11">
        <f>8.8/4</f>
        <v>2.2000000000000002</v>
      </c>
      <c r="AH6" s="11">
        <f t="shared" ref="AH6" si="18">+SUM(AH3:AH5)</f>
        <v>386064</v>
      </c>
      <c r="AI6" s="11">
        <f>+SUM(AI3:AI5)</f>
        <v>469822</v>
      </c>
      <c r="AJ6" s="11">
        <f t="shared" ref="AJ6:AU6" si="19">+SUM(AJ3:AJ5)</f>
        <v>513983</v>
      </c>
      <c r="AK6" s="11">
        <f t="shared" si="19"/>
        <v>574785</v>
      </c>
      <c r="AL6" s="11">
        <f t="shared" si="19"/>
        <v>637290.80183853745</v>
      </c>
      <c r="AM6" s="11">
        <f t="shared" si="19"/>
        <v>702642.21082952421</v>
      </c>
      <c r="AN6" s="11">
        <f t="shared" si="19"/>
        <v>774798.19417701708</v>
      </c>
      <c r="AO6" s="11">
        <f t="shared" si="19"/>
        <v>854479.50343025289</v>
      </c>
      <c r="AP6" s="11">
        <f t="shared" si="19"/>
        <v>942484.67762692948</v>
      </c>
      <c r="AQ6" s="11">
        <f t="shared" si="19"/>
        <v>1039698.6073143012</v>
      </c>
      <c r="AR6" s="11">
        <f t="shared" si="19"/>
        <v>1147102.0608979755</v>
      </c>
      <c r="AS6" s="11">
        <f t="shared" si="19"/>
        <v>1265782.2836671283</v>
      </c>
      <c r="AT6" s="11">
        <f t="shared" si="19"/>
        <v>1396944.792745901</v>
      </c>
      <c r="AU6" s="11">
        <f t="shared" si="19"/>
        <v>1541926.5056573018</v>
      </c>
    </row>
    <row r="7" spans="1:50" s="4" customFormat="1" hidden="1" outlineLevel="1" x14ac:dyDescent="0.2">
      <c r="B7" s="10" t="s">
        <v>132</v>
      </c>
      <c r="C7" s="4">
        <v>44815</v>
      </c>
      <c r="D7" s="4">
        <v>53295</v>
      </c>
      <c r="E7" s="4">
        <v>57121</v>
      </c>
      <c r="F7" s="4">
        <v>72400</v>
      </c>
      <c r="G7" s="4">
        <v>60916</v>
      </c>
      <c r="H7" s="4">
        <v>64403</v>
      </c>
      <c r="I7" s="4">
        <v>64677</v>
      </c>
      <c r="J7" s="4">
        <v>82566</v>
      </c>
      <c r="K7" s="4">
        <v>70812</v>
      </c>
      <c r="L7" s="4">
        <v>75057</v>
      </c>
      <c r="M7" s="4">
        <v>79255</v>
      </c>
      <c r="N7" s="4">
        <v>93603</v>
      </c>
      <c r="O7" s="4">
        <v>75983</v>
      </c>
      <c r="P7" s="4">
        <v>79335</v>
      </c>
      <c r="Q7" s="4">
        <v>83580</v>
      </c>
      <c r="R7" s="4">
        <v>99053</v>
      </c>
      <c r="AF7" s="7"/>
      <c r="AG7" s="7"/>
      <c r="AH7" s="7"/>
      <c r="AI7" s="7">
        <f>SUM(G7:J7)</f>
        <v>272562</v>
      </c>
      <c r="AJ7" s="4">
        <f t="shared" si="9"/>
        <v>318727</v>
      </c>
      <c r="AK7" s="4">
        <f t="shared" si="10"/>
        <v>337951</v>
      </c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</row>
    <row r="8" spans="1:50" s="4" customFormat="1" hidden="1" outlineLevel="1" x14ac:dyDescent="0.2">
      <c r="B8" s="10" t="s">
        <v>133</v>
      </c>
      <c r="C8" s="4">
        <v>19504</v>
      </c>
      <c r="D8" s="4">
        <v>22323</v>
      </c>
      <c r="E8" s="4">
        <v>24764</v>
      </c>
      <c r="F8" s="4">
        <v>37104</v>
      </c>
      <c r="G8" s="4">
        <v>29397</v>
      </c>
      <c r="H8" s="4">
        <v>30359</v>
      </c>
      <c r="I8" s="4">
        <v>30056</v>
      </c>
      <c r="J8" s="4">
        <v>38899</v>
      </c>
      <c r="K8" s="4">
        <v>30040</v>
      </c>
      <c r="L8" s="4">
        <v>28836</v>
      </c>
      <c r="M8" s="4">
        <v>30186</v>
      </c>
      <c r="N8" s="4">
        <v>36691</v>
      </c>
      <c r="O8" s="4">
        <v>30370</v>
      </c>
      <c r="P8" s="4">
        <v>30592</v>
      </c>
      <c r="Q8" s="4">
        <v>32232</v>
      </c>
      <c r="R8" s="4">
        <v>40662</v>
      </c>
      <c r="AF8" s="7"/>
      <c r="AG8" s="7"/>
      <c r="AH8" s="7"/>
      <c r="AI8" s="7">
        <f t="shared" ref="AI8:AI9" si="20">SUM(G8:J8)</f>
        <v>128711</v>
      </c>
      <c r="AJ8" s="4">
        <f t="shared" si="9"/>
        <v>125753</v>
      </c>
      <c r="AK8" s="4">
        <f t="shared" si="10"/>
        <v>133856</v>
      </c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</row>
    <row r="9" spans="1:50" s="4" customFormat="1" hidden="1" outlineLevel="1" x14ac:dyDescent="0.2">
      <c r="B9" s="10" t="s">
        <v>134</v>
      </c>
      <c r="C9" s="4">
        <v>7144</v>
      </c>
      <c r="D9" s="4">
        <v>7451</v>
      </c>
      <c r="E9" s="4">
        <v>8066</v>
      </c>
      <c r="F9" s="4">
        <v>9178</v>
      </c>
      <c r="G9" s="4">
        <v>9340</v>
      </c>
      <c r="H9" s="4">
        <v>10616</v>
      </c>
      <c r="I9" s="4">
        <v>11227</v>
      </c>
      <c r="J9" s="4">
        <v>12487</v>
      </c>
      <c r="K9" s="4">
        <v>11923</v>
      </c>
      <c r="L9" s="4">
        <v>14024</v>
      </c>
      <c r="M9" s="4">
        <v>15135</v>
      </c>
      <c r="N9" s="4">
        <v>16173</v>
      </c>
      <c r="O9" s="4">
        <v>16231</v>
      </c>
      <c r="P9" s="4">
        <v>16775</v>
      </c>
      <c r="Q9" s="4">
        <v>16083</v>
      </c>
      <c r="R9" s="4">
        <v>17037</v>
      </c>
      <c r="AF9" s="7"/>
      <c r="AG9" s="7"/>
      <c r="AH9" s="7"/>
      <c r="AI9" s="7">
        <f t="shared" si="20"/>
        <v>43670</v>
      </c>
      <c r="AJ9" s="4">
        <f t="shared" si="9"/>
        <v>57255</v>
      </c>
      <c r="AK9" s="4">
        <f t="shared" si="10"/>
        <v>66126</v>
      </c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 spans="1:50" s="11" customFormat="1" hidden="1" outlineLevel="1" x14ac:dyDescent="0.2">
      <c r="B10" s="13" t="s">
        <v>131</v>
      </c>
      <c r="C10" s="11">
        <f t="shared" ref="C10:L10" si="21">SUM(C7:C9)</f>
        <v>71463</v>
      </c>
      <c r="D10" s="11">
        <f t="shared" si="21"/>
        <v>83069</v>
      </c>
      <c r="E10" s="11">
        <f t="shared" si="21"/>
        <v>89951</v>
      </c>
      <c r="F10" s="11">
        <f t="shared" si="21"/>
        <v>118682</v>
      </c>
      <c r="G10" s="11">
        <f t="shared" si="21"/>
        <v>99653</v>
      </c>
      <c r="H10" s="11">
        <f t="shared" si="21"/>
        <v>105378</v>
      </c>
      <c r="I10" s="11">
        <f t="shared" si="21"/>
        <v>105960</v>
      </c>
      <c r="J10" s="11">
        <f t="shared" si="21"/>
        <v>133952</v>
      </c>
      <c r="K10" s="11">
        <f t="shared" si="21"/>
        <v>112775</v>
      </c>
      <c r="L10" s="11">
        <f t="shared" si="21"/>
        <v>117917</v>
      </c>
      <c r="M10" s="11">
        <f>SUM(M7:M9)</f>
        <v>124576</v>
      </c>
      <c r="N10" s="11">
        <f t="shared" ref="N10:R10" si="22">SUM(N7:N9)</f>
        <v>146467</v>
      </c>
      <c r="O10" s="11">
        <f t="shared" si="22"/>
        <v>122584</v>
      </c>
      <c r="P10" s="11">
        <f t="shared" si="22"/>
        <v>126702</v>
      </c>
      <c r="Q10" s="11">
        <f t="shared" si="22"/>
        <v>131895</v>
      </c>
      <c r="R10" s="11">
        <f t="shared" si="22"/>
        <v>156752</v>
      </c>
      <c r="AF10" s="12"/>
      <c r="AG10" s="12"/>
      <c r="AH10" s="12"/>
      <c r="AI10" s="11">
        <f t="shared" ref="AI10:AK10" si="23">SUM(AI7:AI9)</f>
        <v>444943</v>
      </c>
      <c r="AJ10" s="11">
        <f t="shared" si="23"/>
        <v>501735</v>
      </c>
      <c r="AK10" s="11">
        <f t="shared" si="23"/>
        <v>537933</v>
      </c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</row>
    <row r="11" spans="1:50" s="11" customFormat="1" hidden="1" outlineLevel="1" x14ac:dyDescent="0.2">
      <c r="B11" s="10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65"/>
    </row>
    <row r="12" spans="1:50" s="4" customFormat="1" hidden="1" outlineLevel="1" x14ac:dyDescent="0.2">
      <c r="B12" s="10" t="s">
        <v>100</v>
      </c>
      <c r="C12" s="4">
        <f t="shared" ref="C12:L14" si="24">+C3-C7</f>
        <v>1312</v>
      </c>
      <c r="D12" s="4">
        <f t="shared" si="24"/>
        <v>2141</v>
      </c>
      <c r="E12" s="4">
        <f t="shared" si="24"/>
        <v>2252</v>
      </c>
      <c r="F12" s="4">
        <f t="shared" si="24"/>
        <v>2946</v>
      </c>
      <c r="G12" s="4">
        <f t="shared" si="24"/>
        <v>3450</v>
      </c>
      <c r="H12" s="4">
        <f t="shared" si="24"/>
        <v>3147</v>
      </c>
      <c r="I12" s="4">
        <f t="shared" si="24"/>
        <v>880</v>
      </c>
      <c r="J12" s="4">
        <f t="shared" si="24"/>
        <v>-206</v>
      </c>
      <c r="K12" s="4">
        <f t="shared" si="24"/>
        <v>-1568</v>
      </c>
      <c r="L12" s="4">
        <f t="shared" si="24"/>
        <v>-627</v>
      </c>
      <c r="M12" s="4">
        <f>+M3-M7</f>
        <v>-412</v>
      </c>
      <c r="N12" s="4">
        <f t="shared" ref="N12:R12" si="25">+N3-N7</f>
        <v>-240</v>
      </c>
      <c r="O12" s="4">
        <f>+O3-O7</f>
        <v>898</v>
      </c>
      <c r="P12" s="4">
        <f t="shared" si="25"/>
        <v>3211</v>
      </c>
      <c r="Q12" s="4">
        <f t="shared" si="25"/>
        <v>4307</v>
      </c>
      <c r="R12" s="4">
        <f t="shared" si="25"/>
        <v>6461</v>
      </c>
      <c r="AF12" s="7"/>
      <c r="AG12" s="7"/>
      <c r="AH12" s="7">
        <v>8651</v>
      </c>
      <c r="AI12" s="7">
        <v>7271</v>
      </c>
      <c r="AJ12" s="7">
        <f>+SUM(K12:N12)</f>
        <v>-2847</v>
      </c>
      <c r="AK12" s="7">
        <f>SUM(O12:R12)</f>
        <v>14877</v>
      </c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</row>
    <row r="13" spans="1:50" s="4" customFormat="1" hidden="1" outlineLevel="1" x14ac:dyDescent="0.2">
      <c r="B13" s="10" t="s">
        <v>101</v>
      </c>
      <c r="C13" s="4">
        <f t="shared" si="24"/>
        <v>-398</v>
      </c>
      <c r="D13" s="4">
        <f t="shared" si="24"/>
        <v>345</v>
      </c>
      <c r="E13" s="4">
        <f t="shared" si="24"/>
        <v>407</v>
      </c>
      <c r="F13" s="4">
        <f t="shared" si="24"/>
        <v>363</v>
      </c>
      <c r="G13" s="4">
        <f t="shared" si="24"/>
        <v>1252</v>
      </c>
      <c r="H13" s="4">
        <f t="shared" si="24"/>
        <v>362</v>
      </c>
      <c r="I13" s="4">
        <f t="shared" si="24"/>
        <v>-911</v>
      </c>
      <c r="J13" s="4">
        <f t="shared" si="24"/>
        <v>-1627</v>
      </c>
      <c r="K13" s="4">
        <f t="shared" si="24"/>
        <v>-1281</v>
      </c>
      <c r="L13" s="4">
        <f t="shared" si="24"/>
        <v>-1771</v>
      </c>
      <c r="M13" s="4">
        <f t="shared" ref="M13:R14" si="26">+M4-M8</f>
        <v>-2466</v>
      </c>
      <c r="N13" s="4">
        <f t="shared" si="26"/>
        <v>-2228</v>
      </c>
      <c r="O13" s="4">
        <f t="shared" si="26"/>
        <v>-1247</v>
      </c>
      <c r="P13" s="4">
        <f t="shared" si="26"/>
        <v>-895</v>
      </c>
      <c r="Q13" s="4">
        <f t="shared" si="26"/>
        <v>-95</v>
      </c>
      <c r="R13" s="4">
        <f t="shared" si="26"/>
        <v>-419</v>
      </c>
      <c r="AF13" s="7"/>
      <c r="AG13" s="7"/>
      <c r="AH13" s="7">
        <v>717</v>
      </c>
      <c r="AI13" s="7">
        <v>924</v>
      </c>
      <c r="AJ13" s="7">
        <f t="shared" ref="AJ13:AJ14" si="27">+SUM(K13:N13)</f>
        <v>-7746</v>
      </c>
      <c r="AK13" s="7">
        <f t="shared" ref="AK13:AK14" si="28">SUM(O13:R13)</f>
        <v>-2656</v>
      </c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</row>
    <row r="14" spans="1:50" s="4" customFormat="1" hidden="1" outlineLevel="1" x14ac:dyDescent="0.2">
      <c r="B14" s="10" t="s">
        <v>102</v>
      </c>
      <c r="C14" s="4">
        <f t="shared" si="24"/>
        <v>3075</v>
      </c>
      <c r="D14" s="4">
        <f t="shared" si="24"/>
        <v>3357</v>
      </c>
      <c r="E14" s="4">
        <f t="shared" si="24"/>
        <v>3535</v>
      </c>
      <c r="F14" s="4">
        <f t="shared" si="24"/>
        <v>3564</v>
      </c>
      <c r="G14" s="4">
        <f t="shared" si="24"/>
        <v>4163</v>
      </c>
      <c r="H14" s="4">
        <f t="shared" si="24"/>
        <v>4193</v>
      </c>
      <c r="I14" s="4">
        <f t="shared" si="24"/>
        <v>4883</v>
      </c>
      <c r="J14" s="4">
        <f t="shared" si="24"/>
        <v>5293</v>
      </c>
      <c r="K14" s="4">
        <f t="shared" si="24"/>
        <v>6518</v>
      </c>
      <c r="L14" s="4">
        <f t="shared" si="24"/>
        <v>5715</v>
      </c>
      <c r="M14" s="4">
        <f t="shared" si="26"/>
        <v>5403</v>
      </c>
      <c r="N14" s="4">
        <f t="shared" si="26"/>
        <v>5205</v>
      </c>
      <c r="O14" s="4">
        <f t="shared" si="26"/>
        <v>5123</v>
      </c>
      <c r="P14" s="4">
        <f t="shared" si="26"/>
        <v>5365</v>
      </c>
      <c r="Q14" s="4">
        <f t="shared" si="26"/>
        <v>6976</v>
      </c>
      <c r="R14" s="4">
        <f t="shared" si="26"/>
        <v>7167</v>
      </c>
      <c r="AF14" s="7"/>
      <c r="AG14" s="7"/>
      <c r="AH14" s="7">
        <v>13531</v>
      </c>
      <c r="AI14" s="7">
        <v>18532</v>
      </c>
      <c r="AJ14" s="7">
        <f t="shared" si="27"/>
        <v>22841</v>
      </c>
      <c r="AK14" s="7">
        <f t="shared" si="28"/>
        <v>24631</v>
      </c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</row>
    <row r="15" spans="1:50" s="11" customFormat="1" hidden="1" outlineLevel="1" x14ac:dyDescent="0.2">
      <c r="B15" s="13" t="s">
        <v>110</v>
      </c>
      <c r="C15" s="11">
        <f t="shared" ref="C15:L15" si="29">+SUM(C12:C14)</f>
        <v>3989</v>
      </c>
      <c r="D15" s="11">
        <f t="shared" si="29"/>
        <v>5843</v>
      </c>
      <c r="E15" s="11">
        <f t="shared" si="29"/>
        <v>6194</v>
      </c>
      <c r="F15" s="11">
        <f t="shared" si="29"/>
        <v>6873</v>
      </c>
      <c r="G15" s="11">
        <f t="shared" si="29"/>
        <v>8865</v>
      </c>
      <c r="H15" s="11">
        <f t="shared" si="29"/>
        <v>7702</v>
      </c>
      <c r="I15" s="11">
        <f t="shared" si="29"/>
        <v>4852</v>
      </c>
      <c r="J15" s="11">
        <f t="shared" si="29"/>
        <v>3460</v>
      </c>
      <c r="K15" s="11">
        <f t="shared" si="29"/>
        <v>3669</v>
      </c>
      <c r="L15" s="11">
        <f t="shared" si="29"/>
        <v>3317</v>
      </c>
      <c r="M15" s="11">
        <f>+SUM(M12:M14)</f>
        <v>2525</v>
      </c>
      <c r="N15" s="11">
        <f t="shared" ref="N15:R15" si="30">+SUM(N12:N14)</f>
        <v>2737</v>
      </c>
      <c r="O15" s="11">
        <f t="shared" si="30"/>
        <v>4774</v>
      </c>
      <c r="P15" s="11">
        <f t="shared" si="30"/>
        <v>7681</v>
      </c>
      <c r="Q15" s="11">
        <f t="shared" si="30"/>
        <v>11188</v>
      </c>
      <c r="R15" s="11">
        <f t="shared" si="30"/>
        <v>13209</v>
      </c>
      <c r="AH15" s="12">
        <v>13531</v>
      </c>
      <c r="AI15" s="11">
        <f>+SUM(AI12:AI14)</f>
        <v>26727</v>
      </c>
      <c r="AJ15" s="11">
        <f t="shared" ref="AJ15:AK15" si="31">+SUM(AJ12:AJ14)</f>
        <v>12248</v>
      </c>
      <c r="AK15" s="11">
        <f t="shared" si="31"/>
        <v>36852</v>
      </c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</row>
    <row r="16" spans="1:50" s="11" customFormat="1" hidden="1" outlineLevel="1" x14ac:dyDescent="0.2">
      <c r="B16" s="13"/>
      <c r="C16" s="20" t="str">
        <f t="shared" ref="C16:K16" si="32">IF(C15=C59,"m","n")</f>
        <v>m</v>
      </c>
      <c r="D16" s="20" t="str">
        <f t="shared" si="32"/>
        <v>m</v>
      </c>
      <c r="E16" s="20" t="str">
        <f t="shared" si="32"/>
        <v>m</v>
      </c>
      <c r="F16" s="20" t="str">
        <f t="shared" si="32"/>
        <v>m</v>
      </c>
      <c r="G16" s="20" t="str">
        <f t="shared" si="32"/>
        <v>m</v>
      </c>
      <c r="H16" s="20" t="str">
        <f t="shared" si="32"/>
        <v>m</v>
      </c>
      <c r="I16" s="20" t="str">
        <f t="shared" si="32"/>
        <v>m</v>
      </c>
      <c r="J16" s="20" t="str">
        <f t="shared" si="32"/>
        <v>m</v>
      </c>
      <c r="K16" s="20" t="str">
        <f t="shared" si="32"/>
        <v>m</v>
      </c>
      <c r="L16" s="20" t="str">
        <f>IF(L15=L59,"m","n")</f>
        <v>m</v>
      </c>
      <c r="M16" s="20" t="str">
        <f>IF(M15=M59,"m","n")</f>
        <v>m</v>
      </c>
      <c r="N16" s="20" t="str">
        <f t="shared" ref="N16:R16" si="33">IF(N15=N59,"m","n")</f>
        <v>m</v>
      </c>
      <c r="O16" s="20" t="str">
        <f t="shared" si="33"/>
        <v>m</v>
      </c>
      <c r="P16" s="20" t="str">
        <f t="shared" si="33"/>
        <v>m</v>
      </c>
      <c r="Q16" s="20" t="str">
        <f t="shared" si="33"/>
        <v>m</v>
      </c>
      <c r="R16" s="20" t="str">
        <f t="shared" si="33"/>
        <v>m</v>
      </c>
      <c r="AH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</row>
    <row r="17" spans="2:50" s="11" customFormat="1" collapsed="1" x14ac:dyDescent="0.2">
      <c r="B17" s="13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AH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</row>
    <row r="18" spans="2:50" s="11" customFormat="1" x14ac:dyDescent="0.2">
      <c r="B18" s="13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AH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</row>
    <row r="19" spans="2:50" s="4" customFormat="1" x14ac:dyDescent="0.2">
      <c r="B19" s="10" t="s">
        <v>190</v>
      </c>
      <c r="C19" s="19"/>
      <c r="D19" s="19"/>
      <c r="E19" s="19"/>
      <c r="F19" s="19"/>
      <c r="G19" s="19"/>
      <c r="H19" s="19"/>
      <c r="I19" s="19"/>
      <c r="J19" s="19"/>
      <c r="K19" s="19">
        <v>51129</v>
      </c>
      <c r="L19" s="19">
        <v>50855</v>
      </c>
      <c r="M19" s="19">
        <v>53489</v>
      </c>
      <c r="N19" s="19"/>
      <c r="O19" s="19">
        <v>51096</v>
      </c>
      <c r="P19" s="19">
        <v>52966</v>
      </c>
      <c r="Q19" s="19">
        <v>57267</v>
      </c>
      <c r="S19" s="4">
        <v>54670</v>
      </c>
      <c r="AI19" s="4">
        <v>222075</v>
      </c>
      <c r="AJ19" s="4">
        <v>220004</v>
      </c>
      <c r="AK19" s="4">
        <v>231872</v>
      </c>
    </row>
    <row r="20" spans="2:50" s="4" customFormat="1" x14ac:dyDescent="0.2">
      <c r="B20" s="10" t="s">
        <v>191</v>
      </c>
      <c r="C20" s="19"/>
      <c r="D20" s="19"/>
      <c r="E20" s="19"/>
      <c r="F20" s="19"/>
      <c r="G20" s="19"/>
      <c r="H20" s="19"/>
      <c r="I20" s="19"/>
      <c r="J20" s="19"/>
      <c r="K20" s="19">
        <v>4591</v>
      </c>
      <c r="L20" s="19">
        <v>4721</v>
      </c>
      <c r="M20" s="19">
        <v>4694</v>
      </c>
      <c r="N20" s="19"/>
      <c r="O20" s="19">
        <v>4895</v>
      </c>
      <c r="P20" s="19">
        <v>5024</v>
      </c>
      <c r="Q20" s="19">
        <v>4959</v>
      </c>
      <c r="S20" s="4">
        <v>5202</v>
      </c>
      <c r="AI20" s="4">
        <v>17075</v>
      </c>
      <c r="AJ20" s="4">
        <v>18963</v>
      </c>
      <c r="AK20" s="4">
        <v>20030</v>
      </c>
    </row>
    <row r="21" spans="2:50" s="4" customFormat="1" x14ac:dyDescent="0.2">
      <c r="B21" s="10" t="s">
        <v>192</v>
      </c>
      <c r="C21" s="19"/>
      <c r="D21" s="19"/>
      <c r="E21" s="19"/>
      <c r="F21" s="19"/>
      <c r="G21" s="19"/>
      <c r="H21" s="19"/>
      <c r="I21" s="19"/>
      <c r="J21" s="19"/>
      <c r="K21" s="19">
        <v>25335</v>
      </c>
      <c r="L21" s="19">
        <v>27376</v>
      </c>
      <c r="M21" s="19">
        <v>28666</v>
      </c>
      <c r="N21" s="19"/>
      <c r="O21" s="19">
        <v>29820</v>
      </c>
      <c r="P21" s="19">
        <v>32332</v>
      </c>
      <c r="Q21" s="19">
        <v>34342</v>
      </c>
      <c r="S21" s="4">
        <v>34596</v>
      </c>
      <c r="AI21" s="4">
        <v>103366</v>
      </c>
      <c r="AJ21" s="4">
        <v>117716</v>
      </c>
      <c r="AK21" s="4">
        <v>140053</v>
      </c>
    </row>
    <row r="22" spans="2:50" s="4" customFormat="1" x14ac:dyDescent="0.2">
      <c r="B22" s="10" t="s">
        <v>193</v>
      </c>
      <c r="C22" s="19"/>
      <c r="D22" s="19"/>
      <c r="E22" s="19"/>
      <c r="F22" s="19"/>
      <c r="G22" s="19"/>
      <c r="H22" s="19"/>
      <c r="I22" s="19"/>
      <c r="J22" s="19"/>
      <c r="K22" s="19">
        <v>8410</v>
      </c>
      <c r="L22" s="19">
        <v>8716</v>
      </c>
      <c r="M22" s="19">
        <v>8903</v>
      </c>
      <c r="N22" s="19"/>
      <c r="O22" s="19">
        <v>9509</v>
      </c>
      <c r="P22" s="19">
        <v>9894</v>
      </c>
      <c r="Q22" s="19">
        <v>10170</v>
      </c>
      <c r="S22" s="4">
        <v>11824</v>
      </c>
      <c r="AI22" s="4">
        <v>31160</v>
      </c>
      <c r="AJ22" s="4">
        <v>37739</v>
      </c>
      <c r="AK22" s="4">
        <v>46906</v>
      </c>
    </row>
    <row r="23" spans="2:50" s="4" customFormat="1" x14ac:dyDescent="0.2">
      <c r="B23" s="10" t="s">
        <v>194</v>
      </c>
      <c r="C23" s="19"/>
      <c r="D23" s="19"/>
      <c r="E23" s="19"/>
      <c r="F23" s="19"/>
      <c r="G23" s="19"/>
      <c r="H23" s="19"/>
      <c r="I23" s="19"/>
      <c r="J23" s="19"/>
      <c r="K23" s="19">
        <v>7877</v>
      </c>
      <c r="L23" s="19">
        <v>8757</v>
      </c>
      <c r="M23" s="19">
        <v>9548</v>
      </c>
      <c r="N23" s="19"/>
      <c r="O23" s="19">
        <v>9657</v>
      </c>
      <c r="P23" s="19">
        <v>10683</v>
      </c>
      <c r="Q23" s="19">
        <v>12060</v>
      </c>
      <c r="S23" s="4">
        <v>10722</v>
      </c>
      <c r="AI23" s="4">
        <v>31768</v>
      </c>
      <c r="AJ23" s="4">
        <v>35218</v>
      </c>
      <c r="AK23" s="4">
        <v>40209</v>
      </c>
    </row>
    <row r="24" spans="2:50" s="4" customFormat="1" x14ac:dyDescent="0.2">
      <c r="B24" s="10" t="s">
        <v>102</v>
      </c>
      <c r="C24" s="19"/>
      <c r="D24" s="19"/>
      <c r="E24" s="19"/>
      <c r="F24" s="19"/>
      <c r="G24" s="19"/>
      <c r="H24" s="19"/>
      <c r="I24" s="19"/>
      <c r="J24" s="19"/>
      <c r="K24" s="19">
        <v>18441</v>
      </c>
      <c r="L24" s="19">
        <v>19739</v>
      </c>
      <c r="M24" s="19">
        <v>20538</v>
      </c>
      <c r="N24" s="19"/>
      <c r="O24" s="19">
        <v>21354</v>
      </c>
      <c r="P24" s="19">
        <v>22140</v>
      </c>
      <c r="Q24" s="19">
        <v>23059</v>
      </c>
      <c r="S24" s="4">
        <v>25037</v>
      </c>
      <c r="AI24" s="4">
        <v>62202</v>
      </c>
      <c r="AJ24" s="4">
        <v>80096</v>
      </c>
      <c r="AK24" s="4">
        <v>90757</v>
      </c>
    </row>
    <row r="25" spans="2:50" s="4" customFormat="1" x14ac:dyDescent="0.2">
      <c r="B25" s="10" t="s">
        <v>195</v>
      </c>
      <c r="C25" s="19"/>
      <c r="D25" s="19"/>
      <c r="E25" s="19"/>
      <c r="F25" s="19"/>
      <c r="G25" s="19"/>
      <c r="H25" s="19"/>
      <c r="I25" s="19"/>
      <c r="J25" s="19"/>
      <c r="K25" s="19">
        <v>661</v>
      </c>
      <c r="L25" s="19">
        <v>1070</v>
      </c>
      <c r="M25" s="19">
        <v>1263</v>
      </c>
      <c r="N25" s="19"/>
      <c r="O25" s="19">
        <v>1027</v>
      </c>
      <c r="P25" s="19">
        <v>1344</v>
      </c>
      <c r="Q25" s="19">
        <v>1226</v>
      </c>
      <c r="S25" s="4">
        <v>1262</v>
      </c>
      <c r="AI25" s="4">
        <v>2176</v>
      </c>
      <c r="AJ25" s="4">
        <v>4247</v>
      </c>
      <c r="AK25" s="4">
        <v>4958</v>
      </c>
    </row>
    <row r="26" spans="2:50" s="11" customFormat="1" x14ac:dyDescent="0.2">
      <c r="B26" s="13"/>
      <c r="C26" s="20"/>
      <c r="D26" s="20"/>
      <c r="E26" s="20"/>
      <c r="F26" s="20"/>
      <c r="G26" s="20"/>
      <c r="H26" s="20"/>
      <c r="I26" s="20"/>
      <c r="J26" s="20"/>
      <c r="K26" s="11" t="b">
        <f>+SUM(K19:K25)=K51</f>
        <v>1</v>
      </c>
      <c r="L26" s="11" t="b">
        <f>+SUM(L19:L25)=L51</f>
        <v>1</v>
      </c>
      <c r="M26" s="11" t="b">
        <f>+SUM(M19:M25)=M51</f>
        <v>1</v>
      </c>
      <c r="N26" s="20"/>
      <c r="O26" s="11" t="b">
        <f>+SUM(O19:O25)=O51</f>
        <v>1</v>
      </c>
      <c r="P26" s="11" t="b">
        <f>+SUM(P19:P25)=P51</f>
        <v>1</v>
      </c>
      <c r="Q26" s="11" t="b">
        <f>+SUM(Q19:Q25)=Q51</f>
        <v>1</v>
      </c>
      <c r="R26" s="20"/>
      <c r="S26" s="11" t="b">
        <f>+SUM(S19:S25)=S51</f>
        <v>1</v>
      </c>
      <c r="AH26" s="12"/>
      <c r="AI26" s="11" t="b">
        <f>+SUM(AI19:AI25)=AI51</f>
        <v>1</v>
      </c>
      <c r="AJ26" s="11" t="b">
        <f>+SUM(AJ19:AJ25)=AJ51</f>
        <v>1</v>
      </c>
      <c r="AK26" s="11" t="b">
        <f>+SUM(AK19:AK25)=AK51</f>
        <v>1</v>
      </c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</row>
    <row r="27" spans="2:50" s="11" customFormat="1" x14ac:dyDescent="0.2">
      <c r="B27" s="13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AH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</row>
    <row r="28" spans="2:50" s="4" customFormat="1" x14ac:dyDescent="0.2">
      <c r="B28" s="10" t="s">
        <v>190</v>
      </c>
      <c r="C28" s="19"/>
      <c r="D28" s="19"/>
      <c r="E28" s="19"/>
      <c r="F28" s="19"/>
      <c r="G28" s="19"/>
      <c r="H28" s="19"/>
      <c r="I28" s="19"/>
      <c r="J28" s="19"/>
      <c r="K28" s="15">
        <f>+K19/K$51</f>
        <v>0.43908659956717394</v>
      </c>
      <c r="L28" s="15">
        <f>+L19/L$51</f>
        <v>0.41947803421482421</v>
      </c>
      <c r="M28" s="15">
        <f>+M19/M$51</f>
        <v>0.42083854572347973</v>
      </c>
      <c r="N28" s="19"/>
      <c r="O28" s="15">
        <f>+O19/O$51</f>
        <v>0.40119976758428993</v>
      </c>
      <c r="P28" s="15">
        <f>+P19/P$51</f>
        <v>0.39414211619029194</v>
      </c>
      <c r="Q28" s="15">
        <f>+Q19/Q$51</f>
        <v>0.4002362265258626</v>
      </c>
      <c r="R28" s="19"/>
      <c r="S28" s="15">
        <f>+S19/S$51</f>
        <v>0.38147272054872899</v>
      </c>
      <c r="AH28" s="7"/>
      <c r="AI28" s="71">
        <f>+AI19/AI$51</f>
        <v>0.47267901460553147</v>
      </c>
      <c r="AJ28" s="71">
        <f>+AJ19/AJ$51</f>
        <v>0.42803750318590306</v>
      </c>
      <c r="AK28" s="71">
        <f>+AK19/AK$51</f>
        <v>0.40340649112276766</v>
      </c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</row>
    <row r="29" spans="2:50" s="4" customFormat="1" x14ac:dyDescent="0.2">
      <c r="B29" s="10" t="s">
        <v>191</v>
      </c>
      <c r="C29" s="19"/>
      <c r="D29" s="19"/>
      <c r="E29" s="19"/>
      <c r="F29" s="19"/>
      <c r="G29" s="19"/>
      <c r="H29" s="19"/>
      <c r="I29" s="19"/>
      <c r="J29" s="19"/>
      <c r="K29" s="15">
        <f t="shared" ref="K29" si="34">+K20/K$51</f>
        <v>3.9426677201058018E-2</v>
      </c>
      <c r="L29" s="15">
        <f t="shared" ref="L29:M29" si="35">+L20/L$51</f>
        <v>3.8941221109589717E-2</v>
      </c>
      <c r="M29" s="15">
        <f t="shared" si="35"/>
        <v>3.6931259392136963E-2</v>
      </c>
      <c r="N29" s="19"/>
      <c r="O29" s="15">
        <f t="shared" ref="O29:Q29" si="36">+O20/O$51</f>
        <v>3.8434962860597686E-2</v>
      </c>
      <c r="P29" s="15">
        <f t="shared" si="36"/>
        <v>3.7385681224559653E-2</v>
      </c>
      <c r="Q29" s="15">
        <f t="shared" si="36"/>
        <v>3.4658205377298489E-2</v>
      </c>
      <c r="R29" s="19"/>
      <c r="S29" s="15">
        <f t="shared" ref="S29" si="37">+S20/S$51</f>
        <v>3.6298172531452136E-2</v>
      </c>
      <c r="AH29" s="7"/>
      <c r="AI29" s="15">
        <f t="shared" ref="AI29:AK34" si="38">+AI20/AI$51</f>
        <v>3.6343551387546774E-2</v>
      </c>
      <c r="AJ29" s="15">
        <f t="shared" si="38"/>
        <v>3.68942163456768E-2</v>
      </c>
      <c r="AK29" s="15">
        <f t="shared" si="38"/>
        <v>3.4847812660386057E-2</v>
      </c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</row>
    <row r="30" spans="2:50" s="4" customFormat="1" x14ac:dyDescent="0.2">
      <c r="B30" s="10" t="s">
        <v>196</v>
      </c>
      <c r="C30" s="19"/>
      <c r="D30" s="19"/>
      <c r="E30" s="19"/>
      <c r="F30" s="19"/>
      <c r="G30" s="19"/>
      <c r="H30" s="19"/>
      <c r="I30" s="19"/>
      <c r="J30" s="19"/>
      <c r="K30" s="15">
        <f t="shared" ref="K30" si="39">+K21/K$51</f>
        <v>0.21757239531448594</v>
      </c>
      <c r="L30" s="15">
        <f t="shared" ref="L30:M30" si="40">+L21/L$51</f>
        <v>0.22581124107098668</v>
      </c>
      <c r="M30" s="15">
        <f t="shared" si="40"/>
        <v>0.22553717122603284</v>
      </c>
      <c r="N30" s="19"/>
      <c r="O30" s="15">
        <f t="shared" ref="O30:Q30" si="41">+O21/O$51</f>
        <v>0.2341431241068484</v>
      </c>
      <c r="P30" s="15">
        <f t="shared" si="41"/>
        <v>0.24059590870869083</v>
      </c>
      <c r="Q30" s="15">
        <f t="shared" si="41"/>
        <v>0.24001453701697617</v>
      </c>
      <c r="R30" s="19"/>
      <c r="S30" s="15">
        <f t="shared" ref="S30" si="42">+S21/S$51</f>
        <v>0.24140168721609345</v>
      </c>
      <c r="AH30" s="7"/>
      <c r="AI30" s="15">
        <f t="shared" si="38"/>
        <v>0.22001098288287904</v>
      </c>
      <c r="AJ30" s="15">
        <f t="shared" si="38"/>
        <v>0.22902703007687025</v>
      </c>
      <c r="AK30" s="15">
        <f t="shared" si="38"/>
        <v>0.24366154301173482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</row>
    <row r="31" spans="2:50" s="4" customFormat="1" x14ac:dyDescent="0.2">
      <c r="B31" s="10" t="s">
        <v>193</v>
      </c>
      <c r="C31" s="19"/>
      <c r="D31" s="19"/>
      <c r="E31" s="19"/>
      <c r="F31" s="19"/>
      <c r="G31" s="19"/>
      <c r="H31" s="19"/>
      <c r="I31" s="19"/>
      <c r="J31" s="19"/>
      <c r="K31" s="15">
        <f t="shared" ref="K31" si="43">+K22/K$51</f>
        <v>7.2223558105183605E-2</v>
      </c>
      <c r="L31" s="15">
        <f t="shared" ref="L31:M31" si="44">+L22/L$51</f>
        <v>7.1894023128825243E-2</v>
      </c>
      <c r="M31" s="15">
        <f t="shared" si="44"/>
        <v>7.0046655809159641E-2</v>
      </c>
      <c r="N31" s="19"/>
      <c r="O31" s="15">
        <f t="shared" ref="O31:Q31" si="45">+O22/O$51</f>
        <v>7.4663546852180462E-2</v>
      </c>
      <c r="P31" s="15">
        <f t="shared" si="45"/>
        <v>7.3625384163175406E-2</v>
      </c>
      <c r="Q31" s="15">
        <f t="shared" si="45"/>
        <v>7.1077626272862598E-2</v>
      </c>
      <c r="R31" s="19"/>
      <c r="S31" s="15">
        <f t="shared" ref="S31" si="46">+S22/S$51</f>
        <v>8.2504727414819318E-2</v>
      </c>
      <c r="AH31" s="7"/>
      <c r="AI31" s="15">
        <f t="shared" si="38"/>
        <v>6.632299040913367E-2</v>
      </c>
      <c r="AJ31" s="15">
        <f t="shared" si="38"/>
        <v>7.3424607428650368E-2</v>
      </c>
      <c r="AK31" s="15">
        <f t="shared" si="38"/>
        <v>8.1606165783727827E-2</v>
      </c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</row>
    <row r="32" spans="2:50" s="4" customFormat="1" x14ac:dyDescent="0.2">
      <c r="B32" s="10" t="s">
        <v>194</v>
      </c>
      <c r="C32" s="19"/>
      <c r="D32" s="19"/>
      <c r="E32" s="19"/>
      <c r="F32" s="19"/>
      <c r="G32" s="19"/>
      <c r="H32" s="19"/>
      <c r="I32" s="19"/>
      <c r="J32" s="19"/>
      <c r="K32" s="15">
        <f t="shared" ref="K32" si="47">+K23/K$51</f>
        <v>6.7646250558208235E-2</v>
      </c>
      <c r="L32" s="15">
        <f t="shared" ref="L32:M32" si="48">+L23/L$51</f>
        <v>7.2232212085718533E-2</v>
      </c>
      <c r="M32" s="15">
        <f t="shared" si="48"/>
        <v>7.5121360178126054E-2</v>
      </c>
      <c r="N32" s="19"/>
      <c r="O32" s="15">
        <f t="shared" ref="O32:Q32" si="49">+O23/O$51</f>
        <v>7.5825625402408961E-2</v>
      </c>
      <c r="P32" s="15">
        <f t="shared" si="49"/>
        <v>7.9496662524277631E-2</v>
      </c>
      <c r="Q32" s="15">
        <f t="shared" si="49"/>
        <v>8.4286742659854766E-2</v>
      </c>
      <c r="R32" s="19"/>
      <c r="S32" s="15">
        <f t="shared" ref="S32" si="50">+S23/S$51</f>
        <v>7.4815264491009184E-2</v>
      </c>
      <c r="AH32" s="7"/>
      <c r="AI32" s="15">
        <f t="shared" si="38"/>
        <v>6.7617097539067986E-2</v>
      </c>
      <c r="AJ32" s="15">
        <f t="shared" si="38"/>
        <v>6.8519775945897046E-2</v>
      </c>
      <c r="AK32" s="15">
        <f t="shared" si="38"/>
        <v>6.9954852684047081E-2</v>
      </c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</row>
    <row r="33" spans="2:50" s="4" customFormat="1" x14ac:dyDescent="0.2">
      <c r="B33" s="10" t="s">
        <v>102</v>
      </c>
      <c r="C33" s="19"/>
      <c r="D33" s="19"/>
      <c r="E33" s="19"/>
      <c r="F33" s="19"/>
      <c r="G33" s="19"/>
      <c r="H33" s="19"/>
      <c r="I33" s="19"/>
      <c r="J33" s="19"/>
      <c r="K33" s="15">
        <f t="shared" ref="K33" si="51">+K24/K$51</f>
        <v>0.15836797087011784</v>
      </c>
      <c r="L33" s="15">
        <f t="shared" ref="L33:M33" si="52">+L24/L$51</f>
        <v>0.16281736146625533</v>
      </c>
      <c r="M33" s="15">
        <f t="shared" si="52"/>
        <v>0.16158802841834446</v>
      </c>
      <c r="N33" s="19"/>
      <c r="O33" s="15">
        <f t="shared" ref="O33:Q33" si="53">+O24/O$51</f>
        <v>0.16766909028094035</v>
      </c>
      <c r="P33" s="15">
        <f t="shared" si="53"/>
        <v>0.16475298214803955</v>
      </c>
      <c r="Q33" s="15">
        <f t="shared" si="53"/>
        <v>0.16115820887177373</v>
      </c>
      <c r="R33" s="19"/>
      <c r="S33" s="15">
        <f t="shared" ref="S33" si="54">+S24/S$51</f>
        <v>0.17470152742598369</v>
      </c>
      <c r="AH33" s="7"/>
      <c r="AI33" s="70">
        <f t="shared" si="38"/>
        <v>0.13239482186870771</v>
      </c>
      <c r="AJ33" s="70">
        <f t="shared" si="38"/>
        <v>0.15583394781539467</v>
      </c>
      <c r="AK33" s="70">
        <f t="shared" si="38"/>
        <v>0.15789730072983812</v>
      </c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</row>
    <row r="34" spans="2:50" s="4" customFormat="1" x14ac:dyDescent="0.2">
      <c r="B34" s="10" t="s">
        <v>195</v>
      </c>
      <c r="C34" s="19"/>
      <c r="D34" s="19"/>
      <c r="E34" s="19"/>
      <c r="F34" s="19"/>
      <c r="G34" s="19"/>
      <c r="H34" s="19"/>
      <c r="I34" s="19"/>
      <c r="J34" s="19"/>
      <c r="K34" s="15">
        <f t="shared" ref="K34" si="55">+K25/K$51</f>
        <v>5.6765483837724574E-3</v>
      </c>
      <c r="L34" s="15">
        <f t="shared" ref="L34:M34" si="56">+L25/L$51</f>
        <v>8.8259069238002547E-3</v>
      </c>
      <c r="M34" s="15">
        <f t="shared" si="56"/>
        <v>9.9369792527202773E-3</v>
      </c>
      <c r="N34" s="19"/>
      <c r="O34" s="15">
        <f t="shared" ref="O34:Q34" si="57">+O25/O$51</f>
        <v>8.063882912734183E-3</v>
      </c>
      <c r="P34" s="15">
        <f t="shared" si="57"/>
        <v>1.0001265040965003E-2</v>
      </c>
      <c r="Q34" s="15">
        <f t="shared" si="57"/>
        <v>8.5684532753716371E-3</v>
      </c>
      <c r="R34" s="19"/>
      <c r="S34" s="15">
        <f t="shared" ref="S34" si="58">+S25/S$51</f>
        <v>8.8059003719132244E-3</v>
      </c>
      <c r="AH34" s="7"/>
      <c r="AI34" s="15">
        <f t="shared" si="38"/>
        <v>4.6315413071333399E-3</v>
      </c>
      <c r="AJ34" s="15">
        <f t="shared" si="38"/>
        <v>8.2629192016078351E-3</v>
      </c>
      <c r="AK34" s="15">
        <f t="shared" si="38"/>
        <v>8.6258340074984556E-3</v>
      </c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</row>
    <row r="35" spans="2:50" s="11" customFormat="1" x14ac:dyDescent="0.2">
      <c r="B35" s="13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AH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</row>
    <row r="36" spans="2:50" s="11" customFormat="1" x14ac:dyDescent="0.2">
      <c r="B36" s="13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AH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</row>
    <row r="37" spans="2:50" s="4" customFormat="1" x14ac:dyDescent="0.2">
      <c r="B37" s="10" t="s">
        <v>104</v>
      </c>
      <c r="C37" s="17">
        <f t="shared" ref="C37:M37" si="59">+C12/C3</f>
        <v>2.8443211134476554E-2</v>
      </c>
      <c r="D37" s="17">
        <f t="shared" si="59"/>
        <v>3.8621112634389207E-2</v>
      </c>
      <c r="E37" s="17">
        <f t="shared" si="59"/>
        <v>3.7929698684587274E-2</v>
      </c>
      <c r="F37" s="17">
        <f t="shared" si="59"/>
        <v>3.9099620417805854E-2</v>
      </c>
      <c r="G37" s="17">
        <f t="shared" si="59"/>
        <v>5.3599726563713763E-2</v>
      </c>
      <c r="H37" s="17">
        <f t="shared" si="59"/>
        <v>4.6587712805329383E-2</v>
      </c>
      <c r="I37" s="17">
        <f t="shared" si="59"/>
        <v>1.3423433043000747E-2</v>
      </c>
      <c r="J37" s="17">
        <f t="shared" si="59"/>
        <v>-2.5012141816415736E-3</v>
      </c>
      <c r="K37" s="17">
        <f t="shared" si="59"/>
        <v>-2.2644561261625555E-2</v>
      </c>
      <c r="L37" s="17">
        <f t="shared" si="59"/>
        <v>-8.4240225715437322E-3</v>
      </c>
      <c r="M37" s="17">
        <f t="shared" si="59"/>
        <v>-5.2255748766536023E-3</v>
      </c>
      <c r="N37" s="17">
        <f t="shared" ref="N37" si="60">+N12/N3</f>
        <v>-2.5706114842068057E-3</v>
      </c>
      <c r="O37" s="17">
        <f t="shared" ref="O37:R37" si="61">+O12/O3</f>
        <v>1.1680389172877564E-2</v>
      </c>
      <c r="P37" s="17">
        <f t="shared" si="61"/>
        <v>3.8899522690378698E-2</v>
      </c>
      <c r="Q37" s="17">
        <f t="shared" si="61"/>
        <v>4.9006110118675117E-2</v>
      </c>
      <c r="R37" s="17">
        <f t="shared" si="61"/>
        <v>6.1233580377959326E-2</v>
      </c>
      <c r="AE37" s="11"/>
      <c r="AF37" s="17"/>
      <c r="AG37" s="17"/>
      <c r="AH37" s="17">
        <f>+AH12/AH3</f>
        <v>3.6613030192735797E-2</v>
      </c>
      <c r="AI37" s="17">
        <f>+AI12/AI3</f>
        <v>2.5983354357777676E-2</v>
      </c>
      <c r="AJ37" s="17">
        <f t="shared" ref="AJ37:AK37" si="62">+AJ12/AJ3</f>
        <v>-9.0129162973280989E-3</v>
      </c>
      <c r="AK37" s="17">
        <f t="shared" si="62"/>
        <v>4.2165020916707291E-2</v>
      </c>
      <c r="AL37" s="17"/>
      <c r="AM37" s="17"/>
      <c r="AN37" s="17"/>
      <c r="AO37" s="17"/>
      <c r="AP37" s="17"/>
      <c r="AQ37" s="17"/>
      <c r="AR37" s="17"/>
      <c r="AS37" s="17"/>
      <c r="AT37" s="7"/>
      <c r="AU37" s="7"/>
      <c r="AV37" s="7"/>
      <c r="AW37" s="7"/>
      <c r="AX37" s="7"/>
    </row>
    <row r="38" spans="2:50" s="4" customFormat="1" x14ac:dyDescent="0.2">
      <c r="B38" s="10" t="s">
        <v>106</v>
      </c>
      <c r="C38" s="17">
        <f t="shared" ref="C38:M38" si="63">+C13/C4</f>
        <v>-2.0831152517533758E-2</v>
      </c>
      <c r="D38" s="17">
        <f t="shared" si="63"/>
        <v>1.5219692959237693E-2</v>
      </c>
      <c r="E38" s="17">
        <f t="shared" si="63"/>
        <v>1.6169401295141234E-2</v>
      </c>
      <c r="F38" s="17">
        <f t="shared" si="63"/>
        <v>9.6885259027944589E-3</v>
      </c>
      <c r="G38" s="17">
        <f t="shared" si="63"/>
        <v>4.084961988971908E-2</v>
      </c>
      <c r="H38" s="17">
        <f t="shared" si="63"/>
        <v>1.178347059015006E-2</v>
      </c>
      <c r="I38" s="17">
        <f t="shared" si="63"/>
        <v>-3.1257505575570423E-2</v>
      </c>
      <c r="J38" s="17">
        <f t="shared" si="63"/>
        <v>-4.3652071259927025E-2</v>
      </c>
      <c r="K38" s="17">
        <f t="shared" si="63"/>
        <v>-4.4542577975590247E-2</v>
      </c>
      <c r="L38" s="17">
        <f t="shared" si="63"/>
        <v>-6.5435063735451687E-2</v>
      </c>
      <c r="M38" s="17">
        <f t="shared" si="63"/>
        <v>-8.8961038961038963E-2</v>
      </c>
      <c r="N38" s="17">
        <f t="shared" ref="N38" si="64">+N13/N4</f>
        <v>-6.4649043902155937E-2</v>
      </c>
      <c r="O38" s="17">
        <f t="shared" ref="O38:R38" si="65">+O13/O4</f>
        <v>-4.2818390962469526E-2</v>
      </c>
      <c r="P38" s="17">
        <f t="shared" si="65"/>
        <v>-3.0137724349260868E-2</v>
      </c>
      <c r="Q38" s="17">
        <f t="shared" si="65"/>
        <v>-2.9560942216137163E-3</v>
      </c>
      <c r="R38" s="17">
        <f t="shared" si="65"/>
        <v>-1.0411748627090425E-2</v>
      </c>
      <c r="AF38" s="17"/>
      <c r="AG38" s="17"/>
      <c r="AH38" s="17">
        <f>+AH13/AH4</f>
        <v>6.8670267785312031E-3</v>
      </c>
      <c r="AI38" s="17">
        <f>+AI13/AI4</f>
        <v>7.2307824739605746E-3</v>
      </c>
      <c r="AJ38" s="17">
        <f t="shared" ref="AJ38:AK38" si="66">+AJ13/AJ4</f>
        <v>-6.5640173887989692E-2</v>
      </c>
      <c r="AK38" s="17">
        <f t="shared" si="66"/>
        <v>-2.0243902439024391E-2</v>
      </c>
      <c r="AL38" s="17"/>
      <c r="AM38" s="17"/>
      <c r="AN38" s="17"/>
      <c r="AO38" s="17"/>
      <c r="AP38" s="17"/>
      <c r="AQ38" s="17"/>
      <c r="AR38" s="17"/>
      <c r="AS38" s="17"/>
      <c r="AT38" s="7"/>
      <c r="AU38" s="7"/>
      <c r="AV38" s="7"/>
      <c r="AW38" s="7"/>
      <c r="AX38" s="7"/>
    </row>
    <row r="39" spans="2:50" s="15" customFormat="1" x14ac:dyDescent="0.2">
      <c r="B39" s="14" t="s">
        <v>105</v>
      </c>
      <c r="C39" s="22">
        <f t="shared" ref="C39:M39" si="67">+C14/C5</f>
        <v>0.30091006947842253</v>
      </c>
      <c r="D39" s="22">
        <f t="shared" si="67"/>
        <v>0.31060325684678014</v>
      </c>
      <c r="E39" s="22">
        <f t="shared" si="67"/>
        <v>0.30471511076631325</v>
      </c>
      <c r="F39" s="22">
        <f t="shared" si="67"/>
        <v>0.27970491288651705</v>
      </c>
      <c r="G39" s="22">
        <f t="shared" si="67"/>
        <v>0.30830185884618233</v>
      </c>
      <c r="H39" s="22">
        <f t="shared" si="67"/>
        <v>0.28313863191302585</v>
      </c>
      <c r="I39" s="22">
        <f t="shared" si="67"/>
        <v>0.3031036623215394</v>
      </c>
      <c r="J39" s="22">
        <f t="shared" si="67"/>
        <v>0.29769403824521934</v>
      </c>
      <c r="K39" s="22">
        <f t="shared" si="67"/>
        <v>0.35345154818068436</v>
      </c>
      <c r="L39" s="22">
        <f t="shared" si="67"/>
        <v>0.28952834490095747</v>
      </c>
      <c r="M39" s="22">
        <f t="shared" si="67"/>
        <v>0.26307332749050538</v>
      </c>
      <c r="N39" s="22">
        <f t="shared" ref="N39" si="68">+N14/N5</f>
        <v>0.24347460005613247</v>
      </c>
      <c r="O39" s="22">
        <f t="shared" ref="O39:R39" si="69">+O14/O5</f>
        <v>0.23990821391776718</v>
      </c>
      <c r="P39" s="22">
        <f t="shared" si="69"/>
        <v>0.2423215898825655</v>
      </c>
      <c r="Q39" s="22">
        <f t="shared" si="69"/>
        <v>0.30252829697731903</v>
      </c>
      <c r="R39" s="22">
        <f t="shared" si="69"/>
        <v>0.29610808130887456</v>
      </c>
      <c r="AF39" s="17"/>
      <c r="AG39" s="17"/>
      <c r="AH39" s="17">
        <f>+AH14/AH5</f>
        <v>0.29823672029975756</v>
      </c>
      <c r="AI39" s="17">
        <f>+AI14/AI5</f>
        <v>0.29793254236198191</v>
      </c>
      <c r="AJ39" s="17">
        <f t="shared" ref="AJ39:AK39" si="70">+AJ14/AJ5</f>
        <v>0.28517029564522572</v>
      </c>
      <c r="AK39" s="17">
        <f t="shared" si="70"/>
        <v>0.27139504390845887</v>
      </c>
      <c r="AL39" s="17"/>
      <c r="AM39" s="17"/>
      <c r="AN39" s="17"/>
      <c r="AO39" s="17"/>
      <c r="AP39" s="17"/>
      <c r="AQ39" s="17"/>
      <c r="AR39" s="17"/>
      <c r="AS39" s="17"/>
    </row>
    <row r="40" spans="2:50" s="4" customFormat="1" x14ac:dyDescent="0.2">
      <c r="B40" s="10" t="s">
        <v>107</v>
      </c>
      <c r="C40" s="17">
        <f t="shared" ref="C40:M40" si="71">+C15/C6</f>
        <v>5.2868048560674334E-2</v>
      </c>
      <c r="D40" s="17">
        <f t="shared" si="71"/>
        <v>6.5716663667446468E-2</v>
      </c>
      <c r="E40" s="17">
        <f t="shared" si="71"/>
        <v>6.4423526964480726E-2</v>
      </c>
      <c r="F40" s="17">
        <f t="shared" si="71"/>
        <v>5.4740950181195493E-2</v>
      </c>
      <c r="G40" s="17">
        <f t="shared" si="71"/>
        <v>8.1691516614755155E-2</v>
      </c>
      <c r="H40" s="17">
        <f t="shared" si="71"/>
        <v>6.8111071807569867E-2</v>
      </c>
      <c r="I40" s="17">
        <f t="shared" si="71"/>
        <v>4.3785871566256365E-2</v>
      </c>
      <c r="J40" s="17">
        <f t="shared" si="71"/>
        <v>2.5179751404535267E-2</v>
      </c>
      <c r="K40" s="17">
        <f t="shared" si="71"/>
        <v>3.1508708048504003E-2</v>
      </c>
      <c r="L40" s="17">
        <f t="shared" si="71"/>
        <v>2.7360311463780786E-2</v>
      </c>
      <c r="M40" s="17">
        <f t="shared" si="71"/>
        <v>1.986609074672898E-2</v>
      </c>
      <c r="N40" s="17">
        <f t="shared" ref="N40" si="72">+N15/N6</f>
        <v>1.8344012224873328E-2</v>
      </c>
      <c r="O40" s="17">
        <f t="shared" ref="O40:R40" si="73">+O15/O6</f>
        <v>3.7484885126964934E-2</v>
      </c>
      <c r="P40" s="17">
        <f t="shared" si="73"/>
        <v>5.7157527365812637E-2</v>
      </c>
      <c r="Q40" s="17">
        <f t="shared" si="73"/>
        <v>7.8192377850618167E-2</v>
      </c>
      <c r="R40" s="17">
        <f t="shared" si="73"/>
        <v>7.771782938438819E-2</v>
      </c>
      <c r="AF40" s="17"/>
      <c r="AG40" s="17"/>
      <c r="AH40" s="17">
        <f>+AH15/AH6</f>
        <v>3.5048592979402382E-2</v>
      </c>
      <c r="AI40" s="17">
        <f>+AI15/AI6</f>
        <v>5.6887502075254032E-2</v>
      </c>
      <c r="AJ40" s="17">
        <f t="shared" ref="AJ40:AK40" si="74">+AJ15/AJ6</f>
        <v>2.3829581912242232E-2</v>
      </c>
      <c r="AK40" s="17">
        <f t="shared" si="74"/>
        <v>6.4114407996033296E-2</v>
      </c>
      <c r="AL40" s="17"/>
      <c r="AM40" s="17"/>
      <c r="AN40" s="17"/>
      <c r="AO40" s="17"/>
      <c r="AP40" s="17"/>
      <c r="AQ40" s="17"/>
      <c r="AR40" s="17"/>
      <c r="AS40" s="17"/>
      <c r="AT40" s="7"/>
      <c r="AU40" s="7"/>
      <c r="AV40" s="7"/>
      <c r="AW40" s="7"/>
      <c r="AX40" s="7"/>
    </row>
    <row r="41" spans="2:50" s="11" customFormat="1" x14ac:dyDescent="0.2">
      <c r="B41" s="13"/>
      <c r="AH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</row>
    <row r="42" spans="2:50" s="11" customFormat="1" x14ac:dyDescent="0.2">
      <c r="B42" s="10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</row>
    <row r="43" spans="2:50" s="21" customFormat="1" x14ac:dyDescent="0.2">
      <c r="B43" s="14" t="s">
        <v>111</v>
      </c>
      <c r="G43" s="21">
        <f>IFERROR((G3/C3)-1,0)</f>
        <v>0.39540832917813851</v>
      </c>
      <c r="H43" s="21">
        <f>IFERROR((H3/D3)-1,0)</f>
        <v>0.21852225990331187</v>
      </c>
      <c r="I43" s="21">
        <f>IFERROR((I3/E3)-1,0)</f>
        <v>0.10415508732925738</v>
      </c>
      <c r="J43" s="21">
        <f>IFERROR((J3/F3)-1,0)</f>
        <v>9.3090542298197576E-2</v>
      </c>
      <c r="K43" s="21">
        <f>IFERROR((K3/G3)-1,0)</f>
        <v>7.5785352515303162E-2</v>
      </c>
      <c r="L43" s="21">
        <f>IFERROR((L3/H3)-1,0)</f>
        <v>0.10185048112509243</v>
      </c>
      <c r="M43" s="21">
        <f>IFERROR((M3/I3)-1,0)</f>
        <v>0.20266333114694079</v>
      </c>
      <c r="N43" s="21">
        <f>IFERROR((N3/J3)-1,0)</f>
        <v>0.13359640602234091</v>
      </c>
      <c r="O43" s="21">
        <f>IFERROR((O3/K3)-1,0)</f>
        <v>0.11029114435907794</v>
      </c>
      <c r="P43" s="21">
        <f>IFERROR((P3/L3)-1,0)</f>
        <v>0.10904205293564417</v>
      </c>
      <c r="Q43" s="21">
        <f>IFERROR((Q3/M3)-1,0)</f>
        <v>0.11470897860304663</v>
      </c>
      <c r="R43" s="21">
        <f>IFERROR((R3/N3)-1,0)</f>
        <v>0.13014791726915376</v>
      </c>
      <c r="S43" s="21">
        <f>IFERROR((S3/O3)-1,0)</f>
        <v>0.10000000000000009</v>
      </c>
      <c r="T43" s="25"/>
      <c r="U43" s="25"/>
      <c r="V43" s="25"/>
      <c r="W43" s="25"/>
      <c r="X43" s="25"/>
      <c r="Y43" s="25"/>
      <c r="Z43" s="25"/>
      <c r="AI43" s="21">
        <f>+AI3/AH3-1</f>
        <v>0.1843178913332375</v>
      </c>
      <c r="AJ43" s="21">
        <f>+AJ3/AI3-1</f>
        <v>0.12881611532592663</v>
      </c>
      <c r="AK43" s="21">
        <f>+AK3/AJ3-1</f>
        <v>0.11696846903887548</v>
      </c>
      <c r="AL43" s="21">
        <f>+AL3/AK3-1</f>
        <v>0.10000000000000009</v>
      </c>
      <c r="AM43" s="21">
        <f>+AM3/AL3-1</f>
        <v>0.10000000000000009</v>
      </c>
      <c r="AN43" s="21">
        <f>+AN3/AM3-1</f>
        <v>0.10000000000000009</v>
      </c>
      <c r="AO43" s="21">
        <f>+AO3/AN3-1</f>
        <v>0.10000000000000009</v>
      </c>
      <c r="AP43" s="21">
        <f>+AP3/AO3-1</f>
        <v>0.10000000000000009</v>
      </c>
      <c r="AQ43" s="21">
        <f>+AQ3/AP3-1</f>
        <v>0.10000000000000009</v>
      </c>
      <c r="AR43" s="21">
        <f>+AR3/AQ3-1</f>
        <v>0.10000000000000009</v>
      </c>
      <c r="AS43" s="21">
        <f>+AS3/AR3-1</f>
        <v>0.10000000000000009</v>
      </c>
      <c r="AT43" s="21">
        <f>+AT3/AS3-1</f>
        <v>0.10000000000000009</v>
      </c>
      <c r="AU43" s="21">
        <f>+AU3/AT3-1</f>
        <v>0.10000000000000009</v>
      </c>
    </row>
    <row r="44" spans="2:50" s="11" customFormat="1" x14ac:dyDescent="0.2">
      <c r="B44" s="10" t="s">
        <v>112</v>
      </c>
      <c r="G44" s="15">
        <f>IFERROR((G4/C4)-1,0)</f>
        <v>0.60415576258766879</v>
      </c>
      <c r="H44" s="15">
        <f>IFERROR((H4/D4)-1,0)</f>
        <v>0.35525851420504684</v>
      </c>
      <c r="I44" s="15">
        <f>IFERROR((I4/E4)-1,0)</f>
        <v>0.15788010011521192</v>
      </c>
      <c r="J44" s="15">
        <f>IFERROR((J4/F4)-1,0)</f>
        <v>-5.2045800304267864E-3</v>
      </c>
      <c r="K44" s="15">
        <f>IFERROR((K4/G4)-1,0)</f>
        <v>-6.1665959737674969E-2</v>
      </c>
      <c r="L44" s="15">
        <f>IFERROR((L4/H4)-1,0)</f>
        <v>-0.11900654275576972</v>
      </c>
      <c r="M44" s="15">
        <f>IFERROR((M4/I4)-1,0)</f>
        <v>-4.8893463715903196E-2</v>
      </c>
      <c r="N44" s="15">
        <f>IFERROR((N4/J4)-1,0)</f>
        <v>-7.5364885168491047E-2</v>
      </c>
      <c r="O44" s="15">
        <f>IFERROR((O4/K4)-1,0)</f>
        <v>1.2656907402899931E-2</v>
      </c>
      <c r="P44" s="15">
        <f>IFERROR((P4/L4)-1,0)</f>
        <v>9.7247367448734634E-2</v>
      </c>
      <c r="Q44" s="15">
        <f>IFERROR((Q4/M4)-1,0)</f>
        <v>0.15934343434343434</v>
      </c>
      <c r="R44" s="15">
        <f>IFERROR((R4/N4)-1,0)</f>
        <v>0.16771610132605974</v>
      </c>
      <c r="S44" s="15">
        <f>IFERROR((S4/O4)-1,0)</f>
        <v>1.2656907402899931E-2</v>
      </c>
      <c r="T44" s="25"/>
      <c r="U44" s="25"/>
      <c r="V44" s="25"/>
      <c r="W44" s="25"/>
      <c r="X44" s="25"/>
      <c r="Y44" s="25"/>
      <c r="Z44" s="25"/>
      <c r="AF44" s="12"/>
      <c r="AG44" s="12"/>
      <c r="AH44" s="12"/>
      <c r="AI44" s="21">
        <f t="shared" ref="AI44" si="75">+AI4/AH4-1</f>
        <v>0.22387273493468185</v>
      </c>
      <c r="AJ44" s="21">
        <f>+AJ4/AI4-1</f>
        <v>-7.6533606704907386E-2</v>
      </c>
      <c r="AK44" s="21">
        <f>+AK4/AJ4-1</f>
        <v>0.11179845263416577</v>
      </c>
      <c r="AL44" s="21">
        <f>+AL4/AK4-1</f>
        <v>0.11529558841904963</v>
      </c>
      <c r="AM44" s="21">
        <f>+AM4/AL4-1</f>
        <v>9.000000000000008E-2</v>
      </c>
      <c r="AN44" s="21">
        <f>+AN4/AM4-1</f>
        <v>9.000000000000008E-2</v>
      </c>
      <c r="AO44" s="21">
        <f>+AO4/AN4-1</f>
        <v>9.000000000000008E-2</v>
      </c>
      <c r="AP44" s="21">
        <f>+AP4/AO4-1</f>
        <v>9.000000000000008E-2</v>
      </c>
      <c r="AQ44" s="21">
        <f>+AQ4/AP4-1</f>
        <v>9.000000000000008E-2</v>
      </c>
      <c r="AR44" s="21">
        <f>+AR4/AQ4-1</f>
        <v>9.000000000000008E-2</v>
      </c>
      <c r="AS44" s="21">
        <f>+AS4/AR4-1</f>
        <v>9.000000000000008E-2</v>
      </c>
      <c r="AT44" s="21">
        <f>+AT4/AS4-1</f>
        <v>9.000000000000008E-2</v>
      </c>
      <c r="AU44" s="21">
        <f>+AU4/AT4-1</f>
        <v>9.000000000000008E-2</v>
      </c>
      <c r="AV44" s="12"/>
      <c r="AW44" s="12"/>
      <c r="AX44" s="12"/>
    </row>
    <row r="45" spans="2:50" s="11" customFormat="1" x14ac:dyDescent="0.2">
      <c r="B45" s="13" t="s">
        <v>113</v>
      </c>
      <c r="G45" s="21">
        <f>IFERROR((G5/C5)-1,0)</f>
        <v>0.32136216850963883</v>
      </c>
      <c r="H45" s="21">
        <f>IFERROR((H5/D5)-1,0)</f>
        <v>0.37018874907475952</v>
      </c>
      <c r="I45" s="21">
        <f>IFERROR((I5/E5)-1,0)</f>
        <v>0.3886733902249806</v>
      </c>
      <c r="J45" s="21">
        <f>IFERROR((J5/F5)-1,0)</f>
        <v>0.39538533982106427</v>
      </c>
      <c r="K45" s="21">
        <f>IFERROR((K5/G5)-1,0)</f>
        <v>0.36569651188624741</v>
      </c>
      <c r="L45" s="21">
        <f>IFERROR((L5/H5)-1,0)</f>
        <v>0.33290566547369838</v>
      </c>
      <c r="M45" s="21">
        <f>IFERROR((M5/I5)-1,0)</f>
        <v>0.27486033519553077</v>
      </c>
      <c r="N45" s="21">
        <f>IFERROR((N5/J5)-1,0)</f>
        <v>0.20236220472440936</v>
      </c>
      <c r="O45" s="21">
        <f>IFERROR((O5/K5)-1,0)</f>
        <v>0.157963234097934</v>
      </c>
      <c r="P45" s="21">
        <f>IFERROR((P5/L5)-1,0)</f>
        <v>0.12163736764780375</v>
      </c>
      <c r="Q45" s="21">
        <f>IFERROR((Q5/M5)-1,0)</f>
        <v>0.1227480767358069</v>
      </c>
      <c r="R45" s="21">
        <f>IFERROR((R5/N5)-1,0)</f>
        <v>0.13219197305641317</v>
      </c>
      <c r="S45" s="21">
        <f>IFERROR((S5/O5)-1,0)</f>
        <v>0.157963234097934</v>
      </c>
      <c r="T45" s="25"/>
      <c r="U45" s="25"/>
      <c r="V45" s="25"/>
      <c r="W45" s="25"/>
      <c r="X45" s="25"/>
      <c r="Y45" s="25"/>
      <c r="Z45" s="25"/>
      <c r="AF45" s="12"/>
      <c r="AG45" s="12"/>
      <c r="AH45" s="12"/>
      <c r="AI45" s="21">
        <f t="shared" ref="AI45" si="76">+AI5/AH5-1</f>
        <v>0.37099404893101173</v>
      </c>
      <c r="AJ45" s="21">
        <f>+AJ5/AI5-1</f>
        <v>0.28767563743931057</v>
      </c>
      <c r="AK45" s="21">
        <f>+AK5/AJ5-1</f>
        <v>0.13310277666799841</v>
      </c>
      <c r="AL45" s="21">
        <f>+AL5/AK5-1</f>
        <v>0.13328140681113365</v>
      </c>
      <c r="AM45" s="21">
        <f>+AM5/AL5-1</f>
        <v>0.12999999999999989</v>
      </c>
      <c r="AN45" s="21">
        <f>+AN5/AM5-1</f>
        <v>0.12999999999999989</v>
      </c>
      <c r="AO45" s="21">
        <f>+AO5/AN5-1</f>
        <v>0.12999999999999989</v>
      </c>
      <c r="AP45" s="21">
        <f>+AP5/AO5-1</f>
        <v>0.12999999999999989</v>
      </c>
      <c r="AQ45" s="21">
        <f>+AQ5/AP5-1</f>
        <v>0.12999999999999989</v>
      </c>
      <c r="AR45" s="21">
        <f>+AR5/AQ5-1</f>
        <v>0.12999999999999989</v>
      </c>
      <c r="AS45" s="21">
        <f>+AS5/AR5-1</f>
        <v>0.12999999999999989</v>
      </c>
      <c r="AT45" s="21">
        <f>+AT5/AS5-1</f>
        <v>0.12999999999999989</v>
      </c>
      <c r="AU45" s="21">
        <f>+AU5/AT5-1</f>
        <v>0.12999999999999989</v>
      </c>
      <c r="AV45" s="12"/>
      <c r="AW45" s="12"/>
      <c r="AX45" s="12"/>
    </row>
    <row r="46" spans="2:50" s="11" customFormat="1" x14ac:dyDescent="0.2">
      <c r="B46" s="10" t="s">
        <v>114</v>
      </c>
      <c r="G46" s="15">
        <f>IFERROR((G6/C6)-1,0)</f>
        <v>0.43823888034777081</v>
      </c>
      <c r="H46" s="15">
        <f>IFERROR((H6/D6)-1,0)</f>
        <v>0.27181932697498645</v>
      </c>
      <c r="I46" s="15">
        <f>IFERROR((I6/E6)-1,0)</f>
        <v>0.15255083467679031</v>
      </c>
      <c r="J46" s="15">
        <f>IFERROR((J6/F6)-1,0)</f>
        <v>9.4436701047349692E-2</v>
      </c>
      <c r="K46" s="15">
        <f>IFERROR((K6/G6)-1,0)</f>
        <v>7.3038574245747334E-2</v>
      </c>
      <c r="L46" s="15">
        <f>IFERROR((L6/H6)-1,0)</f>
        <v>7.2108241952600016E-2</v>
      </c>
      <c r="M46" s="15">
        <f>IFERROR((M6/I6)-1,0)</f>
        <v>0.14699671515720314</v>
      </c>
      <c r="N46" s="15">
        <f>IFERROR((N6/J6)-1,0)</f>
        <v>8.5814921549791867E-2</v>
      </c>
      <c r="O46" s="15">
        <f>IFERROR((O6/K6)-1,0)</f>
        <v>9.3727456975026602E-2</v>
      </c>
      <c r="P46" s="15">
        <f>IFERROR((P6/L6)-1,0)</f>
        <v>0.10845967302901816</v>
      </c>
      <c r="Q46" s="15">
        <f>IFERROR((Q6/M6)-1,0)</f>
        <v>0.125742519728405</v>
      </c>
      <c r="R46" s="15">
        <f>IFERROR((R6/N6)-1,0)</f>
        <v>0.13911825420230017</v>
      </c>
      <c r="S46" s="15">
        <f>IFERROR((S6/O6)-1,0)</f>
        <v>8.9745866103597249E-2</v>
      </c>
      <c r="T46" s="25"/>
      <c r="U46" s="25"/>
      <c r="V46" s="25"/>
      <c r="W46" s="25"/>
      <c r="X46" s="25"/>
      <c r="Y46" s="25"/>
      <c r="Z46" s="25"/>
      <c r="AF46" s="12"/>
      <c r="AG46" s="12"/>
      <c r="AH46" s="12"/>
      <c r="AI46" s="21">
        <f t="shared" ref="AI46" si="77">+AI6/AH6-1</f>
        <v>0.21695366571345676</v>
      </c>
      <c r="AJ46" s="21">
        <f>+AJ6/AI6-1</f>
        <v>9.399517263985091E-2</v>
      </c>
      <c r="AK46" s="21">
        <f>+AK6/AJ6-1</f>
        <v>0.1182957412988368</v>
      </c>
      <c r="AL46" s="21">
        <f>+AL6/AK6-1</f>
        <v>0.10874640402678826</v>
      </c>
      <c r="AM46" s="21">
        <f>+AM6/AL6-1</f>
        <v>0.10254566487144134</v>
      </c>
      <c r="AN46" s="21">
        <f>+AN6/AM6-1</f>
        <v>0.10269235499288754</v>
      </c>
      <c r="AO46" s="21">
        <f>+AO6/AN6-1</f>
        <v>0.10284137192378529</v>
      </c>
      <c r="AP46" s="21">
        <f>+AP6/AO6-1</f>
        <v>0.10299272696815476</v>
      </c>
      <c r="AQ46" s="21">
        <f>+AQ6/AP6-1</f>
        <v>0.10314642985193712</v>
      </c>
      <c r="AR46" s="21">
        <f>+AR6/AQ6-1</f>
        <v>0.10330248865208502</v>
      </c>
      <c r="AS46" s="21">
        <f>+AS6/AR6-1</f>
        <v>0.10346090972606881</v>
      </c>
      <c r="AT46" s="21">
        <f>+AT6/AS6-1</f>
        <v>0.10362169764201368</v>
      </c>
      <c r="AU46" s="21">
        <f>+AU6/AT6-1</f>
        <v>0.10378485510971247</v>
      </c>
      <c r="AV46" s="12"/>
      <c r="AW46" s="12"/>
      <c r="AX46" s="12"/>
    </row>
    <row r="47" spans="2:50" s="11" customFormat="1" x14ac:dyDescent="0.2">
      <c r="B47" s="10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</row>
    <row r="48" spans="2:50" s="4" customFormat="1" x14ac:dyDescent="0.2">
      <c r="B48" s="10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</row>
    <row r="49" spans="2:47" x14ac:dyDescent="0.2">
      <c r="B49" s="10" t="s">
        <v>20</v>
      </c>
      <c r="C49" s="2">
        <v>41841</v>
      </c>
      <c r="D49" s="2">
        <v>50244</v>
      </c>
      <c r="E49" s="2">
        <v>52774</v>
      </c>
      <c r="F49" s="2">
        <v>71056</v>
      </c>
      <c r="G49" s="2">
        <v>57491</v>
      </c>
      <c r="H49" s="2">
        <v>58004</v>
      </c>
      <c r="I49" s="2">
        <v>54876</v>
      </c>
      <c r="J49" s="2">
        <f t="shared" ref="J49:J68" si="78">+AI49-SUM(G49:I49)</f>
        <v>71416</v>
      </c>
      <c r="K49" s="2">
        <v>56455</v>
      </c>
      <c r="L49" s="2">
        <v>56575</v>
      </c>
      <c r="M49" s="2">
        <v>59340</v>
      </c>
      <c r="N49" s="2">
        <v>70531</v>
      </c>
      <c r="O49" s="2">
        <v>56981</v>
      </c>
      <c r="P49" s="2">
        <v>59032</v>
      </c>
      <c r="Q49" s="2">
        <v>63171</v>
      </c>
      <c r="R49" s="2">
        <v>76703</v>
      </c>
      <c r="S49" s="2">
        <v>60915</v>
      </c>
      <c r="AA49" s="2">
        <v>60903</v>
      </c>
      <c r="AB49" s="2">
        <v>70080</v>
      </c>
      <c r="AC49" s="2">
        <v>79268</v>
      </c>
      <c r="AD49" s="2">
        <v>94665</v>
      </c>
      <c r="AE49" s="2">
        <v>118573</v>
      </c>
      <c r="AF49" s="2">
        <v>141915</v>
      </c>
      <c r="AG49" s="2">
        <v>160408</v>
      </c>
      <c r="AH49" s="2">
        <v>215915</v>
      </c>
      <c r="AI49" s="2">
        <v>241787</v>
      </c>
      <c r="AJ49" s="2">
        <v>242901</v>
      </c>
      <c r="AK49" s="2">
        <v>255887</v>
      </c>
      <c r="AU49" s="2">
        <f>FV(AK72,10,,-AK51)</f>
        <v>4437460.3264519377</v>
      </c>
    </row>
    <row r="50" spans="2:47" x14ac:dyDescent="0.2">
      <c r="B50" s="10" t="s">
        <v>21</v>
      </c>
      <c r="C50" s="2">
        <v>33611</v>
      </c>
      <c r="D50" s="2">
        <v>38668</v>
      </c>
      <c r="E50" s="2">
        <v>43371</v>
      </c>
      <c r="F50" s="2">
        <v>54499</v>
      </c>
      <c r="G50" s="2">
        <v>51027</v>
      </c>
      <c r="H50" s="2">
        <v>55076</v>
      </c>
      <c r="I50" s="2">
        <v>55936</v>
      </c>
      <c r="J50" s="2">
        <f t="shared" si="78"/>
        <v>65996</v>
      </c>
      <c r="K50" s="2">
        <v>59989</v>
      </c>
      <c r="L50" s="2">
        <v>64659</v>
      </c>
      <c r="M50" s="2">
        <v>67761</v>
      </c>
      <c r="N50" s="2">
        <v>78673</v>
      </c>
      <c r="O50" s="2">
        <v>70377</v>
      </c>
      <c r="P50" s="2">
        <v>75351</v>
      </c>
      <c r="Q50" s="2">
        <v>79912</v>
      </c>
      <c r="R50" s="2">
        <v>93258</v>
      </c>
      <c r="S50" s="2">
        <v>82398</v>
      </c>
      <c r="AA50" s="2">
        <v>13549</v>
      </c>
      <c r="AB50" s="2">
        <v>18908</v>
      </c>
      <c r="AC50" s="2">
        <v>27738</v>
      </c>
      <c r="AD50" s="2">
        <v>41322</v>
      </c>
      <c r="AE50" s="2">
        <v>59293</v>
      </c>
      <c r="AF50" s="2">
        <v>90972</v>
      </c>
      <c r="AG50" s="2">
        <v>120114</v>
      </c>
      <c r="AH50" s="2">
        <v>170149</v>
      </c>
      <c r="AI50" s="2">
        <v>228035</v>
      </c>
      <c r="AJ50" s="2">
        <v>271082</v>
      </c>
      <c r="AK50" s="2">
        <v>318898</v>
      </c>
    </row>
    <row r="51" spans="2:47" s="5" customFormat="1" x14ac:dyDescent="0.2">
      <c r="B51" s="13" t="s">
        <v>19</v>
      </c>
      <c r="C51" s="5">
        <f t="shared" ref="C51:I51" si="79">+SUM(C49:C50)</f>
        <v>75452</v>
      </c>
      <c r="D51" s="5">
        <f t="shared" si="79"/>
        <v>88912</v>
      </c>
      <c r="E51" s="5">
        <f t="shared" si="79"/>
        <v>96145</v>
      </c>
      <c r="F51" s="5">
        <f t="shared" si="79"/>
        <v>125555</v>
      </c>
      <c r="G51" s="5">
        <f t="shared" si="79"/>
        <v>108518</v>
      </c>
      <c r="H51" s="5">
        <f t="shared" si="79"/>
        <v>113080</v>
      </c>
      <c r="I51" s="5">
        <f t="shared" si="79"/>
        <v>110812</v>
      </c>
      <c r="J51" s="5">
        <f t="shared" si="78"/>
        <v>137412</v>
      </c>
      <c r="K51" s="5">
        <f t="shared" ref="K51:R51" si="80">+SUM(K49:K50)</f>
        <v>116444</v>
      </c>
      <c r="L51" s="5">
        <f t="shared" si="80"/>
        <v>121234</v>
      </c>
      <c r="M51" s="5">
        <f t="shared" si="80"/>
        <v>127101</v>
      </c>
      <c r="N51" s="5">
        <f t="shared" si="80"/>
        <v>149204</v>
      </c>
      <c r="O51" s="5">
        <f t="shared" si="80"/>
        <v>127358</v>
      </c>
      <c r="P51" s="5">
        <f t="shared" si="80"/>
        <v>134383</v>
      </c>
      <c r="Q51" s="5">
        <f t="shared" si="80"/>
        <v>143083</v>
      </c>
      <c r="R51" s="5">
        <f t="shared" si="80"/>
        <v>169961</v>
      </c>
      <c r="S51" s="5">
        <f t="shared" ref="S51" si="81">+SUM(S49:S50)</f>
        <v>143313</v>
      </c>
      <c r="T51" s="5">
        <f>+T6</f>
        <v>148218.60639084745</v>
      </c>
      <c r="U51" s="5">
        <f>+U6</f>
        <v>159822.96785094595</v>
      </c>
      <c r="V51" s="5">
        <f>+V6</f>
        <v>190461.37358152206</v>
      </c>
      <c r="X51" s="8"/>
      <c r="AA51" s="5">
        <f t="shared" ref="AA51:AF51" si="82">+SUM(AA49:AA50)</f>
        <v>74452</v>
      </c>
      <c r="AB51" s="5">
        <f t="shared" si="82"/>
        <v>88988</v>
      </c>
      <c r="AC51" s="5">
        <f t="shared" si="82"/>
        <v>107006</v>
      </c>
      <c r="AD51" s="5">
        <f t="shared" si="82"/>
        <v>135987</v>
      </c>
      <c r="AE51" s="5">
        <f t="shared" si="82"/>
        <v>177866</v>
      </c>
      <c r="AF51" s="5">
        <f t="shared" si="82"/>
        <v>232887</v>
      </c>
      <c r="AG51" s="5">
        <f>+SUM(AG49:AG50)</f>
        <v>280522</v>
      </c>
      <c r="AH51" s="5">
        <f>+SUM(AH49:AH50)</f>
        <v>386064</v>
      </c>
      <c r="AI51" s="5">
        <f>+SUM(AI49:AI50)</f>
        <v>469822</v>
      </c>
      <c r="AJ51" s="5">
        <f>+SUM(AJ49:AJ50)</f>
        <v>513983</v>
      </c>
      <c r="AK51" s="5">
        <f>+SUM(AK49:AK50)</f>
        <v>574785</v>
      </c>
      <c r="AL51" s="5">
        <f>+AK51*1.1</f>
        <v>632263.5</v>
      </c>
      <c r="AM51" s="5">
        <f>+AM6</f>
        <v>702642.21082952421</v>
      </c>
      <c r="AN51" s="5">
        <f t="shared" ref="AN51:AU51" si="83">+AN6</f>
        <v>774798.19417701708</v>
      </c>
      <c r="AO51" s="5">
        <f t="shared" si="83"/>
        <v>854479.50343025289</v>
      </c>
      <c r="AP51" s="5">
        <f>+AP6</f>
        <v>942484.67762692948</v>
      </c>
      <c r="AQ51" s="5">
        <f t="shared" si="83"/>
        <v>1039698.6073143012</v>
      </c>
      <c r="AR51" s="5">
        <f t="shared" si="83"/>
        <v>1147102.0608979755</v>
      </c>
      <c r="AS51" s="5">
        <f t="shared" si="83"/>
        <v>1265782.2836671283</v>
      </c>
      <c r="AT51" s="5">
        <f t="shared" si="83"/>
        <v>1396944.792745901</v>
      </c>
      <c r="AU51" s="5">
        <f t="shared" si="83"/>
        <v>1541926.5056573018</v>
      </c>
    </row>
    <row r="52" spans="2:47" x14ac:dyDescent="0.2">
      <c r="B52" s="10" t="s">
        <v>22</v>
      </c>
      <c r="C52" s="2">
        <v>44257</v>
      </c>
      <c r="D52" s="2">
        <v>52660</v>
      </c>
      <c r="E52" s="2">
        <v>57106</v>
      </c>
      <c r="F52" s="2">
        <v>79284</v>
      </c>
      <c r="G52" s="2">
        <v>62403</v>
      </c>
      <c r="H52" s="2">
        <v>64176</v>
      </c>
      <c r="I52" s="2">
        <v>62930</v>
      </c>
      <c r="J52" s="2">
        <f t="shared" si="78"/>
        <v>82835</v>
      </c>
      <c r="K52" s="2">
        <v>66499</v>
      </c>
      <c r="L52" s="2">
        <v>66424</v>
      </c>
      <c r="M52" s="2">
        <v>70268</v>
      </c>
      <c r="N52" s="2">
        <v>85640</v>
      </c>
      <c r="O52" s="2">
        <v>67791</v>
      </c>
      <c r="P52" s="2">
        <v>69373</v>
      </c>
      <c r="Q52" s="2">
        <v>75022</v>
      </c>
      <c r="R52" s="2">
        <v>92553</v>
      </c>
      <c r="S52" s="2">
        <v>72633</v>
      </c>
      <c r="T52" s="2">
        <f>+T$51*(S52/S$51)</f>
        <v>75119.228806782528</v>
      </c>
      <c r="U52" s="2">
        <f>+U$51*(T52/T$51)</f>
        <v>81000.478839447635</v>
      </c>
      <c r="V52" s="2">
        <f>+V$51*(U52/U$51)</f>
        <v>96528.444365456686</v>
      </c>
      <c r="AG52" s="2">
        <v>165536</v>
      </c>
      <c r="AH52" s="2">
        <v>233307</v>
      </c>
      <c r="AI52" s="2">
        <v>272344</v>
      </c>
      <c r="AJ52" s="2">
        <v>288831</v>
      </c>
      <c r="AK52" s="2">
        <v>304739</v>
      </c>
      <c r="AL52" s="2">
        <f t="shared" ref="AL52:AL68" si="84">SUM(S52:V52)</f>
        <v>325281.15201168682</v>
      </c>
      <c r="AM52" s="2">
        <f>+AM$51*(AL52/AL$51)</f>
        <v>361488.94850116473</v>
      </c>
      <c r="AN52" s="2">
        <f>+AN$51*(AM52/AM$51)</f>
        <v>398611.09992665204</v>
      </c>
      <c r="AO52" s="2">
        <f>+AO$51*(AN52/AN$51)</f>
        <v>439604.81230715796</v>
      </c>
      <c r="AP52" s="2">
        <f>+AP$51*(AO52/AO$51)</f>
        <v>484880.91071499605</v>
      </c>
      <c r="AQ52" s="2">
        <f t="shared" ref="AQ52:AU52" si="85">+AQ$51*(AP52/AP$51)</f>
        <v>534894.64555860381</v>
      </c>
      <c r="AR52" s="2">
        <f t="shared" si="85"/>
        <v>590150.59361148253</v>
      </c>
      <c r="AS52" s="2">
        <f t="shared" si="85"/>
        <v>651208.11090190604</v>
      </c>
      <c r="AT52" s="2">
        <f t="shared" si="85"/>
        <v>718687.40087181027</v>
      </c>
      <c r="AU52" s="2">
        <f t="shared" si="85"/>
        <v>793276.26864046697</v>
      </c>
    </row>
    <row r="53" spans="2:47" x14ac:dyDescent="0.2">
      <c r="B53" s="10" t="s">
        <v>39</v>
      </c>
      <c r="C53" s="2">
        <v>11531</v>
      </c>
      <c r="D53" s="2">
        <v>13806</v>
      </c>
      <c r="E53" s="2">
        <v>14705</v>
      </c>
      <c r="F53" s="2">
        <v>18474</v>
      </c>
      <c r="G53" s="2">
        <v>16530</v>
      </c>
      <c r="H53" s="2">
        <v>17638</v>
      </c>
      <c r="I53" s="2">
        <v>18498</v>
      </c>
      <c r="J53" s="2">
        <f t="shared" si="78"/>
        <v>22445</v>
      </c>
      <c r="K53" s="2">
        <v>20271</v>
      </c>
      <c r="L53" s="2">
        <v>20342</v>
      </c>
      <c r="M53" s="2">
        <v>20583</v>
      </c>
      <c r="N53" s="2">
        <v>23103</v>
      </c>
      <c r="O53" s="2">
        <v>20905</v>
      </c>
      <c r="P53" s="2">
        <v>21305</v>
      </c>
      <c r="Q53" s="2">
        <v>22314</v>
      </c>
      <c r="R53" s="2">
        <v>26095</v>
      </c>
      <c r="S53" s="2">
        <v>22317</v>
      </c>
      <c r="T53" s="2">
        <f>+T$51*(S53/S$51)</f>
        <v>23080.911283864985</v>
      </c>
      <c r="U53" s="2">
        <f t="shared" ref="U53:V53" si="86">+U$51*(T53/T$51)</f>
        <v>24887.96671292598</v>
      </c>
      <c r="V53" s="2">
        <f t="shared" si="86"/>
        <v>29659.043312322174</v>
      </c>
      <c r="AG53" s="2">
        <v>40232</v>
      </c>
      <c r="AH53" s="2">
        <v>58517</v>
      </c>
      <c r="AI53" s="2">
        <v>75111</v>
      </c>
      <c r="AJ53" s="2">
        <v>84299</v>
      </c>
      <c r="AK53" s="2">
        <v>90619</v>
      </c>
      <c r="AL53" s="2">
        <f t="shared" si="84"/>
        <v>99944.921309113139</v>
      </c>
      <c r="AM53" s="2">
        <f t="shared" ref="AM53:AM57" si="87">+AM$51*(AL53/AL$51)</f>
        <v>111070.02139111001</v>
      </c>
      <c r="AN53" s="2">
        <f t="shared" ref="AN53:AU53" si="88">+AN$51*(AM53/AM$51)</f>
        <v>122476.0634568735</v>
      </c>
      <c r="AO53" s="2">
        <f t="shared" si="88"/>
        <v>135071.66985060295</v>
      </c>
      <c r="AP53" s="2">
        <f t="shared" si="88"/>
        <v>148983.06946465885</v>
      </c>
      <c r="AQ53" s="2">
        <f t="shared" si="88"/>
        <v>164350.14118832158</v>
      </c>
      <c r="AR53" s="2">
        <f t="shared" si="88"/>
        <v>181327.91978339673</v>
      </c>
      <c r="AS53" s="2">
        <f t="shared" si="88"/>
        <v>200088.27132292258</v>
      </c>
      <c r="AT53" s="2">
        <f t="shared" si="88"/>
        <v>220821.75767565967</v>
      </c>
      <c r="AU53" s="2">
        <f t="shared" si="88"/>
        <v>243739.71180110006</v>
      </c>
    </row>
    <row r="54" spans="2:47" x14ac:dyDescent="0.2">
      <c r="B54" s="10" t="s">
        <v>23</v>
      </c>
      <c r="C54" s="2">
        <v>9325</v>
      </c>
      <c r="D54" s="2">
        <v>10388</v>
      </c>
      <c r="E54" s="2">
        <v>10976</v>
      </c>
      <c r="F54" s="2">
        <v>12049</v>
      </c>
      <c r="G54" s="2">
        <v>12488</v>
      </c>
      <c r="H54" s="2">
        <v>13871</v>
      </c>
      <c r="I54" s="2">
        <v>14380</v>
      </c>
      <c r="J54" s="2">
        <f t="shared" si="78"/>
        <v>15313</v>
      </c>
      <c r="K54" s="2">
        <v>14842</v>
      </c>
      <c r="L54" s="2">
        <v>18072</v>
      </c>
      <c r="M54" s="2">
        <v>19485</v>
      </c>
      <c r="N54" s="2">
        <v>20814</v>
      </c>
      <c r="O54" s="2">
        <v>20450</v>
      </c>
      <c r="P54" s="2">
        <v>21931</v>
      </c>
      <c r="Q54" s="2">
        <v>21203</v>
      </c>
      <c r="R54" s="2">
        <v>22038</v>
      </c>
      <c r="S54" s="2">
        <v>20424</v>
      </c>
      <c r="T54" s="2">
        <f>+T$51*(S54/S$51)</f>
        <v>21123.11386215255</v>
      </c>
      <c r="U54" s="2">
        <f t="shared" ref="U54:V54" si="89">+U$51*(T54/T$51)</f>
        <v>22776.8890148676</v>
      </c>
      <c r="V54" s="2">
        <f t="shared" si="89"/>
        <v>27143.267491637234</v>
      </c>
      <c r="AG54" s="2">
        <v>35931</v>
      </c>
      <c r="AH54" s="2">
        <v>42740</v>
      </c>
      <c r="AI54" s="2">
        <v>56052</v>
      </c>
      <c r="AJ54" s="2">
        <v>73213</v>
      </c>
      <c r="AK54" s="2">
        <v>85622</v>
      </c>
      <c r="AL54" s="2">
        <f t="shared" si="84"/>
        <v>91467.27036865738</v>
      </c>
      <c r="AM54" s="2">
        <f t="shared" si="87"/>
        <v>101648.70353954523</v>
      </c>
      <c r="AN54" s="2">
        <f t="shared" ref="AN54:AU54" si="90">+AN$51*(AM54/AM$51)</f>
        <v>112087.24828799498</v>
      </c>
      <c r="AO54" s="2">
        <f t="shared" si="90"/>
        <v>123614.45467709434</v>
      </c>
      <c r="AP54" s="2">
        <f t="shared" si="90"/>
        <v>136345.84445696967</v>
      </c>
      <c r="AQ54" s="2">
        <f t="shared" si="90"/>
        <v>150409.43153785364</v>
      </c>
      <c r="AR54" s="2">
        <f t="shared" si="90"/>
        <v>165947.10013245934</v>
      </c>
      <c r="AS54" s="2">
        <f t="shared" si="90"/>
        <v>183116.13807856658</v>
      </c>
      <c r="AT54" s="2">
        <f t="shared" si="90"/>
        <v>202090.94317191705</v>
      </c>
      <c r="AU54" s="2">
        <f t="shared" si="90"/>
        <v>223064.92242799961</v>
      </c>
    </row>
    <row r="55" spans="2:47" x14ac:dyDescent="0.2">
      <c r="B55" s="10" t="s">
        <v>24</v>
      </c>
      <c r="C55" s="2">
        <v>4828</v>
      </c>
      <c r="D55" s="2">
        <v>4345</v>
      </c>
      <c r="E55" s="2">
        <v>5434</v>
      </c>
      <c r="F55" s="2">
        <v>7403</v>
      </c>
      <c r="G55" s="2">
        <v>6207</v>
      </c>
      <c r="H55" s="2">
        <v>7524</v>
      </c>
      <c r="I55" s="2">
        <v>8010</v>
      </c>
      <c r="J55" s="2">
        <f t="shared" si="78"/>
        <v>10810</v>
      </c>
      <c r="K55" s="2">
        <v>8320</v>
      </c>
      <c r="L55" s="2">
        <v>10086</v>
      </c>
      <c r="M55" s="2">
        <v>11014</v>
      </c>
      <c r="N55" s="2">
        <v>12818</v>
      </c>
      <c r="O55" s="2">
        <v>10172</v>
      </c>
      <c r="P55" s="2">
        <v>10745</v>
      </c>
      <c r="Q55" s="2">
        <v>10551</v>
      </c>
      <c r="R55" s="2">
        <v>12902</v>
      </c>
      <c r="S55" s="2">
        <v>9662</v>
      </c>
      <c r="T55" s="2">
        <f>+T$51*(S55/S$51)</f>
        <v>9992.730421862414</v>
      </c>
      <c r="U55" s="2">
        <f t="shared" ref="U55:V55" si="91">+U$51*(T55/T$51)</f>
        <v>10775.083316767075</v>
      </c>
      <c r="V55" s="2">
        <f t="shared" si="91"/>
        <v>12840.689899343857</v>
      </c>
      <c r="AG55" s="74">
        <v>18878</v>
      </c>
      <c r="AH55" s="74">
        <v>22008</v>
      </c>
      <c r="AI55" s="74">
        <v>32551</v>
      </c>
      <c r="AJ55" s="74">
        <v>42238</v>
      </c>
      <c r="AK55" s="74">
        <v>44370</v>
      </c>
      <c r="AL55" s="2">
        <f t="shared" si="84"/>
        <v>43270.503637973343</v>
      </c>
      <c r="AM55" s="2">
        <f t="shared" si="87"/>
        <v>48087.043360707299</v>
      </c>
      <c r="AN55" s="2">
        <f t="shared" ref="AN55:AU55" si="92">+AN$51*(AM55/AM$51)</f>
        <v>53025.215088063429</v>
      </c>
      <c r="AO55" s="2">
        <f t="shared" si="92"/>
        <v>58478.400954273668</v>
      </c>
      <c r="AP55" s="2">
        <f t="shared" si="92"/>
        <v>64501.250937291465</v>
      </c>
      <c r="AQ55" s="2">
        <f t="shared" si="92"/>
        <v>71154.324692456998</v>
      </c>
      <c r="AR55" s="2">
        <f t="shared" si="92"/>
        <v>78504.743511546316</v>
      </c>
      <c r="AS55" s="2">
        <f t="shared" si="92"/>
        <v>86626.91569306259</v>
      </c>
      <c r="AT55" s="2">
        <f t="shared" si="92"/>
        <v>95603.343758669333</v>
      </c>
      <c r="AU55" s="2">
        <f t="shared" si="92"/>
        <v>105525.52293866687</v>
      </c>
    </row>
    <row r="56" spans="2:47" x14ac:dyDescent="0.2">
      <c r="B56" s="10" t="s">
        <v>25</v>
      </c>
      <c r="C56" s="2">
        <v>1452</v>
      </c>
      <c r="D56" s="2">
        <v>1580</v>
      </c>
      <c r="E56" s="2">
        <v>1668</v>
      </c>
      <c r="F56" s="2">
        <v>1968</v>
      </c>
      <c r="G56" s="2">
        <v>1987</v>
      </c>
      <c r="H56" s="2">
        <v>2158</v>
      </c>
      <c r="I56" s="2">
        <v>2153</v>
      </c>
      <c r="J56" s="2">
        <f t="shared" si="78"/>
        <v>2525</v>
      </c>
      <c r="K56" s="2">
        <v>2594</v>
      </c>
      <c r="L56" s="2">
        <v>2903</v>
      </c>
      <c r="M56" s="2">
        <v>3061</v>
      </c>
      <c r="N56" s="2">
        <v>3333</v>
      </c>
      <c r="O56" s="2">
        <v>3043</v>
      </c>
      <c r="P56" s="2">
        <v>3202</v>
      </c>
      <c r="Q56" s="2">
        <v>2561</v>
      </c>
      <c r="R56" s="2">
        <v>3010</v>
      </c>
      <c r="S56" s="2">
        <v>2742</v>
      </c>
      <c r="T56" s="2">
        <f>+T$51*(S56/S$51)</f>
        <v>2835.8587059352867</v>
      </c>
      <c r="U56" s="2">
        <f t="shared" ref="U56:V56" si="93">+U$51*(T56/T$51)</f>
        <v>3057.8843360148335</v>
      </c>
      <c r="V56" s="2">
        <f t="shared" si="93"/>
        <v>3644.0873218796169</v>
      </c>
      <c r="AG56" s="2">
        <v>5203</v>
      </c>
      <c r="AH56" s="2">
        <v>6668</v>
      </c>
      <c r="AI56" s="2">
        <v>8823</v>
      </c>
      <c r="AJ56" s="2">
        <v>11891</v>
      </c>
      <c r="AK56" s="2">
        <v>11816</v>
      </c>
      <c r="AL56" s="2">
        <f t="shared" si="84"/>
        <v>12279.830363829737</v>
      </c>
      <c r="AM56" s="2">
        <f t="shared" si="87"/>
        <v>13646.726650285596</v>
      </c>
      <c r="AN56" s="2">
        <f t="shared" ref="AN56:AU56" si="94">+AN$51*(AM56/AM$51)</f>
        <v>15048.141147947625</v>
      </c>
      <c r="AO56" s="2">
        <f t="shared" si="94"/>
        <v>16595.712628505324</v>
      </c>
      <c r="AP56" s="2">
        <f t="shared" si="94"/>
        <v>18304.950328094932</v>
      </c>
      <c r="AQ56" s="2">
        <f t="shared" si="94"/>
        <v>20193.040603054968</v>
      </c>
      <c r="AR56" s="2">
        <f t="shared" si="94"/>
        <v>22279.03195080315</v>
      </c>
      <c r="AS56" s="2">
        <f t="shared" si="94"/>
        <v>24584.040864249393</v>
      </c>
      <c r="AT56" s="2">
        <f t="shared" si="94"/>
        <v>27131.480913503554</v>
      </c>
      <c r="AU56" s="2">
        <f t="shared" si="94"/>
        <v>29947.317729023449</v>
      </c>
    </row>
    <row r="57" spans="2:47" x14ac:dyDescent="0.2">
      <c r="B57" s="10" t="s">
        <v>26</v>
      </c>
      <c r="C57" s="2">
        <v>70</v>
      </c>
      <c r="D57" s="2">
        <v>290</v>
      </c>
      <c r="E57" s="2">
        <v>62</v>
      </c>
      <c r="F57" s="2">
        <v>-496</v>
      </c>
      <c r="G57" s="2">
        <v>38</v>
      </c>
      <c r="H57" s="2">
        <v>11</v>
      </c>
      <c r="I57" s="2">
        <v>-11</v>
      </c>
      <c r="J57" s="2">
        <f t="shared" si="78"/>
        <v>24</v>
      </c>
      <c r="K57" s="2">
        <v>249</v>
      </c>
      <c r="L57" s="2">
        <v>90</v>
      </c>
      <c r="M57" s="2">
        <v>165</v>
      </c>
      <c r="N57" s="2">
        <v>759</v>
      </c>
      <c r="O57" s="2">
        <v>223</v>
      </c>
      <c r="P57" s="2">
        <v>146</v>
      </c>
      <c r="Q57" s="2">
        <v>244</v>
      </c>
      <c r="R57" s="2">
        <v>154</v>
      </c>
      <c r="S57" s="2">
        <v>228</v>
      </c>
      <c r="T57" s="2">
        <f>+T$51*(S57/S$51)</f>
        <v>235.80444381956428</v>
      </c>
      <c r="U57" s="2">
        <f t="shared" ref="U57:V57" si="95">+U$51*(T57/T$51)</f>
        <v>254.26609358547844</v>
      </c>
      <c r="V57" s="2">
        <f t="shared" si="95"/>
        <v>303.00944908408189</v>
      </c>
      <c r="AG57" s="2">
        <v>201</v>
      </c>
      <c r="AH57" s="2">
        <v>-75</v>
      </c>
      <c r="AI57" s="2">
        <v>62</v>
      </c>
      <c r="AJ57" s="2">
        <v>1263</v>
      </c>
      <c r="AK57" s="2">
        <v>767</v>
      </c>
      <c r="AL57" s="2">
        <f t="shared" si="84"/>
        <v>1021.0799864891246</v>
      </c>
      <c r="AM57" s="2">
        <f t="shared" si="87"/>
        <v>1134.7387586670734</v>
      </c>
      <c r="AN57" s="2">
        <f t="shared" ref="AN57:AU57" si="96">+AN$51*(AM57/AM$51)</f>
        <v>1251.2677540963011</v>
      </c>
      <c r="AO57" s="2">
        <f t="shared" si="96"/>
        <v>1379.9498465715585</v>
      </c>
      <c r="AP57" s="2">
        <f t="shared" si="96"/>
        <v>1522.0746443492503</v>
      </c>
      <c r="AQ57" s="2">
        <f t="shared" si="96"/>
        <v>1679.0712098820325</v>
      </c>
      <c r="AR57" s="2">
        <f t="shared" si="96"/>
        <v>1852.5234444869141</v>
      </c>
      <c r="AS57" s="2">
        <f t="shared" si="96"/>
        <v>2044.1872053424004</v>
      </c>
      <c r="AT57" s="2">
        <f t="shared" si="96"/>
        <v>2256.0093538580636</v>
      </c>
      <c r="AU57" s="2">
        <f t="shared" si="96"/>
        <v>2490.1489577743787</v>
      </c>
    </row>
    <row r="58" spans="2:47" x14ac:dyDescent="0.2">
      <c r="B58" s="10" t="s">
        <v>27</v>
      </c>
      <c r="C58" s="2">
        <f t="shared" ref="C58:I58" si="97">+SUM(C52:C57)</f>
        <v>71463</v>
      </c>
      <c r="D58" s="2">
        <f t="shared" si="97"/>
        <v>83069</v>
      </c>
      <c r="E58" s="2">
        <f t="shared" si="97"/>
        <v>89951</v>
      </c>
      <c r="F58" s="2">
        <f t="shared" si="97"/>
        <v>118682</v>
      </c>
      <c r="G58" s="2">
        <f t="shared" si="97"/>
        <v>99653</v>
      </c>
      <c r="H58" s="2">
        <f t="shared" si="97"/>
        <v>105378</v>
      </c>
      <c r="I58" s="2">
        <f t="shared" si="97"/>
        <v>105960</v>
      </c>
      <c r="J58" s="2">
        <f t="shared" si="78"/>
        <v>133952</v>
      </c>
      <c r="K58" s="2">
        <f t="shared" ref="K58:R58" si="98">+SUM(K52:K57)</f>
        <v>112775</v>
      </c>
      <c r="L58" s="2">
        <f t="shared" si="98"/>
        <v>117917</v>
      </c>
      <c r="M58" s="2">
        <f t="shared" si="98"/>
        <v>124576</v>
      </c>
      <c r="N58" s="2">
        <f t="shared" si="98"/>
        <v>146467</v>
      </c>
      <c r="O58" s="2">
        <f t="shared" si="98"/>
        <v>122584</v>
      </c>
      <c r="P58" s="2">
        <f t="shared" si="98"/>
        <v>126702</v>
      </c>
      <c r="Q58" s="2">
        <f t="shared" si="98"/>
        <v>131895</v>
      </c>
      <c r="R58" s="2">
        <f t="shared" si="98"/>
        <v>156752</v>
      </c>
      <c r="S58" s="2">
        <f t="shared" ref="S58" si="99">+SUM(S52:S57)</f>
        <v>128006</v>
      </c>
      <c r="T58" s="2">
        <f t="shared" ref="T58:V58" si="100">+S58</f>
        <v>128006</v>
      </c>
      <c r="U58" s="2">
        <f t="shared" si="100"/>
        <v>128006</v>
      </c>
      <c r="V58" s="2">
        <f t="shared" si="100"/>
        <v>128006</v>
      </c>
      <c r="AG58" s="2">
        <f t="shared" ref="AG58:AO58" si="101">+SUM(AG52:AG57)</f>
        <v>265981</v>
      </c>
      <c r="AH58" s="2">
        <f t="shared" si="101"/>
        <v>363165</v>
      </c>
      <c r="AI58" s="2">
        <f t="shared" si="101"/>
        <v>444943</v>
      </c>
      <c r="AJ58" s="2">
        <f t="shared" si="101"/>
        <v>501735</v>
      </c>
      <c r="AK58" s="2">
        <f t="shared" si="101"/>
        <v>537933</v>
      </c>
      <c r="AL58" s="2">
        <f t="shared" si="84"/>
        <v>512024</v>
      </c>
      <c r="AM58" s="2">
        <f t="shared" si="101"/>
        <v>637076.18220148003</v>
      </c>
      <c r="AN58" s="2">
        <f t="shared" si="101"/>
        <v>702499.03566162789</v>
      </c>
      <c r="AO58" s="2">
        <f t="shared" si="101"/>
        <v>774745.00026420574</v>
      </c>
      <c r="AP58" s="2">
        <f t="shared" ref="AP58:AS58" si="102">+SUM(AP52:AP57)</f>
        <v>854538.10054636013</v>
      </c>
      <c r="AQ58" s="2">
        <f t="shared" si="102"/>
        <v>942680.65479017305</v>
      </c>
      <c r="AR58" s="2">
        <f t="shared" si="102"/>
        <v>1040061.9124341749</v>
      </c>
      <c r="AS58" s="2">
        <f t="shared" si="102"/>
        <v>1147667.6640660495</v>
      </c>
      <c r="AT58" s="2">
        <f t="shared" ref="AT58:AU58" si="103">+SUM(AT52:AT57)</f>
        <v>1266590.9357454176</v>
      </c>
      <c r="AU58" s="2">
        <f t="shared" si="103"/>
        <v>1398043.8924950312</v>
      </c>
    </row>
    <row r="59" spans="2:47" x14ac:dyDescent="0.2">
      <c r="B59" s="10" t="s">
        <v>28</v>
      </c>
      <c r="C59" s="2">
        <f t="shared" ref="C59:I59" si="104">+C51-C58</f>
        <v>3989</v>
      </c>
      <c r="D59" s="2">
        <f t="shared" si="104"/>
        <v>5843</v>
      </c>
      <c r="E59" s="2">
        <f t="shared" si="104"/>
        <v>6194</v>
      </c>
      <c r="F59" s="2">
        <f t="shared" si="104"/>
        <v>6873</v>
      </c>
      <c r="G59" s="2">
        <f t="shared" si="104"/>
        <v>8865</v>
      </c>
      <c r="H59" s="2">
        <f t="shared" si="104"/>
        <v>7702</v>
      </c>
      <c r="I59" s="2">
        <f t="shared" si="104"/>
        <v>4852</v>
      </c>
      <c r="J59" s="2">
        <f t="shared" si="78"/>
        <v>3460</v>
      </c>
      <c r="K59" s="2">
        <f t="shared" ref="K59:R59" si="105">+K51-K58</f>
        <v>3669</v>
      </c>
      <c r="L59" s="2">
        <f t="shared" si="105"/>
        <v>3317</v>
      </c>
      <c r="M59" s="2">
        <f t="shared" si="105"/>
        <v>2525</v>
      </c>
      <c r="N59" s="2">
        <f t="shared" si="105"/>
        <v>2737</v>
      </c>
      <c r="O59" s="2">
        <f t="shared" si="105"/>
        <v>4774</v>
      </c>
      <c r="P59" s="2">
        <f t="shared" si="105"/>
        <v>7681</v>
      </c>
      <c r="Q59" s="2">
        <f t="shared" si="105"/>
        <v>11188</v>
      </c>
      <c r="R59" s="2">
        <f t="shared" si="105"/>
        <v>13209</v>
      </c>
      <c r="S59" s="2">
        <f t="shared" ref="S59" si="106">+S51-S58</f>
        <v>15307</v>
      </c>
      <c r="T59" s="2">
        <f t="shared" ref="T59:V59" si="107">+S59</f>
        <v>15307</v>
      </c>
      <c r="U59" s="2">
        <f t="shared" si="107"/>
        <v>15307</v>
      </c>
      <c r="V59" s="2">
        <f t="shared" si="107"/>
        <v>15307</v>
      </c>
      <c r="AG59" s="2">
        <f t="shared" ref="AG59:AK59" si="108">+AG51-AG58</f>
        <v>14541</v>
      </c>
      <c r="AH59" s="2">
        <f t="shared" si="108"/>
        <v>22899</v>
      </c>
      <c r="AI59" s="2">
        <f t="shared" si="108"/>
        <v>24879</v>
      </c>
      <c r="AJ59" s="2">
        <f t="shared" si="108"/>
        <v>12248</v>
      </c>
      <c r="AK59" s="2">
        <f t="shared" si="108"/>
        <v>36852</v>
      </c>
      <c r="AL59" s="2">
        <f t="shared" si="84"/>
        <v>61228</v>
      </c>
      <c r="AM59" s="2">
        <f>+AM51-AM58</f>
        <v>65566.02862804418</v>
      </c>
      <c r="AN59" s="2">
        <f>+AN51-AN58</f>
        <v>72299.158515389194</v>
      </c>
      <c r="AO59" s="2">
        <f>+AO51-AO58</f>
        <v>79734.503166047158</v>
      </c>
      <c r="AP59" s="2">
        <f t="shared" ref="AP59:AS59" si="109">+AP51-AP58</f>
        <v>87946.577080569346</v>
      </c>
      <c r="AQ59" s="2">
        <f t="shared" si="109"/>
        <v>97017.952524128137</v>
      </c>
      <c r="AR59" s="2">
        <f t="shared" si="109"/>
        <v>107040.14846380055</v>
      </c>
      <c r="AS59" s="2">
        <f t="shared" si="109"/>
        <v>118114.6196010788</v>
      </c>
      <c r="AT59" s="2">
        <f t="shared" ref="AT59:AU59" si="110">+AT51-AT58</f>
        <v>130353.85700048343</v>
      </c>
      <c r="AU59" s="2">
        <f t="shared" si="110"/>
        <v>143882.61316227051</v>
      </c>
    </row>
    <row r="60" spans="2:47" x14ac:dyDescent="0.2">
      <c r="B60" s="10" t="s">
        <v>29</v>
      </c>
      <c r="C60" s="2">
        <v>202</v>
      </c>
      <c r="D60" s="2">
        <v>135</v>
      </c>
      <c r="E60" s="2">
        <v>118</v>
      </c>
      <c r="F60" s="2">
        <v>100</v>
      </c>
      <c r="G60" s="2">
        <v>105</v>
      </c>
      <c r="H60" s="2">
        <v>106</v>
      </c>
      <c r="I60" s="2">
        <v>119</v>
      </c>
      <c r="J60" s="2">
        <f t="shared" si="78"/>
        <v>118</v>
      </c>
      <c r="K60" s="2">
        <v>108</v>
      </c>
      <c r="L60" s="2">
        <v>159</v>
      </c>
      <c r="M60" s="2">
        <v>277</v>
      </c>
      <c r="N60" s="2">
        <v>445</v>
      </c>
      <c r="O60" s="2">
        <v>611</v>
      </c>
      <c r="P60" s="2">
        <v>661</v>
      </c>
      <c r="Q60" s="2">
        <v>776</v>
      </c>
      <c r="R60" s="2">
        <v>901</v>
      </c>
      <c r="S60" s="2">
        <v>993</v>
      </c>
      <c r="T60" s="2">
        <f t="shared" ref="T60:V60" si="111">+S60</f>
        <v>993</v>
      </c>
      <c r="U60" s="2">
        <f t="shared" si="111"/>
        <v>993</v>
      </c>
      <c r="V60" s="2">
        <f t="shared" si="111"/>
        <v>993</v>
      </c>
      <c r="AG60" s="2">
        <v>832</v>
      </c>
      <c r="AH60" s="2">
        <v>555</v>
      </c>
      <c r="AI60" s="2">
        <v>448</v>
      </c>
      <c r="AJ60" s="2">
        <v>989</v>
      </c>
      <c r="AK60" s="2">
        <v>2949</v>
      </c>
      <c r="AL60" s="2">
        <f t="shared" si="84"/>
        <v>3972</v>
      </c>
      <c r="AM60" s="26">
        <f>+AL87*$BA$74</f>
        <v>1127.8499999999999</v>
      </c>
      <c r="AN60" s="26">
        <f t="shared" ref="AN60:AU60" si="112">+AM87*$BA$74</f>
        <v>1774.7427725266066</v>
      </c>
      <c r="AO60" s="26">
        <f t="shared" si="112"/>
        <v>2507.8591073921771</v>
      </c>
      <c r="AP60" s="26">
        <f t="shared" si="112"/>
        <v>3336.4193719279565</v>
      </c>
      <c r="AQ60" s="26">
        <f t="shared" si="112"/>
        <v>4270.6232005266384</v>
      </c>
      <c r="AR60" s="26">
        <f t="shared" si="112"/>
        <v>5321.7551733148239</v>
      </c>
      <c r="AS60" s="26">
        <f t="shared" si="112"/>
        <v>6502.3021247499028</v>
      </c>
      <c r="AT60" s="26">
        <f t="shared" si="112"/>
        <v>7826.0833884068961</v>
      </c>
      <c r="AU60" s="26">
        <f t="shared" si="112"/>
        <v>9308.3954339453176</v>
      </c>
    </row>
    <row r="61" spans="2:47" x14ac:dyDescent="0.2">
      <c r="B61" s="10" t="s">
        <v>30</v>
      </c>
      <c r="C61" s="2">
        <v>-402</v>
      </c>
      <c r="D61" s="2">
        <v>-403</v>
      </c>
      <c r="E61" s="2">
        <v>-428</v>
      </c>
      <c r="F61" s="2">
        <v>-414</v>
      </c>
      <c r="G61" s="2">
        <v>-399</v>
      </c>
      <c r="H61" s="2">
        <v>-435</v>
      </c>
      <c r="I61" s="2">
        <v>-493</v>
      </c>
      <c r="J61" s="2">
        <f t="shared" si="78"/>
        <v>-482</v>
      </c>
      <c r="K61" s="2">
        <v>-472</v>
      </c>
      <c r="L61" s="2">
        <v>-584</v>
      </c>
      <c r="M61" s="2">
        <v>-617</v>
      </c>
      <c r="N61" s="2">
        <v>-694</v>
      </c>
      <c r="O61" s="2">
        <v>-823</v>
      </c>
      <c r="P61" s="2">
        <v>-840</v>
      </c>
      <c r="Q61" s="2">
        <v>-806</v>
      </c>
      <c r="R61" s="2">
        <v>-713</v>
      </c>
      <c r="S61" s="2">
        <v>-644</v>
      </c>
      <c r="T61" s="2">
        <f t="shared" ref="T61:V63" si="113">+S61</f>
        <v>-644</v>
      </c>
      <c r="U61" s="2">
        <f t="shared" si="113"/>
        <v>-644</v>
      </c>
      <c r="V61" s="2">
        <f t="shared" si="113"/>
        <v>-644</v>
      </c>
      <c r="AG61" s="2">
        <v>-1600</v>
      </c>
      <c r="AH61" s="2">
        <v>-1647</v>
      </c>
      <c r="AI61" s="2">
        <v>-1809</v>
      </c>
      <c r="AJ61" s="2">
        <v>-2367</v>
      </c>
      <c r="AK61" s="2">
        <v>-3182</v>
      </c>
      <c r="AL61" s="2">
        <f t="shared" si="84"/>
        <v>-2576</v>
      </c>
      <c r="AM61" s="2">
        <f t="shared" ref="AM61" si="114">+AM$59*(AL61/AL$59)</f>
        <v>-2758.5106445717943</v>
      </c>
      <c r="AN61" s="2">
        <f t="shared" ref="AN61" si="115">+AN$59*(AM61/AM$59)</f>
        <v>-3041.7885989358228</v>
      </c>
      <c r="AO61" s="2">
        <f t="shared" ref="AO61" si="116">+AO$59*(AN61/AN$59)</f>
        <v>-3354.6103115525166</v>
      </c>
      <c r="AP61" s="2">
        <f t="shared" ref="AP61" si="117">+AP$59*(AO61/AO$59)</f>
        <v>-3700.1107754548025</v>
      </c>
      <c r="AQ61" s="2">
        <f t="shared" ref="AQ61" si="118">+AQ$59*(AP61/AP$59)</f>
        <v>-4081.7639919996423</v>
      </c>
      <c r="AR61" s="2">
        <f t="shared" ref="AR61" si="119">+AR$59*(AQ61/AQ$59)</f>
        <v>-4503.4203704636802</v>
      </c>
      <c r="AS61" s="2">
        <f t="shared" ref="AS61" si="120">+AS$59*(AR61/AR$59)</f>
        <v>-4969.3483388707618</v>
      </c>
      <c r="AT61" s="2">
        <f t="shared" ref="AT61" si="121">+AT$59*(AS61/AS$59)</f>
        <v>-5484.2806499190783</v>
      </c>
      <c r="AU61" s="2">
        <f t="shared" ref="AU61" si="122">+AU$59*(AT61/AT$59)</f>
        <v>-6053.4659225519181</v>
      </c>
    </row>
    <row r="62" spans="2:47" x14ac:dyDescent="0.2">
      <c r="B62" s="10" t="s">
        <v>31</v>
      </c>
      <c r="C62" s="2">
        <v>-406</v>
      </c>
      <c r="D62" s="2">
        <v>646</v>
      </c>
      <c r="E62" s="2">
        <v>925</v>
      </c>
      <c r="F62" s="2">
        <v>1206</v>
      </c>
      <c r="G62" s="2">
        <v>1697</v>
      </c>
      <c r="H62" s="2">
        <v>1261</v>
      </c>
      <c r="I62" s="2">
        <v>-163</v>
      </c>
      <c r="J62" s="2">
        <f t="shared" si="78"/>
        <v>11838</v>
      </c>
      <c r="K62" s="2">
        <v>-8570</v>
      </c>
      <c r="L62" s="2">
        <v>-5545</v>
      </c>
      <c r="M62" s="2">
        <v>759</v>
      </c>
      <c r="N62" s="2">
        <v>-3450</v>
      </c>
      <c r="O62" s="2">
        <v>-443</v>
      </c>
      <c r="P62" s="2">
        <v>61</v>
      </c>
      <c r="Q62" s="2">
        <v>1031</v>
      </c>
      <c r="R62" s="2">
        <v>289</v>
      </c>
      <c r="S62" s="2">
        <v>-2673</v>
      </c>
      <c r="T62" s="2">
        <f t="shared" si="113"/>
        <v>-2673</v>
      </c>
      <c r="U62" s="2">
        <f t="shared" si="113"/>
        <v>-2673</v>
      </c>
      <c r="V62" s="2">
        <f t="shared" si="113"/>
        <v>-2673</v>
      </c>
      <c r="AG62" s="2">
        <v>203</v>
      </c>
      <c r="AH62" s="2">
        <v>2371</v>
      </c>
      <c r="AI62" s="2">
        <v>14633</v>
      </c>
      <c r="AJ62" s="2">
        <v>-16806</v>
      </c>
      <c r="AK62" s="2">
        <v>938</v>
      </c>
      <c r="AL62" s="2">
        <f t="shared" si="84"/>
        <v>-10692</v>
      </c>
      <c r="AM62" s="2">
        <f>+AL62</f>
        <v>-10692</v>
      </c>
      <c r="AN62" s="2">
        <f t="shared" ref="AN62:AU62" si="123">+AM62</f>
        <v>-10692</v>
      </c>
      <c r="AO62" s="2">
        <f t="shared" si="123"/>
        <v>-10692</v>
      </c>
      <c r="AP62" s="2">
        <f t="shared" si="123"/>
        <v>-10692</v>
      </c>
      <c r="AQ62" s="2">
        <f t="shared" si="123"/>
        <v>-10692</v>
      </c>
      <c r="AR62" s="2">
        <f t="shared" si="123"/>
        <v>-10692</v>
      </c>
      <c r="AS62" s="2">
        <f t="shared" si="123"/>
        <v>-10692</v>
      </c>
      <c r="AT62" s="2">
        <f t="shared" si="123"/>
        <v>-10692</v>
      </c>
      <c r="AU62" s="2">
        <f t="shared" si="123"/>
        <v>-10692</v>
      </c>
    </row>
    <row r="63" spans="2:47" x14ac:dyDescent="0.2">
      <c r="B63" s="10" t="s">
        <v>32</v>
      </c>
      <c r="C63" s="2">
        <f t="shared" ref="C63:I63" si="124">+SUM(C60:C62)</f>
        <v>-606</v>
      </c>
      <c r="D63" s="2">
        <f t="shared" si="124"/>
        <v>378</v>
      </c>
      <c r="E63" s="2">
        <f t="shared" si="124"/>
        <v>615</v>
      </c>
      <c r="F63" s="2">
        <f t="shared" si="124"/>
        <v>892</v>
      </c>
      <c r="G63" s="2">
        <f t="shared" si="124"/>
        <v>1403</v>
      </c>
      <c r="H63" s="2">
        <f t="shared" si="124"/>
        <v>932</v>
      </c>
      <c r="I63" s="2">
        <f t="shared" si="124"/>
        <v>-537</v>
      </c>
      <c r="J63" s="2">
        <f t="shared" si="78"/>
        <v>11474</v>
      </c>
      <c r="K63" s="2">
        <f t="shared" ref="K63:R63" si="125">+SUM(K60:K62)</f>
        <v>-8934</v>
      </c>
      <c r="L63" s="2">
        <f t="shared" si="125"/>
        <v>-5970</v>
      </c>
      <c r="M63" s="2">
        <f t="shared" si="125"/>
        <v>419</v>
      </c>
      <c r="N63" s="2">
        <f t="shared" si="125"/>
        <v>-3699</v>
      </c>
      <c r="O63" s="2">
        <f t="shared" si="125"/>
        <v>-655</v>
      </c>
      <c r="P63" s="2">
        <f t="shared" si="125"/>
        <v>-118</v>
      </c>
      <c r="Q63" s="2">
        <f t="shared" si="125"/>
        <v>1001</v>
      </c>
      <c r="R63" s="2">
        <f t="shared" si="125"/>
        <v>477</v>
      </c>
      <c r="S63" s="2">
        <f t="shared" ref="S63" si="126">+SUM(S60:S62)</f>
        <v>-2324</v>
      </c>
      <c r="T63" s="2">
        <f t="shared" si="113"/>
        <v>-2324</v>
      </c>
      <c r="U63" s="2">
        <f t="shared" si="113"/>
        <v>-2324</v>
      </c>
      <c r="V63" s="2">
        <f t="shared" si="113"/>
        <v>-2324</v>
      </c>
      <c r="AG63" s="2">
        <f>+SUM(AG60:AG62)</f>
        <v>-565</v>
      </c>
      <c r="AH63" s="2">
        <f>+SUM(AH60:AH62)</f>
        <v>1279</v>
      </c>
      <c r="AI63" s="2">
        <f>+SUM(AI60:AI62)</f>
        <v>13272</v>
      </c>
      <c r="AJ63" s="2">
        <f>+SUM(AJ60:AJ62)</f>
        <v>-18184</v>
      </c>
      <c r="AK63" s="2">
        <f>+SUM(AK60:AK62)</f>
        <v>705</v>
      </c>
      <c r="AL63" s="2">
        <f t="shared" si="84"/>
        <v>-9296</v>
      </c>
      <c r="AM63" s="2">
        <f t="shared" ref="AM63" si="127">+SUM(AM60:AM62)</f>
        <v>-12322.660644571795</v>
      </c>
      <c r="AN63" s="2">
        <f t="shared" ref="AN63:AU63" si="128">+SUM(AN60:AN62)</f>
        <v>-11959.045826409216</v>
      </c>
      <c r="AO63" s="2">
        <f t="shared" si="128"/>
        <v>-11538.75120416034</v>
      </c>
      <c r="AP63" s="2">
        <f t="shared" si="128"/>
        <v>-11055.691403526846</v>
      </c>
      <c r="AQ63" s="2">
        <f t="shared" si="128"/>
        <v>-10503.140791473004</v>
      </c>
      <c r="AR63" s="2">
        <f t="shared" si="128"/>
        <v>-9873.6651971488573</v>
      </c>
      <c r="AS63" s="2">
        <f t="shared" si="128"/>
        <v>-9159.0462141208591</v>
      </c>
      <c r="AT63" s="2">
        <f t="shared" si="128"/>
        <v>-8350.1972615121813</v>
      </c>
      <c r="AU63" s="2">
        <f t="shared" si="128"/>
        <v>-7437.0704886066005</v>
      </c>
    </row>
    <row r="64" spans="2:47" x14ac:dyDescent="0.2">
      <c r="B64" s="10" t="s">
        <v>33</v>
      </c>
      <c r="C64" s="2">
        <f t="shared" ref="C64:I64" si="129">+C59+C63</f>
        <v>3383</v>
      </c>
      <c r="D64" s="2">
        <f t="shared" si="129"/>
        <v>6221</v>
      </c>
      <c r="E64" s="2">
        <f t="shared" si="129"/>
        <v>6809</v>
      </c>
      <c r="F64" s="2">
        <f t="shared" si="129"/>
        <v>7765</v>
      </c>
      <c r="G64" s="2">
        <f t="shared" si="129"/>
        <v>10268</v>
      </c>
      <c r="H64" s="2">
        <f t="shared" si="129"/>
        <v>8634</v>
      </c>
      <c r="I64" s="2">
        <f t="shared" si="129"/>
        <v>4315</v>
      </c>
      <c r="J64" s="2">
        <f t="shared" si="78"/>
        <v>14934</v>
      </c>
      <c r="K64" s="2">
        <f t="shared" ref="K64:R64" si="130">+K59+K63</f>
        <v>-5265</v>
      </c>
      <c r="L64" s="2">
        <f t="shared" si="130"/>
        <v>-2653</v>
      </c>
      <c r="M64" s="2">
        <f t="shared" si="130"/>
        <v>2944</v>
      </c>
      <c r="N64" s="2">
        <f t="shared" si="130"/>
        <v>-962</v>
      </c>
      <c r="O64" s="2">
        <f t="shared" si="130"/>
        <v>4119</v>
      </c>
      <c r="P64" s="2">
        <f t="shared" si="130"/>
        <v>7563</v>
      </c>
      <c r="Q64" s="2">
        <f t="shared" si="130"/>
        <v>12189</v>
      </c>
      <c r="R64" s="2">
        <f t="shared" si="130"/>
        <v>13686</v>
      </c>
      <c r="S64" s="2">
        <f t="shared" ref="S64" si="131">+S59+S63</f>
        <v>12983</v>
      </c>
      <c r="T64" s="2">
        <f t="shared" ref="T64:V64" si="132">+S64</f>
        <v>12983</v>
      </c>
      <c r="U64" s="2">
        <f t="shared" si="132"/>
        <v>12983</v>
      </c>
      <c r="V64" s="2">
        <f t="shared" si="132"/>
        <v>12983</v>
      </c>
      <c r="AG64" s="2">
        <f>+AG59+AG63</f>
        <v>13976</v>
      </c>
      <c r="AH64" s="2">
        <f>+AH59+AH63</f>
        <v>24178</v>
      </c>
      <c r="AI64" s="2">
        <f>+AI59+AI63</f>
        <v>38151</v>
      </c>
      <c r="AJ64" s="2">
        <f>+AJ59+AJ63</f>
        <v>-5936</v>
      </c>
      <c r="AK64" s="2">
        <f>+AK59+AK63</f>
        <v>37557</v>
      </c>
      <c r="AL64" s="2">
        <f t="shared" si="84"/>
        <v>51932</v>
      </c>
      <c r="AM64" s="2">
        <f t="shared" ref="AM64:AS64" si="133">+AM59+AM63</f>
        <v>53243.367983472388</v>
      </c>
      <c r="AN64" s="2">
        <f t="shared" si="133"/>
        <v>60340.112688979978</v>
      </c>
      <c r="AO64" s="2">
        <f t="shared" si="133"/>
        <v>68195.751961886825</v>
      </c>
      <c r="AP64" s="2">
        <f t="shared" si="133"/>
        <v>76890.885677042505</v>
      </c>
      <c r="AQ64" s="2">
        <f t="shared" si="133"/>
        <v>86514.811732655129</v>
      </c>
      <c r="AR64" s="2">
        <f t="shared" si="133"/>
        <v>97166.483266651689</v>
      </c>
      <c r="AS64" s="2">
        <f t="shared" si="133"/>
        <v>108955.57338695794</v>
      </c>
      <c r="AT64" s="2">
        <f t="shared" ref="AT64:AU64" si="134">+AT59+AT63</f>
        <v>122003.65973897126</v>
      </c>
      <c r="AU64" s="2">
        <f t="shared" si="134"/>
        <v>136445.54267366391</v>
      </c>
    </row>
    <row r="65" spans="2:288" x14ac:dyDescent="0.2">
      <c r="B65" s="10" t="s">
        <v>34</v>
      </c>
      <c r="C65" s="2">
        <v>-744</v>
      </c>
      <c r="D65" s="2">
        <v>-984</v>
      </c>
      <c r="E65" s="2">
        <v>-569</v>
      </c>
      <c r="F65" s="2">
        <v>-566</v>
      </c>
      <c r="G65" s="2">
        <v>-2156</v>
      </c>
      <c r="H65" s="2">
        <v>-868</v>
      </c>
      <c r="I65" s="2">
        <v>-1155</v>
      </c>
      <c r="J65" s="2">
        <f t="shared" si="78"/>
        <v>-612</v>
      </c>
      <c r="K65" s="2">
        <v>1422</v>
      </c>
      <c r="L65" s="2">
        <v>637</v>
      </c>
      <c r="M65" s="2">
        <v>-69</v>
      </c>
      <c r="N65" s="2">
        <v>1227</v>
      </c>
      <c r="O65" s="2">
        <v>-948</v>
      </c>
      <c r="P65" s="2">
        <v>-804</v>
      </c>
      <c r="Q65" s="2">
        <v>-2306</v>
      </c>
      <c r="R65" s="2">
        <v>-3062</v>
      </c>
      <c r="S65" s="2">
        <v>-2467</v>
      </c>
      <c r="T65" s="2">
        <f t="shared" ref="T65:V65" si="135">+S65</f>
        <v>-2467</v>
      </c>
      <c r="U65" s="2">
        <f t="shared" si="135"/>
        <v>-2467</v>
      </c>
      <c r="V65" s="2">
        <f t="shared" si="135"/>
        <v>-2467</v>
      </c>
      <c r="AG65" s="2">
        <v>-2374</v>
      </c>
      <c r="AH65" s="2">
        <v>-2863</v>
      </c>
      <c r="AI65" s="2">
        <v>-4791</v>
      </c>
      <c r="AJ65" s="2">
        <v>3217</v>
      </c>
      <c r="AK65" s="2">
        <v>-7120</v>
      </c>
      <c r="AL65" s="2">
        <f t="shared" si="84"/>
        <v>-9868</v>
      </c>
      <c r="AM65" s="2">
        <f>+AM64*(AL65/AL64)</f>
        <v>-10117.183148365277</v>
      </c>
      <c r="AN65" s="2">
        <f t="shared" ref="AN65:AU65" si="136">+AN64*(AM65/AM64)</f>
        <v>-11465.690364608612</v>
      </c>
      <c r="AO65" s="2">
        <f t="shared" si="136"/>
        <v>-12958.400992834846</v>
      </c>
      <c r="AP65" s="2">
        <f t="shared" si="136"/>
        <v>-14610.63043713039</v>
      </c>
      <c r="AQ65" s="2">
        <f t="shared" si="136"/>
        <v>-16439.346880109391</v>
      </c>
      <c r="AR65" s="2">
        <f t="shared" si="136"/>
        <v>-18463.353170979721</v>
      </c>
      <c r="AS65" s="2">
        <f t="shared" si="136"/>
        <v>-20703.489143158382</v>
      </c>
      <c r="AT65" s="2">
        <f t="shared" si="136"/>
        <v>-23182.856703076493</v>
      </c>
      <c r="AU65" s="2">
        <f t="shared" si="136"/>
        <v>-25927.070305470912</v>
      </c>
    </row>
    <row r="66" spans="2:288" x14ac:dyDescent="0.2">
      <c r="B66" s="10" t="s">
        <v>36</v>
      </c>
      <c r="C66" s="2">
        <v>-104</v>
      </c>
      <c r="D66" s="2">
        <v>6</v>
      </c>
      <c r="E66" s="2">
        <v>91</v>
      </c>
      <c r="F66" s="2">
        <v>23</v>
      </c>
      <c r="G66" s="2">
        <v>-5</v>
      </c>
      <c r="H66" s="2">
        <v>12</v>
      </c>
      <c r="I66" s="2">
        <v>-4</v>
      </c>
      <c r="J66" s="2">
        <f t="shared" si="78"/>
        <v>1</v>
      </c>
      <c r="K66" s="2">
        <v>-1</v>
      </c>
      <c r="L66" s="2">
        <v>-12</v>
      </c>
      <c r="M66" s="2">
        <v>-3</v>
      </c>
      <c r="N66" s="2">
        <v>13</v>
      </c>
      <c r="O66" s="2">
        <v>1</v>
      </c>
      <c r="P66" s="2">
        <v>-9</v>
      </c>
      <c r="Q66" s="2">
        <v>-4</v>
      </c>
      <c r="R66" s="2">
        <v>0</v>
      </c>
      <c r="S66" s="2">
        <v>-85</v>
      </c>
      <c r="AG66" s="2">
        <v>-14</v>
      </c>
      <c r="AH66" s="2">
        <v>16</v>
      </c>
      <c r="AI66" s="2">
        <v>4</v>
      </c>
      <c r="AJ66" s="2">
        <v>-3</v>
      </c>
      <c r="AK66" s="2">
        <v>-12</v>
      </c>
      <c r="AL66" s="2">
        <f t="shared" si="84"/>
        <v>-85</v>
      </c>
    </row>
    <row r="67" spans="2:288" x14ac:dyDescent="0.2">
      <c r="B67" s="10" t="s">
        <v>35</v>
      </c>
      <c r="C67" s="2">
        <f t="shared" ref="C67:I67" si="137">+SUM(C64:C66)</f>
        <v>2535</v>
      </c>
      <c r="D67" s="2">
        <f t="shared" si="137"/>
        <v>5243</v>
      </c>
      <c r="E67" s="2">
        <f t="shared" si="137"/>
        <v>6331</v>
      </c>
      <c r="F67" s="2">
        <f t="shared" si="137"/>
        <v>7222</v>
      </c>
      <c r="G67" s="2">
        <f t="shared" si="137"/>
        <v>8107</v>
      </c>
      <c r="H67" s="2">
        <f t="shared" si="137"/>
        <v>7778</v>
      </c>
      <c r="I67" s="2">
        <f t="shared" si="137"/>
        <v>3156</v>
      </c>
      <c r="J67" s="2">
        <f t="shared" si="78"/>
        <v>14323</v>
      </c>
      <c r="K67" s="2">
        <f t="shared" ref="K67:R67" si="138">+SUM(K64:K66)</f>
        <v>-3844</v>
      </c>
      <c r="L67" s="2">
        <f t="shared" si="138"/>
        <v>-2028</v>
      </c>
      <c r="M67" s="2">
        <f t="shared" si="138"/>
        <v>2872</v>
      </c>
      <c r="N67" s="2">
        <f t="shared" si="138"/>
        <v>278</v>
      </c>
      <c r="O67" s="2">
        <f t="shared" si="138"/>
        <v>3172</v>
      </c>
      <c r="P67" s="2">
        <f t="shared" si="138"/>
        <v>6750</v>
      </c>
      <c r="Q67" s="2">
        <f t="shared" si="138"/>
        <v>9879</v>
      </c>
      <c r="R67" s="2">
        <f t="shared" si="138"/>
        <v>10624</v>
      </c>
      <c r="S67" s="2">
        <f t="shared" ref="S67" si="139">+SUM(S64:S66)</f>
        <v>10431</v>
      </c>
      <c r="T67" s="2">
        <f t="shared" ref="T67:V67" si="140">+S67</f>
        <v>10431</v>
      </c>
      <c r="U67" s="2">
        <f t="shared" si="140"/>
        <v>10431</v>
      </c>
      <c r="V67" s="2">
        <f t="shared" si="140"/>
        <v>10431</v>
      </c>
      <c r="AG67" s="2">
        <f>+SUM(AG64:AG66)</f>
        <v>11588</v>
      </c>
      <c r="AH67" s="2">
        <f>+SUM(AH64:AH66)</f>
        <v>21331</v>
      </c>
      <c r="AI67" s="2">
        <f>+SUM(AI64:AI66)</f>
        <v>33364</v>
      </c>
      <c r="AJ67" s="2">
        <f>+SUM(AJ64:AJ66)</f>
        <v>-2722</v>
      </c>
      <c r="AK67" s="2">
        <f>+SUM(AK64:AK66)</f>
        <v>30425</v>
      </c>
      <c r="AL67" s="2">
        <f t="shared" si="84"/>
        <v>41724</v>
      </c>
      <c r="AM67" s="2">
        <f t="shared" ref="AM67:AS67" si="141">+SUM(AM64:AM66)</f>
        <v>43126.184835107109</v>
      </c>
      <c r="AN67" s="2">
        <f>+SUM(AN64:AN66)</f>
        <v>48874.422324371364</v>
      </c>
      <c r="AO67" s="2">
        <f t="shared" si="141"/>
        <v>55237.350969051979</v>
      </c>
      <c r="AP67" s="2">
        <f t="shared" si="141"/>
        <v>62280.255239912112</v>
      </c>
      <c r="AQ67" s="2">
        <f t="shared" si="141"/>
        <v>70075.464852545731</v>
      </c>
      <c r="AR67" s="2">
        <f t="shared" si="141"/>
        <v>78703.130095671964</v>
      </c>
      <c r="AS67" s="2">
        <f t="shared" si="141"/>
        <v>88252.08424379956</v>
      </c>
      <c r="AT67" s="2">
        <f t="shared" ref="AT67:AU67" si="142">+SUM(AT64:AT66)</f>
        <v>98820.803035894758</v>
      </c>
      <c r="AU67" s="2">
        <f t="shared" si="142"/>
        <v>110518.47236819299</v>
      </c>
      <c r="AV67" s="2">
        <f t="shared" ref="AV67:CA67" si="143">+AU67*(1+$BA$75)</f>
        <v>112728.84181555685</v>
      </c>
      <c r="AW67" s="2">
        <f t="shared" si="143"/>
        <v>114983.41865186799</v>
      </c>
      <c r="AX67" s="2">
        <f t="shared" si="143"/>
        <v>117283.08702490536</v>
      </c>
      <c r="AY67" s="2">
        <f t="shared" si="143"/>
        <v>119628.74876540346</v>
      </c>
      <c r="AZ67" s="2">
        <f t="shared" si="143"/>
        <v>122021.32374071154</v>
      </c>
      <c r="BA67" s="2">
        <f t="shared" si="143"/>
        <v>124461.75021552577</v>
      </c>
      <c r="BB67" s="2">
        <f t="shared" si="143"/>
        <v>126950.98521983628</v>
      </c>
      <c r="BC67" s="2">
        <f t="shared" si="143"/>
        <v>129490.00492423301</v>
      </c>
      <c r="BD67" s="2">
        <f t="shared" si="143"/>
        <v>132079.80502271769</v>
      </c>
      <c r="BE67" s="2">
        <f t="shared" si="143"/>
        <v>134721.40112317205</v>
      </c>
      <c r="BF67" s="2">
        <f t="shared" si="143"/>
        <v>137415.82914563551</v>
      </c>
      <c r="BG67" s="2">
        <f t="shared" si="143"/>
        <v>140164.14572854823</v>
      </c>
      <c r="BH67" s="2">
        <f t="shared" si="143"/>
        <v>142967.4286431192</v>
      </c>
      <c r="BI67" s="2">
        <f t="shared" si="143"/>
        <v>145826.77721598159</v>
      </c>
      <c r="BJ67" s="2">
        <f t="shared" si="143"/>
        <v>148743.31276030123</v>
      </c>
      <c r="BK67" s="2">
        <f t="shared" si="143"/>
        <v>151718.17901550725</v>
      </c>
      <c r="BL67" s="2">
        <f t="shared" si="143"/>
        <v>154752.54259581739</v>
      </c>
      <c r="BM67" s="2">
        <f t="shared" si="143"/>
        <v>157847.59344773373</v>
      </c>
      <c r="BN67" s="2">
        <f t="shared" si="143"/>
        <v>161004.5453166884</v>
      </c>
      <c r="BO67" s="2">
        <f t="shared" si="143"/>
        <v>164224.63622302216</v>
      </c>
      <c r="BP67" s="2">
        <f t="shared" si="143"/>
        <v>167509.12894748259</v>
      </c>
      <c r="BQ67" s="2">
        <f t="shared" si="143"/>
        <v>170859.31152643226</v>
      </c>
      <c r="BR67" s="2">
        <f t="shared" si="143"/>
        <v>174276.49775696089</v>
      </c>
      <c r="BS67" s="2">
        <f t="shared" si="143"/>
        <v>177762.0277121001</v>
      </c>
      <c r="BT67" s="2">
        <f t="shared" si="143"/>
        <v>181317.26826634211</v>
      </c>
      <c r="BU67" s="2">
        <f t="shared" si="143"/>
        <v>184943.61363166897</v>
      </c>
      <c r="BV67" s="2">
        <f t="shared" si="143"/>
        <v>188642.48590430236</v>
      </c>
      <c r="BW67" s="2">
        <f t="shared" si="143"/>
        <v>192415.3356223884</v>
      </c>
      <c r="BX67" s="2">
        <f t="shared" si="143"/>
        <v>196263.64233483619</v>
      </c>
      <c r="BY67" s="2">
        <f t="shared" si="143"/>
        <v>200188.91518153291</v>
      </c>
      <c r="BZ67" s="2">
        <f t="shared" si="143"/>
        <v>204192.69348516356</v>
      </c>
      <c r="CA67" s="2">
        <f t="shared" si="143"/>
        <v>208276.54735486684</v>
      </c>
      <c r="CB67" s="2">
        <f t="shared" ref="CB67:DG67" si="144">+CA67*(1+$BA$75)</f>
        <v>212442.07830196418</v>
      </c>
      <c r="CC67" s="2">
        <f t="shared" si="144"/>
        <v>216690.91986800346</v>
      </c>
      <c r="CD67" s="2">
        <f t="shared" si="144"/>
        <v>221024.73826536353</v>
      </c>
      <c r="CE67" s="2">
        <f t="shared" si="144"/>
        <v>225445.23303067082</v>
      </c>
      <c r="CF67" s="2">
        <f t="shared" si="144"/>
        <v>229954.13769128424</v>
      </c>
      <c r="CG67" s="2">
        <f t="shared" si="144"/>
        <v>234553.22044510994</v>
      </c>
      <c r="CH67" s="2">
        <f t="shared" si="144"/>
        <v>239244.28485401213</v>
      </c>
      <c r="CI67" s="2">
        <f t="shared" si="144"/>
        <v>244029.17055109239</v>
      </c>
      <c r="CJ67" s="2">
        <f t="shared" si="144"/>
        <v>248909.75396211425</v>
      </c>
      <c r="CK67" s="2">
        <f t="shared" si="144"/>
        <v>253887.94904135654</v>
      </c>
      <c r="CL67" s="2">
        <f t="shared" si="144"/>
        <v>258965.70802218368</v>
      </c>
      <c r="CM67" s="2">
        <f t="shared" si="144"/>
        <v>264145.02218262735</v>
      </c>
      <c r="CN67" s="2">
        <f t="shared" si="144"/>
        <v>269427.92262627988</v>
      </c>
      <c r="CO67" s="2">
        <f t="shared" si="144"/>
        <v>274816.48107880546</v>
      </c>
      <c r="CP67" s="2">
        <f t="shared" si="144"/>
        <v>280312.81070038158</v>
      </c>
      <c r="CQ67" s="2">
        <f t="shared" si="144"/>
        <v>285919.0669143892</v>
      </c>
      <c r="CR67" s="2">
        <f t="shared" si="144"/>
        <v>291637.44825267699</v>
      </c>
      <c r="CS67" s="2">
        <f t="shared" si="144"/>
        <v>297470.19721773051</v>
      </c>
      <c r="CT67" s="2">
        <f t="shared" si="144"/>
        <v>303419.60116208514</v>
      </c>
      <c r="CU67" s="2">
        <f t="shared" si="144"/>
        <v>309487.99318532686</v>
      </c>
      <c r="CV67" s="2">
        <f t="shared" si="144"/>
        <v>315677.7530490334</v>
      </c>
      <c r="CW67" s="2">
        <f t="shared" si="144"/>
        <v>321991.30811001407</v>
      </c>
      <c r="CX67" s="2">
        <f t="shared" si="144"/>
        <v>328431.13427221437</v>
      </c>
      <c r="CY67" s="2">
        <f t="shared" si="144"/>
        <v>334999.75695765868</v>
      </c>
      <c r="CZ67" s="2">
        <f t="shared" si="144"/>
        <v>341699.75209681189</v>
      </c>
      <c r="DA67" s="2">
        <f t="shared" si="144"/>
        <v>348533.74713874812</v>
      </c>
      <c r="DB67" s="2">
        <f t="shared" si="144"/>
        <v>355504.42208152311</v>
      </c>
      <c r="DC67" s="2">
        <f t="shared" si="144"/>
        <v>362614.51052315359</v>
      </c>
      <c r="DD67" s="2">
        <f t="shared" si="144"/>
        <v>369866.80073361669</v>
      </c>
      <c r="DE67" s="2">
        <f t="shared" si="144"/>
        <v>377264.13674828905</v>
      </c>
      <c r="DF67" s="2">
        <f t="shared" si="144"/>
        <v>384809.41948325484</v>
      </c>
      <c r="DG67" s="2">
        <f t="shared" si="144"/>
        <v>392505.60787291994</v>
      </c>
      <c r="DH67" s="2">
        <f t="shared" ref="DH67:EM67" si="145">+DG67*(1+$BA$75)</f>
        <v>400355.72003037832</v>
      </c>
      <c r="DI67" s="2">
        <f t="shared" si="145"/>
        <v>408362.83443098591</v>
      </c>
      <c r="DJ67" s="2">
        <f t="shared" si="145"/>
        <v>416530.09111960564</v>
      </c>
      <c r="DK67" s="2">
        <f t="shared" si="145"/>
        <v>424860.69294199778</v>
      </c>
      <c r="DL67" s="2">
        <f t="shared" si="145"/>
        <v>433357.90680083772</v>
      </c>
      <c r="DM67" s="2">
        <f t="shared" si="145"/>
        <v>442025.06493685447</v>
      </c>
      <c r="DN67" s="2">
        <f t="shared" si="145"/>
        <v>450865.56623559154</v>
      </c>
      <c r="DO67" s="2">
        <f t="shared" si="145"/>
        <v>459882.87756030337</v>
      </c>
      <c r="DP67" s="2">
        <f t="shared" si="145"/>
        <v>469080.53511150944</v>
      </c>
      <c r="DQ67" s="2">
        <f t="shared" si="145"/>
        <v>478462.14581373963</v>
      </c>
      <c r="DR67" s="2">
        <f t="shared" si="145"/>
        <v>488031.38873001444</v>
      </c>
      <c r="DS67" s="2">
        <f t="shared" si="145"/>
        <v>497792.01650461473</v>
      </c>
      <c r="DT67" s="2">
        <f t="shared" si="145"/>
        <v>507747.85683470702</v>
      </c>
      <c r="DU67" s="2">
        <f t="shared" si="145"/>
        <v>517902.81397140119</v>
      </c>
      <c r="DV67" s="2">
        <f t="shared" si="145"/>
        <v>528260.87025082926</v>
      </c>
      <c r="DW67" s="2">
        <f t="shared" si="145"/>
        <v>538826.08765584591</v>
      </c>
      <c r="DX67" s="2">
        <f t="shared" si="145"/>
        <v>549602.60940896289</v>
      </c>
      <c r="DY67" s="2">
        <f t="shared" si="145"/>
        <v>560594.66159714211</v>
      </c>
      <c r="DZ67" s="2">
        <f t="shared" si="145"/>
        <v>571806.55482908501</v>
      </c>
      <c r="EA67" s="2">
        <f t="shared" si="145"/>
        <v>583242.68592566671</v>
      </c>
      <c r="EB67" s="2">
        <f t="shared" si="145"/>
        <v>594907.5396441801</v>
      </c>
      <c r="EC67" s="2">
        <f t="shared" si="145"/>
        <v>606805.69043706369</v>
      </c>
      <c r="ED67" s="2">
        <f t="shared" si="145"/>
        <v>618941.80424580502</v>
      </c>
      <c r="EE67" s="2">
        <f t="shared" si="145"/>
        <v>631320.64033072116</v>
      </c>
      <c r="EF67" s="2">
        <f t="shared" si="145"/>
        <v>643947.05313733558</v>
      </c>
      <c r="EG67" s="2">
        <f t="shared" si="145"/>
        <v>656825.99420008226</v>
      </c>
      <c r="EH67" s="2">
        <f t="shared" si="145"/>
        <v>669962.51408408396</v>
      </c>
      <c r="EI67" s="2">
        <f t="shared" si="145"/>
        <v>683361.76436576562</v>
      </c>
      <c r="EJ67" s="2">
        <f t="shared" si="145"/>
        <v>697028.99965308094</v>
      </c>
      <c r="EK67" s="2">
        <f t="shared" si="145"/>
        <v>710969.57964614255</v>
      </c>
      <c r="EL67" s="2">
        <f t="shared" si="145"/>
        <v>725188.9712390654</v>
      </c>
      <c r="EM67" s="2">
        <f t="shared" si="145"/>
        <v>739692.75066384673</v>
      </c>
      <c r="EN67" s="2">
        <f t="shared" ref="EN67:FS67" si="146">+EM67*(1+$BA$75)</f>
        <v>754486.60567712365</v>
      </c>
      <c r="EO67" s="2">
        <f t="shared" si="146"/>
        <v>769576.33779066615</v>
      </c>
      <c r="EP67" s="2">
        <f t="shared" si="146"/>
        <v>784967.86454647954</v>
      </c>
      <c r="EQ67" s="2">
        <f t="shared" si="146"/>
        <v>800667.22183740919</v>
      </c>
      <c r="ER67" s="2">
        <f t="shared" si="146"/>
        <v>816680.56627415738</v>
      </c>
      <c r="ES67" s="2">
        <f t="shared" si="146"/>
        <v>833014.17759964056</v>
      </c>
      <c r="ET67" s="2">
        <f t="shared" si="146"/>
        <v>849674.46115163341</v>
      </c>
      <c r="EU67" s="2">
        <f t="shared" si="146"/>
        <v>866667.95037466614</v>
      </c>
      <c r="EV67" s="2">
        <f t="shared" si="146"/>
        <v>884001.3093821595</v>
      </c>
      <c r="EW67" s="2">
        <f t="shared" si="146"/>
        <v>901681.33556980267</v>
      </c>
      <c r="EX67" s="2">
        <f t="shared" si="146"/>
        <v>919714.96228119871</v>
      </c>
      <c r="EY67" s="2">
        <f t="shared" si="146"/>
        <v>938109.26152682269</v>
      </c>
      <c r="EZ67" s="2">
        <f t="shared" si="146"/>
        <v>956871.4467573592</v>
      </c>
      <c r="FA67" s="2">
        <f t="shared" si="146"/>
        <v>976008.87569250644</v>
      </c>
      <c r="FB67" s="2">
        <f t="shared" si="146"/>
        <v>995529.05320635659</v>
      </c>
      <c r="FC67" s="2">
        <f t="shared" si="146"/>
        <v>1015439.6342704837</v>
      </c>
      <c r="FD67" s="2">
        <f t="shared" si="146"/>
        <v>1035748.4269558934</v>
      </c>
      <c r="FE67" s="2">
        <f t="shared" si="146"/>
        <v>1056463.3954950112</v>
      </c>
      <c r="FF67" s="2">
        <f t="shared" si="146"/>
        <v>1077592.6634049115</v>
      </c>
      <c r="FG67" s="2">
        <f t="shared" si="146"/>
        <v>1099144.5166730098</v>
      </c>
      <c r="FH67" s="2">
        <f t="shared" si="146"/>
        <v>1121127.40700647</v>
      </c>
      <c r="FI67" s="2">
        <f t="shared" si="146"/>
        <v>1143549.9551465993</v>
      </c>
      <c r="FJ67" s="2">
        <f t="shared" si="146"/>
        <v>1166420.9542495313</v>
      </c>
      <c r="FK67" s="2">
        <f t="shared" si="146"/>
        <v>1189749.3733345219</v>
      </c>
      <c r="FL67" s="2">
        <f t="shared" si="146"/>
        <v>1213544.3608012123</v>
      </c>
      <c r="FM67" s="2">
        <f t="shared" si="146"/>
        <v>1237815.2480172366</v>
      </c>
      <c r="FN67" s="2">
        <f t="shared" si="146"/>
        <v>1262571.5529775813</v>
      </c>
      <c r="FO67" s="2">
        <f t="shared" si="146"/>
        <v>1287822.9840371329</v>
      </c>
      <c r="FP67" s="2">
        <f t="shared" si="146"/>
        <v>1313579.4437178755</v>
      </c>
      <c r="FQ67" s="2">
        <f t="shared" si="146"/>
        <v>1339851.032592233</v>
      </c>
      <c r="FR67" s="2">
        <f t="shared" si="146"/>
        <v>1366648.0532440778</v>
      </c>
      <c r="FS67" s="2">
        <f t="shared" si="146"/>
        <v>1393981.0143089595</v>
      </c>
      <c r="FT67" s="2">
        <f t="shared" ref="FT67:GY67" si="147">+FS67*(1+$BA$75)</f>
        <v>1421860.6345951387</v>
      </c>
      <c r="FU67" s="2">
        <f t="shared" si="147"/>
        <v>1450297.8472870416</v>
      </c>
      <c r="FV67" s="2">
        <f t="shared" si="147"/>
        <v>1479303.8042327825</v>
      </c>
      <c r="FW67" s="2">
        <f t="shared" si="147"/>
        <v>1508889.8803174382</v>
      </c>
      <c r="FX67" s="2">
        <f t="shared" si="147"/>
        <v>1539067.6779237869</v>
      </c>
      <c r="FY67" s="2">
        <f t="shared" si="147"/>
        <v>1569849.0314822628</v>
      </c>
      <c r="FZ67" s="2">
        <f t="shared" si="147"/>
        <v>1601246.0121119081</v>
      </c>
      <c r="GA67" s="2">
        <f t="shared" si="147"/>
        <v>1633270.9323541461</v>
      </c>
      <c r="GB67" s="2">
        <f t="shared" si="147"/>
        <v>1665936.3510012291</v>
      </c>
      <c r="GC67" s="2">
        <f t="shared" si="147"/>
        <v>1699255.0780212537</v>
      </c>
      <c r="GD67" s="2">
        <f t="shared" si="147"/>
        <v>1733240.1795816787</v>
      </c>
      <c r="GE67" s="2">
        <f t="shared" si="147"/>
        <v>1767904.9831733124</v>
      </c>
      <c r="GF67" s="2">
        <f t="shared" si="147"/>
        <v>1803263.0828367786</v>
      </c>
      <c r="GG67" s="2">
        <f t="shared" si="147"/>
        <v>1839328.3444935142</v>
      </c>
      <c r="GH67" s="2">
        <f t="shared" si="147"/>
        <v>1876114.9113833844</v>
      </c>
      <c r="GI67" s="2">
        <f t="shared" si="147"/>
        <v>1913637.2096110522</v>
      </c>
      <c r="GJ67" s="2">
        <f t="shared" si="147"/>
        <v>1951909.9538032732</v>
      </c>
      <c r="GK67" s="2">
        <f t="shared" si="147"/>
        <v>1990948.1528793387</v>
      </c>
      <c r="GL67" s="2">
        <f t="shared" si="147"/>
        <v>2030767.1159369256</v>
      </c>
      <c r="GM67" s="2">
        <f t="shared" si="147"/>
        <v>2071382.4582556642</v>
      </c>
      <c r="GN67" s="2">
        <f t="shared" si="147"/>
        <v>2112810.1074207774</v>
      </c>
      <c r="GO67" s="2">
        <f t="shared" si="147"/>
        <v>2155066.3095691931</v>
      </c>
      <c r="GP67" s="2">
        <f t="shared" si="147"/>
        <v>2198167.6357605769</v>
      </c>
      <c r="GQ67" s="2">
        <f t="shared" si="147"/>
        <v>2242130.9884757884</v>
      </c>
      <c r="GR67" s="2">
        <f t="shared" si="147"/>
        <v>2286973.6082453043</v>
      </c>
      <c r="GS67" s="2">
        <f t="shared" si="147"/>
        <v>2332713.0804102104</v>
      </c>
      <c r="GT67" s="2">
        <f t="shared" si="147"/>
        <v>2379367.3420184148</v>
      </c>
      <c r="GU67" s="2">
        <f t="shared" si="147"/>
        <v>2426954.6888587829</v>
      </c>
      <c r="GV67" s="2">
        <f t="shared" si="147"/>
        <v>2475493.7826359584</v>
      </c>
      <c r="GW67" s="2">
        <f t="shared" si="147"/>
        <v>2525003.6582886777</v>
      </c>
      <c r="GX67" s="2">
        <f t="shared" si="147"/>
        <v>2575503.7314544511</v>
      </c>
      <c r="GY67" s="2">
        <f t="shared" si="147"/>
        <v>2627013.80608354</v>
      </c>
      <c r="GZ67" s="2">
        <f t="shared" ref="GZ67:IF67" si="148">+GY67*(1+$BA$75)</f>
        <v>2679554.0822052108</v>
      </c>
      <c r="HA67" s="2">
        <f t="shared" si="148"/>
        <v>2733145.1638493151</v>
      </c>
      <c r="HB67" s="2">
        <f t="shared" si="148"/>
        <v>2787808.0671263016</v>
      </c>
      <c r="HC67" s="2">
        <f t="shared" si="148"/>
        <v>2843564.2284688274</v>
      </c>
      <c r="HD67" s="2">
        <f t="shared" si="148"/>
        <v>2900435.5130382041</v>
      </c>
      <c r="HE67" s="2">
        <f t="shared" si="148"/>
        <v>2958444.2232989683</v>
      </c>
      <c r="HF67" s="2">
        <f t="shared" si="148"/>
        <v>3017613.1077649477</v>
      </c>
      <c r="HG67" s="2">
        <f t="shared" si="148"/>
        <v>3077965.3699202468</v>
      </c>
      <c r="HH67" s="2">
        <f t="shared" si="148"/>
        <v>3139524.6773186517</v>
      </c>
      <c r="HI67" s="2">
        <f t="shared" si="148"/>
        <v>3202315.1708650249</v>
      </c>
      <c r="HJ67" s="2">
        <f t="shared" si="148"/>
        <v>3266361.4742823252</v>
      </c>
      <c r="HK67" s="2">
        <f t="shared" si="148"/>
        <v>3331688.7037679716</v>
      </c>
      <c r="HL67" s="2">
        <f t="shared" si="148"/>
        <v>3398322.4778433312</v>
      </c>
      <c r="HM67" s="2">
        <f t="shared" si="148"/>
        <v>3466288.9274001978</v>
      </c>
      <c r="HN67" s="2">
        <f t="shared" si="148"/>
        <v>3535614.7059482019</v>
      </c>
      <c r="HO67" s="2">
        <f t="shared" si="148"/>
        <v>3606327.0000671661</v>
      </c>
      <c r="HP67" s="2">
        <f t="shared" si="148"/>
        <v>3678453.5400685095</v>
      </c>
      <c r="HQ67" s="2">
        <f t="shared" si="148"/>
        <v>3752022.6108698798</v>
      </c>
      <c r="HR67" s="2">
        <f t="shared" si="148"/>
        <v>3827063.0630872776</v>
      </c>
      <c r="HS67" s="2">
        <f t="shared" si="148"/>
        <v>3903604.3243490234</v>
      </c>
      <c r="HT67" s="2">
        <f t="shared" si="148"/>
        <v>3981676.4108360037</v>
      </c>
      <c r="HU67" s="2">
        <f t="shared" si="148"/>
        <v>4061309.9390527238</v>
      </c>
      <c r="HV67" s="2">
        <f t="shared" si="148"/>
        <v>4142536.1378337783</v>
      </c>
      <c r="HW67" s="2">
        <f t="shared" si="148"/>
        <v>4225386.8605904542</v>
      </c>
      <c r="HX67" s="2">
        <f t="shared" si="148"/>
        <v>4309894.5978022637</v>
      </c>
      <c r="HY67" s="2">
        <f t="shared" si="148"/>
        <v>4396092.489758309</v>
      </c>
      <c r="HZ67" s="2">
        <f t="shared" si="148"/>
        <v>4484014.3395534754</v>
      </c>
      <c r="IA67" s="2">
        <f t="shared" si="148"/>
        <v>4573694.6263445448</v>
      </c>
      <c r="IB67" s="2">
        <f t="shared" si="148"/>
        <v>4665168.5188714359</v>
      </c>
      <c r="IC67" s="2">
        <f t="shared" si="148"/>
        <v>4758471.8892488647</v>
      </c>
      <c r="ID67" s="2">
        <f t="shared" si="148"/>
        <v>4853641.327033842</v>
      </c>
      <c r="IE67" s="2">
        <f t="shared" si="148"/>
        <v>4950714.1535745189</v>
      </c>
      <c r="IF67" s="2">
        <f t="shared" si="148"/>
        <v>5049728.4366460089</v>
      </c>
      <c r="IG67" s="2">
        <f t="shared" ref="IG67:KB67" si="149">+IF67*(1+$BA$75)</f>
        <v>5150723.005378929</v>
      </c>
      <c r="IH67" s="2">
        <f t="shared" si="149"/>
        <v>5253737.4654865079</v>
      </c>
      <c r="II67" s="2">
        <f t="shared" si="149"/>
        <v>5358812.2147962386</v>
      </c>
      <c r="IJ67" s="2">
        <f t="shared" si="149"/>
        <v>5465988.4590921635</v>
      </c>
      <c r="IK67" s="2">
        <f t="shared" si="149"/>
        <v>5575308.2282740064</v>
      </c>
      <c r="IL67" s="2">
        <f t="shared" si="149"/>
        <v>5686814.3928394867</v>
      </c>
      <c r="IM67" s="2">
        <f t="shared" si="149"/>
        <v>5800550.6806962769</v>
      </c>
      <c r="IN67" s="2">
        <f t="shared" si="149"/>
        <v>5916561.6943102023</v>
      </c>
      <c r="IO67" s="2">
        <f t="shared" si="149"/>
        <v>6034892.928196406</v>
      </c>
      <c r="IP67" s="2">
        <f t="shared" si="149"/>
        <v>6155590.7867603339</v>
      </c>
      <c r="IQ67" s="2">
        <f t="shared" si="149"/>
        <v>6278702.6024955409</v>
      </c>
      <c r="IR67" s="2">
        <f t="shared" si="149"/>
        <v>6404276.6545454515</v>
      </c>
      <c r="IS67" s="2">
        <f t="shared" si="149"/>
        <v>6532362.1876363605</v>
      </c>
      <c r="IT67" s="2">
        <f t="shared" si="149"/>
        <v>6663009.4313890878</v>
      </c>
      <c r="IU67" s="2">
        <f t="shared" si="149"/>
        <v>6796269.6200168701</v>
      </c>
      <c r="IV67" s="2">
        <f t="shared" si="149"/>
        <v>6932195.0124172075</v>
      </c>
      <c r="IW67" s="2">
        <f t="shared" si="149"/>
        <v>7070838.9126655515</v>
      </c>
      <c r="IX67" s="2">
        <f t="shared" si="149"/>
        <v>7212255.6909188628</v>
      </c>
      <c r="IY67" s="2">
        <f t="shared" si="149"/>
        <v>7356500.8047372401</v>
      </c>
      <c r="IZ67" s="2">
        <f t="shared" si="149"/>
        <v>7503630.8208319852</v>
      </c>
      <c r="JA67" s="2">
        <f t="shared" si="149"/>
        <v>7653703.4372486249</v>
      </c>
      <c r="JB67" s="2">
        <f t="shared" si="149"/>
        <v>7806777.5059935972</v>
      </c>
      <c r="JC67" s="2">
        <f t="shared" si="149"/>
        <v>7962913.0561134694</v>
      </c>
      <c r="JD67" s="2">
        <f t="shared" si="149"/>
        <v>8122171.317235739</v>
      </c>
      <c r="JE67" s="2">
        <f t="shared" si="149"/>
        <v>8284614.743580454</v>
      </c>
      <c r="JF67" s="2">
        <f t="shared" si="149"/>
        <v>8450307.0384520628</v>
      </c>
      <c r="JG67" s="2">
        <f t="shared" si="149"/>
        <v>8619313.1792211048</v>
      </c>
      <c r="JH67" s="2">
        <f t="shared" si="149"/>
        <v>8791699.4428055268</v>
      </c>
      <c r="JI67" s="2">
        <f t="shared" si="149"/>
        <v>8967533.4316616375</v>
      </c>
      <c r="JJ67" s="2">
        <f t="shared" si="149"/>
        <v>9146884.1002948713</v>
      </c>
      <c r="JK67" s="2">
        <f t="shared" si="149"/>
        <v>9329821.7823007684</v>
      </c>
      <c r="JL67" s="2">
        <f t="shared" si="149"/>
        <v>9516418.2179467846</v>
      </c>
      <c r="JM67" s="2">
        <f t="shared" si="149"/>
        <v>9706746.5823057201</v>
      </c>
      <c r="JN67" s="2">
        <f t="shared" si="149"/>
        <v>9900881.5139518343</v>
      </c>
      <c r="JO67" s="2">
        <f t="shared" si="149"/>
        <v>10098899.144230871</v>
      </c>
      <c r="JP67" s="2">
        <f t="shared" si="149"/>
        <v>10300877.127115488</v>
      </c>
      <c r="JQ67" s="2">
        <f t="shared" si="149"/>
        <v>10506894.669657798</v>
      </c>
      <c r="JR67" s="2">
        <f t="shared" si="149"/>
        <v>10717032.563050956</v>
      </c>
      <c r="JS67" s="2">
        <f t="shared" si="149"/>
        <v>10931373.214311974</v>
      </c>
      <c r="JT67" s="2">
        <f t="shared" si="149"/>
        <v>11150000.678598214</v>
      </c>
      <c r="JU67" s="2">
        <f t="shared" si="149"/>
        <v>11373000.692170179</v>
      </c>
      <c r="JV67" s="2">
        <f t="shared" si="149"/>
        <v>11600460.706013583</v>
      </c>
      <c r="JW67" s="2">
        <f t="shared" si="149"/>
        <v>11832469.920133855</v>
      </c>
      <c r="JX67" s="2">
        <f t="shared" si="149"/>
        <v>12069119.318536533</v>
      </c>
      <c r="JY67" s="2">
        <f t="shared" si="149"/>
        <v>12310501.704907265</v>
      </c>
      <c r="JZ67" s="2">
        <f t="shared" si="149"/>
        <v>12556711.739005409</v>
      </c>
      <c r="KA67" s="2">
        <f t="shared" si="149"/>
        <v>12807845.973785518</v>
      </c>
      <c r="KB67" s="2">
        <f t="shared" si="149"/>
        <v>13064002.893261228</v>
      </c>
    </row>
    <row r="68" spans="2:288" s="52" customFormat="1" x14ac:dyDescent="0.2">
      <c r="B68" s="51" t="s">
        <v>38</v>
      </c>
      <c r="C68" s="52">
        <v>5.01</v>
      </c>
      <c r="D68" s="52">
        <v>10.3</v>
      </c>
      <c r="E68" s="52">
        <v>12.37</v>
      </c>
      <c r="F68" s="52">
        <v>14.09</v>
      </c>
      <c r="G68" s="52">
        <v>15.79</v>
      </c>
      <c r="H68" s="52">
        <v>0.76</v>
      </c>
      <c r="I68" s="52">
        <v>0.31</v>
      </c>
      <c r="J68" s="52">
        <f t="shared" si="78"/>
        <v>47.95</v>
      </c>
      <c r="K68" s="52">
        <v>-7.56</v>
      </c>
      <c r="L68" s="52">
        <v>-0.2</v>
      </c>
      <c r="M68" s="52">
        <f>+M67/M69</f>
        <v>0.27799825767108705</v>
      </c>
      <c r="N68" s="52">
        <f>+N67/N69</f>
        <v>2.6969344198680637E-2</v>
      </c>
      <c r="O68" s="52">
        <v>0.31</v>
      </c>
      <c r="P68" s="52">
        <v>0.65</v>
      </c>
      <c r="Q68" s="52">
        <v>0.94</v>
      </c>
      <c r="R68" s="52">
        <v>1</v>
      </c>
      <c r="S68" s="52">
        <f>+S67/S69</f>
        <v>0.97760074976569822</v>
      </c>
      <c r="T68" s="2">
        <f t="shared" ref="T68:V68" si="150">+S68</f>
        <v>0.97760074976569822</v>
      </c>
      <c r="U68" s="2">
        <f t="shared" si="150"/>
        <v>0.97760074976569822</v>
      </c>
      <c r="V68" s="2">
        <f t="shared" si="150"/>
        <v>0.97760074976569822</v>
      </c>
      <c r="AG68" s="52">
        <v>23.01</v>
      </c>
      <c r="AH68" s="52">
        <v>41.83</v>
      </c>
      <c r="AI68" s="52">
        <v>64.81</v>
      </c>
      <c r="AJ68" s="52">
        <f>+AJ67/AJ69</f>
        <v>-0.2671508489547551</v>
      </c>
      <c r="AK68" s="52">
        <f>+AK67/AK69</f>
        <v>2.8998284407167367</v>
      </c>
      <c r="AL68" s="2">
        <f t="shared" si="84"/>
        <v>3.9104029990627929</v>
      </c>
      <c r="AM68" s="52">
        <f t="shared" ref="AM68:AU68" si="151">+AM67/AM69</f>
        <v>4.0418167605536182</v>
      </c>
      <c r="AN68" s="52">
        <f t="shared" si="151"/>
        <v>4.5805456723871947</v>
      </c>
      <c r="AO68" s="52">
        <f t="shared" si="151"/>
        <v>5.1768838771370174</v>
      </c>
      <c r="AP68" s="52">
        <f t="shared" si="151"/>
        <v>5.8369498819036654</v>
      </c>
      <c r="AQ68" s="52">
        <f t="shared" si="151"/>
        <v>6.5675224791514273</v>
      </c>
      <c r="AR68" s="52">
        <f>+AR67/AR69</f>
        <v>7.3761134110283004</v>
      </c>
      <c r="AS68" s="52">
        <f t="shared" si="151"/>
        <v>8.2710481952951795</v>
      </c>
      <c r="AT68" s="52">
        <f t="shared" si="151"/>
        <v>9.261556048350025</v>
      </c>
      <c r="AU68" s="52">
        <f t="shared" si="151"/>
        <v>10.357869950158669</v>
      </c>
    </row>
    <row r="69" spans="2:288" x14ac:dyDescent="0.2">
      <c r="B69" s="10" t="s">
        <v>37</v>
      </c>
      <c r="C69" s="2">
        <f t="shared" ref="C69" si="152">+C67/C68</f>
        <v>505.98802395209583</v>
      </c>
      <c r="D69" s="2">
        <f t="shared" ref="D69:E69" si="153">+D67/D68</f>
        <v>509.02912621359218</v>
      </c>
      <c r="E69" s="2">
        <f t="shared" si="153"/>
        <v>511.80274858528702</v>
      </c>
      <c r="F69" s="2">
        <f t="shared" ref="F69" si="154">+F67/F68</f>
        <v>512.56210078069557</v>
      </c>
      <c r="G69" s="2">
        <f t="shared" ref="G69:L69" si="155">+G67/G68</f>
        <v>513.4262191260292</v>
      </c>
      <c r="H69" s="2">
        <f t="shared" si="155"/>
        <v>10234.21052631579</v>
      </c>
      <c r="I69" s="2">
        <f t="shared" si="155"/>
        <v>10180.645161290322</v>
      </c>
      <c r="J69" s="2">
        <f t="shared" si="155"/>
        <v>298.7069864442127</v>
      </c>
      <c r="K69" s="2">
        <f t="shared" si="155"/>
        <v>508.46560846560851</v>
      </c>
      <c r="L69" s="2">
        <f t="shared" si="155"/>
        <v>10140</v>
      </c>
      <c r="M69" s="2">
        <v>10331</v>
      </c>
      <c r="N69" s="2">
        <v>10308</v>
      </c>
      <c r="O69" s="2">
        <f t="shared" ref="O69:P69" si="156">+O67/O68</f>
        <v>10232.258064516129</v>
      </c>
      <c r="P69" s="2">
        <f t="shared" si="156"/>
        <v>10384.615384615385</v>
      </c>
      <c r="Q69" s="2">
        <f t="shared" ref="Q69:R69" si="157">+Q67/Q68</f>
        <v>10509.574468085108</v>
      </c>
      <c r="R69" s="2">
        <f t="shared" si="157"/>
        <v>10624</v>
      </c>
      <c r="S69" s="2">
        <v>10670</v>
      </c>
      <c r="T69" s="2">
        <f t="shared" ref="T69:V69" si="158">+S69</f>
        <v>10670</v>
      </c>
      <c r="U69" s="2">
        <f t="shared" si="158"/>
        <v>10670</v>
      </c>
      <c r="V69" s="2">
        <f t="shared" si="158"/>
        <v>10670</v>
      </c>
      <c r="AG69" s="2">
        <f>+AG67/AG68</f>
        <v>503.60712733594085</v>
      </c>
      <c r="AH69" s="2">
        <f>+AH67/AH68</f>
        <v>509.9450155390868</v>
      </c>
      <c r="AI69" s="2">
        <f>+AI67/AI68</f>
        <v>514.79709921308438</v>
      </c>
      <c r="AJ69" s="2">
        <v>10189</v>
      </c>
      <c r="AK69" s="2">
        <v>10492</v>
      </c>
      <c r="AL69" s="2">
        <f>+AL67/AL68</f>
        <v>10670</v>
      </c>
      <c r="AM69" s="2">
        <f t="shared" ref="AM69:AS69" si="159">+AL69</f>
        <v>10670</v>
      </c>
      <c r="AN69" s="2">
        <f t="shared" si="159"/>
        <v>10670</v>
      </c>
      <c r="AO69" s="2">
        <f t="shared" si="159"/>
        <v>10670</v>
      </c>
      <c r="AP69" s="2">
        <f t="shared" si="159"/>
        <v>10670</v>
      </c>
      <c r="AQ69" s="2">
        <f t="shared" si="159"/>
        <v>10670</v>
      </c>
      <c r="AR69" s="2">
        <f t="shared" si="159"/>
        <v>10670</v>
      </c>
      <c r="AS69" s="2">
        <f t="shared" si="159"/>
        <v>10670</v>
      </c>
      <c r="AT69" s="2">
        <f t="shared" ref="AT69:AU69" si="160">+AS69</f>
        <v>10670</v>
      </c>
      <c r="AU69" s="2">
        <f t="shared" si="160"/>
        <v>10670</v>
      </c>
    </row>
    <row r="72" spans="2:288" x14ac:dyDescent="0.2">
      <c r="B72" s="10" t="s">
        <v>121</v>
      </c>
      <c r="C72" s="6">
        <f t="shared" ref="C72:S72" si="161">+ABS(C65/C64)</f>
        <v>0.21992314513745195</v>
      </c>
      <c r="D72" s="6">
        <f t="shared" si="161"/>
        <v>0.1581739270213792</v>
      </c>
      <c r="E72" s="6">
        <f t="shared" si="161"/>
        <v>8.3565868703186955E-2</v>
      </c>
      <c r="F72" s="6">
        <f t="shared" si="161"/>
        <v>7.2891178364455897E-2</v>
      </c>
      <c r="G72" s="6">
        <f t="shared" si="161"/>
        <v>0.20997273081417997</v>
      </c>
      <c r="H72" s="6">
        <f t="shared" si="161"/>
        <v>0.1005327773917072</v>
      </c>
      <c r="I72" s="6">
        <f t="shared" si="161"/>
        <v>0.26767091541135574</v>
      </c>
      <c r="J72" s="6">
        <f t="shared" si="161"/>
        <v>4.0980313378867012E-2</v>
      </c>
      <c r="K72" s="6">
        <f t="shared" si="161"/>
        <v>0.27008547008547007</v>
      </c>
      <c r="L72" s="6">
        <f t="shared" si="161"/>
        <v>0.24010554089709762</v>
      </c>
      <c r="M72" s="6">
        <f t="shared" si="161"/>
        <v>2.34375E-2</v>
      </c>
      <c r="N72" s="6">
        <f t="shared" si="161"/>
        <v>1.2754677754677755</v>
      </c>
      <c r="O72" s="6">
        <f t="shared" si="161"/>
        <v>0.23015294974508377</v>
      </c>
      <c r="P72" s="6">
        <f t="shared" si="161"/>
        <v>0.10630702102340341</v>
      </c>
      <c r="Q72" s="6">
        <f t="shared" si="161"/>
        <v>0.18918697185987365</v>
      </c>
      <c r="R72" s="6">
        <f t="shared" si="161"/>
        <v>0.22373228116323249</v>
      </c>
      <c r="S72" s="6">
        <f t="shared" si="161"/>
        <v>0.1900177154740815</v>
      </c>
      <c r="T72" s="6"/>
      <c r="U72" s="6"/>
      <c r="V72" s="6"/>
      <c r="W72" s="6"/>
      <c r="X72" s="6"/>
      <c r="Y72" s="6"/>
      <c r="Z72" s="6"/>
      <c r="AB72" s="6"/>
      <c r="AD72" s="6"/>
      <c r="AK72" s="6">
        <f>_xlfn.RRI(10,AA51,AK51)</f>
        <v>0.2267693184610482</v>
      </c>
      <c r="AU72" s="6">
        <f>_xlfn.RRI(10,AL51,AU51)</f>
        <v>9.3242625019669623E-2</v>
      </c>
    </row>
    <row r="73" spans="2:288" ht="16" thickBot="1" x14ac:dyDescent="0.25">
      <c r="AD73" s="6"/>
    </row>
    <row r="74" spans="2:288" s="6" customFormat="1" x14ac:dyDescent="0.2">
      <c r="B74" s="16" t="s">
        <v>41</v>
      </c>
      <c r="G74" s="6">
        <f t="shared" ref="G74:S76" si="162">+G49/C49-1</f>
        <v>0.37403503740350375</v>
      </c>
      <c r="H74" s="6">
        <f t="shared" si="162"/>
        <v>0.15444630204601539</v>
      </c>
      <c r="I74" s="6">
        <f t="shared" si="162"/>
        <v>3.9830219426232549E-2</v>
      </c>
      <c r="J74" s="6">
        <f t="shared" si="162"/>
        <v>5.0664264805224679E-3</v>
      </c>
      <c r="K74" s="6">
        <f t="shared" si="162"/>
        <v>-1.8020211859247515E-2</v>
      </c>
      <c r="L74" s="6">
        <f t="shared" si="162"/>
        <v>-2.4636231984001111E-2</v>
      </c>
      <c r="M74" s="6">
        <f t="shared" si="162"/>
        <v>8.1347036956046281E-2</v>
      </c>
      <c r="N74" s="24">
        <f t="shared" si="162"/>
        <v>-1.2392181023860194E-2</v>
      </c>
      <c r="O74" s="24">
        <f t="shared" si="162"/>
        <v>9.317155256398868E-3</v>
      </c>
      <c r="P74" s="24">
        <f t="shared" si="162"/>
        <v>4.342907644719407E-2</v>
      </c>
      <c r="Q74" s="24">
        <f t="shared" si="162"/>
        <v>6.4560161779575242E-2</v>
      </c>
      <c r="R74" s="24">
        <f t="shared" si="162"/>
        <v>8.7507620762501626E-2</v>
      </c>
      <c r="S74" s="24">
        <f t="shared" si="162"/>
        <v>6.9040557378775347E-2</v>
      </c>
      <c r="T74" s="24"/>
      <c r="U74" s="24"/>
      <c r="V74" s="24"/>
      <c r="W74" s="24"/>
      <c r="X74" s="24"/>
      <c r="Y74" s="24"/>
      <c r="Z74" s="24"/>
      <c r="AH74" s="6">
        <f t="shared" ref="AH74:AI76" si="163">+AH49/AG49-1</f>
        <v>0.34603635728891335</v>
      </c>
      <c r="AI74" s="6">
        <f t="shared" si="163"/>
        <v>0.11982493110714865</v>
      </c>
      <c r="AZ74" s="29" t="s">
        <v>129</v>
      </c>
      <c r="BA74" s="30">
        <v>1.4999999999999999E-2</v>
      </c>
      <c r="BB74" s="31"/>
      <c r="BC74" s="31"/>
      <c r="BD74" s="31"/>
      <c r="BE74" s="31"/>
      <c r="BF74" s="31"/>
      <c r="BG74" s="31"/>
      <c r="BH74" s="31"/>
      <c r="BI74" s="32"/>
    </row>
    <row r="75" spans="2:288" s="6" customFormat="1" x14ac:dyDescent="0.2">
      <c r="B75" s="16" t="s">
        <v>42</v>
      </c>
      <c r="G75" s="6">
        <f t="shared" si="162"/>
        <v>0.5181636964089138</v>
      </c>
      <c r="H75" s="6">
        <f t="shared" si="162"/>
        <v>0.42433019551049966</v>
      </c>
      <c r="I75" s="6">
        <f t="shared" si="162"/>
        <v>0.28970971386410271</v>
      </c>
      <c r="J75" s="6">
        <f t="shared" si="162"/>
        <v>0.21095799922934355</v>
      </c>
      <c r="K75" s="6">
        <f t="shared" si="162"/>
        <v>0.17563250827993016</v>
      </c>
      <c r="L75" s="6">
        <f t="shared" si="162"/>
        <v>0.17399593289273008</v>
      </c>
      <c r="M75" s="6">
        <f t="shared" si="162"/>
        <v>0.21140231693363853</v>
      </c>
      <c r="N75" s="24">
        <f t="shared" si="162"/>
        <v>0.19208739923631746</v>
      </c>
      <c r="O75" s="24">
        <f t="shared" si="162"/>
        <v>0.17316508026471511</v>
      </c>
      <c r="P75" s="24">
        <f t="shared" si="162"/>
        <v>0.16535981069920669</v>
      </c>
      <c r="Q75" s="24">
        <f t="shared" si="162"/>
        <v>0.179321438585617</v>
      </c>
      <c r="R75" s="24">
        <f t="shared" si="162"/>
        <v>0.1853876170986235</v>
      </c>
      <c r="S75" s="24">
        <f t="shared" si="162"/>
        <v>0.17080864486977276</v>
      </c>
      <c r="T75" s="24"/>
      <c r="U75" s="24"/>
      <c r="V75" s="24"/>
      <c r="W75" s="24"/>
      <c r="X75" s="24"/>
      <c r="Y75" s="24"/>
      <c r="Z75" s="24"/>
      <c r="AH75" s="6">
        <f t="shared" si="163"/>
        <v>0.41656259886441216</v>
      </c>
      <c r="AI75" s="6">
        <f t="shared" si="163"/>
        <v>0.34020770030972858</v>
      </c>
      <c r="AZ75" s="33" t="s">
        <v>44</v>
      </c>
      <c r="BA75" s="41">
        <v>0.02</v>
      </c>
      <c r="BB75" s="67" t="s">
        <v>182</v>
      </c>
      <c r="BC75" s="67"/>
      <c r="BD75" s="67"/>
      <c r="BE75" s="67"/>
      <c r="BF75" s="67"/>
      <c r="BG75" s="67"/>
      <c r="BH75" s="67"/>
      <c r="BI75" s="68"/>
    </row>
    <row r="76" spans="2:288" s="8" customFormat="1" x14ac:dyDescent="0.2">
      <c r="B76" s="14" t="s">
        <v>40</v>
      </c>
      <c r="G76" s="8">
        <f t="shared" si="162"/>
        <v>0.43823888034777081</v>
      </c>
      <c r="H76" s="8">
        <f t="shared" si="162"/>
        <v>0.27181932697498645</v>
      </c>
      <c r="I76" s="8">
        <f t="shared" si="162"/>
        <v>0.15255083467679031</v>
      </c>
      <c r="J76" s="8">
        <f t="shared" si="162"/>
        <v>9.4436701047349692E-2</v>
      </c>
      <c r="K76" s="8">
        <f t="shared" si="162"/>
        <v>7.3038574245747334E-2</v>
      </c>
      <c r="L76" s="8">
        <f t="shared" si="162"/>
        <v>7.2108241952600016E-2</v>
      </c>
      <c r="M76" s="8">
        <f t="shared" si="162"/>
        <v>0.14699671515720314</v>
      </c>
      <c r="N76" s="23">
        <f t="shared" si="162"/>
        <v>8.5814921549791867E-2</v>
      </c>
      <c r="O76" s="23">
        <f t="shared" si="162"/>
        <v>9.3727456975026602E-2</v>
      </c>
      <c r="P76" s="23">
        <f t="shared" si="162"/>
        <v>0.10845967302901816</v>
      </c>
      <c r="Q76" s="23">
        <f t="shared" si="162"/>
        <v>0.125742519728405</v>
      </c>
      <c r="R76" s="23">
        <f t="shared" si="162"/>
        <v>0.13911825420230017</v>
      </c>
      <c r="S76" s="23">
        <f>+S51/O51-1</f>
        <v>0.12527677884388888</v>
      </c>
      <c r="T76" s="23">
        <f t="shared" ref="T76:V76" si="164">+T51/P51-1</f>
        <v>0.10295652270635003</v>
      </c>
      <c r="U76" s="23">
        <f t="shared" si="164"/>
        <v>0.1169948061680699</v>
      </c>
      <c r="V76" s="23">
        <f t="shared" si="164"/>
        <v>0.12061810404458706</v>
      </c>
      <c r="W76" s="23"/>
      <c r="X76" s="23"/>
      <c r="Y76" s="23"/>
      <c r="Z76" s="23"/>
      <c r="AB76" s="6">
        <f t="shared" ref="AB76:AG76" si="165">+AB51/AA51-1</f>
        <v>0.1952398861011122</v>
      </c>
      <c r="AC76" s="6">
        <f t="shared" si="165"/>
        <v>0.20247673843664304</v>
      </c>
      <c r="AD76" s="6">
        <f t="shared" si="165"/>
        <v>0.27083528026465808</v>
      </c>
      <c r="AE76" s="6">
        <f t="shared" si="165"/>
        <v>0.30796326119408479</v>
      </c>
      <c r="AF76" s="6">
        <f t="shared" si="165"/>
        <v>0.3093396152159491</v>
      </c>
      <c r="AG76" s="6">
        <f t="shared" si="165"/>
        <v>0.20454125820676983</v>
      </c>
      <c r="AH76" s="6">
        <f t="shared" si="163"/>
        <v>0.37623430604373276</v>
      </c>
      <c r="AI76" s="6">
        <f t="shared" si="163"/>
        <v>0.21695366571345676</v>
      </c>
      <c r="AJ76" s="6">
        <f>+AJ51/AI51-1</f>
        <v>9.399517263985091E-2</v>
      </c>
      <c r="AK76" s="6">
        <f>+AK51/AJ51-1</f>
        <v>0.1182957412988368</v>
      </c>
      <c r="AL76" s="6">
        <f>+AL51/AK51-1</f>
        <v>0.10000000000000009</v>
      </c>
      <c r="AM76" s="6">
        <f t="shared" ref="AM76:AU76" si="166">+AM51/AL51-1</f>
        <v>0.11131231018321341</v>
      </c>
      <c r="AN76" s="6">
        <f t="shared" si="166"/>
        <v>0.10269235499288754</v>
      </c>
      <c r="AO76" s="6">
        <f t="shared" si="166"/>
        <v>0.10284137192378529</v>
      </c>
      <c r="AP76" s="6">
        <f t="shared" si="166"/>
        <v>0.10299272696815476</v>
      </c>
      <c r="AQ76" s="6">
        <f t="shared" si="166"/>
        <v>0.10314642985193712</v>
      </c>
      <c r="AR76" s="6">
        <f t="shared" si="166"/>
        <v>0.10330248865208502</v>
      </c>
      <c r="AS76" s="6">
        <f t="shared" si="166"/>
        <v>0.10346090972606881</v>
      </c>
      <c r="AT76" s="6">
        <f t="shared" si="166"/>
        <v>0.10362169764201368</v>
      </c>
      <c r="AU76" s="6">
        <f t="shared" si="166"/>
        <v>0.10378485510971247</v>
      </c>
      <c r="AZ76" s="33" t="s">
        <v>43</v>
      </c>
      <c r="BA76" s="35">
        <v>0.06</v>
      </c>
      <c r="BB76" s="53">
        <v>6.0999999999999999E-2</v>
      </c>
      <c r="BC76" s="53">
        <v>6.2E-2</v>
      </c>
      <c r="BD76" s="53">
        <v>6.3E-2</v>
      </c>
      <c r="BE76" s="53">
        <v>6.4000000000000001E-2</v>
      </c>
      <c r="BF76" s="53">
        <v>6.5000000000000002E-2</v>
      </c>
      <c r="BG76" s="61">
        <v>6.6000000000000003E-2</v>
      </c>
      <c r="BH76" s="53">
        <v>6.7000000000000004E-2</v>
      </c>
      <c r="BI76" s="54">
        <v>6.8000000000000005E-2</v>
      </c>
    </row>
    <row r="77" spans="2:288" s="8" customFormat="1" x14ac:dyDescent="0.2">
      <c r="B77" s="14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Z77" s="36" t="s">
        <v>45</v>
      </c>
      <c r="BA77" s="34">
        <f>NPV(BA76,AL67:KB67)</f>
        <v>2059922.4040143893</v>
      </c>
      <c r="BB77" s="55">
        <f t="shared" ref="BB77:BI77" si="167">NPV(BB76,$AJ$67:$IF$67)</f>
        <v>1804477.1668765361</v>
      </c>
      <c r="BC77" s="55">
        <f t="shared" si="167"/>
        <v>1754363.889783056</v>
      </c>
      <c r="BD77" s="55">
        <f t="shared" si="167"/>
        <v>1706616.6340371864</v>
      </c>
      <c r="BE77" s="55">
        <f t="shared" si="167"/>
        <v>1661076.9831636557</v>
      </c>
      <c r="BF77" s="55">
        <f t="shared" si="167"/>
        <v>1617600.0114359364</v>
      </c>
      <c r="BG77" s="62">
        <f t="shared" si="167"/>
        <v>1576052.9215497072</v>
      </c>
      <c r="BH77" s="55">
        <f t="shared" si="167"/>
        <v>1536313.8379558895</v>
      </c>
      <c r="BI77" s="56">
        <f t="shared" si="167"/>
        <v>1498270.7363668929</v>
      </c>
    </row>
    <row r="78" spans="2:288" s="8" customFormat="1" x14ac:dyDescent="0.2">
      <c r="B78" s="16" t="s">
        <v>115</v>
      </c>
      <c r="C78" s="24">
        <f t="shared" ref="C78:J78" si="168">(C51-C52)/C51</f>
        <v>0.41344165827280921</v>
      </c>
      <c r="D78" s="24">
        <f t="shared" si="168"/>
        <v>0.40772899046247973</v>
      </c>
      <c r="E78" s="24">
        <f t="shared" si="168"/>
        <v>0.40604295595194756</v>
      </c>
      <c r="F78" s="24">
        <f t="shared" si="168"/>
        <v>0.36853171916689897</v>
      </c>
      <c r="G78" s="24">
        <f t="shared" si="168"/>
        <v>0.42495254243535635</v>
      </c>
      <c r="H78" s="24">
        <f t="shared" si="168"/>
        <v>0.43247258577997877</v>
      </c>
      <c r="I78" s="24">
        <f t="shared" si="168"/>
        <v>0.43210121647475003</v>
      </c>
      <c r="J78" s="24">
        <f t="shared" si="168"/>
        <v>0.39717783017494834</v>
      </c>
      <c r="K78" s="24">
        <f t="shared" ref="K78:V78" si="169">(K51-K52)/K51</f>
        <v>0.42891862182680085</v>
      </c>
      <c r="L78" s="24">
        <f t="shared" si="169"/>
        <v>0.4521008957883102</v>
      </c>
      <c r="M78" s="24">
        <f t="shared" si="169"/>
        <v>0.44714833085498934</v>
      </c>
      <c r="N78" s="24">
        <f t="shared" si="169"/>
        <v>0.42602075011393797</v>
      </c>
      <c r="O78" s="24">
        <f t="shared" si="169"/>
        <v>0.46771306082067871</v>
      </c>
      <c r="P78" s="24">
        <f t="shared" si="169"/>
        <v>0.48376654785203488</v>
      </c>
      <c r="Q78" s="24">
        <f t="shared" si="169"/>
        <v>0.47567495789157344</v>
      </c>
      <c r="R78" s="24">
        <f t="shared" si="169"/>
        <v>0.45544566106342044</v>
      </c>
      <c r="S78" s="69">
        <f t="shared" si="169"/>
        <v>0.49318624269954575</v>
      </c>
      <c r="T78" s="24">
        <f t="shared" si="169"/>
        <v>0.49318624269954564</v>
      </c>
      <c r="U78" s="24">
        <f t="shared" si="169"/>
        <v>0.4931862426995457</v>
      </c>
      <c r="V78" s="24">
        <f t="shared" si="169"/>
        <v>0.49318624269954564</v>
      </c>
      <c r="W78" s="23"/>
      <c r="X78" s="23"/>
      <c r="Y78" s="23"/>
      <c r="Z78" s="23"/>
      <c r="AG78" s="23">
        <f t="shared" ref="AG78:AU78" si="170">(AG51-AG52)/AG51</f>
        <v>0.40990011478600608</v>
      </c>
      <c r="AH78" s="23">
        <f t="shared" si="170"/>
        <v>0.3956779186870571</v>
      </c>
      <c r="AI78" s="23">
        <f t="shared" si="170"/>
        <v>0.42032514441639601</v>
      </c>
      <c r="AJ78" s="23">
        <f t="shared" si="170"/>
        <v>0.43805339865326287</v>
      </c>
      <c r="AK78" s="23">
        <f t="shared" si="170"/>
        <v>0.46982088955000567</v>
      </c>
      <c r="AL78" s="23">
        <f t="shared" si="170"/>
        <v>0.4855291314275032</v>
      </c>
      <c r="AM78" s="23">
        <f t="shared" si="170"/>
        <v>0.4855291314275032</v>
      </c>
      <c r="AN78" s="23">
        <f t="shared" si="170"/>
        <v>0.48552913142750315</v>
      </c>
      <c r="AO78" s="23">
        <f t="shared" si="170"/>
        <v>0.4855291314275032</v>
      </c>
      <c r="AP78" s="23">
        <f t="shared" si="170"/>
        <v>0.4855291314275032</v>
      </c>
      <c r="AQ78" s="23">
        <f t="shared" si="170"/>
        <v>0.4855291314275032</v>
      </c>
      <c r="AR78" s="23">
        <f t="shared" si="170"/>
        <v>0.4855291314275032</v>
      </c>
      <c r="AS78" s="23">
        <f t="shared" si="170"/>
        <v>0.4855291314275032</v>
      </c>
      <c r="AT78" s="23">
        <f t="shared" si="170"/>
        <v>0.48552913142750315</v>
      </c>
      <c r="AU78" s="23">
        <f t="shared" si="170"/>
        <v>0.4855291314275032</v>
      </c>
      <c r="AZ78" s="37" t="s">
        <v>127</v>
      </c>
      <c r="BA78" s="34">
        <f>Main!M10-Main!M11</f>
        <v>33466</v>
      </c>
      <c r="BB78" s="55">
        <f>+BA78</f>
        <v>33466</v>
      </c>
      <c r="BC78" s="55">
        <f t="shared" ref="BC78:BI78" si="171">+BB78</f>
        <v>33466</v>
      </c>
      <c r="BD78" s="55">
        <f t="shared" si="171"/>
        <v>33466</v>
      </c>
      <c r="BE78" s="55">
        <f t="shared" si="171"/>
        <v>33466</v>
      </c>
      <c r="BF78" s="55">
        <f t="shared" si="171"/>
        <v>33466</v>
      </c>
      <c r="BG78" s="62">
        <f t="shared" si="171"/>
        <v>33466</v>
      </c>
      <c r="BH78" s="55">
        <f t="shared" si="171"/>
        <v>33466</v>
      </c>
      <c r="BI78" s="56">
        <f t="shared" si="171"/>
        <v>33466</v>
      </c>
    </row>
    <row r="79" spans="2:288" s="8" customFormat="1" x14ac:dyDescent="0.2">
      <c r="B79" s="16" t="s">
        <v>140</v>
      </c>
      <c r="C79" s="24">
        <f t="shared" ref="C79:J79" si="172">+C59/C51</f>
        <v>5.2868048560674334E-2</v>
      </c>
      <c r="D79" s="24">
        <f t="shared" si="172"/>
        <v>6.5716663667446468E-2</v>
      </c>
      <c r="E79" s="24">
        <f t="shared" si="172"/>
        <v>6.4423526964480726E-2</v>
      </c>
      <c r="F79" s="24">
        <f t="shared" si="172"/>
        <v>5.4740950181195493E-2</v>
      </c>
      <c r="G79" s="24">
        <f t="shared" si="172"/>
        <v>8.1691516614755155E-2</v>
      </c>
      <c r="H79" s="24">
        <f t="shared" si="172"/>
        <v>6.8111071807569867E-2</v>
      </c>
      <c r="I79" s="24">
        <f t="shared" si="172"/>
        <v>4.3785871566256365E-2</v>
      </c>
      <c r="J79" s="24">
        <f t="shared" si="172"/>
        <v>2.5179751404535267E-2</v>
      </c>
      <c r="K79" s="24">
        <f t="shared" ref="K79:V79" si="173">+K59/K51</f>
        <v>3.1508708048504003E-2</v>
      </c>
      <c r="L79" s="24">
        <f t="shared" si="173"/>
        <v>2.7360311463780786E-2</v>
      </c>
      <c r="M79" s="24">
        <f t="shared" si="173"/>
        <v>1.986609074672898E-2</v>
      </c>
      <c r="N79" s="24">
        <f t="shared" si="173"/>
        <v>1.8344012224873328E-2</v>
      </c>
      <c r="O79" s="24">
        <f t="shared" si="173"/>
        <v>3.7484885126964934E-2</v>
      </c>
      <c r="P79" s="24">
        <f t="shared" si="173"/>
        <v>5.7157527365812637E-2</v>
      </c>
      <c r="Q79" s="24">
        <f t="shared" si="173"/>
        <v>7.8192377850618167E-2</v>
      </c>
      <c r="R79" s="24">
        <f t="shared" si="173"/>
        <v>7.771782938438819E-2</v>
      </c>
      <c r="S79" s="69">
        <f t="shared" si="173"/>
        <v>0.10680817511321374</v>
      </c>
      <c r="T79" s="24">
        <f t="shared" si="173"/>
        <v>0.10327313400610419</v>
      </c>
      <c r="U79" s="24">
        <f t="shared" si="173"/>
        <v>9.5774720028197757E-2</v>
      </c>
      <c r="V79" s="24">
        <f t="shared" si="173"/>
        <v>8.0368001722135193E-2</v>
      </c>
      <c r="W79" s="23"/>
      <c r="X79" s="23"/>
      <c r="Y79" s="23"/>
      <c r="Z79" s="23"/>
      <c r="AG79" s="24">
        <f>+AG59/AG51</f>
        <v>5.1835506662579051E-2</v>
      </c>
      <c r="AH79" s="24">
        <f t="shared" ref="AH79:AU79" si="174">+AH59/AH51</f>
        <v>5.9313999751336569E-2</v>
      </c>
      <c r="AI79" s="24">
        <f t="shared" si="174"/>
        <v>5.2954097509269465E-2</v>
      </c>
      <c r="AJ79" s="24">
        <f t="shared" si="174"/>
        <v>2.3829581912242232E-2</v>
      </c>
      <c r="AK79" s="24">
        <f t="shared" si="174"/>
        <v>6.4114407996033296E-2</v>
      </c>
      <c r="AL79" s="24">
        <f>+AL59/AL51</f>
        <v>9.68393715594843E-2</v>
      </c>
      <c r="AM79" s="24">
        <f t="shared" si="174"/>
        <v>9.3313535135667897E-2</v>
      </c>
      <c r="AN79" s="24">
        <f t="shared" si="174"/>
        <v>9.3313535135667994E-2</v>
      </c>
      <c r="AO79" s="24">
        <f t="shared" si="174"/>
        <v>9.3313535135668133E-2</v>
      </c>
      <c r="AP79" s="24">
        <f t="shared" si="174"/>
        <v>9.3313535135668146E-2</v>
      </c>
      <c r="AQ79" s="24">
        <f t="shared" si="174"/>
        <v>9.3313535135668008E-2</v>
      </c>
      <c r="AR79" s="24">
        <f t="shared" si="174"/>
        <v>9.3313535135668119E-2</v>
      </c>
      <c r="AS79" s="24">
        <f t="shared" si="174"/>
        <v>9.3313535135668105E-2</v>
      </c>
      <c r="AT79" s="24">
        <f t="shared" si="174"/>
        <v>9.3313535135668244E-2</v>
      </c>
      <c r="AU79" s="24">
        <f t="shared" si="174"/>
        <v>9.3313535135668063E-2</v>
      </c>
      <c r="AZ79" s="37"/>
      <c r="BA79" s="34"/>
      <c r="BB79" s="55"/>
      <c r="BC79" s="55"/>
      <c r="BD79" s="55"/>
      <c r="BE79" s="55"/>
      <c r="BF79" s="55"/>
      <c r="BG79" s="62"/>
      <c r="BH79" s="55"/>
      <c r="BI79" s="56"/>
    </row>
    <row r="80" spans="2:288" s="6" customFormat="1" x14ac:dyDescent="0.2">
      <c r="B80" s="16" t="s">
        <v>116</v>
      </c>
      <c r="C80" s="24">
        <f t="shared" ref="C80:J80" si="175">+C52/C51</f>
        <v>0.58655834172719079</v>
      </c>
      <c r="D80" s="24">
        <f t="shared" si="175"/>
        <v>0.59227100953752021</v>
      </c>
      <c r="E80" s="24">
        <f t="shared" si="175"/>
        <v>0.59395704404805238</v>
      </c>
      <c r="F80" s="24">
        <f t="shared" si="175"/>
        <v>0.63146828083310103</v>
      </c>
      <c r="G80" s="24">
        <f t="shared" si="175"/>
        <v>0.5750474575646437</v>
      </c>
      <c r="H80" s="24">
        <f t="shared" si="175"/>
        <v>0.56752741422002118</v>
      </c>
      <c r="I80" s="24">
        <f t="shared" si="175"/>
        <v>0.56789878352525003</v>
      </c>
      <c r="J80" s="24">
        <f t="shared" si="175"/>
        <v>0.60282216982505166</v>
      </c>
      <c r="K80" s="24">
        <f t="shared" ref="K80:V80" si="176">+K52/K51</f>
        <v>0.57108137817319915</v>
      </c>
      <c r="L80" s="24">
        <f t="shared" si="176"/>
        <v>0.54789910421168975</v>
      </c>
      <c r="M80" s="24">
        <f t="shared" si="176"/>
        <v>0.55285166914501072</v>
      </c>
      <c r="N80" s="24">
        <f t="shared" si="176"/>
        <v>0.57397924988606208</v>
      </c>
      <c r="O80" s="24">
        <f t="shared" si="176"/>
        <v>0.53228693917932124</v>
      </c>
      <c r="P80" s="24">
        <f t="shared" si="176"/>
        <v>0.51623345214796512</v>
      </c>
      <c r="Q80" s="24">
        <f t="shared" si="176"/>
        <v>0.52432504210842656</v>
      </c>
      <c r="R80" s="24">
        <f t="shared" si="176"/>
        <v>0.54455433893657956</v>
      </c>
      <c r="S80" s="24">
        <f t="shared" si="176"/>
        <v>0.5068137573004543</v>
      </c>
      <c r="T80" s="24">
        <f t="shared" si="176"/>
        <v>0.5068137573004543</v>
      </c>
      <c r="U80" s="24">
        <f t="shared" si="176"/>
        <v>0.5068137573004543</v>
      </c>
      <c r="V80" s="24">
        <f t="shared" si="176"/>
        <v>0.5068137573004543</v>
      </c>
      <c r="W80" s="24"/>
      <c r="X80" s="24"/>
      <c r="Y80" s="24"/>
      <c r="Z80" s="24"/>
      <c r="AG80" s="24">
        <f>+AG52/AG51</f>
        <v>0.59009988521399392</v>
      </c>
      <c r="AH80" s="24">
        <f>+AH52/AH51</f>
        <v>0.60432208131294296</v>
      </c>
      <c r="AI80" s="24">
        <f>+AI52/AI51</f>
        <v>0.57967485558360399</v>
      </c>
      <c r="AJ80" s="28">
        <f>+AJ52/AJ51</f>
        <v>0.56194660134673713</v>
      </c>
      <c r="AK80" s="28">
        <v>0.57008747832909901</v>
      </c>
      <c r="AL80" s="28">
        <v>0.57008747832909901</v>
      </c>
      <c r="AM80" s="28">
        <v>0.57008747832909901</v>
      </c>
      <c r="AN80" s="28">
        <v>0.57008747832909901</v>
      </c>
      <c r="AO80" s="28">
        <v>0.57008747832909901</v>
      </c>
      <c r="AP80" s="28">
        <v>0.57008747832909901</v>
      </c>
      <c r="AQ80" s="28">
        <v>0.57008747832909901</v>
      </c>
      <c r="AR80" s="28">
        <v>0.57008747832909901</v>
      </c>
      <c r="AS80" s="28">
        <v>0.57008747832909901</v>
      </c>
      <c r="AT80" s="28">
        <v>0.57008747832909901</v>
      </c>
      <c r="AU80" s="28">
        <v>0.57008747832909901</v>
      </c>
      <c r="AZ80" s="38" t="s">
        <v>128</v>
      </c>
      <c r="BA80" s="34">
        <f>SUM(BA77:BA78)</f>
        <v>2093388.4040143893</v>
      </c>
      <c r="BB80" s="55">
        <f t="shared" ref="BB80:BI80" si="177">SUM(BB77:BB78)</f>
        <v>1837943.1668765361</v>
      </c>
      <c r="BC80" s="55">
        <f t="shared" ref="BC80:BH80" si="178">SUM(BC77:BC78)</f>
        <v>1787829.889783056</v>
      </c>
      <c r="BD80" s="55">
        <f t="shared" si="178"/>
        <v>1740082.6340371864</v>
      </c>
      <c r="BE80" s="55">
        <f t="shared" si="178"/>
        <v>1694542.9831636557</v>
      </c>
      <c r="BF80" s="55">
        <f t="shared" si="178"/>
        <v>1651066.0114359364</v>
      </c>
      <c r="BG80" s="62">
        <f t="shared" si="178"/>
        <v>1609518.9215497072</v>
      </c>
      <c r="BH80" s="55">
        <f t="shared" si="178"/>
        <v>1569779.8379558895</v>
      </c>
      <c r="BI80" s="56">
        <f t="shared" si="177"/>
        <v>1531736.7363668929</v>
      </c>
    </row>
    <row r="81" spans="2:61" s="6" customFormat="1" x14ac:dyDescent="0.2">
      <c r="B81" s="16" t="s">
        <v>117</v>
      </c>
      <c r="C81" s="24">
        <f t="shared" ref="C81:J81" si="179">+C53/C51</f>
        <v>0.15282563749138525</v>
      </c>
      <c r="D81" s="24">
        <f t="shared" si="179"/>
        <v>0.15527712794673384</v>
      </c>
      <c r="E81" s="24">
        <f t="shared" si="179"/>
        <v>0.15294607103853555</v>
      </c>
      <c r="F81" s="24">
        <f t="shared" si="179"/>
        <v>0.1471387041535582</v>
      </c>
      <c r="G81" s="24">
        <f t="shared" si="179"/>
        <v>0.15232495991448422</v>
      </c>
      <c r="H81" s="24">
        <f t="shared" si="179"/>
        <v>0.15597806862398303</v>
      </c>
      <c r="I81" s="24">
        <f t="shared" si="179"/>
        <v>0.16693137927300292</v>
      </c>
      <c r="J81" s="24">
        <f t="shared" si="179"/>
        <v>0.16334090181352429</v>
      </c>
      <c r="K81" s="24">
        <f t="shared" ref="K81:V81" si="180">+K53/K51</f>
        <v>0.17408367970870117</v>
      </c>
      <c r="L81" s="24">
        <f t="shared" si="180"/>
        <v>0.1677912136859297</v>
      </c>
      <c r="M81" s="24">
        <f t="shared" si="180"/>
        <v>0.16194207756036538</v>
      </c>
      <c r="N81" s="24">
        <f t="shared" si="180"/>
        <v>0.15484169325219163</v>
      </c>
      <c r="O81" s="24">
        <f t="shared" si="180"/>
        <v>0.16414359521977417</v>
      </c>
      <c r="P81" s="24">
        <f t="shared" si="180"/>
        <v>0.15853939858464242</v>
      </c>
      <c r="Q81" s="24">
        <f t="shared" si="180"/>
        <v>0.15595144077213924</v>
      </c>
      <c r="R81" s="24">
        <f t="shared" si="180"/>
        <v>0.15353522278640394</v>
      </c>
      <c r="S81" s="24">
        <f t="shared" si="180"/>
        <v>0.15572209080823093</v>
      </c>
      <c r="T81" s="24">
        <f t="shared" si="180"/>
        <v>0.15572209080823093</v>
      </c>
      <c r="U81" s="24">
        <f t="shared" si="180"/>
        <v>0.15572209080823093</v>
      </c>
      <c r="V81" s="24">
        <f t="shared" si="180"/>
        <v>0.15572209080823093</v>
      </c>
      <c r="W81" s="24"/>
      <c r="X81" s="24"/>
      <c r="Y81" s="24"/>
      <c r="Z81" s="24"/>
      <c r="AG81" s="24">
        <f>+AG53/AG51</f>
        <v>0.14341834152045116</v>
      </c>
      <c r="AH81" s="24">
        <f>+AH53/AH51</f>
        <v>0.15157331426913673</v>
      </c>
      <c r="AI81" s="24">
        <f>+AI53/AI51</f>
        <v>0.15987118525739535</v>
      </c>
      <c r="AJ81" s="28">
        <f>+AJ53/AJ51</f>
        <v>0.16401126107283703</v>
      </c>
      <c r="AK81" s="28">
        <v>0.16</v>
      </c>
      <c r="AL81" s="28">
        <f>+AK81-0.001</f>
        <v>0.159</v>
      </c>
      <c r="AM81" s="28">
        <f t="shared" ref="AM81:AU81" si="181">+AL81-0.001</f>
        <v>0.158</v>
      </c>
      <c r="AN81" s="28">
        <f t="shared" si="181"/>
        <v>0.157</v>
      </c>
      <c r="AO81" s="28">
        <f t="shared" si="181"/>
        <v>0.156</v>
      </c>
      <c r="AP81" s="28">
        <f t="shared" si="181"/>
        <v>0.155</v>
      </c>
      <c r="AQ81" s="28">
        <f t="shared" si="181"/>
        <v>0.154</v>
      </c>
      <c r="AR81" s="28">
        <f t="shared" si="181"/>
        <v>0.153</v>
      </c>
      <c r="AS81" s="28">
        <f t="shared" si="181"/>
        <v>0.152</v>
      </c>
      <c r="AT81" s="28">
        <f t="shared" si="181"/>
        <v>0.151</v>
      </c>
      <c r="AU81" s="28">
        <f t="shared" si="181"/>
        <v>0.15</v>
      </c>
      <c r="AZ81" s="36" t="s">
        <v>46</v>
      </c>
      <c r="BA81" s="34">
        <f>+BA80/Main!$M$8</f>
        <v>201.15915757654605</v>
      </c>
      <c r="BB81" s="55">
        <f>+BB80/Main!$M$8</f>
        <v>176.6127577727386</v>
      </c>
      <c r="BC81" s="55">
        <f>+BC80/Main!$M$8</f>
        <v>171.79724213111513</v>
      </c>
      <c r="BD81" s="55">
        <f>+BD80/Main!$M$8</f>
        <v>167.20908365846267</v>
      </c>
      <c r="BE81" s="55">
        <f>+BE80/Main!$M$8</f>
        <v>162.83305970204714</v>
      </c>
      <c r="BF81" s="55">
        <f>+BF80/Main!$M$8</f>
        <v>158.65524397040559</v>
      </c>
      <c r="BG81" s="62">
        <f>+BG80/Main!$M$8</f>
        <v>154.66287562383218</v>
      </c>
      <c r="BH81" s="55">
        <f>+BH80/Main!$M$8</f>
        <v>150.844243322599</v>
      </c>
      <c r="BI81" s="56">
        <f>+BI80/Main!$M$8</f>
        <v>147.18858236041621</v>
      </c>
    </row>
    <row r="82" spans="2:61" s="6" customFormat="1" x14ac:dyDescent="0.2">
      <c r="B82" s="16" t="s">
        <v>118</v>
      </c>
      <c r="C82" s="24">
        <f t="shared" ref="C82:J82" si="182">+C54/C51</f>
        <v>0.12358850660022266</v>
      </c>
      <c r="D82" s="24">
        <f t="shared" si="182"/>
        <v>0.11683462299802051</v>
      </c>
      <c r="E82" s="24">
        <f t="shared" si="182"/>
        <v>0.11416090280305788</v>
      </c>
      <c r="F82" s="24">
        <f t="shared" si="182"/>
        <v>9.5965911353590061E-2</v>
      </c>
      <c r="G82" s="24">
        <f t="shared" si="182"/>
        <v>0.11507768296503806</v>
      </c>
      <c r="H82" s="24">
        <f t="shared" si="182"/>
        <v>0.12266536964980544</v>
      </c>
      <c r="I82" s="24">
        <f t="shared" si="182"/>
        <v>0.12976933906075155</v>
      </c>
      <c r="J82" s="24">
        <f t="shared" si="182"/>
        <v>0.11143859342706605</v>
      </c>
      <c r="K82" s="24">
        <f t="shared" ref="K82:V82" si="183">+K54/K51</f>
        <v>0.12746041015423723</v>
      </c>
      <c r="L82" s="24">
        <f t="shared" si="183"/>
        <v>0.14906709338964316</v>
      </c>
      <c r="M82" s="24">
        <f t="shared" si="183"/>
        <v>0.15330327849505512</v>
      </c>
      <c r="N82" s="24">
        <f t="shared" si="183"/>
        <v>0.13950028149379373</v>
      </c>
      <c r="O82" s="24">
        <f t="shared" si="183"/>
        <v>0.16057098886603119</v>
      </c>
      <c r="P82" s="24">
        <f t="shared" si="183"/>
        <v>0.16319772590282997</v>
      </c>
      <c r="Q82" s="24">
        <f t="shared" si="183"/>
        <v>0.14818671680073803</v>
      </c>
      <c r="R82" s="24">
        <f t="shared" si="183"/>
        <v>0.12966504080347843</v>
      </c>
      <c r="S82" s="24">
        <f t="shared" si="183"/>
        <v>0.14251324025036111</v>
      </c>
      <c r="T82" s="24">
        <f t="shared" si="183"/>
        <v>0.14251324025036111</v>
      </c>
      <c r="U82" s="24">
        <f t="shared" si="183"/>
        <v>0.14251324025036111</v>
      </c>
      <c r="V82" s="24">
        <f t="shared" si="183"/>
        <v>0.14251324025036111</v>
      </c>
      <c r="W82" s="24"/>
      <c r="X82" s="24"/>
      <c r="Y82" s="24"/>
      <c r="Z82" s="24"/>
      <c r="AG82" s="24">
        <f>+AG54/AG51</f>
        <v>0.12808621070718162</v>
      </c>
      <c r="AH82" s="24">
        <f>+AH54/AH51</f>
        <v>0.11070703303079282</v>
      </c>
      <c r="AI82" s="24">
        <f>+AI54/AI51</f>
        <v>0.11930475797216818</v>
      </c>
      <c r="AJ82" s="28">
        <f>+AJ54/AJ51</f>
        <v>0.14244245432241923</v>
      </c>
      <c r="AK82" s="28">
        <f>+AJ82-0.001</f>
        <v>0.14144245432241923</v>
      </c>
      <c r="AL82" s="28">
        <f>+AK82-0.001</f>
        <v>0.14044245432241922</v>
      </c>
      <c r="AM82" s="28">
        <f t="shared" ref="AM82:AU82" si="184">+AL82-0.001</f>
        <v>0.13944245432241922</v>
      </c>
      <c r="AN82" s="28">
        <f t="shared" si="184"/>
        <v>0.13844245432241922</v>
      </c>
      <c r="AO82" s="28">
        <f t="shared" si="184"/>
        <v>0.13744245432241922</v>
      </c>
      <c r="AP82" s="28">
        <f t="shared" si="184"/>
        <v>0.13644245432241922</v>
      </c>
      <c r="AQ82" s="28">
        <f t="shared" si="184"/>
        <v>0.13544245432241922</v>
      </c>
      <c r="AR82" s="28">
        <f t="shared" si="184"/>
        <v>0.13444245432241922</v>
      </c>
      <c r="AS82" s="28">
        <f t="shared" si="184"/>
        <v>0.13344245432241922</v>
      </c>
      <c r="AT82" s="28">
        <f t="shared" si="184"/>
        <v>0.13244245432241922</v>
      </c>
      <c r="AU82" s="28">
        <f t="shared" si="184"/>
        <v>0.13144245432241922</v>
      </c>
      <c r="AZ82" s="36" t="s">
        <v>47</v>
      </c>
      <c r="BA82" s="34">
        <f>+Main!M7</f>
        <v>187.48</v>
      </c>
      <c r="BB82" s="57">
        <f>+BA82</f>
        <v>187.48</v>
      </c>
      <c r="BC82" s="57">
        <f t="shared" ref="BC82:BI82" si="185">+BB82</f>
        <v>187.48</v>
      </c>
      <c r="BD82" s="57">
        <f t="shared" si="185"/>
        <v>187.48</v>
      </c>
      <c r="BE82" s="57">
        <f t="shared" si="185"/>
        <v>187.48</v>
      </c>
      <c r="BF82" s="57">
        <f t="shared" si="185"/>
        <v>187.48</v>
      </c>
      <c r="BG82" s="63">
        <f t="shared" si="185"/>
        <v>187.48</v>
      </c>
      <c r="BH82" s="57">
        <f t="shared" si="185"/>
        <v>187.48</v>
      </c>
      <c r="BI82" s="58">
        <f t="shared" si="185"/>
        <v>187.48</v>
      </c>
    </row>
    <row r="83" spans="2:61" s="6" customFormat="1" ht="16" thickBot="1" x14ac:dyDescent="0.25">
      <c r="B83" s="16" t="s">
        <v>119</v>
      </c>
      <c r="C83" s="24">
        <f t="shared" ref="C83:J83" si="186">+C55/C51</f>
        <v>6.3987700789906163E-2</v>
      </c>
      <c r="D83" s="24">
        <f t="shared" si="186"/>
        <v>4.8868544178513586E-2</v>
      </c>
      <c r="E83" s="24">
        <f t="shared" si="186"/>
        <v>5.6518799729575124E-2</v>
      </c>
      <c r="F83" s="24">
        <f t="shared" si="186"/>
        <v>5.8962207797379637E-2</v>
      </c>
      <c r="G83" s="24">
        <f t="shared" si="186"/>
        <v>5.7197884221972389E-2</v>
      </c>
      <c r="H83" s="24">
        <f t="shared" si="186"/>
        <v>6.6536964980544747E-2</v>
      </c>
      <c r="I83" s="24">
        <f t="shared" si="186"/>
        <v>7.2284590116593869E-2</v>
      </c>
      <c r="J83" s="24">
        <f t="shared" si="186"/>
        <v>7.8668529677175206E-2</v>
      </c>
      <c r="K83" s="24">
        <f t="shared" ref="K83:V83" si="187">+K55/K51</f>
        <v>7.1450654391810656E-2</v>
      </c>
      <c r="L83" s="24">
        <f t="shared" si="187"/>
        <v>8.3194483395747074E-2</v>
      </c>
      <c r="M83" s="24">
        <f t="shared" si="187"/>
        <v>8.6655494449296225E-2</v>
      </c>
      <c r="N83" s="24">
        <f t="shared" si="187"/>
        <v>8.5909224953754595E-2</v>
      </c>
      <c r="O83" s="24">
        <f t="shared" si="187"/>
        <v>7.9869344681920251E-2</v>
      </c>
      <c r="P83" s="24">
        <f t="shared" si="187"/>
        <v>7.9958030405631667E-2</v>
      </c>
      <c r="Q83" s="24">
        <f t="shared" si="187"/>
        <v>7.3740416401668965E-2</v>
      </c>
      <c r="R83" s="24">
        <f t="shared" si="187"/>
        <v>7.5911532645724603E-2</v>
      </c>
      <c r="S83" s="24">
        <f t="shared" si="187"/>
        <v>6.7418866397326138E-2</v>
      </c>
      <c r="T83" s="24">
        <f t="shared" si="187"/>
        <v>6.7418866397326138E-2</v>
      </c>
      <c r="U83" s="24">
        <f t="shared" si="187"/>
        <v>6.7418866397326138E-2</v>
      </c>
      <c r="V83" s="24">
        <f t="shared" si="187"/>
        <v>6.7418866397326138E-2</v>
      </c>
      <c r="W83" s="24"/>
      <c r="X83" s="24"/>
      <c r="Y83" s="24"/>
      <c r="Z83" s="24"/>
      <c r="AG83" s="24">
        <f>+AG55/AG51</f>
        <v>6.7295969656568824E-2</v>
      </c>
      <c r="AH83" s="24">
        <f>+AH55/AH51</f>
        <v>5.7006092254134028E-2</v>
      </c>
      <c r="AI83" s="24">
        <f>+AI55/AI51</f>
        <v>6.9283686161993263E-2</v>
      </c>
      <c r="AJ83" s="28">
        <f>+AJ55/AJ51</f>
        <v>8.2177815219569517E-2</v>
      </c>
      <c r="AK83" s="28">
        <v>7.0000000000000007E-2</v>
      </c>
      <c r="AL83" s="28">
        <f>+AK83-0.001</f>
        <v>6.9000000000000006E-2</v>
      </c>
      <c r="AM83" s="28">
        <f t="shared" ref="AM83:AU83" si="188">+AL83-0.001</f>
        <v>6.8000000000000005E-2</v>
      </c>
      <c r="AN83" s="28">
        <f t="shared" si="188"/>
        <v>6.7000000000000004E-2</v>
      </c>
      <c r="AO83" s="28">
        <f t="shared" si="188"/>
        <v>6.6000000000000003E-2</v>
      </c>
      <c r="AP83" s="28">
        <f t="shared" si="188"/>
        <v>6.5000000000000002E-2</v>
      </c>
      <c r="AQ83" s="28">
        <f t="shared" si="188"/>
        <v>6.4000000000000001E-2</v>
      </c>
      <c r="AR83" s="28">
        <f t="shared" si="188"/>
        <v>6.3E-2</v>
      </c>
      <c r="AS83" s="28">
        <f t="shared" si="188"/>
        <v>6.2E-2</v>
      </c>
      <c r="AT83" s="28">
        <f t="shared" si="188"/>
        <v>6.0999999999999999E-2</v>
      </c>
      <c r="AU83" s="28">
        <f t="shared" si="188"/>
        <v>0.06</v>
      </c>
      <c r="AZ83" s="39" t="s">
        <v>122</v>
      </c>
      <c r="BA83" s="40">
        <f>+BA81/BA82-1</f>
        <v>7.2963289825827005E-2</v>
      </c>
      <c r="BB83" s="59">
        <f>+BB81/BB82-1</f>
        <v>-5.7964808124927436E-2</v>
      </c>
      <c r="BC83" s="59">
        <f t="shared" ref="BC83:BI83" si="189">+BC81/BC82-1</f>
        <v>-8.3650297999172563E-2</v>
      </c>
      <c r="BD83" s="59">
        <f t="shared" si="189"/>
        <v>-0.10812308695080708</v>
      </c>
      <c r="BE83" s="59">
        <f t="shared" si="189"/>
        <v>-0.1314643711220016</v>
      </c>
      <c r="BF83" s="59">
        <f t="shared" si="189"/>
        <v>-0.15374843199058241</v>
      </c>
      <c r="BG83" s="64">
        <f t="shared" si="189"/>
        <v>-0.17504333462858868</v>
      </c>
      <c r="BH83" s="59">
        <f t="shared" si="189"/>
        <v>-0.19541154617773093</v>
      </c>
      <c r="BI83" s="60">
        <f t="shared" si="189"/>
        <v>-0.21491048452946337</v>
      </c>
    </row>
    <row r="84" spans="2:61" s="6" customFormat="1" ht="16" thickBot="1" x14ac:dyDescent="0.25">
      <c r="B84" s="16" t="s">
        <v>120</v>
      </c>
      <c r="C84" s="24">
        <f t="shared" ref="C84:J84" si="190">+C56/C51</f>
        <v>1.924402268992207E-2</v>
      </c>
      <c r="D84" s="24">
        <f t="shared" si="190"/>
        <v>1.7770379701277667E-2</v>
      </c>
      <c r="E84" s="24">
        <f t="shared" si="190"/>
        <v>1.7348796089240209E-2</v>
      </c>
      <c r="F84" s="24">
        <f t="shared" si="190"/>
        <v>1.5674405638963003E-2</v>
      </c>
      <c r="G84" s="24">
        <f t="shared" si="190"/>
        <v>1.8310326397464015E-2</v>
      </c>
      <c r="H84" s="24">
        <f t="shared" si="190"/>
        <v>1.9083834453484258E-2</v>
      </c>
      <c r="I84" s="24">
        <f t="shared" si="190"/>
        <v>1.9429303685521423E-2</v>
      </c>
      <c r="J84" s="24">
        <f t="shared" si="190"/>
        <v>1.8375396617471545E-2</v>
      </c>
      <c r="K84" s="24">
        <f t="shared" ref="K84:V84" si="191">+K56/K51</f>
        <v>2.2276802583215967E-2</v>
      </c>
      <c r="L84" s="24">
        <f t="shared" si="191"/>
        <v>2.3945427850273027E-2</v>
      </c>
      <c r="M84" s="24">
        <f t="shared" si="191"/>
        <v>2.4083209416133625E-2</v>
      </c>
      <c r="N84" s="24">
        <f t="shared" si="191"/>
        <v>2.2338543202595106E-2</v>
      </c>
      <c r="O84" s="24">
        <f t="shared" si="191"/>
        <v>2.3893277218549287E-2</v>
      </c>
      <c r="P84" s="24">
        <f t="shared" si="191"/>
        <v>2.3827418646703825E-2</v>
      </c>
      <c r="Q84" s="24">
        <f t="shared" si="191"/>
        <v>1.7898702151897851E-2</v>
      </c>
      <c r="R84" s="24">
        <f t="shared" si="191"/>
        <v>1.7709945222727567E-2</v>
      </c>
      <c r="S84" s="24">
        <f t="shared" si="191"/>
        <v>1.9132946766866929E-2</v>
      </c>
      <c r="T84" s="24">
        <f t="shared" si="191"/>
        <v>1.9132946766866929E-2</v>
      </c>
      <c r="U84" s="24">
        <f t="shared" si="191"/>
        <v>1.9132946766866929E-2</v>
      </c>
      <c r="V84" s="24">
        <f t="shared" si="191"/>
        <v>1.9132946766866929E-2</v>
      </c>
      <c r="W84" s="24"/>
      <c r="X84" s="24"/>
      <c r="Y84" s="24"/>
      <c r="Z84" s="24"/>
      <c r="AG84" s="24">
        <f>+AG56/AG51</f>
        <v>1.8547564896870834E-2</v>
      </c>
      <c r="AH84" s="24">
        <f>+AH56/AH51</f>
        <v>1.7271747689502258E-2</v>
      </c>
      <c r="AI84" s="24">
        <f>+AI56/AI51</f>
        <v>1.8779452643767215E-2</v>
      </c>
      <c r="AJ84" s="28">
        <f>+AJ56/AJ51</f>
        <v>2.3135006410717866E-2</v>
      </c>
      <c r="AK84" s="28">
        <v>2.2010299051950399E-2</v>
      </c>
      <c r="AL84" s="28">
        <f>+AK84-0.002</f>
        <v>2.0010299051950398E-2</v>
      </c>
      <c r="AM84" s="28">
        <f t="shared" ref="AM84" si="192">+AL84-0.002</f>
        <v>1.8010299051950396E-2</v>
      </c>
      <c r="AN84" s="28">
        <f>+AM84</f>
        <v>1.8010299051950396E-2</v>
      </c>
      <c r="AO84" s="28">
        <f t="shared" ref="AO84:AU84" si="193">+AN84</f>
        <v>1.8010299051950396E-2</v>
      </c>
      <c r="AP84" s="28">
        <f t="shared" si="193"/>
        <v>1.8010299051950396E-2</v>
      </c>
      <c r="AQ84" s="28">
        <f t="shared" si="193"/>
        <v>1.8010299051950396E-2</v>
      </c>
      <c r="AR84" s="28">
        <f t="shared" si="193"/>
        <v>1.8010299051950396E-2</v>
      </c>
      <c r="AS84" s="28">
        <f t="shared" si="193"/>
        <v>1.8010299051950396E-2</v>
      </c>
      <c r="AT84" s="28">
        <f t="shared" si="193"/>
        <v>1.8010299051950396E-2</v>
      </c>
      <c r="AU84" s="28">
        <f t="shared" si="193"/>
        <v>1.8010299051950396E-2</v>
      </c>
    </row>
    <row r="85" spans="2:61" s="6" customFormat="1" x14ac:dyDescent="0.2">
      <c r="B85" s="16"/>
      <c r="BA85" s="27"/>
      <c r="BE85" s="2"/>
      <c r="BF85" s="42" t="s">
        <v>130</v>
      </c>
      <c r="BG85" s="43">
        <f>AVERAGE(BA81:BI81)</f>
        <v>165.66247179090692</v>
      </c>
    </row>
    <row r="86" spans="2:61" ht="16" thickBot="1" x14ac:dyDescent="0.25">
      <c r="BA86" s="2" t="s">
        <v>197</v>
      </c>
      <c r="BB86" s="72">
        <f>+Main!M12/Model!AK51</f>
        <v>3.3361491823276528</v>
      </c>
      <c r="BE86" s="5"/>
      <c r="BF86" s="44" t="s">
        <v>122</v>
      </c>
      <c r="BG86" s="45">
        <f>+BG85/BA82-1</f>
        <v>-0.1163725635219387</v>
      </c>
    </row>
    <row r="87" spans="2:61" s="5" customFormat="1" x14ac:dyDescent="0.2">
      <c r="B87" s="13" t="s">
        <v>73</v>
      </c>
      <c r="F87" s="5">
        <f t="shared" ref="F87:R87" si="194">+SUM(F88:F89)-F104</f>
        <v>52580</v>
      </c>
      <c r="G87" s="5">
        <f t="shared" si="194"/>
        <v>41402</v>
      </c>
      <c r="H87" s="5">
        <f t="shared" si="194"/>
        <v>39615</v>
      </c>
      <c r="I87" s="5">
        <f t="shared" si="194"/>
        <v>28933</v>
      </c>
      <c r="J87" s="5">
        <f t="shared" si="194"/>
        <v>47305</v>
      </c>
      <c r="K87" s="5">
        <f t="shared" si="194"/>
        <v>18829</v>
      </c>
      <c r="L87" s="5">
        <f t="shared" si="194"/>
        <v>2657</v>
      </c>
      <c r="M87" s="5">
        <f t="shared" si="194"/>
        <v>47305</v>
      </c>
      <c r="N87" s="5">
        <f t="shared" si="194"/>
        <v>0</v>
      </c>
      <c r="O87" s="5">
        <f t="shared" si="194"/>
        <v>0</v>
      </c>
      <c r="P87" s="5">
        <f t="shared" si="194"/>
        <v>0</v>
      </c>
      <c r="Q87" s="5">
        <f t="shared" si="194"/>
        <v>0</v>
      </c>
      <c r="R87" s="5">
        <f t="shared" si="194"/>
        <v>0</v>
      </c>
      <c r="AK87" s="5">
        <f>+Main!M10-Main!M11</f>
        <v>33466</v>
      </c>
      <c r="AL87" s="5">
        <f t="shared" ref="AL87:AU87" si="195">+AK87+AL67</f>
        <v>75190</v>
      </c>
      <c r="AM87" s="5">
        <f t="shared" si="195"/>
        <v>118316.18483510711</v>
      </c>
      <c r="AN87" s="5">
        <f t="shared" si="195"/>
        <v>167190.60715947847</v>
      </c>
      <c r="AO87" s="5">
        <f t="shared" si="195"/>
        <v>222427.95812853044</v>
      </c>
      <c r="AP87" s="5">
        <f t="shared" si="195"/>
        <v>284708.21336844255</v>
      </c>
      <c r="AQ87" s="5">
        <f t="shared" si="195"/>
        <v>354783.67822098825</v>
      </c>
      <c r="AR87" s="5">
        <f t="shared" si="195"/>
        <v>433486.80831666023</v>
      </c>
      <c r="AS87" s="5">
        <f t="shared" si="195"/>
        <v>521738.89256045979</v>
      </c>
      <c r="AT87" s="5">
        <f t="shared" si="195"/>
        <v>620559.69559635455</v>
      </c>
      <c r="AU87" s="5">
        <f t="shared" si="195"/>
        <v>731078.16796454752</v>
      </c>
      <c r="BA87" s="2" t="s">
        <v>198</v>
      </c>
      <c r="BB87" s="73">
        <f>+Main!M12/Model!AL51</f>
        <v>3.0328628930251389</v>
      </c>
    </row>
    <row r="88" spans="2:61" x14ac:dyDescent="0.2">
      <c r="B88" s="10" t="s">
        <v>4</v>
      </c>
      <c r="F88" s="2">
        <v>42122</v>
      </c>
      <c r="G88" s="2">
        <v>33834</v>
      </c>
      <c r="H88" s="2">
        <v>40380</v>
      </c>
      <c r="I88" s="2">
        <v>29944</v>
      </c>
      <c r="J88" s="2">
        <v>36220</v>
      </c>
      <c r="K88" s="2">
        <v>36393</v>
      </c>
      <c r="L88" s="2">
        <v>37478</v>
      </c>
      <c r="M88" s="2">
        <v>36220</v>
      </c>
      <c r="BA88" s="2" t="s">
        <v>199</v>
      </c>
      <c r="BB88" s="73">
        <f>+Main!M12/Model!AL67</f>
        <v>45.958405420482215</v>
      </c>
    </row>
    <row r="89" spans="2:61" x14ac:dyDescent="0.2">
      <c r="B89" s="10" t="s">
        <v>51</v>
      </c>
      <c r="F89" s="2">
        <v>42274</v>
      </c>
      <c r="G89" s="2">
        <v>39436</v>
      </c>
      <c r="H89" s="2">
        <v>49514</v>
      </c>
      <c r="I89" s="2">
        <v>49044</v>
      </c>
      <c r="J89" s="2">
        <v>59829</v>
      </c>
      <c r="K89" s="2">
        <v>29992</v>
      </c>
      <c r="L89" s="2">
        <v>23232</v>
      </c>
      <c r="M89" s="2">
        <v>59829</v>
      </c>
      <c r="BA89" s="2" t="s">
        <v>200</v>
      </c>
    </row>
    <row r="90" spans="2:61" x14ac:dyDescent="0.2">
      <c r="B90" s="10" t="s">
        <v>52</v>
      </c>
      <c r="F90" s="2">
        <v>23795</v>
      </c>
      <c r="G90" s="2">
        <v>23849</v>
      </c>
      <c r="H90" s="2">
        <v>24119</v>
      </c>
      <c r="I90" s="2">
        <v>30933</v>
      </c>
      <c r="J90" s="2">
        <v>32640</v>
      </c>
      <c r="K90" s="2">
        <v>34987</v>
      </c>
      <c r="L90" s="5">
        <v>38153</v>
      </c>
      <c r="M90" s="2">
        <v>32640</v>
      </c>
      <c r="AZ90" s="5" t="s">
        <v>172</v>
      </c>
    </row>
    <row r="91" spans="2:61" x14ac:dyDescent="0.2">
      <c r="B91" s="10" t="s">
        <v>53</v>
      </c>
      <c r="F91" s="2">
        <v>24542</v>
      </c>
      <c r="G91" s="2">
        <v>24289</v>
      </c>
      <c r="H91" s="2">
        <v>26835</v>
      </c>
      <c r="I91" s="2">
        <v>28610</v>
      </c>
      <c r="J91" s="2">
        <v>32891</v>
      </c>
      <c r="K91" s="2">
        <v>32504</v>
      </c>
      <c r="L91" s="2">
        <v>34804</v>
      </c>
      <c r="M91" s="2">
        <v>32891</v>
      </c>
    </row>
    <row r="92" spans="2:61" s="5" customFormat="1" x14ac:dyDescent="0.2">
      <c r="B92" s="13" t="s">
        <v>54</v>
      </c>
      <c r="F92" s="5">
        <f t="shared" ref="F92:L92" si="196">+SUM(F88:F91)</f>
        <v>132733</v>
      </c>
      <c r="G92" s="5">
        <f t="shared" si="196"/>
        <v>121408</v>
      </c>
      <c r="H92" s="5">
        <f t="shared" si="196"/>
        <v>140848</v>
      </c>
      <c r="I92" s="5">
        <f t="shared" si="196"/>
        <v>138531</v>
      </c>
      <c r="J92" s="5">
        <f t="shared" si="196"/>
        <v>161580</v>
      </c>
      <c r="K92" s="5">
        <f t="shared" si="196"/>
        <v>133876</v>
      </c>
      <c r="L92" s="5">
        <f t="shared" si="196"/>
        <v>133667</v>
      </c>
      <c r="M92" s="5">
        <f t="shared" ref="M92" si="197">+SUM(M88:M91)</f>
        <v>161580</v>
      </c>
    </row>
    <row r="93" spans="2:61" x14ac:dyDescent="0.2">
      <c r="B93" s="10" t="s">
        <v>55</v>
      </c>
      <c r="F93" s="2">
        <v>113114</v>
      </c>
      <c r="G93" s="2">
        <v>121461</v>
      </c>
      <c r="H93" s="2">
        <v>133502</v>
      </c>
      <c r="I93" s="2">
        <v>147152</v>
      </c>
      <c r="J93" s="2">
        <v>160281</v>
      </c>
      <c r="K93" s="2">
        <v>168468</v>
      </c>
      <c r="L93" s="2">
        <v>173706</v>
      </c>
      <c r="M93" s="2">
        <v>160281</v>
      </c>
    </row>
    <row r="94" spans="2:61" x14ac:dyDescent="0.2">
      <c r="B94" s="10" t="s">
        <v>56</v>
      </c>
      <c r="F94" s="2">
        <v>37553</v>
      </c>
      <c r="G94" s="2">
        <v>39328</v>
      </c>
      <c r="H94" s="2">
        <v>43346</v>
      </c>
      <c r="I94" s="2">
        <v>52151</v>
      </c>
      <c r="J94" s="2">
        <v>56082</v>
      </c>
      <c r="K94" s="2">
        <v>56161</v>
      </c>
      <c r="L94" s="2">
        <v>58430</v>
      </c>
      <c r="M94" s="2">
        <v>56082</v>
      </c>
    </row>
    <row r="95" spans="2:61" x14ac:dyDescent="0.2">
      <c r="B95" s="10" t="s">
        <v>57</v>
      </c>
      <c r="F95" s="2">
        <v>15017</v>
      </c>
      <c r="G95" s="2">
        <v>15220</v>
      </c>
      <c r="H95" s="2">
        <v>15350</v>
      </c>
      <c r="I95" s="2">
        <v>15345</v>
      </c>
      <c r="J95" s="2">
        <v>15371</v>
      </c>
      <c r="K95" s="2">
        <v>20229</v>
      </c>
      <c r="L95" s="2">
        <v>20195</v>
      </c>
      <c r="M95" s="2">
        <v>15371</v>
      </c>
    </row>
    <row r="96" spans="2:61" x14ac:dyDescent="0.2">
      <c r="B96" s="10" t="s">
        <v>58</v>
      </c>
      <c r="F96" s="2">
        <v>22778</v>
      </c>
      <c r="G96" s="2">
        <v>25660</v>
      </c>
      <c r="H96" s="2">
        <v>27273</v>
      </c>
      <c r="I96" s="2">
        <v>29227</v>
      </c>
      <c r="J96" s="2">
        <v>27235</v>
      </c>
      <c r="K96" s="2">
        <v>32033</v>
      </c>
      <c r="L96" s="2">
        <v>33730</v>
      </c>
      <c r="M96" s="2">
        <v>27235</v>
      </c>
    </row>
    <row r="97" spans="2:13" s="5" customFormat="1" x14ac:dyDescent="0.2">
      <c r="B97" s="13" t="s">
        <v>59</v>
      </c>
      <c r="F97" s="5">
        <f t="shared" ref="F97:L97" si="198">+SUM(F92:F96)</f>
        <v>321195</v>
      </c>
      <c r="G97" s="5">
        <f t="shared" si="198"/>
        <v>323077</v>
      </c>
      <c r="H97" s="5">
        <f t="shared" si="198"/>
        <v>360319</v>
      </c>
      <c r="I97" s="5">
        <f t="shared" si="198"/>
        <v>382406</v>
      </c>
      <c r="J97" s="5">
        <f t="shared" si="198"/>
        <v>420549</v>
      </c>
      <c r="K97" s="5">
        <f t="shared" si="198"/>
        <v>410767</v>
      </c>
      <c r="L97" s="5">
        <f t="shared" si="198"/>
        <v>419728</v>
      </c>
      <c r="M97" s="5">
        <f t="shared" ref="M97" si="199">+SUM(M92:M96)</f>
        <v>420549</v>
      </c>
    </row>
    <row r="99" spans="2:13" x14ac:dyDescent="0.2">
      <c r="B99" s="10" t="s">
        <v>60</v>
      </c>
      <c r="F99" s="2">
        <v>72539</v>
      </c>
      <c r="G99" s="2">
        <v>63926</v>
      </c>
      <c r="H99" s="2">
        <v>66090</v>
      </c>
      <c r="I99" s="2">
        <v>71474</v>
      </c>
      <c r="J99" s="2">
        <v>78664</v>
      </c>
      <c r="K99" s="2">
        <v>68547</v>
      </c>
      <c r="L99" s="2">
        <v>71219</v>
      </c>
      <c r="M99" s="2">
        <v>78664</v>
      </c>
    </row>
    <row r="100" spans="2:13" x14ac:dyDescent="0.2">
      <c r="B100" s="10" t="s">
        <v>61</v>
      </c>
      <c r="F100" s="2">
        <v>44138</v>
      </c>
      <c r="G100" s="2">
        <v>40939</v>
      </c>
      <c r="H100" s="2">
        <v>41007</v>
      </c>
      <c r="I100" s="2">
        <v>41546</v>
      </c>
      <c r="J100" s="2">
        <v>51775</v>
      </c>
      <c r="K100" s="2">
        <v>58141</v>
      </c>
      <c r="L100" s="2">
        <v>56254</v>
      </c>
      <c r="M100" s="2">
        <v>51775</v>
      </c>
    </row>
    <row r="101" spans="2:13" x14ac:dyDescent="0.2">
      <c r="B101" s="10" t="s">
        <v>62</v>
      </c>
      <c r="F101" s="2">
        <v>9708</v>
      </c>
      <c r="G101" s="2">
        <v>10539</v>
      </c>
      <c r="H101" s="2">
        <v>10695</v>
      </c>
      <c r="I101" s="2">
        <v>10974</v>
      </c>
      <c r="J101" s="2">
        <v>11827</v>
      </c>
      <c r="K101" s="2">
        <v>12820</v>
      </c>
      <c r="L101" s="2">
        <v>12818</v>
      </c>
      <c r="M101" s="2">
        <v>11827</v>
      </c>
    </row>
    <row r="102" spans="2:13" s="5" customFormat="1" x14ac:dyDescent="0.2">
      <c r="B102" s="13" t="s">
        <v>63</v>
      </c>
      <c r="F102" s="5">
        <f t="shared" ref="F102:L102" si="200">+SUM(F99:F101)</f>
        <v>126385</v>
      </c>
      <c r="G102" s="5">
        <f t="shared" si="200"/>
        <v>115404</v>
      </c>
      <c r="H102" s="5">
        <f t="shared" si="200"/>
        <v>117792</v>
      </c>
      <c r="I102" s="5">
        <f t="shared" si="200"/>
        <v>123994</v>
      </c>
      <c r="J102" s="5">
        <f t="shared" si="200"/>
        <v>142266</v>
      </c>
      <c r="K102" s="5">
        <f t="shared" si="200"/>
        <v>139508</v>
      </c>
      <c r="L102" s="5">
        <f t="shared" si="200"/>
        <v>140291</v>
      </c>
      <c r="M102" s="5">
        <f t="shared" ref="M102" si="201">+SUM(M99:M101)</f>
        <v>142266</v>
      </c>
    </row>
    <row r="103" spans="2:13" x14ac:dyDescent="0.2">
      <c r="B103" s="10" t="s">
        <v>64</v>
      </c>
      <c r="F103" s="2">
        <v>52573</v>
      </c>
      <c r="G103" s="2">
        <v>53067</v>
      </c>
      <c r="H103" s="2">
        <v>56297</v>
      </c>
      <c r="I103" s="2">
        <v>63848</v>
      </c>
      <c r="J103" s="2">
        <v>67651</v>
      </c>
      <c r="K103" s="2">
        <v>65731</v>
      </c>
      <c r="L103" s="2">
        <v>66524</v>
      </c>
      <c r="M103" s="2">
        <v>67651</v>
      </c>
    </row>
    <row r="104" spans="2:13" x14ac:dyDescent="0.2">
      <c r="B104" s="10" t="s">
        <v>65</v>
      </c>
      <c r="F104" s="2">
        <v>31816</v>
      </c>
      <c r="G104" s="2">
        <v>31868</v>
      </c>
      <c r="H104" s="2">
        <v>50279</v>
      </c>
      <c r="I104" s="2">
        <v>50055</v>
      </c>
      <c r="J104" s="2">
        <v>48744</v>
      </c>
      <c r="K104" s="2">
        <v>47556</v>
      </c>
      <c r="L104" s="2">
        <v>58053</v>
      </c>
      <c r="M104" s="2">
        <v>48744</v>
      </c>
    </row>
    <row r="105" spans="2:13" x14ac:dyDescent="0.2">
      <c r="B105" s="10" t="s">
        <v>66</v>
      </c>
      <c r="F105" s="2">
        <v>17017</v>
      </c>
      <c r="G105" s="2">
        <v>19418</v>
      </c>
      <c r="H105" s="2">
        <v>21148</v>
      </c>
      <c r="I105" s="2">
        <v>23945</v>
      </c>
      <c r="J105" s="2">
        <v>23643</v>
      </c>
      <c r="K105" s="2">
        <v>23971</v>
      </c>
      <c r="L105" s="2">
        <v>23458</v>
      </c>
      <c r="M105" s="2">
        <v>23643</v>
      </c>
    </row>
    <row r="106" spans="2:13" s="5" customFormat="1" x14ac:dyDescent="0.2">
      <c r="B106" s="13" t="s">
        <v>48</v>
      </c>
      <c r="F106" s="5">
        <f t="shared" ref="F106:L106" si="202">+SUM(F102:F105)</f>
        <v>227791</v>
      </c>
      <c r="G106" s="5">
        <f t="shared" si="202"/>
        <v>219757</v>
      </c>
      <c r="H106" s="5">
        <f t="shared" si="202"/>
        <v>245516</v>
      </c>
      <c r="I106" s="5">
        <f t="shared" si="202"/>
        <v>261842</v>
      </c>
      <c r="J106" s="5">
        <f t="shared" si="202"/>
        <v>282304</v>
      </c>
      <c r="K106" s="5">
        <f t="shared" si="202"/>
        <v>276766</v>
      </c>
      <c r="L106" s="5">
        <f t="shared" si="202"/>
        <v>288326</v>
      </c>
      <c r="M106" s="5">
        <f t="shared" ref="M106" si="203">+SUM(M102:M105)</f>
        <v>282304</v>
      </c>
    </row>
    <row r="107" spans="2:13" x14ac:dyDescent="0.2">
      <c r="B107" s="10" t="s">
        <v>67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</row>
    <row r="108" spans="2:13" x14ac:dyDescent="0.2">
      <c r="B108" s="10" t="s">
        <v>68</v>
      </c>
      <c r="F108" s="2">
        <v>5</v>
      </c>
      <c r="G108" s="2">
        <v>5</v>
      </c>
      <c r="H108" s="2">
        <v>5</v>
      </c>
      <c r="I108" s="2">
        <v>5</v>
      </c>
      <c r="J108" s="2">
        <v>106</v>
      </c>
      <c r="K108" s="2">
        <v>5</v>
      </c>
      <c r="L108" s="2">
        <v>107</v>
      </c>
      <c r="M108" s="2">
        <v>106</v>
      </c>
    </row>
    <row r="109" spans="2:13" x14ac:dyDescent="0.2">
      <c r="B109" s="10" t="s">
        <v>69</v>
      </c>
      <c r="F109" s="2">
        <v>-1837</v>
      </c>
      <c r="G109" s="2">
        <v>-1837</v>
      </c>
      <c r="H109" s="2">
        <v>-1837</v>
      </c>
      <c r="I109" s="2">
        <v>-1837</v>
      </c>
      <c r="J109" s="2">
        <v>-1837</v>
      </c>
      <c r="K109" s="2">
        <v>-4503</v>
      </c>
      <c r="L109" s="2">
        <v>-7837</v>
      </c>
      <c r="M109" s="2">
        <v>-1837</v>
      </c>
    </row>
    <row r="110" spans="2:13" x14ac:dyDescent="0.2">
      <c r="B110" s="10" t="s">
        <v>70</v>
      </c>
      <c r="F110" s="2">
        <v>42865</v>
      </c>
      <c r="G110" s="2">
        <v>45160</v>
      </c>
      <c r="H110" s="2">
        <v>48724</v>
      </c>
      <c r="I110" s="2">
        <v>51879</v>
      </c>
      <c r="J110" s="2">
        <v>55437</v>
      </c>
      <c r="K110" s="2">
        <v>58793</v>
      </c>
      <c r="L110" s="2">
        <v>63871</v>
      </c>
      <c r="M110" s="2">
        <v>55437</v>
      </c>
    </row>
    <row r="111" spans="2:13" x14ac:dyDescent="0.2">
      <c r="B111" s="10" t="s">
        <v>71</v>
      </c>
      <c r="F111" s="2">
        <v>-180</v>
      </c>
      <c r="G111" s="2">
        <v>-666</v>
      </c>
      <c r="H111" s="2">
        <v>-525</v>
      </c>
      <c r="I111" s="2">
        <v>-1075</v>
      </c>
      <c r="J111" s="2">
        <v>-1376</v>
      </c>
      <c r="K111" s="2">
        <v>-2365</v>
      </c>
      <c r="L111" s="2">
        <v>-4782</v>
      </c>
      <c r="M111" s="2">
        <v>-1376</v>
      </c>
    </row>
    <row r="112" spans="2:13" x14ac:dyDescent="0.2">
      <c r="B112" s="10" t="s">
        <v>72</v>
      </c>
      <c r="F112" s="2">
        <v>52551</v>
      </c>
      <c r="G112" s="2">
        <v>60658</v>
      </c>
      <c r="H112" s="2">
        <v>68436</v>
      </c>
      <c r="I112" s="2">
        <v>71592</v>
      </c>
      <c r="J112" s="2">
        <v>85915</v>
      </c>
      <c r="K112" s="2">
        <v>82071</v>
      </c>
      <c r="L112" s="2">
        <v>80043</v>
      </c>
      <c r="M112" s="2">
        <v>85915</v>
      </c>
    </row>
    <row r="113" spans="2:13" x14ac:dyDescent="0.2">
      <c r="B113" s="10" t="s">
        <v>50</v>
      </c>
      <c r="F113" s="2">
        <f t="shared" ref="F113:M113" si="204">+SUM(F107:F112)</f>
        <v>93404</v>
      </c>
      <c r="G113" s="2">
        <f t="shared" si="204"/>
        <v>103320</v>
      </c>
      <c r="H113" s="2">
        <f t="shared" si="204"/>
        <v>114803</v>
      </c>
      <c r="I113" s="2">
        <f t="shared" si="204"/>
        <v>120564</v>
      </c>
      <c r="J113" s="2">
        <f t="shared" si="204"/>
        <v>138245</v>
      </c>
      <c r="K113" s="2">
        <f t="shared" si="204"/>
        <v>134001</v>
      </c>
      <c r="L113" s="2">
        <f t="shared" si="204"/>
        <v>131402</v>
      </c>
      <c r="M113" s="2">
        <f t="shared" si="204"/>
        <v>138245</v>
      </c>
    </row>
    <row r="114" spans="2:13" s="5" customFormat="1" x14ac:dyDescent="0.2">
      <c r="B114" s="13" t="s">
        <v>49</v>
      </c>
      <c r="F114" s="5">
        <f t="shared" ref="F114:L114" si="205">+F106+F113</f>
        <v>321195</v>
      </c>
      <c r="G114" s="5">
        <f t="shared" si="205"/>
        <v>323077</v>
      </c>
      <c r="H114" s="5">
        <f t="shared" si="205"/>
        <v>360319</v>
      </c>
      <c r="I114" s="5">
        <f t="shared" si="205"/>
        <v>382406</v>
      </c>
      <c r="J114" s="5">
        <f t="shared" si="205"/>
        <v>420549</v>
      </c>
      <c r="K114" s="5">
        <f t="shared" si="205"/>
        <v>410767</v>
      </c>
      <c r="L114" s="5">
        <f t="shared" si="205"/>
        <v>419728</v>
      </c>
      <c r="M114" s="5">
        <f t="shared" ref="M114" si="206">+M106+M113</f>
        <v>420549</v>
      </c>
    </row>
    <row r="115" spans="2:13" x14ac:dyDescent="0.2">
      <c r="F115" s="19" t="str">
        <f t="shared" ref="F115:L115" si="207">IF(F97=F114,"OK","N")</f>
        <v>OK</v>
      </c>
      <c r="G115" s="19" t="str">
        <f t="shared" si="207"/>
        <v>OK</v>
      </c>
      <c r="H115" s="19" t="str">
        <f t="shared" si="207"/>
        <v>OK</v>
      </c>
      <c r="I115" s="19" t="str">
        <f t="shared" si="207"/>
        <v>OK</v>
      </c>
      <c r="J115" s="19" t="str">
        <f t="shared" si="207"/>
        <v>OK</v>
      </c>
      <c r="K115" s="19" t="str">
        <f t="shared" si="207"/>
        <v>OK</v>
      </c>
      <c r="L115" s="19" t="str">
        <f t="shared" si="207"/>
        <v>OK</v>
      </c>
      <c r="M115" s="19" t="str">
        <f>IF(M97=M114,"OK","N")</f>
        <v>OK</v>
      </c>
    </row>
    <row r="116" spans="2:13" x14ac:dyDescent="0.2">
      <c r="F116" s="19"/>
      <c r="G116" s="19"/>
      <c r="H116" s="19"/>
      <c r="I116" s="19"/>
      <c r="J116" s="19"/>
      <c r="K116" s="19"/>
      <c r="L116" s="19"/>
      <c r="M116" s="19"/>
    </row>
    <row r="117" spans="2:13" s="6" customFormat="1" x14ac:dyDescent="0.2">
      <c r="B117" s="16" t="s">
        <v>148</v>
      </c>
      <c r="F117" s="46">
        <f t="shared" ref="F117:M117" si="208">SUM(C67:F67)/F113</f>
        <v>0.22837351719412444</v>
      </c>
      <c r="G117" s="46">
        <f t="shared" si="208"/>
        <v>0.26038521099496709</v>
      </c>
      <c r="H117" s="46">
        <f t="shared" si="208"/>
        <v>0.25642187050861043</v>
      </c>
      <c r="I117" s="46">
        <f t="shared" si="208"/>
        <v>0.21783451113101754</v>
      </c>
      <c r="J117" s="46">
        <f t="shared" si="208"/>
        <v>0.2413396506202756</v>
      </c>
      <c r="K117" s="46">
        <f t="shared" si="208"/>
        <v>0.15979731494541086</v>
      </c>
      <c r="L117" s="46">
        <f t="shared" si="208"/>
        <v>8.8331988858617067E-2</v>
      </c>
      <c r="M117" s="46">
        <f t="shared" si="208"/>
        <v>8.1905313031212706E-2</v>
      </c>
    </row>
    <row r="118" spans="2:13" x14ac:dyDescent="0.2">
      <c r="B118" s="10" t="s">
        <v>149</v>
      </c>
      <c r="F118" s="19">
        <f>F92-F102</f>
        <v>6348</v>
      </c>
      <c r="G118" s="19">
        <f t="shared" ref="G118:M118" si="209">G92-G102</f>
        <v>6004</v>
      </c>
      <c r="H118" s="19">
        <f t="shared" si="209"/>
        <v>23056</v>
      </c>
      <c r="I118" s="19">
        <f t="shared" si="209"/>
        <v>14537</v>
      </c>
      <c r="J118" s="19">
        <f t="shared" si="209"/>
        <v>19314</v>
      </c>
      <c r="K118" s="19">
        <f t="shared" si="209"/>
        <v>-5632</v>
      </c>
      <c r="L118" s="19">
        <f t="shared" si="209"/>
        <v>-6624</v>
      </c>
      <c r="M118" s="19">
        <f t="shared" si="209"/>
        <v>19314</v>
      </c>
    </row>
    <row r="119" spans="2:13" x14ac:dyDescent="0.2">
      <c r="F119" s="19"/>
      <c r="G119" s="19"/>
      <c r="H119" s="19"/>
      <c r="I119" s="19"/>
      <c r="J119" s="19"/>
      <c r="K119" s="19"/>
      <c r="L119" s="19"/>
      <c r="M119" s="19"/>
    </row>
    <row r="121" spans="2:13" x14ac:dyDescent="0.2">
      <c r="B121" s="10" t="s">
        <v>74</v>
      </c>
      <c r="G121" s="6">
        <f t="shared" ref="G121:K121" si="210">+G88/F88-1</f>
        <v>-0.19676178718959214</v>
      </c>
      <c r="H121" s="6">
        <f t="shared" si="210"/>
        <v>0.19347402021635052</v>
      </c>
      <c r="I121" s="6">
        <f t="shared" si="210"/>
        <v>-0.25844477464091131</v>
      </c>
      <c r="J121" s="6">
        <f t="shared" si="210"/>
        <v>0.20959123697568804</v>
      </c>
      <c r="K121" s="6">
        <f t="shared" si="210"/>
        <v>4.7763666482605327E-3</v>
      </c>
      <c r="L121" s="6">
        <f>+L88/K88-1</f>
        <v>2.9813425658780535E-2</v>
      </c>
      <c r="M121" s="6">
        <f>+M88/L88-1</f>
        <v>-3.3566358930572582E-2</v>
      </c>
    </row>
    <row r="122" spans="2:13" x14ac:dyDescent="0.2">
      <c r="B122" s="10" t="s">
        <v>5</v>
      </c>
      <c r="F122" s="2">
        <f>+F104</f>
        <v>31816</v>
      </c>
      <c r="G122" s="2">
        <f t="shared" ref="G122:M122" si="211">+G104</f>
        <v>31868</v>
      </c>
      <c r="H122" s="2">
        <f t="shared" si="211"/>
        <v>50279</v>
      </c>
      <c r="I122" s="2">
        <f t="shared" si="211"/>
        <v>50055</v>
      </c>
      <c r="J122" s="2">
        <f t="shared" si="211"/>
        <v>48744</v>
      </c>
      <c r="K122" s="2">
        <f t="shared" si="211"/>
        <v>47556</v>
      </c>
      <c r="L122" s="2">
        <f t="shared" si="211"/>
        <v>58053</v>
      </c>
      <c r="M122" s="2">
        <f t="shared" si="211"/>
        <v>48744</v>
      </c>
    </row>
    <row r="123" spans="2:13" x14ac:dyDescent="0.2">
      <c r="B123" s="10" t="s">
        <v>141</v>
      </c>
      <c r="G123" s="2">
        <f t="shared" ref="G123:K123" si="212">+G122-F122</f>
        <v>52</v>
      </c>
      <c r="H123" s="2">
        <f t="shared" si="212"/>
        <v>18411</v>
      </c>
      <c r="I123" s="2">
        <f t="shared" si="212"/>
        <v>-224</v>
      </c>
      <c r="J123" s="2">
        <f t="shared" si="212"/>
        <v>-1311</v>
      </c>
      <c r="K123" s="2">
        <f t="shared" si="212"/>
        <v>-1188</v>
      </c>
      <c r="L123" s="5">
        <f>+L122-K122</f>
        <v>10497</v>
      </c>
      <c r="M123" s="2">
        <f>+M122-L122</f>
        <v>-9309</v>
      </c>
    </row>
    <row r="124" spans="2:13" x14ac:dyDescent="0.2">
      <c r="B124" s="10" t="s">
        <v>142</v>
      </c>
      <c r="G124" s="6"/>
      <c r="H124" s="6"/>
      <c r="I124" s="6"/>
      <c r="J124" s="6"/>
      <c r="K124" s="6"/>
      <c r="L124" s="6"/>
      <c r="M124" s="6"/>
    </row>
    <row r="125" spans="2:13" x14ac:dyDescent="0.2">
      <c r="G125" s="6"/>
      <c r="H125" s="6"/>
      <c r="I125" s="6"/>
      <c r="J125" s="6"/>
      <c r="K125" s="6"/>
      <c r="L125" s="6"/>
      <c r="M125" s="6"/>
    </row>
    <row r="126" spans="2:13" x14ac:dyDescent="0.2">
      <c r="B126" s="10" t="s">
        <v>143</v>
      </c>
      <c r="G126" s="2">
        <f t="shared" ref="G126:K126" si="213">SUM(G157)</f>
        <v>1926</v>
      </c>
      <c r="H126" s="2">
        <f t="shared" si="213"/>
        <v>1176</v>
      </c>
      <c r="I126" s="2">
        <f t="shared" si="213"/>
        <v>2187</v>
      </c>
      <c r="J126" s="2">
        <f t="shared" si="213"/>
        <v>2667</v>
      </c>
      <c r="K126" s="2">
        <f t="shared" si="213"/>
        <v>13743</v>
      </c>
      <c r="L126" s="2">
        <f>SUM(L157)</f>
        <v>4865</v>
      </c>
    </row>
    <row r="127" spans="2:13" x14ac:dyDescent="0.2">
      <c r="B127" s="10" t="s">
        <v>144</v>
      </c>
      <c r="G127" s="2">
        <f t="shared" ref="G127:K127" si="214">G159</f>
        <v>111</v>
      </c>
      <c r="H127" s="2">
        <f t="shared" si="214"/>
        <v>18516</v>
      </c>
      <c r="I127" s="2">
        <f t="shared" si="214"/>
        <v>176</v>
      </c>
      <c r="J127" s="2">
        <f t="shared" si="214"/>
        <v>200</v>
      </c>
      <c r="K127" s="2">
        <f t="shared" si="214"/>
        <v>0</v>
      </c>
      <c r="L127" s="2">
        <f>L159</f>
        <v>12824</v>
      </c>
    </row>
    <row r="128" spans="2:13" x14ac:dyDescent="0.2">
      <c r="G128" s="6"/>
      <c r="H128" s="6"/>
      <c r="I128" s="6"/>
      <c r="J128" s="6"/>
      <c r="K128" s="6"/>
      <c r="L128" s="6"/>
      <c r="M128" s="6"/>
    </row>
    <row r="129" spans="2:13" x14ac:dyDescent="0.2">
      <c r="B129" s="10" t="s">
        <v>145</v>
      </c>
      <c r="G129" s="2">
        <f t="shared" ref="G129:K129" si="215">+G158</f>
        <v>-2001</v>
      </c>
      <c r="H129" s="2">
        <f t="shared" si="215"/>
        <v>-1176</v>
      </c>
      <c r="I129" s="2">
        <f t="shared" si="215"/>
        <v>-1917</v>
      </c>
      <c r="J129" s="2">
        <f t="shared" si="215"/>
        <v>-2659</v>
      </c>
      <c r="K129" s="2">
        <f t="shared" si="215"/>
        <v>-6231</v>
      </c>
      <c r="L129" s="2">
        <f>+L158</f>
        <v>-7610</v>
      </c>
    </row>
    <row r="130" spans="2:13" x14ac:dyDescent="0.2">
      <c r="B130" s="10" t="s">
        <v>146</v>
      </c>
      <c r="G130" s="2">
        <f t="shared" ref="G130:K130" si="216">+G160</f>
        <v>-39</v>
      </c>
      <c r="H130" s="2">
        <f t="shared" si="216"/>
        <v>-41</v>
      </c>
      <c r="I130" s="2">
        <f t="shared" si="216"/>
        <v>-509</v>
      </c>
      <c r="J130" s="2">
        <f t="shared" si="216"/>
        <v>-1001</v>
      </c>
      <c r="K130" s="2">
        <f t="shared" si="216"/>
        <v>0</v>
      </c>
      <c r="L130" s="2">
        <f>+L160</f>
        <v>-1</v>
      </c>
    </row>
    <row r="132" spans="2:13" s="5" customFormat="1" x14ac:dyDescent="0.2">
      <c r="B132" s="13" t="s">
        <v>147</v>
      </c>
      <c r="G132" s="5">
        <f t="shared" ref="G132:K132" si="217">SUM(G126:G127,G129:G130)</f>
        <v>-3</v>
      </c>
      <c r="H132" s="5">
        <f t="shared" si="217"/>
        <v>18475</v>
      </c>
      <c r="I132" s="5">
        <f t="shared" si="217"/>
        <v>-63</v>
      </c>
      <c r="J132" s="5">
        <f t="shared" si="217"/>
        <v>-793</v>
      </c>
      <c r="K132" s="5">
        <f t="shared" si="217"/>
        <v>7512</v>
      </c>
      <c r="L132" s="5">
        <f>SUM(L126:L127,L129:L130)</f>
        <v>10078</v>
      </c>
    </row>
    <row r="133" spans="2:13" x14ac:dyDescent="0.2">
      <c r="G133" s="6"/>
      <c r="H133" s="6"/>
      <c r="I133" s="6"/>
      <c r="J133" s="6"/>
      <c r="K133" s="6"/>
      <c r="L133" s="46"/>
      <c r="M133" s="6"/>
    </row>
    <row r="135" spans="2:13" x14ac:dyDescent="0.2">
      <c r="B135" s="10" t="s">
        <v>75</v>
      </c>
      <c r="C135" s="2">
        <v>36410</v>
      </c>
      <c r="D135" s="2">
        <v>27505</v>
      </c>
      <c r="E135" s="2">
        <v>37842</v>
      </c>
      <c r="F135" s="2">
        <v>30202</v>
      </c>
      <c r="G135" s="2">
        <v>42377</v>
      </c>
      <c r="H135" s="2">
        <v>34155</v>
      </c>
      <c r="I135" s="2">
        <v>40667</v>
      </c>
      <c r="J135" s="2">
        <v>30177</v>
      </c>
      <c r="K135" s="2">
        <v>36477</v>
      </c>
      <c r="L135" s="2">
        <v>36599</v>
      </c>
      <c r="M135" s="2">
        <v>37700</v>
      </c>
    </row>
    <row r="136" spans="2:13" x14ac:dyDescent="0.2">
      <c r="B136" s="10" t="s">
        <v>76</v>
      </c>
      <c r="C136" s="2">
        <v>2535</v>
      </c>
      <c r="D136" s="2">
        <v>5243</v>
      </c>
      <c r="E136" s="2">
        <v>6331</v>
      </c>
      <c r="F136" s="2">
        <v>7222</v>
      </c>
      <c r="G136" s="2">
        <v>8107</v>
      </c>
      <c r="H136" s="2">
        <f>+H67</f>
        <v>7778</v>
      </c>
      <c r="I136" s="2">
        <v>3156</v>
      </c>
      <c r="J136" s="2">
        <v>14323</v>
      </c>
      <c r="K136" s="2">
        <v>-3844</v>
      </c>
      <c r="L136" s="2">
        <f>+L67</f>
        <v>-2028</v>
      </c>
      <c r="M136" s="2">
        <v>2872</v>
      </c>
    </row>
    <row r="137" spans="2:13" x14ac:dyDescent="0.2">
      <c r="B137" s="10" t="s">
        <v>77</v>
      </c>
      <c r="C137" s="2">
        <v>5362</v>
      </c>
      <c r="D137" s="2">
        <v>5748</v>
      </c>
      <c r="E137" s="2">
        <v>6523</v>
      </c>
      <c r="F137" s="2">
        <v>7618</v>
      </c>
      <c r="G137" s="2">
        <v>7508</v>
      </c>
      <c r="H137" s="2">
        <v>8038</v>
      </c>
      <c r="I137" s="2">
        <v>8948</v>
      </c>
      <c r="J137" s="2">
        <v>9802</v>
      </c>
      <c r="K137" s="2">
        <v>8978</v>
      </c>
      <c r="L137" s="2">
        <v>9594</v>
      </c>
      <c r="M137" s="2">
        <v>10204</v>
      </c>
    </row>
    <row r="138" spans="2:13" x14ac:dyDescent="0.2">
      <c r="B138" s="10" t="s">
        <v>78</v>
      </c>
      <c r="C138" s="2">
        <v>1757</v>
      </c>
      <c r="D138" s="2">
        <v>2601</v>
      </c>
      <c r="E138" s="2">
        <v>2288</v>
      </c>
      <c r="F138" s="2">
        <v>2562</v>
      </c>
      <c r="G138" s="2">
        <v>2306</v>
      </c>
      <c r="H138" s="2">
        <v>3591</v>
      </c>
      <c r="I138" s="2">
        <v>3180</v>
      </c>
      <c r="J138" s="2">
        <v>3680</v>
      </c>
      <c r="K138" s="2">
        <v>3250</v>
      </c>
      <c r="L138" s="2">
        <v>5209</v>
      </c>
      <c r="M138" s="2">
        <v>5556</v>
      </c>
    </row>
    <row r="139" spans="2:13" x14ac:dyDescent="0.2">
      <c r="B139" s="10" t="s">
        <v>79</v>
      </c>
      <c r="C139" s="2">
        <v>67</v>
      </c>
      <c r="D139" s="2">
        <v>282</v>
      </c>
      <c r="E139" s="2">
        <v>67</v>
      </c>
      <c r="F139" s="2">
        <v>-487</v>
      </c>
      <c r="G139" s="2">
        <v>30</v>
      </c>
      <c r="H139" s="2">
        <v>18</v>
      </c>
      <c r="I139" s="2">
        <v>24</v>
      </c>
      <c r="J139" s="2">
        <v>65</v>
      </c>
      <c r="K139" s="2">
        <v>215</v>
      </c>
      <c r="L139" s="2">
        <v>122</v>
      </c>
      <c r="M139" s="2">
        <v>123</v>
      </c>
    </row>
    <row r="140" spans="2:13" x14ac:dyDescent="0.2">
      <c r="B140" s="10" t="s">
        <v>80</v>
      </c>
      <c r="C140" s="2">
        <v>565</v>
      </c>
      <c r="D140" s="2">
        <v>-769</v>
      </c>
      <c r="E140" s="2">
        <v>-1051</v>
      </c>
      <c r="F140" s="2">
        <v>-1327</v>
      </c>
      <c r="G140" s="2">
        <v>-1456</v>
      </c>
      <c r="H140" s="2">
        <v>-1258</v>
      </c>
      <c r="I140" s="2">
        <v>340</v>
      </c>
      <c r="J140" s="2">
        <v>-11932</v>
      </c>
      <c r="K140" s="2">
        <v>8689</v>
      </c>
      <c r="L140" s="2">
        <v>6104</v>
      </c>
      <c r="M140" s="2">
        <f>+-1272</f>
        <v>-1272</v>
      </c>
    </row>
    <row r="141" spans="2:13" x14ac:dyDescent="0.2">
      <c r="B141" s="10" t="s">
        <v>81</v>
      </c>
      <c r="C141" s="2">
        <v>322</v>
      </c>
      <c r="D141" s="2">
        <v>465</v>
      </c>
      <c r="E141" s="2">
        <v>295</v>
      </c>
      <c r="F141" s="2">
        <v>-1636</v>
      </c>
      <c r="G141" s="2">
        <v>1703</v>
      </c>
      <c r="H141" s="2">
        <v>701</v>
      </c>
      <c r="I141" s="2">
        <v>909</v>
      </c>
      <c r="J141" s="2">
        <v>-3623</v>
      </c>
      <c r="K141" s="2">
        <v>-2001</v>
      </c>
      <c r="L141" s="2">
        <v>-1955</v>
      </c>
      <c r="M141" s="2">
        <v>-825</v>
      </c>
    </row>
    <row r="142" spans="2:13" x14ac:dyDescent="0.2">
      <c r="B142" s="10" t="s">
        <v>52</v>
      </c>
      <c r="C142" s="2">
        <v>1392</v>
      </c>
      <c r="D142" s="2">
        <v>-672</v>
      </c>
      <c r="E142" s="2">
        <v>-3899</v>
      </c>
      <c r="F142" s="2">
        <v>329</v>
      </c>
      <c r="G142" s="2">
        <v>-304</v>
      </c>
      <c r="H142" s="2">
        <v>-209</v>
      </c>
      <c r="I142" s="2">
        <v>-7059</v>
      </c>
      <c r="J142" s="2">
        <v>-1915</v>
      </c>
      <c r="K142" s="2">
        <v>-2614</v>
      </c>
      <c r="L142" s="2">
        <v>-3890</v>
      </c>
      <c r="M142" s="2">
        <v>732</v>
      </c>
    </row>
    <row r="143" spans="2:13" x14ac:dyDescent="0.2">
      <c r="B143" s="10" t="s">
        <v>53</v>
      </c>
      <c r="C143" s="2">
        <v>1262</v>
      </c>
      <c r="D143" s="2">
        <v>-2854</v>
      </c>
      <c r="E143" s="2">
        <v>-2016</v>
      </c>
      <c r="F143" s="2">
        <v>-4560</v>
      </c>
      <c r="G143" s="2">
        <v>-2255</v>
      </c>
      <c r="H143" s="2">
        <v>-4462</v>
      </c>
      <c r="I143" s="2">
        <v>-4890</v>
      </c>
      <c r="J143" s="2">
        <v>-6556</v>
      </c>
      <c r="K143" s="2">
        <v>-1516</v>
      </c>
      <c r="L143" s="2">
        <v>-6799</v>
      </c>
      <c r="M143" s="2">
        <f>+-4794</f>
        <v>-4794</v>
      </c>
    </row>
    <row r="144" spans="2:13" x14ac:dyDescent="0.2">
      <c r="B144" s="10" t="s">
        <v>60</v>
      </c>
      <c r="C144" s="2">
        <v>-8044</v>
      </c>
      <c r="D144" s="2">
        <v>8616</v>
      </c>
      <c r="E144" s="2">
        <v>3658</v>
      </c>
      <c r="F144" s="2">
        <v>13249</v>
      </c>
      <c r="G144" s="2">
        <v>-8266</v>
      </c>
      <c r="H144" s="2">
        <v>47</v>
      </c>
      <c r="I144" s="2">
        <v>3832</v>
      </c>
      <c r="J144" s="2">
        <v>7989</v>
      </c>
      <c r="K144" s="2">
        <v>-9380</v>
      </c>
      <c r="L144" s="2">
        <v>3699</v>
      </c>
      <c r="M144" s="2">
        <v>-1226</v>
      </c>
    </row>
    <row r="145" spans="2:13" x14ac:dyDescent="0.2">
      <c r="B145" s="10" t="s">
        <v>61</v>
      </c>
      <c r="C145" s="2">
        <v>-2761</v>
      </c>
      <c r="D145" s="2">
        <v>1699</v>
      </c>
      <c r="E145" s="2">
        <v>-310</v>
      </c>
      <c r="F145" s="2">
        <v>7127</v>
      </c>
      <c r="G145" s="2">
        <v>-4060</v>
      </c>
      <c r="H145" s="2">
        <v>-1685</v>
      </c>
      <c r="I145" s="2">
        <v>-1465</v>
      </c>
      <c r="J145" s="2">
        <v>9333</v>
      </c>
      <c r="K145" s="2">
        <v>-5903</v>
      </c>
      <c r="L145" s="2">
        <v>-1412</v>
      </c>
      <c r="M145" s="2">
        <v>-20</v>
      </c>
    </row>
    <row r="146" spans="2:13" x14ac:dyDescent="0.2">
      <c r="B146" s="10" t="s">
        <v>82</v>
      </c>
      <c r="C146" s="2">
        <v>607</v>
      </c>
      <c r="D146" s="2">
        <v>247</v>
      </c>
      <c r="E146" s="2">
        <v>78</v>
      </c>
      <c r="F146" s="2">
        <v>333</v>
      </c>
      <c r="G146" s="2">
        <v>900</v>
      </c>
      <c r="H146" s="2">
        <v>156</v>
      </c>
      <c r="I146" s="2">
        <v>338</v>
      </c>
      <c r="J146" s="2">
        <v>920</v>
      </c>
      <c r="K146" s="2">
        <v>1336</v>
      </c>
      <c r="L146" s="2">
        <v>321</v>
      </c>
      <c r="M146" s="2">
        <v>54</v>
      </c>
    </row>
    <row r="147" spans="2:13" s="5" customFormat="1" x14ac:dyDescent="0.2">
      <c r="B147" s="13" t="s">
        <v>83</v>
      </c>
      <c r="C147" s="5">
        <f t="shared" ref="C147:M147" si="218">+SUM(C136:C146)</f>
        <v>3064</v>
      </c>
      <c r="D147" s="5">
        <f t="shared" si="218"/>
        <v>20606</v>
      </c>
      <c r="E147" s="5">
        <f t="shared" si="218"/>
        <v>11964</v>
      </c>
      <c r="F147" s="5">
        <f t="shared" si="218"/>
        <v>30430</v>
      </c>
      <c r="G147" s="5">
        <f t="shared" si="218"/>
        <v>4213</v>
      </c>
      <c r="H147" s="5">
        <f t="shared" si="218"/>
        <v>12715</v>
      </c>
      <c r="I147" s="5">
        <f t="shared" si="218"/>
        <v>7313</v>
      </c>
      <c r="J147" s="5">
        <f t="shared" si="218"/>
        <v>22086</v>
      </c>
      <c r="K147" s="5">
        <f t="shared" si="218"/>
        <v>-2790</v>
      </c>
      <c r="L147" s="5">
        <f t="shared" si="218"/>
        <v>8965</v>
      </c>
      <c r="M147" s="5">
        <f t="shared" si="218"/>
        <v>11404</v>
      </c>
    </row>
    <row r="149" spans="2:13" x14ac:dyDescent="0.2">
      <c r="B149" s="10" t="s">
        <v>55</v>
      </c>
      <c r="C149" s="2">
        <v>-6795</v>
      </c>
      <c r="D149" s="2">
        <v>-7459</v>
      </c>
      <c r="E149" s="2">
        <v>-11063</v>
      </c>
      <c r="F149" s="2">
        <v>-14824</v>
      </c>
      <c r="G149" s="2">
        <v>-12082</v>
      </c>
      <c r="H149" s="2">
        <v>-14288</v>
      </c>
      <c r="I149" s="2">
        <v>-15748</v>
      </c>
      <c r="J149" s="2">
        <v>-18935</v>
      </c>
      <c r="K149" s="2">
        <v>-14951</v>
      </c>
      <c r="L149" s="2">
        <v>-15724</v>
      </c>
      <c r="M149" s="2">
        <v>-16378</v>
      </c>
    </row>
    <row r="150" spans="2:13" x14ac:dyDescent="0.2">
      <c r="B150" s="10" t="s">
        <v>84</v>
      </c>
      <c r="C150" s="2">
        <v>1367</v>
      </c>
      <c r="D150" s="2">
        <v>844</v>
      </c>
      <c r="E150" s="2">
        <v>1255</v>
      </c>
      <c r="F150" s="2">
        <v>1629</v>
      </c>
      <c r="G150" s="2">
        <v>895</v>
      </c>
      <c r="H150" s="2">
        <v>1300</v>
      </c>
      <c r="I150" s="2">
        <v>997</v>
      </c>
      <c r="J150" s="2">
        <v>2465</v>
      </c>
      <c r="K150" s="2">
        <v>1209</v>
      </c>
      <c r="L150" s="2">
        <v>1626</v>
      </c>
      <c r="M150" s="2">
        <v>1337</v>
      </c>
    </row>
    <row r="151" spans="2:13" x14ac:dyDescent="0.2">
      <c r="B151" s="10" t="s">
        <v>85</v>
      </c>
      <c r="C151" s="2">
        <v>-91</v>
      </c>
      <c r="D151" s="2">
        <v>-118</v>
      </c>
      <c r="E151" s="2">
        <v>-1735</v>
      </c>
      <c r="F151" s="2">
        <v>-380</v>
      </c>
      <c r="G151" s="2">
        <v>-630</v>
      </c>
      <c r="H151" s="2">
        <v>-320</v>
      </c>
      <c r="I151" s="2">
        <v>-654</v>
      </c>
      <c r="J151" s="2">
        <v>-381</v>
      </c>
      <c r="K151" s="2">
        <v>-6341</v>
      </c>
      <c r="L151" s="2">
        <v>-259</v>
      </c>
      <c r="M151" s="2">
        <v>-885</v>
      </c>
    </row>
    <row r="152" spans="2:13" x14ac:dyDescent="0.2">
      <c r="B152" s="10" t="s">
        <v>137</v>
      </c>
      <c r="C152" s="2">
        <v>11626</v>
      </c>
      <c r="D152" s="2">
        <v>8138</v>
      </c>
      <c r="E152" s="2">
        <v>13135</v>
      </c>
      <c r="F152" s="2">
        <v>17338</v>
      </c>
      <c r="G152" s="2">
        <v>17826</v>
      </c>
      <c r="H152" s="2">
        <v>13213</v>
      </c>
      <c r="I152" s="2">
        <v>15808</v>
      </c>
      <c r="J152" s="2">
        <v>12537</v>
      </c>
      <c r="K152" s="2">
        <v>22753</v>
      </c>
      <c r="L152" s="2">
        <v>2608</v>
      </c>
      <c r="M152" s="2">
        <v>557</v>
      </c>
    </row>
    <row r="153" spans="2:13" x14ac:dyDescent="0.2">
      <c r="B153" s="10" t="s">
        <v>86</v>
      </c>
      <c r="C153" s="2">
        <v>-15001</v>
      </c>
      <c r="D153" s="2">
        <v>-19209</v>
      </c>
      <c r="E153" s="2">
        <v>-17468</v>
      </c>
      <c r="F153" s="2">
        <v>-20801</v>
      </c>
      <c r="G153" s="2">
        <v>-14675</v>
      </c>
      <c r="H153" s="2">
        <v>-21985</v>
      </c>
      <c r="I153" s="2">
        <v>-15231</v>
      </c>
      <c r="J153" s="2">
        <v>-8266</v>
      </c>
      <c r="K153" s="2">
        <v>-1764</v>
      </c>
      <c r="L153" s="2">
        <v>-329</v>
      </c>
      <c r="M153" s="2">
        <v>-239</v>
      </c>
    </row>
    <row r="154" spans="2:13" s="5" customFormat="1" x14ac:dyDescent="0.2">
      <c r="B154" s="13" t="s">
        <v>87</v>
      </c>
      <c r="C154" s="5">
        <f t="shared" ref="C154:M154" si="219">+SUM(C149:C153)</f>
        <v>-8894</v>
      </c>
      <c r="D154" s="5">
        <f t="shared" si="219"/>
        <v>-17804</v>
      </c>
      <c r="E154" s="5">
        <f t="shared" si="219"/>
        <v>-15876</v>
      </c>
      <c r="F154" s="5">
        <f t="shared" si="219"/>
        <v>-17038</v>
      </c>
      <c r="G154" s="5">
        <f t="shared" si="219"/>
        <v>-8666</v>
      </c>
      <c r="H154" s="5">
        <f t="shared" si="219"/>
        <v>-22080</v>
      </c>
      <c r="I154" s="5">
        <f t="shared" si="219"/>
        <v>-14828</v>
      </c>
      <c r="J154" s="5">
        <f t="shared" si="219"/>
        <v>-12580</v>
      </c>
      <c r="K154" s="5">
        <f t="shared" si="219"/>
        <v>906</v>
      </c>
      <c r="L154" s="5">
        <f t="shared" si="219"/>
        <v>-12078</v>
      </c>
      <c r="M154" s="5">
        <f t="shared" si="219"/>
        <v>-15608</v>
      </c>
    </row>
    <row r="156" spans="2:13" x14ac:dyDescent="0.2">
      <c r="B156" s="10" t="s">
        <v>88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-2666</v>
      </c>
      <c r="L156" s="2">
        <v>-3334</v>
      </c>
      <c r="M156" s="2">
        <v>0</v>
      </c>
    </row>
    <row r="157" spans="2:13" x14ac:dyDescent="0.2">
      <c r="B157" s="10" t="s">
        <v>89</v>
      </c>
      <c r="C157" s="2">
        <v>617</v>
      </c>
      <c r="D157" s="2">
        <v>2433</v>
      </c>
      <c r="E157" s="2">
        <v>1311</v>
      </c>
      <c r="F157" s="2">
        <v>2434</v>
      </c>
      <c r="G157" s="2">
        <v>1926</v>
      </c>
      <c r="H157" s="2">
        <v>1176</v>
      </c>
      <c r="I157" s="2">
        <v>2187</v>
      </c>
      <c r="J157" s="2">
        <v>2667</v>
      </c>
      <c r="K157" s="2">
        <v>13743</v>
      </c>
      <c r="L157" s="2">
        <v>4865</v>
      </c>
      <c r="M157" s="2">
        <v>12338</v>
      </c>
    </row>
    <row r="158" spans="2:13" x14ac:dyDescent="0.2">
      <c r="B158" s="10" t="s">
        <v>90</v>
      </c>
      <c r="C158" s="2">
        <v>-631</v>
      </c>
      <c r="D158" s="2">
        <v>-1906</v>
      </c>
      <c r="E158" s="2">
        <v>-1349</v>
      </c>
      <c r="F158" s="2">
        <v>-2291</v>
      </c>
      <c r="G158" s="2">
        <v>-2001</v>
      </c>
      <c r="H158" s="2">
        <v>-1176</v>
      </c>
      <c r="I158" s="2">
        <v>-1917</v>
      </c>
      <c r="J158" s="2">
        <v>-2659</v>
      </c>
      <c r="K158" s="2">
        <v>-6231</v>
      </c>
      <c r="L158" s="2">
        <v>-7610</v>
      </c>
      <c r="M158" s="2">
        <v>-7916</v>
      </c>
    </row>
    <row r="159" spans="2:13" x14ac:dyDescent="0.2">
      <c r="B159" s="10" t="s">
        <v>91</v>
      </c>
      <c r="C159" s="2">
        <v>76</v>
      </c>
      <c r="D159" s="2">
        <v>9918</v>
      </c>
      <c r="E159" s="2">
        <v>0</v>
      </c>
      <c r="F159" s="2">
        <v>531</v>
      </c>
      <c r="G159" s="2">
        <v>111</v>
      </c>
      <c r="H159" s="2">
        <v>18516</v>
      </c>
      <c r="I159" s="2">
        <v>176</v>
      </c>
      <c r="J159" s="2">
        <v>200</v>
      </c>
      <c r="K159" s="2">
        <v>0</v>
      </c>
      <c r="L159" s="2">
        <v>12824</v>
      </c>
      <c r="M159" s="2">
        <v>107</v>
      </c>
    </row>
    <row r="160" spans="2:13" x14ac:dyDescent="0.2">
      <c r="B160" s="10" t="s">
        <v>92</v>
      </c>
      <c r="C160" s="2">
        <v>-36</v>
      </c>
      <c r="D160" s="2">
        <v>-205</v>
      </c>
      <c r="E160" s="2">
        <v>-1198</v>
      </c>
      <c r="F160" s="2">
        <v>-113</v>
      </c>
      <c r="G160" s="2">
        <v>-39</v>
      </c>
      <c r="H160" s="2">
        <v>-41</v>
      </c>
      <c r="I160" s="2">
        <v>-509</v>
      </c>
      <c r="J160" s="2">
        <v>-1001</v>
      </c>
      <c r="K160" s="2">
        <v>0</v>
      </c>
      <c r="L160" s="2">
        <v>-1</v>
      </c>
      <c r="M160" s="2">
        <v>0</v>
      </c>
    </row>
    <row r="161" spans="2:13" x14ac:dyDescent="0.2">
      <c r="B161" s="10" t="s">
        <v>93</v>
      </c>
      <c r="C161" s="2">
        <v>-2600</v>
      </c>
      <c r="D161" s="2">
        <v>-2817</v>
      </c>
      <c r="E161" s="2">
        <v>-2857</v>
      </c>
      <c r="F161" s="2">
        <v>-2368</v>
      </c>
      <c r="G161" s="2">
        <v>-3406</v>
      </c>
      <c r="H161" s="2">
        <v>-2804</v>
      </c>
      <c r="I161" s="2">
        <v>-2693</v>
      </c>
      <c r="J161" s="2">
        <v>-2260</v>
      </c>
      <c r="K161" s="2">
        <v>-2777</v>
      </c>
      <c r="L161" s="2">
        <v>-2059</v>
      </c>
      <c r="M161" s="2">
        <v>-1465</v>
      </c>
    </row>
    <row r="162" spans="2:13" x14ac:dyDescent="0.2">
      <c r="B162" s="10" t="s">
        <v>94</v>
      </c>
      <c r="C162" s="2">
        <v>-17</v>
      </c>
      <c r="D162" s="2">
        <v>-15</v>
      </c>
      <c r="E162" s="2">
        <v>-12</v>
      </c>
      <c r="F162" s="2">
        <v>-9</v>
      </c>
      <c r="G162" s="2">
        <v>-67</v>
      </c>
      <c r="H162" s="2">
        <v>-28</v>
      </c>
      <c r="I162" s="2">
        <v>-20</v>
      </c>
      <c r="J162" s="2">
        <v>-47</v>
      </c>
      <c r="K162" s="2">
        <v>-79</v>
      </c>
      <c r="L162" s="2">
        <v>-59</v>
      </c>
      <c r="M162" s="2">
        <v>-48</v>
      </c>
    </row>
    <row r="163" spans="2:13" s="5" customFormat="1" x14ac:dyDescent="0.2">
      <c r="B163" s="13" t="s">
        <v>95</v>
      </c>
      <c r="C163" s="5">
        <f t="shared" ref="C163:M163" si="220">+SUM(C156:C162)</f>
        <v>-2591</v>
      </c>
      <c r="D163" s="5">
        <f t="shared" si="220"/>
        <v>7408</v>
      </c>
      <c r="E163" s="5">
        <f t="shared" si="220"/>
        <v>-4105</v>
      </c>
      <c r="F163" s="5">
        <f t="shared" si="220"/>
        <v>-1816</v>
      </c>
      <c r="G163" s="5">
        <f t="shared" si="220"/>
        <v>-3476</v>
      </c>
      <c r="H163" s="5">
        <f t="shared" si="220"/>
        <v>15643</v>
      </c>
      <c r="I163" s="5">
        <f t="shared" si="220"/>
        <v>-2776</v>
      </c>
      <c r="J163" s="5">
        <f t="shared" si="220"/>
        <v>-3100</v>
      </c>
      <c r="K163" s="5">
        <f t="shared" si="220"/>
        <v>1990</v>
      </c>
      <c r="L163" s="5">
        <f t="shared" si="220"/>
        <v>4626</v>
      </c>
      <c r="M163" s="5">
        <f t="shared" si="220"/>
        <v>3016</v>
      </c>
    </row>
    <row r="164" spans="2:13" x14ac:dyDescent="0.2">
      <c r="B164" s="10" t="s">
        <v>96</v>
      </c>
      <c r="C164" s="2">
        <v>-484</v>
      </c>
      <c r="D164" s="2">
        <v>127</v>
      </c>
      <c r="E164" s="2">
        <v>377</v>
      </c>
      <c r="F164" s="2">
        <v>599</v>
      </c>
      <c r="G164" s="2">
        <v>-293</v>
      </c>
      <c r="H164" s="2">
        <v>234</v>
      </c>
      <c r="I164" s="2">
        <v>-199</v>
      </c>
      <c r="J164" s="2">
        <v>-106</v>
      </c>
      <c r="K164" s="2">
        <v>16</v>
      </c>
      <c r="L164" s="2">
        <v>-412</v>
      </c>
      <c r="M164" s="2">
        <v>-1334</v>
      </c>
    </row>
    <row r="165" spans="2:13" x14ac:dyDescent="0.2">
      <c r="B165" s="10" t="s">
        <v>97</v>
      </c>
      <c r="C165" s="2">
        <f t="shared" ref="C165:M165" si="221">+C147+C154+C163+C164</f>
        <v>-8905</v>
      </c>
      <c r="D165" s="2">
        <f t="shared" si="221"/>
        <v>10337</v>
      </c>
      <c r="E165" s="2">
        <f t="shared" si="221"/>
        <v>-7640</v>
      </c>
      <c r="F165" s="2">
        <f t="shared" si="221"/>
        <v>12175</v>
      </c>
      <c r="G165" s="2">
        <f t="shared" si="221"/>
        <v>-8222</v>
      </c>
      <c r="H165" s="2">
        <f t="shared" si="221"/>
        <v>6512</v>
      </c>
      <c r="I165" s="2">
        <f t="shared" si="221"/>
        <v>-10490</v>
      </c>
      <c r="J165" s="2">
        <f t="shared" si="221"/>
        <v>6300</v>
      </c>
      <c r="K165" s="2">
        <f t="shared" si="221"/>
        <v>122</v>
      </c>
      <c r="L165" s="2">
        <f t="shared" si="221"/>
        <v>1101</v>
      </c>
      <c r="M165" s="2">
        <f t="shared" si="221"/>
        <v>-2522</v>
      </c>
    </row>
    <row r="166" spans="2:13" s="5" customFormat="1" x14ac:dyDescent="0.2">
      <c r="B166" s="13" t="s">
        <v>98</v>
      </c>
      <c r="C166" s="5">
        <f t="shared" ref="C166:M166" si="222">+C135+C165</f>
        <v>27505</v>
      </c>
      <c r="D166" s="5">
        <f t="shared" si="222"/>
        <v>37842</v>
      </c>
      <c r="E166" s="5">
        <f t="shared" si="222"/>
        <v>30202</v>
      </c>
      <c r="F166" s="5">
        <f t="shared" si="222"/>
        <v>42377</v>
      </c>
      <c r="G166" s="5">
        <f t="shared" si="222"/>
        <v>34155</v>
      </c>
      <c r="H166" s="5">
        <f t="shared" si="222"/>
        <v>40667</v>
      </c>
      <c r="I166" s="5">
        <f t="shared" si="222"/>
        <v>30177</v>
      </c>
      <c r="J166" s="5">
        <f t="shared" si="222"/>
        <v>36477</v>
      </c>
      <c r="K166" s="5">
        <f t="shared" si="222"/>
        <v>36599</v>
      </c>
      <c r="L166" s="5">
        <f t="shared" si="222"/>
        <v>37700</v>
      </c>
      <c r="M166" s="5">
        <f t="shared" si="222"/>
        <v>35178</v>
      </c>
    </row>
    <row r="168" spans="2:13" x14ac:dyDescent="0.2">
      <c r="B168" s="10" t="s">
        <v>99</v>
      </c>
      <c r="C168" s="2">
        <f t="shared" ref="C168:K168" si="223">+C147+C149</f>
        <v>-3731</v>
      </c>
      <c r="D168" s="2">
        <f t="shared" si="223"/>
        <v>13147</v>
      </c>
      <c r="E168" s="2">
        <f t="shared" si="223"/>
        <v>901</v>
      </c>
      <c r="F168" s="2">
        <f t="shared" si="223"/>
        <v>15606</v>
      </c>
      <c r="G168" s="2">
        <f t="shared" si="223"/>
        <v>-7869</v>
      </c>
      <c r="H168" s="2">
        <f t="shared" si="223"/>
        <v>-1573</v>
      </c>
      <c r="I168" s="2">
        <f t="shared" si="223"/>
        <v>-8435</v>
      </c>
      <c r="J168" s="2">
        <f t="shared" si="223"/>
        <v>3151</v>
      </c>
      <c r="K168" s="2">
        <f t="shared" si="223"/>
        <v>-17741</v>
      </c>
      <c r="L168" s="2">
        <f>+L147+L149</f>
        <v>-6759</v>
      </c>
      <c r="M168" s="2">
        <f>+M147+M149</f>
        <v>-4974</v>
      </c>
    </row>
    <row r="169" spans="2:13" x14ac:dyDescent="0.2">
      <c r="B169" s="10" t="s">
        <v>135</v>
      </c>
      <c r="C169" s="2">
        <f t="shared" ref="C169:M169" si="224">+C67</f>
        <v>2535</v>
      </c>
      <c r="D169" s="2">
        <f t="shared" si="224"/>
        <v>5243</v>
      </c>
      <c r="E169" s="2">
        <f t="shared" si="224"/>
        <v>6331</v>
      </c>
      <c r="F169" s="2">
        <f t="shared" si="224"/>
        <v>7222</v>
      </c>
      <c r="G169" s="2">
        <f t="shared" si="224"/>
        <v>8107</v>
      </c>
      <c r="H169" s="2">
        <f t="shared" si="224"/>
        <v>7778</v>
      </c>
      <c r="I169" s="2">
        <f t="shared" si="224"/>
        <v>3156</v>
      </c>
      <c r="J169" s="2">
        <f t="shared" si="224"/>
        <v>14323</v>
      </c>
      <c r="K169" s="2">
        <f t="shared" si="224"/>
        <v>-3844</v>
      </c>
      <c r="L169" s="2">
        <f t="shared" si="224"/>
        <v>-2028</v>
      </c>
      <c r="M169" s="2">
        <f t="shared" si="224"/>
        <v>2872</v>
      </c>
    </row>
    <row r="171" spans="2:13" x14ac:dyDescent="0.2">
      <c r="B171" s="10" t="s">
        <v>136</v>
      </c>
      <c r="C171" s="2">
        <f>+C149</f>
        <v>-6795</v>
      </c>
      <c r="D171" s="2">
        <f t="shared" ref="D171:M171" si="225">+D149</f>
        <v>-7459</v>
      </c>
      <c r="E171" s="2">
        <f t="shared" si="225"/>
        <v>-11063</v>
      </c>
      <c r="F171" s="2">
        <f t="shared" si="225"/>
        <v>-14824</v>
      </c>
      <c r="G171" s="2">
        <f t="shared" si="225"/>
        <v>-12082</v>
      </c>
      <c r="H171" s="2">
        <f t="shared" si="225"/>
        <v>-14288</v>
      </c>
      <c r="I171" s="2">
        <f t="shared" si="225"/>
        <v>-15748</v>
      </c>
      <c r="J171" s="2">
        <f t="shared" si="225"/>
        <v>-18935</v>
      </c>
      <c r="K171" s="2">
        <f t="shared" si="225"/>
        <v>-14951</v>
      </c>
      <c r="L171" s="2">
        <f t="shared" si="225"/>
        <v>-15724</v>
      </c>
      <c r="M171" s="2">
        <f t="shared" si="225"/>
        <v>-16378</v>
      </c>
    </row>
    <row r="172" spans="2:13" x14ac:dyDescent="0.2">
      <c r="B172" s="10" t="s">
        <v>138</v>
      </c>
      <c r="M172" s="5">
        <f>AVERAGE(C171:M171)</f>
        <v>-13477</v>
      </c>
    </row>
    <row r="173" spans="2:13" x14ac:dyDescent="0.2">
      <c r="B173" s="10" t="s">
        <v>139</v>
      </c>
      <c r="M173" s="24">
        <f>_xlfn.RRI(11,C166,M166)</f>
        <v>2.2620511756484163E-2</v>
      </c>
    </row>
    <row r="179" spans="2:18" x14ac:dyDescent="0.2">
      <c r="B179" s="10" t="s">
        <v>51</v>
      </c>
      <c r="G179" s="2">
        <v>-76</v>
      </c>
      <c r="H179" s="2">
        <v>157</v>
      </c>
      <c r="I179" s="2">
        <v>-129</v>
      </c>
      <c r="K179" s="2">
        <v>-8245</v>
      </c>
      <c r="L179" s="2">
        <v>-4322</v>
      </c>
      <c r="M179" s="2">
        <v>1039</v>
      </c>
      <c r="N179" s="2">
        <f>+-13870-SUM(K179:M179)</f>
        <v>-2342</v>
      </c>
      <c r="O179" s="2">
        <v>-480</v>
      </c>
      <c r="P179" s="2">
        <v>299</v>
      </c>
      <c r="Q179" s="2">
        <v>1196</v>
      </c>
      <c r="R179" s="2">
        <f>984-SUM(O179:Q179)</f>
        <v>-31</v>
      </c>
    </row>
    <row r="180" spans="2:18" x14ac:dyDescent="0.2">
      <c r="B180" s="10" t="s">
        <v>165</v>
      </c>
      <c r="G180" s="2">
        <v>305</v>
      </c>
      <c r="H180" s="2">
        <v>939</v>
      </c>
      <c r="I180" s="2">
        <v>-50</v>
      </c>
      <c r="K180" s="2">
        <v>-312</v>
      </c>
      <c r="L180" s="2">
        <v>-1124</v>
      </c>
      <c r="M180" s="2">
        <v>-170</v>
      </c>
      <c r="N180" s="2">
        <f>+-2132-SUM(K180:M180)</f>
        <v>-526</v>
      </c>
      <c r="O180" s="2">
        <v>59</v>
      </c>
      <c r="P180" s="2">
        <v>-220</v>
      </c>
      <c r="Q180" s="2">
        <v>-27</v>
      </c>
      <c r="R180" s="2">
        <f>26-SUM(O180:Q180)</f>
        <v>214</v>
      </c>
    </row>
    <row r="181" spans="2:18" x14ac:dyDescent="0.2">
      <c r="B181" s="10" t="s">
        <v>166</v>
      </c>
      <c r="G181" s="2">
        <v>1475</v>
      </c>
      <c r="H181" s="2">
        <v>31</v>
      </c>
      <c r="I181" s="2">
        <v>155</v>
      </c>
      <c r="K181" s="2">
        <v>7</v>
      </c>
      <c r="L181" s="2">
        <v>58</v>
      </c>
      <c r="M181" s="2">
        <v>11</v>
      </c>
      <c r="N181" s="2">
        <f>76-SUM(K181:M181)</f>
        <v>0</v>
      </c>
      <c r="O181" s="2">
        <v>16</v>
      </c>
      <c r="P181" s="2">
        <v>10</v>
      </c>
      <c r="Q181" s="2">
        <v>7</v>
      </c>
      <c r="R181" s="2">
        <f>40-SUM(O181:Q181)</f>
        <v>7</v>
      </c>
    </row>
    <row r="182" spans="2:18" x14ac:dyDescent="0.2">
      <c r="B182" s="10" t="s">
        <v>167</v>
      </c>
      <c r="G182" s="2">
        <v>-31</v>
      </c>
      <c r="H182" s="2">
        <v>110</v>
      </c>
      <c r="I182" s="2">
        <v>-107</v>
      </c>
      <c r="K182" s="2">
        <v>14</v>
      </c>
      <c r="L182" s="2">
        <v>-117</v>
      </c>
      <c r="M182" s="2">
        <v>-103</v>
      </c>
      <c r="N182" s="2">
        <f>+-340-SUM(K182:M182)</f>
        <v>-134</v>
      </c>
      <c r="O182" s="2">
        <v>70</v>
      </c>
      <c r="P182" s="2">
        <v>9</v>
      </c>
      <c r="Q182" s="2">
        <v>-94</v>
      </c>
      <c r="R182" s="2">
        <f>65-SUM(O182:Q182)</f>
        <v>80</v>
      </c>
    </row>
    <row r="183" spans="2:18" x14ac:dyDescent="0.2">
      <c r="B183" s="10" t="s">
        <v>168</v>
      </c>
      <c r="G183" s="2">
        <v>24</v>
      </c>
      <c r="H183" s="2">
        <v>24</v>
      </c>
      <c r="I183" s="2">
        <v>-32</v>
      </c>
      <c r="K183" s="2">
        <v>-34</v>
      </c>
      <c r="L183" s="2">
        <v>-40</v>
      </c>
      <c r="M183" s="2">
        <v>-18</v>
      </c>
      <c r="N183" s="2">
        <f>+-540-SUM(K183:M183)</f>
        <v>-448</v>
      </c>
      <c r="O183" s="2">
        <v>-108</v>
      </c>
      <c r="P183" s="2">
        <v>-37</v>
      </c>
      <c r="Q183" s="2">
        <v>-51</v>
      </c>
      <c r="R183" s="2">
        <f>+-177-SUM(O183:Q183)</f>
        <v>19</v>
      </c>
    </row>
    <row r="184" spans="2:18" s="5" customFormat="1" x14ac:dyDescent="0.2">
      <c r="B184" s="13" t="s">
        <v>177</v>
      </c>
      <c r="G184" s="5">
        <f>+SUM(G179:G183)</f>
        <v>1697</v>
      </c>
      <c r="H184" s="5">
        <f>+SUM(H179:H183)</f>
        <v>1261</v>
      </c>
      <c r="I184" s="5">
        <f>+SUM(I179:I183)</f>
        <v>-163</v>
      </c>
      <c r="K184" s="5">
        <f>+SUM(K179:K183)</f>
        <v>-8570</v>
      </c>
      <c r="L184" s="5">
        <f>+SUM(L179:L183)</f>
        <v>-5545</v>
      </c>
      <c r="M184" s="5">
        <f>+SUM(M179:M183)</f>
        <v>759</v>
      </c>
      <c r="N184" s="5">
        <f t="shared" ref="N184:R184" si="226">+SUM(N179:N183)</f>
        <v>-3450</v>
      </c>
      <c r="O184" s="5">
        <f>+SUM(O179:O183)</f>
        <v>-443</v>
      </c>
      <c r="P184" s="5">
        <f t="shared" si="226"/>
        <v>61</v>
      </c>
      <c r="Q184" s="5">
        <f t="shared" si="226"/>
        <v>1031</v>
      </c>
      <c r="R184" s="5">
        <f t="shared" si="226"/>
        <v>289</v>
      </c>
    </row>
    <row r="185" spans="2:18" s="5" customFormat="1" x14ac:dyDescent="0.2">
      <c r="B185" s="13"/>
    </row>
    <row r="186" spans="2:18" x14ac:dyDescent="0.2">
      <c r="B186" s="10" t="s">
        <v>175</v>
      </c>
      <c r="G186" s="2">
        <v>158</v>
      </c>
      <c r="H186" s="2">
        <v>158</v>
      </c>
      <c r="I186" s="2">
        <v>158</v>
      </c>
      <c r="J186" s="2">
        <v>158</v>
      </c>
      <c r="K186" s="2">
        <v>158</v>
      </c>
      <c r="L186" s="2">
        <v>158</v>
      </c>
      <c r="M186" s="2">
        <v>158</v>
      </c>
      <c r="N186" s="2">
        <v>158</v>
      </c>
      <c r="O186" s="2">
        <v>158</v>
      </c>
      <c r="P186" s="2">
        <v>158</v>
      </c>
      <c r="Q186" s="2">
        <v>158</v>
      </c>
      <c r="R186" s="2">
        <v>158</v>
      </c>
    </row>
    <row r="187" spans="2:18" x14ac:dyDescent="0.2">
      <c r="B187" s="10" t="s">
        <v>176</v>
      </c>
      <c r="K187" s="2">
        <v>-7600</v>
      </c>
      <c r="L187" s="2">
        <f>(3.7*1000)-K187</f>
        <v>11300</v>
      </c>
      <c r="M187" s="2">
        <f>+(1.1*1000)-SUM(K187:L187)</f>
        <v>-2600</v>
      </c>
      <c r="N187" s="2">
        <f>+(12.7*1000)-SUM(K187:M187)</f>
        <v>11600</v>
      </c>
      <c r="O187" s="2">
        <v>-467</v>
      </c>
      <c r="P187" s="2">
        <f>187-SUM(O187)</f>
        <v>654</v>
      </c>
      <c r="Q187" s="2">
        <f>+(1.2*1000)-SUM(O187:P187)</f>
        <v>1013</v>
      </c>
      <c r="R187" s="2">
        <f>797-SUM(O188:Q188)</f>
        <v>797</v>
      </c>
    </row>
    <row r="188" spans="2:18" x14ac:dyDescent="0.2">
      <c r="B188" s="10" t="s">
        <v>169</v>
      </c>
      <c r="G188" s="2">
        <v>0</v>
      </c>
      <c r="H188" s="2">
        <v>0</v>
      </c>
      <c r="I188" s="2">
        <v>0</v>
      </c>
      <c r="K188" s="2">
        <v>55</v>
      </c>
      <c r="L188" s="2">
        <v>95</v>
      </c>
      <c r="M188" s="2">
        <v>459</v>
      </c>
    </row>
    <row r="189" spans="2:18" x14ac:dyDescent="0.2">
      <c r="B189" s="10" t="s">
        <v>170</v>
      </c>
      <c r="G189" s="2">
        <v>0</v>
      </c>
      <c r="H189" s="2">
        <v>0</v>
      </c>
      <c r="I189" s="2">
        <v>0</v>
      </c>
      <c r="K189" s="2">
        <v>-465</v>
      </c>
      <c r="L189" s="2">
        <v>-502</v>
      </c>
      <c r="M189" s="2">
        <v>-1206</v>
      </c>
    </row>
    <row r="190" spans="2:18" x14ac:dyDescent="0.2">
      <c r="B190" s="10" t="s">
        <v>28</v>
      </c>
      <c r="G190" s="2">
        <v>-1021</v>
      </c>
      <c r="I190" s="2">
        <v>-990</v>
      </c>
      <c r="K190" s="2">
        <v>-4220</v>
      </c>
      <c r="L190" s="2">
        <v>-1579</v>
      </c>
      <c r="M190" s="2">
        <v>-3287</v>
      </c>
    </row>
    <row r="191" spans="2:18" x14ac:dyDescent="0.2">
      <c r="B191" s="10" t="s">
        <v>76</v>
      </c>
      <c r="G191" s="2">
        <v>-1018</v>
      </c>
      <c r="I191" s="2">
        <v>-994</v>
      </c>
      <c r="K191" s="2">
        <v>-4688</v>
      </c>
      <c r="L191" s="2">
        <v>-1593</v>
      </c>
      <c r="M191" s="2">
        <v>-3305</v>
      </c>
    </row>
  </sheetData>
  <mergeCells count="1">
    <mergeCell ref="BB75:BI75"/>
  </mergeCells>
  <conditionalFormatting sqref="C168:M168">
    <cfRule type="cellIs" dxfId="2" priority="6" operator="greaterThan">
      <formula>0</formula>
    </cfRule>
  </conditionalFormatting>
  <conditionalFormatting sqref="C16:M25 M35:R35 N28:N34 M16:R18 M19:Q25 N26 R26 C27:R27 C26:J26 R28:R34 C35:M40 C28:J34">
    <cfRule type="cellIs" dxfId="1" priority="7" operator="equal">
      <formula>"n"</formula>
    </cfRule>
  </conditionalFormatting>
  <conditionalFormatting sqref="N37:R4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/>
  <ignoredErrors>
    <ignoredError sqref="AL58:AL65 AL67:AL68" formula="1"/>
    <ignoredError sqref="AL66" formula="1" formulaRange="1"/>
    <ignoredError sqref="AF3:AK4 AH36:AK40 AH5:AK16" formulaRange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jameel</cp:lastModifiedBy>
  <dcterms:created xsi:type="dcterms:W3CDTF">2022-08-07T02:51:15Z</dcterms:created>
  <dcterms:modified xsi:type="dcterms:W3CDTF">2024-05-13T03:21:11Z</dcterms:modified>
</cp:coreProperties>
</file>