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A5CAAC6-6859-BA48-AE5D-A5C80DDDA804}" xr6:coauthVersionLast="47" xr6:coauthVersionMax="47" xr10:uidLastSave="{00000000-0000-0000-0000-000000000000}"/>
  <bookViews>
    <workbookView xWindow="13840" yWindow="740" windowWidth="27720" windowHeight="28060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AF9" i="1" s="1"/>
  <c r="AB9" i="1"/>
  <c r="U108" i="1"/>
  <c r="Z115" i="1"/>
  <c r="Z108" i="1"/>
  <c r="Y115" i="1"/>
  <c r="Y108" i="1"/>
  <c r="X115" i="1"/>
  <c r="X108" i="1"/>
  <c r="AD108" i="1"/>
  <c r="AA115" i="1"/>
  <c r="AA108" i="1"/>
  <c r="AC108" i="1"/>
  <c r="AB115" i="1"/>
  <c r="AB108" i="1"/>
  <c r="AC115" i="1"/>
  <c r="AD115" i="1"/>
  <c r="AE115" i="1"/>
  <c r="AE108" i="1"/>
  <c r="AF115" i="1"/>
  <c r="AF108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H7" i="2" l="1"/>
  <c r="F7" i="2"/>
  <c r="AF55" i="1"/>
  <c r="BP30" i="1"/>
  <c r="BM46" i="1"/>
  <c r="BL46" i="1"/>
  <c r="BK46" i="1"/>
  <c r="BJ46" i="1"/>
  <c r="BI46" i="1"/>
  <c r="BO45" i="1"/>
  <c r="BO46" i="1" s="1"/>
  <c r="BN45" i="1"/>
  <c r="BN46" i="1" s="1"/>
  <c r="BM45" i="1"/>
  <c r="BL45" i="1"/>
  <c r="BK45" i="1"/>
  <c r="BJ45" i="1"/>
  <c r="BI45" i="1"/>
  <c r="BG46" i="1"/>
  <c r="BF46" i="1"/>
  <c r="BC46" i="1"/>
  <c r="AY46" i="1"/>
  <c r="AX46" i="1"/>
  <c r="AV46" i="1"/>
  <c r="AU46" i="1"/>
  <c r="BH45" i="1"/>
  <c r="BH46" i="1" s="1"/>
  <c r="BG45" i="1"/>
  <c r="BF45" i="1"/>
  <c r="BE45" i="1"/>
  <c r="BE46" i="1" s="1"/>
  <c r="BD45" i="1"/>
  <c r="BD46" i="1" s="1"/>
  <c r="BC45" i="1"/>
  <c r="BB45" i="1"/>
  <c r="BB46" i="1" s="1"/>
  <c r="BA45" i="1"/>
  <c r="BA46" i="1" s="1"/>
  <c r="AZ45" i="1"/>
  <c r="AZ46" i="1" s="1"/>
  <c r="AY45" i="1"/>
  <c r="AX45" i="1"/>
  <c r="AW45" i="1"/>
  <c r="AW46" i="1" s="1"/>
  <c r="AV45" i="1"/>
  <c r="AU45" i="1"/>
  <c r="AT45" i="1"/>
  <c r="AT46" i="1" s="1"/>
  <c r="AS45" i="1"/>
  <c r="AS46" i="1" s="1"/>
  <c r="AS43" i="1"/>
  <c r="AG45" i="1"/>
  <c r="F6" i="2" l="1"/>
  <c r="AE50" i="1"/>
  <c r="AF50" i="1"/>
  <c r="AA10" i="1"/>
  <c r="AB10" i="1"/>
  <c r="AC10" i="1"/>
  <c r="AD10" i="1"/>
  <c r="AE10" i="1"/>
  <c r="AF10" i="1"/>
  <c r="W50" i="1"/>
  <c r="V50" i="1"/>
  <c r="U50" i="1"/>
  <c r="T50" i="1"/>
  <c r="BD148" i="1"/>
  <c r="BD143" i="1"/>
  <c r="BD136" i="1"/>
  <c r="BE148" i="1"/>
  <c r="BE143" i="1"/>
  <c r="BE136" i="1"/>
  <c r="BE154" i="1" s="1"/>
  <c r="AD148" i="1"/>
  <c r="AC148" i="1"/>
  <c r="AB148" i="1"/>
  <c r="Z148" i="1"/>
  <c r="AA148" i="1"/>
  <c r="AA143" i="1"/>
  <c r="AA136" i="1"/>
  <c r="AE148" i="1"/>
  <c r="AE143" i="1"/>
  <c r="AE136" i="1"/>
  <c r="AE154" i="1" s="1"/>
  <c r="AF149" i="1"/>
  <c r="AF147" i="1"/>
  <c r="AF146" i="1"/>
  <c r="AF145" i="1"/>
  <c r="AF140" i="1"/>
  <c r="AF139" i="1"/>
  <c r="AF138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E150" i="1" l="1"/>
  <c r="AE152" i="1" s="1"/>
  <c r="AF151" i="1" s="1"/>
  <c r="AF148" i="1"/>
  <c r="AF143" i="1"/>
  <c r="AA150" i="1"/>
  <c r="AA152" i="1" s="1"/>
  <c r="AB151" i="1" s="1"/>
  <c r="AA154" i="1"/>
  <c r="BD150" i="1"/>
  <c r="BD152" i="1" s="1"/>
  <c r="BD154" i="1"/>
  <c r="BE150" i="1"/>
  <c r="BE152" i="1" s="1"/>
  <c r="AF136" i="1"/>
  <c r="AF78" i="1"/>
  <c r="AF83" i="1" s="1"/>
  <c r="AF85" i="1" s="1"/>
  <c r="AF62" i="1"/>
  <c r="AF70" i="1" s="1"/>
  <c r="BE55" i="1"/>
  <c r="AF42" i="1"/>
  <c r="AF41" i="1"/>
  <c r="AF40" i="1"/>
  <c r="AF39" i="1"/>
  <c r="AF38" i="1"/>
  <c r="AF36" i="1"/>
  <c r="AF35" i="1"/>
  <c r="AF17" i="1"/>
  <c r="BS39" i="1"/>
  <c r="AE78" i="1"/>
  <c r="AE83" i="1" s="1"/>
  <c r="AE85" i="1" s="1"/>
  <c r="AE62" i="1"/>
  <c r="AE70" i="1" s="1"/>
  <c r="AE55" i="1"/>
  <c r="AE51" i="1" s="1"/>
  <c r="BS41" i="1"/>
  <c r="AE42" i="1"/>
  <c r="AE41" i="1"/>
  <c r="AE40" i="1"/>
  <c r="AE39" i="1"/>
  <c r="AE38" i="1"/>
  <c r="AE36" i="1"/>
  <c r="AE35" i="1"/>
  <c r="AE17" i="1"/>
  <c r="C5" i="2"/>
  <c r="BF175" i="1"/>
  <c r="BG175" i="1"/>
  <c r="BH175" i="1"/>
  <c r="BI175" i="1"/>
  <c r="BI176" i="1" s="1"/>
  <c r="BJ175" i="1"/>
  <c r="BK175" i="1"/>
  <c r="BL175" i="1"/>
  <c r="BM175" i="1"/>
  <c r="BN175" i="1"/>
  <c r="BO175" i="1"/>
  <c r="BP175" i="1"/>
  <c r="BG176" i="1"/>
  <c r="BD9" i="1"/>
  <c r="AF51" i="1" l="1"/>
  <c r="BH176" i="1"/>
  <c r="BP176" i="1"/>
  <c r="BO176" i="1"/>
  <c r="BJ176" i="1"/>
  <c r="AE26" i="1"/>
  <c r="AE45" i="1" s="1"/>
  <c r="AE46" i="1" s="1"/>
  <c r="AE11" i="1"/>
  <c r="AF150" i="1"/>
  <c r="AF152" i="1" s="1"/>
  <c r="AF154" i="1"/>
  <c r="BN176" i="1"/>
  <c r="AF26" i="1"/>
  <c r="AF11" i="1"/>
  <c r="BM176" i="1"/>
  <c r="BL176" i="1"/>
  <c r="BK176" i="1"/>
  <c r="AB138" i="1"/>
  <c r="AC138" i="1" s="1"/>
  <c r="AD138" i="1" s="1"/>
  <c r="AB136" i="1"/>
  <c r="BH7" i="1"/>
  <c r="AY37" i="1"/>
  <c r="AX37" i="1"/>
  <c r="AW37" i="1"/>
  <c r="AV37" i="1"/>
  <c r="AU37" i="1"/>
  <c r="BF2" i="1"/>
  <c r="AA78" i="1"/>
  <c r="AA83" i="1" s="1"/>
  <c r="AA85" i="1" s="1"/>
  <c r="AA62" i="1"/>
  <c r="AA70" i="1" s="1"/>
  <c r="AB78" i="1"/>
  <c r="AB83" i="1" s="1"/>
  <c r="AB85" i="1" s="1"/>
  <c r="AB62" i="1"/>
  <c r="AB70" i="1" s="1"/>
  <c r="AC78" i="1"/>
  <c r="AC83" i="1" s="1"/>
  <c r="AC85" i="1" s="1"/>
  <c r="AC62" i="1"/>
  <c r="AC70" i="1" s="1"/>
  <c r="Z78" i="1"/>
  <c r="Z83" i="1" s="1"/>
  <c r="Z85" i="1" s="1"/>
  <c r="Z62" i="1"/>
  <c r="Z70" i="1" s="1"/>
  <c r="AD78" i="1"/>
  <c r="AD83" i="1" s="1"/>
  <c r="AD85" i="1" s="1"/>
  <c r="AD62" i="1"/>
  <c r="AD70" i="1" s="1"/>
  <c r="Z55" i="1"/>
  <c r="AA55" i="1"/>
  <c r="AB55" i="1"/>
  <c r="AC55" i="1"/>
  <c r="AD55" i="1"/>
  <c r="Z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E9" i="1"/>
  <c r="AD29" i="1"/>
  <c r="AD27" i="1"/>
  <c r="AD24" i="1"/>
  <c r="AD23" i="1"/>
  <c r="AD22" i="1"/>
  <c r="AD21" i="1"/>
  <c r="AD20" i="1"/>
  <c r="AD19" i="1"/>
  <c r="AD18" i="1"/>
  <c r="AD16" i="1"/>
  <c r="AD15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6" i="1"/>
  <c r="AB36" i="1"/>
  <c r="AA36" i="1"/>
  <c r="AC35" i="1"/>
  <c r="AB35" i="1"/>
  <c r="AA35" i="1"/>
  <c r="Z29" i="1"/>
  <c r="Z27" i="1"/>
  <c r="Z24" i="1"/>
  <c r="Z23" i="1"/>
  <c r="Z22" i="1"/>
  <c r="Z21" i="1"/>
  <c r="Z20" i="1"/>
  <c r="Z19" i="1"/>
  <c r="Z18" i="1"/>
  <c r="Z16" i="1"/>
  <c r="Z36" i="1" s="1"/>
  <c r="Z15" i="1"/>
  <c r="Z35" i="1" s="1"/>
  <c r="AA17" i="1"/>
  <c r="AB17" i="1"/>
  <c r="AF37" i="1" s="1"/>
  <c r="AC17" i="1"/>
  <c r="BD17" i="1"/>
  <c r="BD26" i="1" s="1"/>
  <c r="BE17" i="1"/>
  <c r="BE26" i="1" s="1"/>
  <c r="BE43" i="1" s="1"/>
  <c r="Y42" i="1"/>
  <c r="X42" i="1"/>
  <c r="W42" i="1"/>
  <c r="U42" i="1"/>
  <c r="T42" i="1"/>
  <c r="S42" i="1"/>
  <c r="Q42" i="1"/>
  <c r="P42" i="1"/>
  <c r="O42" i="1"/>
  <c r="M42" i="1"/>
  <c r="L42" i="1"/>
  <c r="K42" i="1"/>
  <c r="I42" i="1"/>
  <c r="H42" i="1"/>
  <c r="G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Y40" i="1"/>
  <c r="X40" i="1"/>
  <c r="W40" i="1"/>
  <c r="U40" i="1"/>
  <c r="T40" i="1"/>
  <c r="S40" i="1"/>
  <c r="Q40" i="1"/>
  <c r="P40" i="1"/>
  <c r="O40" i="1"/>
  <c r="M40" i="1"/>
  <c r="L40" i="1"/>
  <c r="K40" i="1"/>
  <c r="I40" i="1"/>
  <c r="H40" i="1"/>
  <c r="G40" i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P37" i="1"/>
  <c r="L37" i="1"/>
  <c r="K37" i="1"/>
  <c r="I37" i="1"/>
  <c r="H37" i="1"/>
  <c r="G37" i="1"/>
  <c r="Y36" i="1"/>
  <c r="X36" i="1"/>
  <c r="W36" i="1"/>
  <c r="U36" i="1"/>
  <c r="T36" i="1"/>
  <c r="S36" i="1"/>
  <c r="Y35" i="1"/>
  <c r="X35" i="1"/>
  <c r="W35" i="1"/>
  <c r="U35" i="1"/>
  <c r="T35" i="1"/>
  <c r="S35" i="1"/>
  <c r="X139" i="1"/>
  <c r="Y139" i="1" s="1"/>
  <c r="Y151" i="1"/>
  <c r="W151" i="1"/>
  <c r="X129" i="1"/>
  <c r="Y129" i="1" s="1"/>
  <c r="X117" i="1"/>
  <c r="Y117" i="1" s="1"/>
  <c r="Y78" i="1"/>
  <c r="Y83" i="1" s="1"/>
  <c r="Y85" i="1" s="1"/>
  <c r="Y62" i="1"/>
  <c r="Y70" i="1" s="1"/>
  <c r="Y17" i="1"/>
  <c r="Y11" i="1" s="1"/>
  <c r="X149" i="1"/>
  <c r="Y149" i="1" s="1"/>
  <c r="X147" i="1"/>
  <c r="Y147" i="1" s="1"/>
  <c r="X146" i="1"/>
  <c r="Y146" i="1" s="1"/>
  <c r="X145" i="1"/>
  <c r="X140" i="1"/>
  <c r="Y140" i="1" s="1"/>
  <c r="X138" i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78" i="1"/>
  <c r="X83" i="1" s="1"/>
  <c r="X85" i="1" s="1"/>
  <c r="X62" i="1"/>
  <c r="X70" i="1" s="1"/>
  <c r="X17" i="1"/>
  <c r="X55" i="1"/>
  <c r="C8" i="10"/>
  <c r="C7" i="10"/>
  <c r="W90" i="1"/>
  <c r="W91" i="1"/>
  <c r="W92" i="1"/>
  <c r="W93" i="1"/>
  <c r="W94" i="1"/>
  <c r="W96" i="1"/>
  <c r="W97" i="1"/>
  <c r="Q9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U151" i="1"/>
  <c r="W148" i="1"/>
  <c r="W143" i="1"/>
  <c r="W136" i="1"/>
  <c r="W154" i="1" s="1"/>
  <c r="W78" i="1"/>
  <c r="W83" i="1" s="1"/>
  <c r="W85" i="1" s="1"/>
  <c r="W62" i="1"/>
  <c r="W70" i="1" s="1"/>
  <c r="V55" i="1"/>
  <c r="V51" i="1" s="1"/>
  <c r="W55" i="1"/>
  <c r="W51" i="1" s="1"/>
  <c r="Y55" i="1"/>
  <c r="W17" i="1"/>
  <c r="R151" i="1"/>
  <c r="V151" i="1"/>
  <c r="BA148" i="1"/>
  <c r="BA143" i="1"/>
  <c r="BA136" i="1"/>
  <c r="BA154" i="1" s="1"/>
  <c r="BB148" i="1"/>
  <c r="BB143" i="1"/>
  <c r="BB136" i="1"/>
  <c r="BB154" i="1" s="1"/>
  <c r="BC148" i="1"/>
  <c r="BC143" i="1"/>
  <c r="BC136" i="1"/>
  <c r="BC154" i="1" s="1"/>
  <c r="V115" i="1"/>
  <c r="W108" i="1" s="1"/>
  <c r="W115" i="1" s="1"/>
  <c r="BC24" i="1"/>
  <c r="AF43" i="1" l="1"/>
  <c r="AF45" i="1"/>
  <c r="AF46" i="1" s="1"/>
  <c r="AD40" i="1"/>
  <c r="X26" i="1"/>
  <c r="X45" i="1" s="1"/>
  <c r="X46" i="1" s="1"/>
  <c r="BD28" i="1"/>
  <c r="BD30" i="1" s="1"/>
  <c r="BD43" i="1"/>
  <c r="BE10" i="1"/>
  <c r="BF9" i="1"/>
  <c r="BG9" i="1" s="1"/>
  <c r="AC26" i="1"/>
  <c r="AC45" i="1" s="1"/>
  <c r="AC46" i="1" s="1"/>
  <c r="AC11" i="1"/>
  <c r="AD41" i="1"/>
  <c r="AA26" i="1"/>
  <c r="AA45" i="1" s="1"/>
  <c r="AA46" i="1" s="1"/>
  <c r="AA11" i="1"/>
  <c r="AE37" i="1"/>
  <c r="AD35" i="1"/>
  <c r="AB26" i="1"/>
  <c r="AB45" i="1" s="1"/>
  <c r="AB46" i="1" s="1"/>
  <c r="AB11" i="1"/>
  <c r="AF28" i="1"/>
  <c r="AF30" i="1" s="1"/>
  <c r="AE28" i="1"/>
  <c r="AE30" i="1" s="1"/>
  <c r="AE43" i="1"/>
  <c r="W26" i="1"/>
  <c r="W45" i="1" s="1"/>
  <c r="W46" i="1" s="1"/>
  <c r="AC136" i="1"/>
  <c r="AC154" i="1" s="1"/>
  <c r="AB154" i="1"/>
  <c r="AB150" i="1"/>
  <c r="AB152" i="1" s="1"/>
  <c r="BD11" i="1"/>
  <c r="BE11" i="1"/>
  <c r="BE37" i="1"/>
  <c r="AA37" i="1"/>
  <c r="AD38" i="1"/>
  <c r="AD39" i="1"/>
  <c r="AB37" i="1"/>
  <c r="AD36" i="1"/>
  <c r="AD17" i="1"/>
  <c r="AD11" i="1" s="1"/>
  <c r="Z17" i="1"/>
  <c r="Z11" i="1" s="1"/>
  <c r="AC37" i="1"/>
  <c r="AD42" i="1"/>
  <c r="BE28" i="1"/>
  <c r="X143" i="1"/>
  <c r="Y136" i="1"/>
  <c r="Y138" i="1"/>
  <c r="Z138" i="1" s="1"/>
  <c r="X148" i="1"/>
  <c r="X136" i="1"/>
  <c r="X154" i="1" s="1"/>
  <c r="Y145" i="1"/>
  <c r="Y148" i="1" s="1"/>
  <c r="Y26" i="1"/>
  <c r="Y45" i="1" s="1"/>
  <c r="Y46" i="1" s="1"/>
  <c r="BA150" i="1"/>
  <c r="BA152" i="1" s="1"/>
  <c r="W150" i="1"/>
  <c r="W152" i="1" s="1"/>
  <c r="BB150" i="1"/>
  <c r="BB152" i="1" s="1"/>
  <c r="BC150" i="1"/>
  <c r="BC152" i="1" s="1"/>
  <c r="AC150" i="1" l="1"/>
  <c r="AD136" i="1"/>
  <c r="AD154" i="1" s="1"/>
  <c r="AB28" i="1"/>
  <c r="AB30" i="1" s="1"/>
  <c r="AB43" i="1"/>
  <c r="BD31" i="1"/>
  <c r="BD155" i="1"/>
  <c r="BH9" i="1"/>
  <c r="BG10" i="1"/>
  <c r="Y154" i="1"/>
  <c r="BF11" i="1"/>
  <c r="BG11" i="1" s="1"/>
  <c r="BH11" i="1" s="1"/>
  <c r="BI11" i="1" s="1"/>
  <c r="BJ11" i="1" s="1"/>
  <c r="BK11" i="1" s="1"/>
  <c r="BL11" i="1" s="1"/>
  <c r="BM11" i="1" s="1"/>
  <c r="BN11" i="1" s="1"/>
  <c r="BO11" i="1" s="1"/>
  <c r="Z26" i="1"/>
  <c r="Y43" i="1"/>
  <c r="AA28" i="1"/>
  <c r="AA30" i="1" s="1"/>
  <c r="AA43" i="1"/>
  <c r="AF31" i="1"/>
  <c r="AF155" i="1"/>
  <c r="AC28" i="1"/>
  <c r="AC30" i="1" s="1"/>
  <c r="AC43" i="1"/>
  <c r="W28" i="1"/>
  <c r="W30" i="1" s="1"/>
  <c r="W43" i="1"/>
  <c r="AD26" i="1"/>
  <c r="AE155" i="1"/>
  <c r="AE31" i="1"/>
  <c r="X28" i="1"/>
  <c r="X30" i="1" s="1"/>
  <c r="X43" i="1"/>
  <c r="AD150" i="1"/>
  <c r="Z136" i="1"/>
  <c r="BE30" i="1"/>
  <c r="BE155" i="1" s="1"/>
  <c r="AD37" i="1"/>
  <c r="X150" i="1"/>
  <c r="Y28" i="1"/>
  <c r="C55" i="1"/>
  <c r="B104" i="1"/>
  <c r="B103" i="1"/>
  <c r="B102" i="1"/>
  <c r="B101" i="1"/>
  <c r="B100" i="1"/>
  <c r="U97" i="1"/>
  <c r="T97" i="1"/>
  <c r="S97" i="1"/>
  <c r="R97" i="1"/>
  <c r="Q97" i="1"/>
  <c r="P97" i="1"/>
  <c r="O97" i="1"/>
  <c r="N97" i="1"/>
  <c r="M97" i="1"/>
  <c r="L97" i="1"/>
  <c r="U96" i="1"/>
  <c r="T96" i="1"/>
  <c r="S96" i="1"/>
  <c r="R96" i="1"/>
  <c r="Q96" i="1"/>
  <c r="P96" i="1"/>
  <c r="O96" i="1"/>
  <c r="N96" i="1"/>
  <c r="M96" i="1"/>
  <c r="L96" i="1"/>
  <c r="U94" i="1"/>
  <c r="T94" i="1"/>
  <c r="S94" i="1"/>
  <c r="R94" i="1"/>
  <c r="Q94" i="1"/>
  <c r="P94" i="1"/>
  <c r="O94" i="1"/>
  <c r="N94" i="1"/>
  <c r="M94" i="1"/>
  <c r="L94" i="1"/>
  <c r="U93" i="1"/>
  <c r="T93" i="1"/>
  <c r="S93" i="1"/>
  <c r="R93" i="1"/>
  <c r="Q93" i="1"/>
  <c r="P93" i="1"/>
  <c r="O93" i="1"/>
  <c r="N93" i="1"/>
  <c r="M93" i="1"/>
  <c r="L93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90" i="1"/>
  <c r="T90" i="1"/>
  <c r="S90" i="1"/>
  <c r="R90" i="1"/>
  <c r="P90" i="1"/>
  <c r="O90" i="1"/>
  <c r="N90" i="1"/>
  <c r="M90" i="1"/>
  <c r="L90" i="1"/>
  <c r="V97" i="1"/>
  <c r="V96" i="1"/>
  <c r="V94" i="1"/>
  <c r="V93" i="1"/>
  <c r="V92" i="1"/>
  <c r="V91" i="1"/>
  <c r="V90" i="1"/>
  <c r="B97" i="1"/>
  <c r="B96" i="1"/>
  <c r="B95" i="1"/>
  <c r="B94" i="1"/>
  <c r="B93" i="1"/>
  <c r="B106" i="1" s="1"/>
  <c r="B92" i="1"/>
  <c r="B91" i="1"/>
  <c r="B105" i="1" s="1"/>
  <c r="B90" i="1"/>
  <c r="C78" i="1"/>
  <c r="C62" i="1"/>
  <c r="E78" i="1"/>
  <c r="E83" i="1" s="1"/>
  <c r="E85" i="1" s="1"/>
  <c r="F78" i="1"/>
  <c r="F83" i="1" s="1"/>
  <c r="F85" i="1" s="1"/>
  <c r="G78" i="1"/>
  <c r="H78" i="1"/>
  <c r="I78" i="1"/>
  <c r="J78" i="1"/>
  <c r="J83" i="1" s="1"/>
  <c r="J85" i="1" s="1"/>
  <c r="K78" i="1"/>
  <c r="L78" i="1"/>
  <c r="L83" i="1" s="1"/>
  <c r="L85" i="1" s="1"/>
  <c r="M78" i="1"/>
  <c r="M83" i="1" s="1"/>
  <c r="M85" i="1" s="1"/>
  <c r="N78" i="1"/>
  <c r="O78" i="1"/>
  <c r="P78" i="1"/>
  <c r="Q78" i="1"/>
  <c r="R78" i="1"/>
  <c r="S78" i="1"/>
  <c r="T78" i="1"/>
  <c r="U78" i="1"/>
  <c r="V78" i="1"/>
  <c r="D78" i="1"/>
  <c r="D83" i="1" s="1"/>
  <c r="D62" i="1"/>
  <c r="D55" i="1"/>
  <c r="E62" i="1"/>
  <c r="E70" i="1" s="1"/>
  <c r="E55" i="1"/>
  <c r="G62" i="1"/>
  <c r="G55" i="1"/>
  <c r="H62" i="1"/>
  <c r="H70" i="1" s="1"/>
  <c r="H55" i="1"/>
  <c r="K62" i="1"/>
  <c r="K55" i="1"/>
  <c r="L62" i="1"/>
  <c r="L55" i="1"/>
  <c r="J62" i="1"/>
  <c r="J55" i="1"/>
  <c r="M62" i="1"/>
  <c r="M55" i="1"/>
  <c r="F62" i="1"/>
  <c r="F55" i="1"/>
  <c r="I62" i="1"/>
  <c r="I70" i="1" s="1"/>
  <c r="N62" i="1"/>
  <c r="N55" i="1"/>
  <c r="I55" i="1"/>
  <c r="AD43" i="1" l="1"/>
  <c r="AD45" i="1"/>
  <c r="AD46" i="1" s="1"/>
  <c r="Z43" i="1"/>
  <c r="Z45" i="1"/>
  <c r="Z46" i="1" s="1"/>
  <c r="Z28" i="1"/>
  <c r="AC31" i="1"/>
  <c r="AC155" i="1"/>
  <c r="X31" i="1"/>
  <c r="X155" i="1"/>
  <c r="AD28" i="1"/>
  <c r="BI9" i="1"/>
  <c r="BH10" i="1"/>
  <c r="AA31" i="1"/>
  <c r="AA155" i="1"/>
  <c r="Z154" i="1"/>
  <c r="AA157" i="1" s="1"/>
  <c r="Z150" i="1"/>
  <c r="W31" i="1"/>
  <c r="W155" i="1"/>
  <c r="AB31" i="1"/>
  <c r="AB155" i="1"/>
  <c r="AF157" i="1"/>
  <c r="AD157" i="1"/>
  <c r="BE157" i="1" s="1"/>
  <c r="AE157" i="1"/>
  <c r="BE31" i="1"/>
  <c r="AD30" i="1"/>
  <c r="AD155" i="1" s="1"/>
  <c r="W95" i="1"/>
  <c r="Y30" i="1"/>
  <c r="F9" i="2"/>
  <c r="W101" i="1"/>
  <c r="W105" i="1"/>
  <c r="W106" i="1"/>
  <c r="W100" i="1"/>
  <c r="W103" i="1"/>
  <c r="W102" i="1"/>
  <c r="V101" i="1"/>
  <c r="S103" i="1"/>
  <c r="O106" i="1"/>
  <c r="Q100" i="1"/>
  <c r="O101" i="1"/>
  <c r="S102" i="1"/>
  <c r="Q103" i="1"/>
  <c r="O105" i="1"/>
  <c r="U106" i="1"/>
  <c r="R100" i="1"/>
  <c r="P101" i="1"/>
  <c r="T102" i="1"/>
  <c r="R103" i="1"/>
  <c r="P105" i="1"/>
  <c r="V106" i="1"/>
  <c r="O100" i="1"/>
  <c r="U101" i="1"/>
  <c r="Q102" i="1"/>
  <c r="O103" i="1"/>
  <c r="U105" i="1"/>
  <c r="S106" i="1"/>
  <c r="O95" i="1"/>
  <c r="P100" i="1"/>
  <c r="R102" i="1"/>
  <c r="P103" i="1"/>
  <c r="V105" i="1"/>
  <c r="T106" i="1"/>
  <c r="U100" i="1"/>
  <c r="Q101" i="1"/>
  <c r="T103" i="1"/>
  <c r="S105" i="1"/>
  <c r="Q95" i="1"/>
  <c r="T100" i="1"/>
  <c r="S101" i="1"/>
  <c r="P102" i="1"/>
  <c r="V102" i="1"/>
  <c r="U103" i="1"/>
  <c r="R105" i="1"/>
  <c r="R106" i="1"/>
  <c r="S100" i="1"/>
  <c r="R95" i="1"/>
  <c r="V100" i="1"/>
  <c r="P106" i="1"/>
  <c r="Q106" i="1"/>
  <c r="U102" i="1"/>
  <c r="T101" i="1"/>
  <c r="V103" i="1"/>
  <c r="O102" i="1"/>
  <c r="R101" i="1"/>
  <c r="T105" i="1"/>
  <c r="Q105" i="1"/>
  <c r="T95" i="1"/>
  <c r="L95" i="1"/>
  <c r="N95" i="1"/>
  <c r="U95" i="1"/>
  <c r="P95" i="1"/>
  <c r="S95" i="1"/>
  <c r="M95" i="1"/>
  <c r="V95" i="1"/>
  <c r="D85" i="1"/>
  <c r="G83" i="1"/>
  <c r="G70" i="1"/>
  <c r="H83" i="1"/>
  <c r="F70" i="1"/>
  <c r="L70" i="1"/>
  <c r="D70" i="1"/>
  <c r="I83" i="1"/>
  <c r="C83" i="1"/>
  <c r="K70" i="1"/>
  <c r="M70" i="1"/>
  <c r="J70" i="1"/>
  <c r="K83" i="1"/>
  <c r="C70" i="1"/>
  <c r="V83" i="1"/>
  <c r="V62" i="1"/>
  <c r="V17" i="1"/>
  <c r="T55" i="1"/>
  <c r="T51" i="1" s="1"/>
  <c r="S55" i="1"/>
  <c r="R55" i="1"/>
  <c r="Q55" i="1"/>
  <c r="P55" i="1"/>
  <c r="O55" i="1"/>
  <c r="U55" i="1"/>
  <c r="U51" i="1" s="1"/>
  <c r="AD158" i="1" l="1"/>
  <c r="AD31" i="1"/>
  <c r="AC157" i="1"/>
  <c r="AE158" i="1"/>
  <c r="AB87" i="1"/>
  <c r="AB157" i="1"/>
  <c r="Z157" i="1"/>
  <c r="BD157" i="1" s="1"/>
  <c r="AF158" i="1"/>
  <c r="AF160" i="1" s="1"/>
  <c r="AE87" i="1"/>
  <c r="AD87" i="1"/>
  <c r="AF87" i="1"/>
  <c r="AD160" i="1"/>
  <c r="AA87" i="1"/>
  <c r="AE160" i="1"/>
  <c r="BI10" i="1"/>
  <c r="BJ9" i="1"/>
  <c r="BS49" i="1"/>
  <c r="AD32" i="1"/>
  <c r="AD50" i="1" s="1"/>
  <c r="AD51" i="1" s="1"/>
  <c r="Z30" i="1"/>
  <c r="Z87" i="1" s="1"/>
  <c r="Y31" i="1"/>
  <c r="Z31" i="1" s="1"/>
  <c r="Y155" i="1"/>
  <c r="W104" i="1"/>
  <c r="P104" i="1"/>
  <c r="O104" i="1"/>
  <c r="V104" i="1"/>
  <c r="S104" i="1"/>
  <c r="U104" i="1"/>
  <c r="T104" i="1"/>
  <c r="Q104" i="1"/>
  <c r="R104" i="1"/>
  <c r="C85" i="1"/>
  <c r="G85" i="1"/>
  <c r="V70" i="1"/>
  <c r="H85" i="1"/>
  <c r="V85" i="1"/>
  <c r="K85" i="1"/>
  <c r="I85" i="1"/>
  <c r="C11" i="1"/>
  <c r="AR3" i="1"/>
  <c r="AQ3" i="1" s="1"/>
  <c r="AP3" i="1" s="1"/>
  <c r="AO3" i="1" s="1"/>
  <c r="AN3" i="1" s="1"/>
  <c r="AM3" i="1" s="1"/>
  <c r="D9" i="1"/>
  <c r="D10" i="1" s="1"/>
  <c r="G9" i="1"/>
  <c r="K9" i="1"/>
  <c r="K10" i="1" s="1"/>
  <c r="F18" i="1"/>
  <c r="F19" i="1"/>
  <c r="F20" i="1"/>
  <c r="F21" i="1"/>
  <c r="F22" i="1"/>
  <c r="F23" i="1"/>
  <c r="F24" i="1"/>
  <c r="F27" i="1"/>
  <c r="F29" i="1"/>
  <c r="F31" i="1"/>
  <c r="F17" i="1"/>
  <c r="C26" i="1"/>
  <c r="D26" i="1"/>
  <c r="E26" i="1"/>
  <c r="G26" i="1"/>
  <c r="H26" i="1"/>
  <c r="J31" i="1"/>
  <c r="J29" i="1"/>
  <c r="J27" i="1"/>
  <c r="J24" i="1"/>
  <c r="J23" i="1"/>
  <c r="J22" i="1"/>
  <c r="J21" i="1"/>
  <c r="J20" i="1"/>
  <c r="J19" i="1"/>
  <c r="J18" i="1"/>
  <c r="J38" i="1" s="1"/>
  <c r="I26" i="1"/>
  <c r="S108" i="1"/>
  <c r="S115" i="1" s="1"/>
  <c r="U115" i="1"/>
  <c r="T108" i="1"/>
  <c r="T115" i="1" s="1"/>
  <c r="R108" i="1"/>
  <c r="R115" i="1" s="1"/>
  <c r="Q108" i="1"/>
  <c r="Q115" i="1" s="1"/>
  <c r="P108" i="1"/>
  <c r="P115" i="1" s="1"/>
  <c r="N108" i="1"/>
  <c r="N115" i="1" s="1"/>
  <c r="O108" i="1" s="1"/>
  <c r="O115" i="1" s="1"/>
  <c r="O151" i="1"/>
  <c r="O148" i="1"/>
  <c r="O143" i="1"/>
  <c r="O136" i="1"/>
  <c r="O154" i="1" s="1"/>
  <c r="S151" i="1"/>
  <c r="S145" i="1"/>
  <c r="S143" i="1"/>
  <c r="S136" i="1"/>
  <c r="S154" i="1" s="1"/>
  <c r="T147" i="1"/>
  <c r="T135" i="1"/>
  <c r="T134" i="1"/>
  <c r="T127" i="1"/>
  <c r="T126" i="1"/>
  <c r="T120" i="1"/>
  <c r="T118" i="1"/>
  <c r="P151" i="1"/>
  <c r="P149" i="1"/>
  <c r="P147" i="1"/>
  <c r="P146" i="1"/>
  <c r="P145" i="1"/>
  <c r="P142" i="1"/>
  <c r="P141" i="1"/>
  <c r="P140" i="1"/>
  <c r="P139" i="1"/>
  <c r="P138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T151" i="1"/>
  <c r="T149" i="1"/>
  <c r="T146" i="1"/>
  <c r="T142" i="1"/>
  <c r="T141" i="1"/>
  <c r="T140" i="1"/>
  <c r="T139" i="1"/>
  <c r="T133" i="1"/>
  <c r="T132" i="1"/>
  <c r="T131" i="1"/>
  <c r="T130" i="1"/>
  <c r="T128" i="1"/>
  <c r="T125" i="1"/>
  <c r="T124" i="1"/>
  <c r="T123" i="1"/>
  <c r="T122" i="1"/>
  <c r="T121" i="1"/>
  <c r="T117" i="1"/>
  <c r="Q151" i="1"/>
  <c r="U119" i="1"/>
  <c r="V119" i="1" s="1"/>
  <c r="O83" i="1"/>
  <c r="O62" i="1"/>
  <c r="O70" i="1" s="1"/>
  <c r="P83" i="1"/>
  <c r="P62" i="1"/>
  <c r="P70" i="1" s="1"/>
  <c r="N83" i="1"/>
  <c r="N70" i="1"/>
  <c r="Q83" i="1"/>
  <c r="Q62" i="1"/>
  <c r="Q70" i="1" s="1"/>
  <c r="S83" i="1"/>
  <c r="S62" i="1"/>
  <c r="S70" i="1" s="1"/>
  <c r="T83" i="1"/>
  <c r="T62" i="1"/>
  <c r="T70" i="1" s="1"/>
  <c r="R83" i="1"/>
  <c r="R62" i="1"/>
  <c r="R70" i="1" s="1"/>
  <c r="U83" i="1"/>
  <c r="U62" i="1"/>
  <c r="U70" i="1" s="1"/>
  <c r="N9" i="1"/>
  <c r="N10" i="1" s="1"/>
  <c r="G7" i="2"/>
  <c r="U17" i="1"/>
  <c r="C43" i="1" l="1"/>
  <c r="C45" i="1"/>
  <c r="C46" i="1" s="1"/>
  <c r="E43" i="1"/>
  <c r="E45" i="1"/>
  <c r="E46" i="1" s="1"/>
  <c r="I43" i="1"/>
  <c r="I45" i="1"/>
  <c r="I46" i="1" s="1"/>
  <c r="H43" i="1"/>
  <c r="H45" i="1"/>
  <c r="H46" i="1" s="1"/>
  <c r="D43" i="1"/>
  <c r="D45" i="1"/>
  <c r="D46" i="1" s="1"/>
  <c r="G43" i="1"/>
  <c r="G45" i="1"/>
  <c r="G46" i="1" s="1"/>
  <c r="BK9" i="1"/>
  <c r="BJ10" i="1"/>
  <c r="Z155" i="1"/>
  <c r="AB158" i="1" s="1"/>
  <c r="AB160" i="1" s="1"/>
  <c r="AC87" i="1"/>
  <c r="J39" i="1"/>
  <c r="G11" i="1"/>
  <c r="G10" i="1"/>
  <c r="J40" i="1"/>
  <c r="Y37" i="1"/>
  <c r="J41" i="1"/>
  <c r="Z32" i="1"/>
  <c r="J42" i="1"/>
  <c r="U123" i="1"/>
  <c r="V123" i="1" s="1"/>
  <c r="Q127" i="1"/>
  <c r="R127" i="1" s="1"/>
  <c r="U141" i="1"/>
  <c r="V141" i="1" s="1"/>
  <c r="Q149" i="1"/>
  <c r="R149" i="1" s="1"/>
  <c r="U128" i="1"/>
  <c r="V128" i="1" s="1"/>
  <c r="U142" i="1"/>
  <c r="V142" i="1" s="1"/>
  <c r="Q121" i="1"/>
  <c r="R121" i="1" s="1"/>
  <c r="Q129" i="1"/>
  <c r="R129" i="1" s="1"/>
  <c r="Q139" i="1"/>
  <c r="R139" i="1" s="1"/>
  <c r="U140" i="1"/>
  <c r="V140" i="1" s="1"/>
  <c r="Q135" i="1"/>
  <c r="R135" i="1" s="1"/>
  <c r="U135" i="1"/>
  <c r="V135" i="1" s="1"/>
  <c r="Q120" i="1"/>
  <c r="R120" i="1" s="1"/>
  <c r="U147" i="1"/>
  <c r="V147" i="1" s="1"/>
  <c r="U146" i="1"/>
  <c r="V146" i="1" s="1"/>
  <c r="Q122" i="1"/>
  <c r="R122" i="1" s="1"/>
  <c r="Q130" i="1"/>
  <c r="R130" i="1" s="1"/>
  <c r="Q140" i="1"/>
  <c r="R140" i="1" s="1"/>
  <c r="U117" i="1"/>
  <c r="V117" i="1" s="1"/>
  <c r="U131" i="1"/>
  <c r="V131" i="1" s="1"/>
  <c r="U149" i="1"/>
  <c r="V149" i="1" s="1"/>
  <c r="Q123" i="1"/>
  <c r="R123" i="1" s="1"/>
  <c r="Q131" i="1"/>
  <c r="R131" i="1" s="1"/>
  <c r="Q141" i="1"/>
  <c r="R141" i="1" s="1"/>
  <c r="U120" i="1"/>
  <c r="V120" i="1" s="1"/>
  <c r="S148" i="1"/>
  <c r="S150" i="1" s="1"/>
  <c r="S152" i="1" s="1"/>
  <c r="U139" i="1"/>
  <c r="V139" i="1" s="1"/>
  <c r="Q126" i="1"/>
  <c r="R126" i="1" s="1"/>
  <c r="U124" i="1"/>
  <c r="V124" i="1" s="1"/>
  <c r="Q119" i="1"/>
  <c r="R119" i="1" s="1"/>
  <c r="Q147" i="1"/>
  <c r="R147" i="1" s="1"/>
  <c r="U125" i="1"/>
  <c r="V125" i="1" s="1"/>
  <c r="Q138" i="1"/>
  <c r="R138" i="1" s="1"/>
  <c r="U130" i="1"/>
  <c r="V130" i="1" s="1"/>
  <c r="U121" i="1"/>
  <c r="V121" i="1" s="1"/>
  <c r="U132" i="1"/>
  <c r="V132" i="1" s="1"/>
  <c r="Q124" i="1"/>
  <c r="R124" i="1" s="1"/>
  <c r="Q132" i="1"/>
  <c r="R132" i="1" s="1"/>
  <c r="Q142" i="1"/>
  <c r="R142" i="1" s="1"/>
  <c r="U126" i="1"/>
  <c r="V126" i="1" s="1"/>
  <c r="Q118" i="1"/>
  <c r="R118" i="1" s="1"/>
  <c r="Q134" i="1"/>
  <c r="R134" i="1" s="1"/>
  <c r="U134" i="1" s="1"/>
  <c r="V134" i="1" s="1"/>
  <c r="Q146" i="1"/>
  <c r="R146" i="1" s="1"/>
  <c r="Q128" i="1"/>
  <c r="R128" i="1" s="1"/>
  <c r="U122" i="1"/>
  <c r="V122" i="1" s="1"/>
  <c r="U133" i="1"/>
  <c r="V133" i="1" s="1"/>
  <c r="Q117" i="1"/>
  <c r="R117" i="1" s="1"/>
  <c r="Q125" i="1"/>
  <c r="R125" i="1" s="1"/>
  <c r="Q133" i="1"/>
  <c r="R133" i="1" s="1"/>
  <c r="Q145" i="1"/>
  <c r="R145" i="1" s="1"/>
  <c r="U127" i="1"/>
  <c r="V127" i="1" s="1"/>
  <c r="P85" i="1"/>
  <c r="R85" i="1"/>
  <c r="N85" i="1"/>
  <c r="T85" i="1"/>
  <c r="O85" i="1"/>
  <c r="Q85" i="1"/>
  <c r="S85" i="1"/>
  <c r="F11" i="1"/>
  <c r="U26" i="1"/>
  <c r="L9" i="1"/>
  <c r="E9" i="1"/>
  <c r="O9" i="1"/>
  <c r="O10" i="1" s="1"/>
  <c r="H9" i="1"/>
  <c r="H10" i="1" s="1"/>
  <c r="D11" i="1"/>
  <c r="K11" i="1"/>
  <c r="C28" i="1"/>
  <c r="D28" i="1"/>
  <c r="E28" i="1"/>
  <c r="G28" i="1"/>
  <c r="H28" i="1"/>
  <c r="I28" i="1"/>
  <c r="P148" i="1"/>
  <c r="T145" i="1"/>
  <c r="U145" i="1" s="1"/>
  <c r="O150" i="1"/>
  <c r="P143" i="1"/>
  <c r="P136" i="1"/>
  <c r="P154" i="1" s="1"/>
  <c r="U118" i="1"/>
  <c r="V118" i="1" s="1"/>
  <c r="T129" i="1"/>
  <c r="T138" i="1"/>
  <c r="U85" i="1"/>
  <c r="BA9" i="1"/>
  <c r="BA10" i="1" s="1"/>
  <c r="BS43" i="1"/>
  <c r="G8" i="2"/>
  <c r="T17" i="1"/>
  <c r="R16" i="1"/>
  <c r="V36" i="1" s="1"/>
  <c r="R15" i="1"/>
  <c r="V35" i="1" s="1"/>
  <c r="R23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AS26" i="1"/>
  <c r="AT26" i="1"/>
  <c r="AT43" i="1" s="1"/>
  <c r="AU26" i="1"/>
  <c r="AU43" i="1" s="1"/>
  <c r="AV26" i="1"/>
  <c r="AV43" i="1" s="1"/>
  <c r="AW26" i="1"/>
  <c r="AW43" i="1" s="1"/>
  <c r="AX26" i="1"/>
  <c r="AX43" i="1" s="1"/>
  <c r="AY26" i="1"/>
  <c r="R31" i="1"/>
  <c r="N18" i="1"/>
  <c r="N38" i="1" s="1"/>
  <c r="N19" i="1"/>
  <c r="N39" i="1" s="1"/>
  <c r="N20" i="1"/>
  <c r="N40" i="1" s="1"/>
  <c r="N21" i="1"/>
  <c r="N41" i="1" s="1"/>
  <c r="N22" i="1"/>
  <c r="N23" i="1"/>
  <c r="N24" i="1"/>
  <c r="N27" i="1"/>
  <c r="N29" i="1"/>
  <c r="N31" i="1"/>
  <c r="R18" i="1"/>
  <c r="R19" i="1"/>
  <c r="R20" i="1"/>
  <c r="R21" i="1"/>
  <c r="R22" i="1"/>
  <c r="R24" i="1"/>
  <c r="R27" i="1"/>
  <c r="R29" i="1"/>
  <c r="K26" i="1"/>
  <c r="L26" i="1"/>
  <c r="P26" i="1"/>
  <c r="M17" i="1"/>
  <c r="M37" i="1" s="1"/>
  <c r="Q17" i="1"/>
  <c r="AY3" i="1"/>
  <c r="AX3" i="1" s="1"/>
  <c r="AW3" i="1" s="1"/>
  <c r="AZ17" i="1"/>
  <c r="BA17" i="1"/>
  <c r="BB17" i="1"/>
  <c r="O17" i="1"/>
  <c r="O37" i="1" s="1"/>
  <c r="S17" i="1"/>
  <c r="Z158" i="1" l="1"/>
  <c r="Z160" i="1" s="1"/>
  <c r="AC158" i="1"/>
  <c r="AC160" i="1" s="1"/>
  <c r="AA158" i="1"/>
  <c r="AA160" i="1" s="1"/>
  <c r="N42" i="1"/>
  <c r="L43" i="1"/>
  <c r="L45" i="1"/>
  <c r="L46" i="1" s="1"/>
  <c r="U43" i="1"/>
  <c r="U45" i="1"/>
  <c r="U46" i="1" s="1"/>
  <c r="P43" i="1"/>
  <c r="P45" i="1"/>
  <c r="P46" i="1" s="1"/>
  <c r="K43" i="1"/>
  <c r="K45" i="1"/>
  <c r="K46" i="1" s="1"/>
  <c r="BA37" i="1"/>
  <c r="F26" i="1"/>
  <c r="AY43" i="1"/>
  <c r="AS28" i="1"/>
  <c r="AS30" i="1" s="1"/>
  <c r="AS32" i="1" s="1"/>
  <c r="BL9" i="1"/>
  <c r="BK10" i="1"/>
  <c r="X49" i="1"/>
  <c r="X50" i="1" s="1"/>
  <c r="X51" i="1" s="1"/>
  <c r="BB26" i="1"/>
  <c r="BB43" i="1" s="1"/>
  <c r="BB37" i="1"/>
  <c r="J17" i="1"/>
  <c r="J37" i="1" s="1"/>
  <c r="AZ37" i="1"/>
  <c r="E10" i="1"/>
  <c r="F10" i="1"/>
  <c r="L10" i="1"/>
  <c r="M10" i="1"/>
  <c r="Q37" i="1"/>
  <c r="R42" i="1"/>
  <c r="V42" i="1"/>
  <c r="T37" i="1"/>
  <c r="X37" i="1"/>
  <c r="S37" i="1"/>
  <c r="W37" i="1"/>
  <c r="R40" i="1"/>
  <c r="V40" i="1"/>
  <c r="R39" i="1"/>
  <c r="V39" i="1"/>
  <c r="R41" i="1"/>
  <c r="V41" i="1"/>
  <c r="V38" i="1"/>
  <c r="R38" i="1"/>
  <c r="U37" i="1"/>
  <c r="U28" i="1"/>
  <c r="V145" i="1"/>
  <c r="Q143" i="1"/>
  <c r="R143" i="1" s="1"/>
  <c r="U148" i="1"/>
  <c r="T143" i="1"/>
  <c r="T136" i="1"/>
  <c r="T154" i="1" s="1"/>
  <c r="Q148" i="1"/>
  <c r="R148" i="1" s="1"/>
  <c r="Q136" i="1"/>
  <c r="Q154" i="1" s="1"/>
  <c r="I30" i="1"/>
  <c r="E30" i="1"/>
  <c r="D30" i="1"/>
  <c r="G30" i="1"/>
  <c r="C30" i="1"/>
  <c r="P9" i="1"/>
  <c r="P10" i="1" s="1"/>
  <c r="BC17" i="1"/>
  <c r="I9" i="1"/>
  <c r="H11" i="1"/>
  <c r="E11" i="1"/>
  <c r="L11" i="1"/>
  <c r="AZ11" i="1"/>
  <c r="H30" i="1"/>
  <c r="Q26" i="1"/>
  <c r="T26" i="1"/>
  <c r="T148" i="1"/>
  <c r="O26" i="1"/>
  <c r="O152" i="1"/>
  <c r="P150" i="1"/>
  <c r="P152" i="1" s="1"/>
  <c r="U129" i="1"/>
  <c r="U136" i="1" s="1"/>
  <c r="U138" i="1"/>
  <c r="U143" i="1" s="1"/>
  <c r="BA11" i="1"/>
  <c r="S26" i="1"/>
  <c r="O11" i="1"/>
  <c r="M26" i="1"/>
  <c r="M11" i="1"/>
  <c r="BA26" i="1"/>
  <c r="BA43" i="1" s="1"/>
  <c r="AZ26" i="1"/>
  <c r="AZ43" i="1" s="1"/>
  <c r="R17" i="1"/>
  <c r="AT28" i="1"/>
  <c r="AT30" i="1" s="1"/>
  <c r="AT32" i="1" s="1"/>
  <c r="AU28" i="1"/>
  <c r="AU30" i="1" s="1"/>
  <c r="N17" i="1"/>
  <c r="AV28" i="1"/>
  <c r="AV30" i="1" s="1"/>
  <c r="AW28" i="1"/>
  <c r="AW30" i="1" s="1"/>
  <c r="AX28" i="1"/>
  <c r="AX30" i="1" s="1"/>
  <c r="AY28" i="1"/>
  <c r="K28" i="1"/>
  <c r="L28" i="1"/>
  <c r="P28" i="1"/>
  <c r="O43" i="1" l="1"/>
  <c r="O45" i="1"/>
  <c r="O46" i="1" s="1"/>
  <c r="F43" i="1"/>
  <c r="F45" i="1"/>
  <c r="F46" i="1" s="1"/>
  <c r="M43" i="1"/>
  <c r="M45" i="1"/>
  <c r="M46" i="1" s="1"/>
  <c r="S43" i="1"/>
  <c r="S45" i="1"/>
  <c r="S46" i="1" s="1"/>
  <c r="T45" i="1"/>
  <c r="T46" i="1" s="1"/>
  <c r="T43" i="1"/>
  <c r="Q43" i="1"/>
  <c r="Q45" i="1"/>
  <c r="Q46" i="1" s="1"/>
  <c r="U154" i="1"/>
  <c r="BL10" i="1"/>
  <c r="BM9" i="1"/>
  <c r="BC37" i="1"/>
  <c r="BD37" i="1"/>
  <c r="N37" i="1"/>
  <c r="I10" i="1"/>
  <c r="J10" i="1"/>
  <c r="R37" i="1"/>
  <c r="V37" i="1"/>
  <c r="V148" i="1"/>
  <c r="Q150" i="1"/>
  <c r="Q152" i="1" s="1"/>
  <c r="Q9" i="1"/>
  <c r="Q10" i="1" s="1"/>
  <c r="V143" i="1"/>
  <c r="U30" i="1"/>
  <c r="R136" i="1"/>
  <c r="R154" i="1" s="1"/>
  <c r="V129" i="1"/>
  <c r="T150" i="1"/>
  <c r="T152" i="1" s="1"/>
  <c r="V138" i="1"/>
  <c r="G32" i="1"/>
  <c r="D32" i="1"/>
  <c r="E32" i="1"/>
  <c r="I32" i="1"/>
  <c r="H32" i="1"/>
  <c r="C32" i="1"/>
  <c r="P11" i="1"/>
  <c r="J11" i="1"/>
  <c r="I11" i="1"/>
  <c r="AY30" i="1"/>
  <c r="F28" i="1"/>
  <c r="J26" i="1"/>
  <c r="Q28" i="1"/>
  <c r="T28" i="1"/>
  <c r="T30" i="1" s="1"/>
  <c r="S28" i="1"/>
  <c r="L30" i="1"/>
  <c r="N11" i="1"/>
  <c r="P30" i="1"/>
  <c r="K30" i="1"/>
  <c r="O28" i="1"/>
  <c r="U150" i="1"/>
  <c r="N26" i="1"/>
  <c r="BB28" i="1"/>
  <c r="BB30" i="1" s="1"/>
  <c r="BB155" i="1" s="1"/>
  <c r="R26" i="1"/>
  <c r="M28" i="1"/>
  <c r="BA28" i="1"/>
  <c r="BA30" i="1" s="1"/>
  <c r="AZ28" i="1"/>
  <c r="AW32" i="1"/>
  <c r="AU32" i="1"/>
  <c r="AX32" i="1"/>
  <c r="AV32" i="1"/>
  <c r="R43" i="1" l="1"/>
  <c r="R45" i="1"/>
  <c r="R46" i="1" s="1"/>
  <c r="N43" i="1"/>
  <c r="N45" i="1"/>
  <c r="N46" i="1" s="1"/>
  <c r="J43" i="1"/>
  <c r="J45" i="1"/>
  <c r="J46" i="1" s="1"/>
  <c r="BM10" i="1"/>
  <c r="BN9" i="1"/>
  <c r="Q11" i="1"/>
  <c r="R9" i="1"/>
  <c r="R10" i="1" s="1"/>
  <c r="R150" i="1"/>
  <c r="R152" i="1" s="1"/>
  <c r="U31" i="1"/>
  <c r="U155" i="1"/>
  <c r="F30" i="1"/>
  <c r="G87" i="1" s="1"/>
  <c r="BA155" i="1"/>
  <c r="U157" i="1"/>
  <c r="U152" i="1"/>
  <c r="V150" i="1"/>
  <c r="V152" i="1" s="1"/>
  <c r="Q30" i="1"/>
  <c r="Q32" i="1" s="1"/>
  <c r="AY32" i="1"/>
  <c r="AZ30" i="1"/>
  <c r="J28" i="1"/>
  <c r="K32" i="1"/>
  <c r="T155" i="1"/>
  <c r="R157" i="1"/>
  <c r="BB157" i="1" s="1"/>
  <c r="T157" i="1"/>
  <c r="S157" i="1"/>
  <c r="S30" i="1"/>
  <c r="P32" i="1"/>
  <c r="P155" i="1"/>
  <c r="M30" i="1"/>
  <c r="O30" i="1"/>
  <c r="L32" i="1"/>
  <c r="R28" i="1"/>
  <c r="N28" i="1"/>
  <c r="BB9" i="1"/>
  <c r="BB10" i="1" s="1"/>
  <c r="S9" i="1"/>
  <c r="S10" i="1" s="1"/>
  <c r="R11" i="1"/>
  <c r="BA32" i="1"/>
  <c r="BB32" i="1"/>
  <c r="BC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O10" i="1" l="1"/>
  <c r="BN10" i="1"/>
  <c r="T9" i="1"/>
  <c r="F87" i="1"/>
  <c r="I87" i="1"/>
  <c r="H87" i="1"/>
  <c r="F32" i="1"/>
  <c r="J30" i="1"/>
  <c r="R30" i="1"/>
  <c r="U87" i="1" s="1"/>
  <c r="Q155" i="1"/>
  <c r="AZ32" i="1"/>
  <c r="BB11" i="1"/>
  <c r="S32" i="1"/>
  <c r="S50" i="1" s="1"/>
  <c r="S51" i="1" s="1"/>
  <c r="S155" i="1"/>
  <c r="M32" i="1"/>
  <c r="N30" i="1"/>
  <c r="O32" i="1"/>
  <c r="O155" i="1"/>
  <c r="S11" i="1"/>
  <c r="U9" i="1" l="1"/>
  <c r="T10" i="1"/>
  <c r="S87" i="1"/>
  <c r="R32" i="1"/>
  <c r="J87" i="1"/>
  <c r="M87" i="1"/>
  <c r="J32" i="1"/>
  <c r="L87" i="1"/>
  <c r="K87" i="1"/>
  <c r="T87" i="1"/>
  <c r="R155" i="1"/>
  <c r="T158" i="1" s="1"/>
  <c r="T160" i="1" s="1"/>
  <c r="R87" i="1"/>
  <c r="N32" i="1"/>
  <c r="Q87" i="1"/>
  <c r="O87" i="1"/>
  <c r="N87" i="1"/>
  <c r="P87" i="1"/>
  <c r="T11" i="1"/>
  <c r="V9" i="1" l="1"/>
  <c r="W9" i="1" s="1"/>
  <c r="W11" i="1" s="1"/>
  <c r="U10" i="1"/>
  <c r="S158" i="1"/>
  <c r="S160" i="1" s="1"/>
  <c r="R158" i="1"/>
  <c r="R160" i="1" s="1"/>
  <c r="U158" i="1"/>
  <c r="U160" i="1" s="1"/>
  <c r="U11" i="1"/>
  <c r="V10" i="1" l="1"/>
  <c r="BC9" i="1"/>
  <c r="V11" i="1"/>
  <c r="BC19" i="1"/>
  <c r="BC20" i="1"/>
  <c r="BC21" i="1"/>
  <c r="BC22" i="1"/>
  <c r="BC18" i="1"/>
  <c r="BC10" i="1" l="1"/>
  <c r="BC11" i="1"/>
  <c r="BD10" i="1"/>
  <c r="W10" i="1"/>
  <c r="X9" i="1"/>
  <c r="X11" i="1" s="1"/>
  <c r="V26" i="1"/>
  <c r="V43" i="1" l="1"/>
  <c r="V45" i="1"/>
  <c r="V46" i="1" s="1"/>
  <c r="X10" i="1"/>
  <c r="Y10" i="1"/>
  <c r="BC26" i="1"/>
  <c r="BC43" i="1" s="1"/>
  <c r="V28" i="1"/>
  <c r="V30" i="1" l="1"/>
  <c r="BC29" i="1"/>
  <c r="BC27" i="1"/>
  <c r="BC28" i="1" s="1"/>
  <c r="X87" i="1" l="1"/>
  <c r="Y87" i="1"/>
  <c r="V155" i="1"/>
  <c r="V87" i="1"/>
  <c r="W87" i="1"/>
  <c r="Z37" i="1"/>
  <c r="V31" i="1"/>
  <c r="BC31" i="1" s="1"/>
  <c r="BC30" i="1"/>
  <c r="Y158" i="1" l="1"/>
  <c r="X158" i="1"/>
  <c r="W158" i="1"/>
  <c r="V158" i="1"/>
  <c r="BC155" i="1"/>
  <c r="BF10" i="1" l="1"/>
  <c r="Z38" i="1"/>
  <c r="Z41" i="1"/>
  <c r="Z40" i="1"/>
  <c r="Z39" i="1"/>
  <c r="Z42" i="1"/>
  <c r="BF17" i="1" l="1"/>
  <c r="BF18" i="1" l="1"/>
  <c r="BF23" i="1"/>
  <c r="BF37" i="1"/>
  <c r="BF24" i="1"/>
  <c r="BF22" i="1"/>
  <c r="BF20" i="1"/>
  <c r="BF21" i="1"/>
  <c r="BF19" i="1"/>
  <c r="BF26" i="1" l="1"/>
  <c r="BF43" i="1" s="1"/>
  <c r="BF27" i="1" l="1"/>
  <c r="BF28" i="1" s="1"/>
  <c r="BF29" i="1" l="1"/>
  <c r="BF30" i="1" s="1"/>
  <c r="BS50" i="1" s="1"/>
  <c r="BF31" i="1" l="1"/>
  <c r="BF55" i="1"/>
  <c r="BG27" i="1" s="1"/>
  <c r="V136" i="1" l="1"/>
  <c r="V154" i="1" s="1"/>
  <c r="Y157" i="1" l="1"/>
  <c r="Y160" i="1" s="1"/>
  <c r="X157" i="1"/>
  <c r="X160" i="1" s="1"/>
  <c r="V157" i="1"/>
  <c r="W157" i="1"/>
  <c r="W160" i="1" s="1"/>
  <c r="V160" i="1" l="1"/>
  <c r="BC157" i="1"/>
  <c r="Y143" i="1"/>
  <c r="Y150" i="1" s="1"/>
  <c r="Y152" i="1" s="1"/>
  <c r="BH17" i="1"/>
  <c r="BG17" i="1"/>
  <c r="BG20" i="1" s="1"/>
  <c r="BI17" i="1" l="1"/>
  <c r="BG24" i="1"/>
  <c r="BH24" i="1" s="1"/>
  <c r="BG19" i="1"/>
  <c r="BH19" i="1" s="1"/>
  <c r="BG22" i="1"/>
  <c r="BH22" i="1" s="1"/>
  <c r="BG37" i="1"/>
  <c r="BG21" i="1"/>
  <c r="BH21" i="1" s="1"/>
  <c r="BG18" i="1"/>
  <c r="BH18" i="1" s="1"/>
  <c r="BG23" i="1"/>
  <c r="BH23" i="1" s="1"/>
  <c r="BH37" i="1"/>
  <c r="BH20" i="1"/>
  <c r="BH26" i="1" l="1"/>
  <c r="BH43" i="1" s="1"/>
  <c r="BG26" i="1"/>
  <c r="BI20" i="1"/>
  <c r="BI23" i="1"/>
  <c r="BI18" i="1"/>
  <c r="BI37" i="1"/>
  <c r="BI21" i="1"/>
  <c r="BI22" i="1"/>
  <c r="BI19" i="1"/>
  <c r="BI24" i="1"/>
  <c r="BJ17" i="1"/>
  <c r="BG28" i="1" l="1"/>
  <c r="BG43" i="1"/>
  <c r="BI26" i="1"/>
  <c r="BI43" i="1" s="1"/>
  <c r="BK17" i="1"/>
  <c r="BJ24" i="1"/>
  <c r="BJ37" i="1"/>
  <c r="BJ18" i="1"/>
  <c r="BJ22" i="1"/>
  <c r="BJ23" i="1"/>
  <c r="BJ19" i="1"/>
  <c r="BJ20" i="1"/>
  <c r="BJ21" i="1"/>
  <c r="BG29" i="1"/>
  <c r="BG30" i="1"/>
  <c r="BS51" i="1" s="1"/>
  <c r="BJ26" i="1" l="1"/>
  <c r="BJ43" i="1" s="1"/>
  <c r="BG31" i="1"/>
  <c r="BG55" i="1"/>
  <c r="BL17" i="1"/>
  <c r="BK20" i="1"/>
  <c r="BK37" i="1"/>
  <c r="BK19" i="1"/>
  <c r="BK24" i="1"/>
  <c r="BK22" i="1"/>
  <c r="BK21" i="1"/>
  <c r="BK23" i="1"/>
  <c r="BK18" i="1"/>
  <c r="BK26" i="1" l="1"/>
  <c r="BK43" i="1" s="1"/>
  <c r="BL18" i="1"/>
  <c r="BL22" i="1"/>
  <c r="BL20" i="1"/>
  <c r="BL19" i="1"/>
  <c r="BL21" i="1"/>
  <c r="BL37" i="1"/>
  <c r="BL23" i="1"/>
  <c r="BL24" i="1"/>
  <c r="BM17" i="1"/>
  <c r="BH27" i="1"/>
  <c r="BH28" i="1" s="1"/>
  <c r="BL26" i="1" l="1"/>
  <c r="BL43" i="1" s="1"/>
  <c r="BH29" i="1"/>
  <c r="BH30" i="1" s="1"/>
  <c r="BN17" i="1"/>
  <c r="BO17" i="1"/>
  <c r="BM20" i="1"/>
  <c r="BM19" i="1"/>
  <c r="BM18" i="1"/>
  <c r="BM37" i="1"/>
  <c r="BM23" i="1"/>
  <c r="BM22" i="1"/>
  <c r="BM21" i="1"/>
  <c r="BM24" i="1"/>
  <c r="BM26" i="1" l="1"/>
  <c r="BM43" i="1" s="1"/>
  <c r="BH31" i="1"/>
  <c r="BH55" i="1"/>
  <c r="BO37" i="1"/>
  <c r="BN22" i="1"/>
  <c r="BO22" i="1" s="1"/>
  <c r="BN19" i="1"/>
  <c r="BO19" i="1" s="1"/>
  <c r="BN37" i="1"/>
  <c r="BN18" i="1"/>
  <c r="BO18" i="1" s="1"/>
  <c r="BN20" i="1"/>
  <c r="BO20" i="1" s="1"/>
  <c r="BN21" i="1"/>
  <c r="BO21" i="1" s="1"/>
  <c r="BN24" i="1"/>
  <c r="BO24" i="1" s="1"/>
  <c r="BN23" i="1"/>
  <c r="BO23" i="1" s="1"/>
  <c r="BN26" i="1" l="1"/>
  <c r="BN43" i="1" s="1"/>
  <c r="BO26" i="1"/>
  <c r="BO43" i="1" s="1"/>
  <c r="BI27" i="1"/>
  <c r="BI28" i="1" s="1"/>
  <c r="BI29" i="1" l="1"/>
  <c r="BI30" i="1" s="1"/>
  <c r="BI31" i="1" l="1"/>
  <c r="BI55" i="1"/>
  <c r="BJ27" i="1" l="1"/>
  <c r="BJ28" i="1" s="1"/>
  <c r="BJ29" i="1" l="1"/>
  <c r="BJ30" i="1" s="1"/>
  <c r="BJ31" i="1" l="1"/>
  <c r="BJ55" i="1"/>
  <c r="BK27" i="1" l="1"/>
  <c r="BK28" i="1" s="1"/>
  <c r="BK29" i="1" l="1"/>
  <c r="BK30" i="1" s="1"/>
  <c r="BK31" i="1" l="1"/>
  <c r="BK55" i="1"/>
  <c r="BL27" i="1" l="1"/>
  <c r="BL28" i="1" s="1"/>
  <c r="BL29" i="1" l="1"/>
  <c r="BL30" i="1" s="1"/>
  <c r="BL31" i="1" l="1"/>
  <c r="BL55" i="1"/>
  <c r="BM27" i="1" l="1"/>
  <c r="BM28" i="1" s="1"/>
  <c r="BM29" i="1" l="1"/>
  <c r="BM30" i="1" s="1"/>
  <c r="BM31" i="1" l="1"/>
  <c r="BM55" i="1"/>
  <c r="BN27" i="1" l="1"/>
  <c r="BN28" i="1" s="1"/>
  <c r="BN29" i="1" l="1"/>
  <c r="BN30" i="1" s="1"/>
  <c r="BN31" i="1" l="1"/>
  <c r="BN55" i="1"/>
  <c r="BO27" i="1" l="1"/>
  <c r="BO28" i="1" s="1"/>
  <c r="BO29" i="1"/>
  <c r="BO30" i="1" s="1"/>
  <c r="BO55" i="1" s="1"/>
  <c r="BO31" i="1" l="1"/>
  <c r="BQ30" i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l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BS38" i="1" s="1"/>
  <c r="BS40" i="1" s="1"/>
  <c r="BS42" i="1" s="1"/>
  <c r="BS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tc={A4C5B233-AE29-A64A-B28B-FD93BC95FBEE}</author>
    <author>tc={AD85D290-4C90-824C-A415-2DEABA02E8FF}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6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6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AE6" authorId="2" shapeId="0" xr:uid="{A4C5B233-AE29-A64A-B28B-FD93BC95FBEE}">
      <text>
        <t>[Threaded comment]
Your version of Excel allows you to read this threaded comment; however, any edits to it will get removed if the file is opened in a newer version of Excel. Learn more: https://go.microsoft.com/fwlink/?linkid=870924
Comment:
    43 chipotlanes</t>
      </text>
    </comment>
    <comment ref="AF6" authorId="3" shapeId="0" xr:uid="{AD85D290-4C90-824C-A415-2DEABA02E8FF}">
      <text>
        <t>[Threaded comment]
Your version of Excel allows you to read this threaded comment; however, any edits to it will get removed if the file is opened in a newer version of Excel. Learn more: https://go.microsoft.com/fwlink/?linkid=870924
Comment:
    46 chipotlanes</t>
      </text>
    </comment>
    <comment ref="BF29" authorId="4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7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6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8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64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<sst xmlns="http://schemas.openxmlformats.org/spreadsheetml/2006/main" count="255" uniqueCount="233">
  <si>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</si>
  <si>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</si>
  <si>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</si>
  <si>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</si>
  <si>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</si>
  <si>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</si>
  <si>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</si>
  <si>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</si>
  <si>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</si>
  <si>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</si>
  <si>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</si>
  <si>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</si>
  <si>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</si>
  <si>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</si>
  <si>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</si>
  <si>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</si>
  <si>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</si>
  <si>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</si>
  <si>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</si>
  <si>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</si>
  <si>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</si>
  <si>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</si>
  <si>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</si>
  <si>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</si>
  <si>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</si>
  <si>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</si>
  <si>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</si>
  <si>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</si>
  <si>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</si>
  <si>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</si>
  <si>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</si>
  <si>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</si>
  <si>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</si>
  <si>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</si>
  <si>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</si>
  <si>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</si>
  <si>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</si>
  <si>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</si>
  <si>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</si>
  <si>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</si>
  <si>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</si>
  <si>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</si>
  <si>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</si>
  <si>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</si>
  <si>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</si>
  <si>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</si>
  <si>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</si>
  <si>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</si>
  <si>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</si>
  <si>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</si>
  <si>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</si>
  <si>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</si>
  <si>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</si>
  <si>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</si>
  <si>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</si>
  <si>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</si>
  <si>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</si>
  <si>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</si>
  <si>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</si>
  <si>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</si>
  <si>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</si>
  <si>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</si>
  <si>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</si>
  <si>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</si>
  <si>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</si>
  <si>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</si>
  <si>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</si>
  <si>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</si>
  <si>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</si>
  <si>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</si>
  <si>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</si>
  <si>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</si>
  <si>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</si>
  <si>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</si>
  <si>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</si>
  <si>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</si>
  <si>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</si>
  <si>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</si>
  <si>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</si>
  <si>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</si>
  <si>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</si>
  <si>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</si>
  <si>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</si>
  <si>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</si>
  <si>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</si>
  <si>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</si>
  <si>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</si>
  <si>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</si>
  <si>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</si>
  <si>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</si>
  <si>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</si>
  <si>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</si>
  <si>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</si>
  <si>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</si>
  <si>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</si>
  <si>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</si>
  <si>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</si>
  <si>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</si>
  <si>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</si>
  <si>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</si>
  <si>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</si>
  <si>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</si>
  <si>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</si>
  <si>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</si>
  <si>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</si>
  <si>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</si>
  <si>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</si>
  <si>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</si>
  <si>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</si>
  <si>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</si>
  <si>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</si>
  <si>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</si>
  <si>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</si>
  <si>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</si>
  <si>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</si>
  <si>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</si>
  <si>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</si>
  <si>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</si>
  <si>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</si>
  <si>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</si>
  <si>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</si>
  <si>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</si>
  <si>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</si>
  <si>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</si>
  <si>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</si>
  <si>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</si>
  <si>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</si>
  <si>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</si>
  <si>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</si>
  <si>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</si>
  <si>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</si>
  <si>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</si>
  <si>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</si>
  <si>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</si>
  <si>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</si>
  <si>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</si>
  <si>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</si>
  <si>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</si>
  <si>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</si>
  <si>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</si>
  <si>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</si>
  <si>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</si>
  <si>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</si>
  <si>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</si>
  <si>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</si>
  <si>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</si>
  <si>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</si>
  <si>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</si>
  <si>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</si>
  <si>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</si>
  <si>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</si>
  <si>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</si>
  <si>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</si>
  <si>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</si>
  <si>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</si>
  <si>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</si>
  <si>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</si>
  <si>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</si>
  <si>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</si>
  <si>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</si>
  <si>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</si>
  <si>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</si>
  <si>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</si>
  <si>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</si>
  <si>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</si>
  <si>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</si>
  <si>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</si>
  <si>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</si>
  <si>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</si>
  <si>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</si>
  <si>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</si>
  <si>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</si>
  <si>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</si>
  <si>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</si>
  <si>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</si>
  <si>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</si>
  <si>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</si>
  <si>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</si>
  <si>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</si>
  <si>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</si>
  <si>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</si>
  <si>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</si>
  <si>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</si>
  <si>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</si>
  <si>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</si>
  <si>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</si>
  <si>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</si>
  <si>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</si>
  <si>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</si>
  <si>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</si>
  <si>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</si>
  <si>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</si>
  <si>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</si>
  <si>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</si>
  <si>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</si>
  <si>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</si>
  <si>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</si>
  <si>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</si>
  <si>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</si>
  <si>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</si>
  <si>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</si>
  <si>
    <t xml:space="preserve">tekken partnership </t>
  </si>
  <si>
    <t>Q124</t>
  </si>
  <si>
    <t xml:space="preserve">Kuwait Launch </t>
  </si>
  <si>
    <t>Q124 results</t>
  </si>
  <si>
    <t>.</t>
  </si>
  <si>
    <t>SSS</t>
  </si>
  <si>
    <t>$K</t>
  </si>
  <si>
    <t>EV/2024E</t>
  </si>
  <si>
    <t>EV/2023E</t>
  </si>
  <si>
    <t>EV/2025E</t>
  </si>
  <si>
    <t xml:space="preserve">Main </t>
  </si>
  <si>
    <t>Main</t>
  </si>
  <si>
    <t>Q224</t>
  </si>
  <si>
    <t>Tet hot honey chicken in 80 restaurants across Nashville, TN and Sacramento</t>
  </si>
  <si>
    <t>Smoked Brisket</t>
  </si>
  <si>
    <t>Q324</t>
  </si>
  <si>
    <t>Menu Price Increase</t>
  </si>
  <si>
    <t xml:space="preserve">CEO departure to starbucks </t>
  </si>
  <si>
    <t xml:space="preserve">Interim CEO </t>
  </si>
  <si>
    <t xml:space="preserve">CFO </t>
  </si>
  <si>
    <t>Adam Rymer</t>
  </si>
  <si>
    <t>Scott Boatwright</t>
  </si>
  <si>
    <t xml:space="preserve">Vebu </t>
  </si>
  <si>
    <t>Autocado + Augmented makeline</t>
  </si>
  <si>
    <t>Email to collaborate Cultivate Fund</t>
  </si>
  <si>
    <t>cultivatenext@chipotle.com</t>
  </si>
  <si>
    <t>AUV</t>
  </si>
  <si>
    <t xml:space="preserve">Restaurant Margin </t>
  </si>
  <si>
    <t xml:space="preserve">OM % </t>
  </si>
  <si>
    <t>ir.chipotle.com</t>
  </si>
  <si>
    <t xml:space="preserve">Acquisition of treasury stock </t>
  </si>
  <si>
    <t>Openings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</si>
</sst>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  <numFmt numFmtId="170" formatCode="0.0"/>
  </numFmts>
  <fonts count="14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4"/>
    <xf numFmtId="0" fontId="5" fillId="0" borderId="0" xfId="0" applyFont="1"/>
    <xf numFmtId="165" fontId="5" fillId="0" borderId="0" xfId="1" applyNumberFormat="1" applyFont="1"/>
    <xf numFmtId="0" fontId="5" fillId="0" borderId="0" xfId="0" applyFont="1" applyAlignment="1">
      <alignment horizontal="left"/>
    </xf>
    <xf numFmtId="169" fontId="5" fillId="0" borderId="0" xfId="0" applyNumberFormat="1" applyFont="1"/>
    <xf numFmtId="10" fontId="5" fillId="0" borderId="0" xfId="0" applyNumberFormat="1" applyFont="1"/>
    <xf numFmtId="0" fontId="6" fillId="0" borderId="0" xfId="4" applyFont="1"/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0" fontId="8" fillId="0" borderId="0" xfId="0" applyFont="1"/>
    <xf numFmtId="10" fontId="7" fillId="0" borderId="0" xfId="0" applyNumberFormat="1" applyFont="1"/>
    <xf numFmtId="168" fontId="7" fillId="0" borderId="0" xfId="1" applyNumberFormat="1" applyFont="1"/>
    <xf numFmtId="165" fontId="7" fillId="0" borderId="0" xfId="1" applyNumberFormat="1" applyFont="1"/>
    <xf numFmtId="3" fontId="8" fillId="0" borderId="0" xfId="0" applyNumberFormat="1" applyFont="1"/>
    <xf numFmtId="164" fontId="7" fillId="0" borderId="0" xfId="0" applyNumberFormat="1" applyFont="1"/>
    <xf numFmtId="0" fontId="8" fillId="0" borderId="0" xfId="0" applyFont="1" applyAlignment="1">
      <alignment horizontal="right"/>
    </xf>
    <xf numFmtId="14" fontId="6" fillId="0" borderId="0" xfId="4" applyNumberFormat="1" applyFont="1"/>
    <xf numFmtId="14" fontId="6" fillId="0" borderId="0" xfId="4" applyNumberFormat="1" applyFont="1" applyAlignment="1">
      <alignment horizontal="right"/>
    </xf>
    <xf numFmtId="14" fontId="6" fillId="0" borderId="0" xfId="4" applyNumberFormat="1" applyFont="1" applyAlignment="1"/>
    <xf numFmtId="9" fontId="7" fillId="0" borderId="0" xfId="2" applyFont="1"/>
    <xf numFmtId="9" fontId="8" fillId="0" borderId="0" xfId="2" applyFont="1"/>
    <xf numFmtId="3" fontId="6" fillId="0" borderId="0" xfId="4" applyNumberFormat="1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4" fontId="8" fillId="3" borderId="0" xfId="0" applyNumberFormat="1" applyFont="1" applyFill="1"/>
    <xf numFmtId="14" fontId="8" fillId="0" borderId="0" xfId="0" applyNumberFormat="1" applyFont="1"/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14" fontId="7" fillId="0" borderId="0" xfId="2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6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3" fontId="8" fillId="0" borderId="0" xfId="1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3" fontId="7" fillId="0" borderId="0" xfId="3" applyNumberFormat="1" applyFont="1" applyAlignment="1">
      <alignment horizontal="right"/>
    </xf>
    <xf numFmtId="9" fontId="7" fillId="0" borderId="0" xfId="3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8" fillId="0" borderId="0" xfId="0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7" fontId="8" fillId="0" borderId="0" xfId="3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3" fontId="11" fillId="0" borderId="0" xfId="0" applyNumberFormat="1" applyFont="1"/>
    <xf numFmtId="9" fontId="8" fillId="0" borderId="0" xfId="2" applyFont="1" applyAlignment="1">
      <alignment horizontal="right"/>
    </xf>
    <xf numFmtId="3" fontId="7" fillId="0" borderId="1" xfId="0" applyNumberFormat="1" applyFont="1" applyBorder="1" applyAlignment="1">
      <alignment horizontal="left"/>
    </xf>
    <xf numFmtId="3" fontId="7" fillId="0" borderId="3" xfId="0" applyNumberFormat="1" applyFont="1" applyBorder="1" applyAlignment="1">
      <alignment horizontal="left"/>
    </xf>
    <xf numFmtId="9" fontId="8" fillId="0" borderId="0" xfId="0" applyNumberFormat="1" applyFont="1" applyAlignment="1">
      <alignment horizontal="right"/>
    </xf>
    <xf numFmtId="167" fontId="7" fillId="0" borderId="4" xfId="2" applyNumberFormat="1" applyFont="1" applyBorder="1" applyAlignment="1">
      <alignment horizontal="right"/>
    </xf>
    <xf numFmtId="3" fontId="8" fillId="0" borderId="3" xfId="2" applyNumberFormat="1" applyFont="1" applyBorder="1" applyAlignment="1">
      <alignment horizontal="left"/>
    </xf>
    <xf numFmtId="3" fontId="8" fillId="0" borderId="4" xfId="2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9" fontId="7" fillId="0" borderId="3" xfId="0" applyNumberFormat="1" applyFont="1" applyBorder="1" applyAlignment="1">
      <alignment horizontal="left"/>
    </xf>
    <xf numFmtId="9" fontId="7" fillId="0" borderId="0" xfId="2" applyFont="1" applyAlignment="1"/>
    <xf numFmtId="9" fontId="7" fillId="0" borderId="0" xfId="2" applyFont="1" applyAlignment="1">
      <alignment horizontal="right"/>
    </xf>
    <xf numFmtId="9" fontId="7" fillId="0" borderId="0" xfId="2" applyFont="1" applyFill="1" applyAlignment="1">
      <alignment horizontal="right"/>
    </xf>
    <xf numFmtId="3" fontId="7" fillId="0" borderId="5" xfId="0" applyNumberFormat="1" applyFont="1" applyBorder="1" applyAlignment="1">
      <alignment horizontal="left"/>
    </xf>
    <xf numFmtId="9" fontId="7" fillId="0" borderId="6" xfId="2" applyFont="1" applyBorder="1" applyAlignment="1">
      <alignment horizontal="right"/>
    </xf>
    <xf numFmtId="9" fontId="8" fillId="0" borderId="0" xfId="2" applyFont="1" applyAlignment="1">
      <alignment horizontal="center"/>
    </xf>
    <xf numFmtId="9" fontId="8" fillId="0" borderId="0" xfId="2" applyFont="1" applyFill="1" applyAlignment="1">
      <alignment horizontal="right"/>
    </xf>
    <xf numFmtId="3" fontId="8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center"/>
    </xf>
    <xf numFmtId="3" fontId="7" fillId="0" borderId="0" xfId="2" applyNumberFormat="1" applyFont="1" applyAlignment="1">
      <alignment horizontal="right"/>
    </xf>
    <xf numFmtId="3" fontId="7" fillId="0" borderId="0" xfId="2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2" borderId="0" xfId="1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2" fillId="0" borderId="3" xfId="4" applyBorder="1"/>
    <xf numFmtId="0" fontId="13" fillId="0" borderId="7" xfId="0" applyFont="1" applyBorder="1"/>
    <xf numFmtId="0" fontId="7" fillId="0" borderId="8" xfId="0" applyFont="1" applyBorder="1"/>
    <xf numFmtId="0" fontId="2" fillId="0" borderId="4" xfId="4" applyBorder="1"/>
    <xf numFmtId="0" fontId="13" fillId="0" borderId="3" xfId="0" applyFont="1" applyBorder="1"/>
    <xf numFmtId="0" fontId="6" fillId="0" borderId="3" xfId="4" applyFont="1" applyBorder="1"/>
    <xf numFmtId="43" fontId="8" fillId="0" borderId="0" xfId="1" applyFont="1"/>
    <xf numFmtId="167" fontId="8" fillId="0" borderId="4" xfId="2" applyNumberFormat="1" applyFont="1" applyBorder="1" applyAlignment="1">
      <alignment horizontal="right"/>
    </xf>
    <xf numFmtId="1" fontId="7" fillId="0" borderId="0" xfId="0" applyNumberFormat="1" applyFont="1" applyAlignment="1">
      <alignment horizontal="left"/>
    </xf>
    <xf numFmtId="167" fontId="7" fillId="0" borderId="2" xfId="2" applyNumberFormat="1" applyFont="1" applyBorder="1" applyAlignment="1">
      <alignment horizontal="right"/>
    </xf>
    <xf numFmtId="170" fontId="8" fillId="0" borderId="0" xfId="2" applyNumberFormat="1" applyFont="1" applyAlignment="1">
      <alignment horizontal="center"/>
    </xf>
    <xf numFmtId="170" fontId="8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2" applyNumberFormat="1" applyFont="1" applyAlignment="1">
      <alignment horizontal="right"/>
    </xf>
    <xf numFmtId="170" fontId="8" fillId="0" borderId="0" xfId="2" applyNumberFormat="1" applyFont="1" applyFill="1" applyAlignment="1">
      <alignment horizontal="righ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193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1</xdr:colOff>
      <xdr:row>226</xdr:row>
      <xdr:rowOff>141111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 flipH="1">
          <a:off x="24130000" y="0"/>
          <a:ext cx="1" cy="3519311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" dT="2024-05-27T00:53:54.81" personId="{2E55D6BB-A26C-7041-BB27-C132C32F7E95}" id="{EEA83C40-93FE-B143-8700-87B76C9B544A}" parentId="{3CBE3620-C3B8-A044-96A3-38AC130F2666}">
    <text>285-315 openings = latest Q124 guidance</text>
  </threadedComment>
  <threadedComment ref="AE6" dT="2024-09-18T01:03:36.19" personId="{2E55D6BB-A26C-7041-BB27-C132C32F7E95}" id="{A4C5B233-AE29-A64A-B28B-FD93BC95FBEE}">
    <text>43 chipotlanes</text>
  </threadedComment>
  <threadedComment ref="AF6" dT="2024-09-18T01:09:28.78" personId="{2E55D6BB-A26C-7041-BB27-C132C32F7E95}" id="{AD85D290-4C90-824C-A415-2DEABA02E8FF}">
    <text>46 chipotlanes</text>
  </threadedComment>
  <threadedComment ref="BF29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9" Type="http://schemas.openxmlformats.org/officeDocument/2006/relationships/hyperlink" Target="https://www.usehyphen.com/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34" Type="http://schemas.openxmlformats.org/officeDocument/2006/relationships/hyperlink" Target="https://newsroom.chipotle.com/2024-09-16-CHIPOTLE-DEBUTS-AUTOCADO-AND-THE-AUGMENTED-MAKELINE-BY-HYPHEN-IN-RESTAURANTS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33" Type="http://schemas.openxmlformats.org/officeDocument/2006/relationships/hyperlink" Target="https://ir.chipotle.com/2024-08-27-CHIPOTLE-TESTS-CHIPOTLE-HONEY-CHICKEN-IN-SELECT-MARKETS" TargetMode="External"/><Relationship Id="rId38" Type="http://schemas.openxmlformats.org/officeDocument/2006/relationships/hyperlink" Target="https://www.vebulabs.com/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32" Type="http://schemas.openxmlformats.org/officeDocument/2006/relationships/hyperlink" Target="https://ir.chipotle.com/2024-04-24-CHIPOTLE-ANNOUNCES-FIRST-QUARTER-2024-RESULTS" TargetMode="External"/><Relationship Id="rId37" Type="http://schemas.openxmlformats.org/officeDocument/2006/relationships/hyperlink" Target="mailto:cultivatenext@chipotle.com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36" Type="http://schemas.openxmlformats.org/officeDocument/2006/relationships/hyperlink" Target="https://newsroom.chipotle.com/2024-08-13-CHIPOTLE-ANNOUNCES-CEO-DEPARTURE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31" Type="http://schemas.openxmlformats.org/officeDocument/2006/relationships/hyperlink" Target="https://ir.chipotle.com/2024-04-22-CHIPOTLE-INTRODUCES-ITS-REAL-INGREDIENTS-TO-KUWAIT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Relationship Id="rId30" Type="http://schemas.openxmlformats.org/officeDocument/2006/relationships/hyperlink" Target="https://ir.chipotle.com/2024-04-08-CHIPOTLE-KICKS-OFF-PARTNERSHIP-WITH-TEKKEN-TM-8,-RETURNS-WITH-NEW-EXCLUSIVE-EXPERIENCES-FOR-THE-FIGHTING-GAME-COMMUNITY-FGC" TargetMode="External"/><Relationship Id="rId35" Type="http://schemas.openxmlformats.org/officeDocument/2006/relationships/hyperlink" Target="https://newsroom.chipotle.com/2024-09-10-CHIPOTLE-BRINGS-BACK-SMOKED-BRISKET-IN-THE-U-S-AND-CANADA" TargetMode="External"/><Relationship Id="rId8" Type="http://schemas.openxmlformats.org/officeDocument/2006/relationships/hyperlink" Target="https://ir.chipotle.com/2022-03-16-CHIPOTLE-TESTS-AI-KITCHEN-ASSISTANT,-CHIPPY" TargetMode="External"/><Relationship Id="rId3" Type="http://schemas.openxmlformats.org/officeDocument/2006/relationships/hyperlink" Target="https://ir.chipotle.com/2021-08-19-Chipotle-Tests-Plant-Based-Chorizo-In-Select-Mark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N111"/>
  <sheetViews>
    <sheetView tabSelected="1" zoomScale="150" zoomScaleNormal="130" workbookViewId="0">
      <selection activeCell="C9" sqref="C9"/>
    </sheetView>
  </sheetViews>
  <sheetFormatPr baseColWidth="10" defaultRowHeight="13"/>
  <cols>
    <col min="1" max="1" width="9.1640625" style="8" bestFit="1" customWidth="1"/>
    <col min="2" max="3" width="28.5" style="8" bestFit="1" customWidth="1"/>
    <col min="4" max="4" width="9" style="8" customWidth="1"/>
    <col min="5" max="5" width="8.1640625" style="8" bestFit="1" customWidth="1"/>
    <col min="6" max="6" width="13.6640625" style="9" bestFit="1" customWidth="1"/>
    <col min="7" max="7" width="5.5" style="8" bestFit="1" customWidth="1"/>
    <col min="8" max="8" width="11.1640625" style="8" bestFit="1" customWidth="1"/>
    <col min="9" max="9" width="10.6640625" style="8" customWidth="1"/>
    <col min="10" max="10" width="10.83203125" style="8"/>
    <col min="11" max="11" width="12.33203125" style="8" customWidth="1"/>
    <col min="12" max="12" width="11.33203125" style="8" bestFit="1" customWidth="1"/>
    <col min="13" max="13" width="8.1640625" style="8" bestFit="1" customWidth="1"/>
    <col min="14" max="14" width="7.6640625" style="9" bestFit="1" customWidth="1"/>
    <col min="15" max="16384" width="10.83203125" style="8"/>
  </cols>
  <sheetData>
    <row r="1" spans="1:12">
      <c r="A1" s="7" t="s">
        <v>145</v>
      </c>
    </row>
    <row r="2" spans="1:12">
      <c r="A2" s="7"/>
      <c r="C2" s="8" t="s">
        <v>230</v>
      </c>
      <c r="D2" s="10"/>
      <c r="F2" s="96"/>
    </row>
    <row r="3" spans="1:12">
      <c r="A3" s="7"/>
      <c r="B3" s="8" t="s">
        <v>185</v>
      </c>
      <c r="C3" s="32">
        <v>34163</v>
      </c>
      <c r="D3" s="8" t="s">
        <v>162</v>
      </c>
      <c r="E3" s="11"/>
      <c r="G3" s="12"/>
    </row>
    <row r="4" spans="1:12">
      <c r="A4" s="7"/>
      <c r="B4" s="8" t="s">
        <v>186</v>
      </c>
      <c r="C4" s="8" t="s">
        <v>187</v>
      </c>
      <c r="E4" s="8" t="s">
        <v>12</v>
      </c>
      <c r="F4" s="9">
        <v>58.5</v>
      </c>
      <c r="I4" s="9"/>
      <c r="L4" s="13"/>
    </row>
    <row r="5" spans="1:12">
      <c r="B5" s="8" t="s">
        <v>200</v>
      </c>
      <c r="C5" s="98">
        <f ca="1">(TODAY()-C3)/365</f>
        <v>31.216438356164385</v>
      </c>
      <c r="E5" s="8" t="s">
        <v>13</v>
      </c>
      <c r="F5" s="9">
        <v>1371372</v>
      </c>
      <c r="G5" s="8" t="s">
        <v>213</v>
      </c>
      <c r="I5" s="9"/>
      <c r="L5" s="14"/>
    </row>
    <row r="6" spans="1:12">
      <c r="B6" s="8" t="s">
        <v>219</v>
      </c>
      <c r="C6" s="8" t="s">
        <v>222</v>
      </c>
      <c r="E6" s="8" t="s">
        <v>14</v>
      </c>
      <c r="F6" s="9">
        <f>+F4*F5</f>
        <v>80225262</v>
      </c>
      <c r="I6" s="9"/>
      <c r="L6" s="14"/>
    </row>
    <row r="7" spans="1:12">
      <c r="B7" s="8" t="s">
        <v>220</v>
      </c>
      <c r="C7" s="8" t="s">
        <v>221</v>
      </c>
      <c r="E7" s="8" t="s">
        <v>15</v>
      </c>
      <c r="F7" s="9">
        <f>806528+683287+972644+27664</f>
        <v>2490123</v>
      </c>
      <c r="G7" s="8" t="str">
        <f>+G5</f>
        <v>Q224</v>
      </c>
      <c r="H7" s="8">
        <f>+F7*1000</f>
        <v>2490123000</v>
      </c>
      <c r="I7" s="9"/>
      <c r="L7" s="14"/>
    </row>
    <row r="8" spans="1:12">
      <c r="E8" s="8" t="s">
        <v>16</v>
      </c>
      <c r="F8" s="9">
        <v>0</v>
      </c>
      <c r="G8" s="8" t="str">
        <f>+G7</f>
        <v>Q224</v>
      </c>
      <c r="I8" s="9"/>
      <c r="L8" s="14"/>
    </row>
    <row r="9" spans="1:12">
      <c r="E9" s="8" t="s">
        <v>17</v>
      </c>
      <c r="F9" s="9">
        <f>+F6-F7+F8</f>
        <v>77735139</v>
      </c>
      <c r="I9" s="9"/>
      <c r="L9" s="15"/>
    </row>
    <row r="10" spans="1:12">
      <c r="F10" s="16"/>
      <c r="L10" s="14"/>
    </row>
    <row r="11" spans="1:12">
      <c r="L11" s="14"/>
    </row>
    <row r="13" spans="1:12">
      <c r="D13" s="11"/>
    </row>
    <row r="14" spans="1:12">
      <c r="E14" s="17" t="s">
        <v>46</v>
      </c>
      <c r="F14" s="11" t="s">
        <v>47</v>
      </c>
    </row>
    <row r="15" spans="1:12">
      <c r="A15" s="7"/>
      <c r="E15" s="18">
        <v>45551</v>
      </c>
      <c r="F15" s="8" t="s">
        <v>224</v>
      </c>
    </row>
    <row r="16" spans="1:12">
      <c r="B16" s="91" t="s">
        <v>182</v>
      </c>
      <c r="C16" s="92" t="s">
        <v>225</v>
      </c>
      <c r="E16" s="18">
        <v>45545</v>
      </c>
      <c r="F16" s="8" t="s">
        <v>215</v>
      </c>
    </row>
    <row r="17" spans="2:6">
      <c r="B17" s="86" t="s">
        <v>184</v>
      </c>
      <c r="C17" s="93" t="s">
        <v>226</v>
      </c>
      <c r="E17" s="18">
        <v>45531</v>
      </c>
      <c r="F17" s="8" t="s">
        <v>214</v>
      </c>
    </row>
    <row r="18" spans="2:6">
      <c r="B18" s="86" t="s">
        <v>183</v>
      </c>
      <c r="C18" s="87"/>
      <c r="E18" s="18">
        <v>45517</v>
      </c>
      <c r="F18" s="8" t="s">
        <v>218</v>
      </c>
    </row>
    <row r="19" spans="2:6">
      <c r="B19" s="90" t="s">
        <v>195</v>
      </c>
      <c r="C19" s="87"/>
      <c r="E19" s="19">
        <v>45406</v>
      </c>
      <c r="F19" s="8" t="s">
        <v>204</v>
      </c>
    </row>
    <row r="20" spans="2:6">
      <c r="B20" s="86" t="s">
        <v>196</v>
      </c>
      <c r="C20" s="87"/>
      <c r="E20" s="19">
        <v>45404</v>
      </c>
      <c r="F20" s="8" t="s">
        <v>203</v>
      </c>
    </row>
    <row r="21" spans="2:6">
      <c r="B21" s="90" t="s">
        <v>223</v>
      </c>
      <c r="C21" s="87"/>
      <c r="E21" s="18">
        <v>45390</v>
      </c>
      <c r="F21" s="8" t="s">
        <v>201</v>
      </c>
    </row>
    <row r="22" spans="2:6">
      <c r="B22" s="86"/>
      <c r="C22" s="87"/>
      <c r="E22" s="18">
        <v>45370</v>
      </c>
      <c r="F22" s="8" t="s">
        <v>197</v>
      </c>
    </row>
    <row r="23" spans="2:6">
      <c r="B23" s="94" t="s">
        <v>138</v>
      </c>
      <c r="C23" s="87"/>
      <c r="E23" s="18">
        <v>45363</v>
      </c>
      <c r="F23" s="8" t="s">
        <v>199</v>
      </c>
    </row>
    <row r="24" spans="2:6">
      <c r="B24" s="86" t="s">
        <v>161</v>
      </c>
      <c r="C24" s="87"/>
      <c r="E24" s="18">
        <v>45350</v>
      </c>
      <c r="F24" s="8" t="s">
        <v>198</v>
      </c>
    </row>
    <row r="25" spans="2:6">
      <c r="B25" s="95" t="s">
        <v>135</v>
      </c>
      <c r="C25" s="87"/>
      <c r="E25" s="18">
        <v>45293</v>
      </c>
      <c r="F25" s="8" t="s">
        <v>180</v>
      </c>
    </row>
    <row r="26" spans="2:6">
      <c r="B26" s="86"/>
      <c r="C26" s="87"/>
      <c r="E26" s="18">
        <v>45273</v>
      </c>
      <c r="F26" s="8" t="s">
        <v>181</v>
      </c>
    </row>
    <row r="27" spans="2:6">
      <c r="B27" s="88"/>
      <c r="C27" s="89"/>
      <c r="E27" s="20">
        <v>44845</v>
      </c>
      <c r="F27" s="8" t="s">
        <v>166</v>
      </c>
    </row>
    <row r="28" spans="2:6">
      <c r="E28" s="20">
        <v>44831</v>
      </c>
      <c r="F28" s="8" t="s">
        <v>167</v>
      </c>
    </row>
    <row r="29" spans="2:6">
      <c r="E29" s="20">
        <v>44817</v>
      </c>
      <c r="F29" s="8" t="s">
        <v>168</v>
      </c>
    </row>
    <row r="30" spans="2:6">
      <c r="E30" s="20">
        <v>44811</v>
      </c>
      <c r="F30" s="8" t="s">
        <v>169</v>
      </c>
    </row>
    <row r="31" spans="2:6">
      <c r="E31" s="20">
        <v>44803</v>
      </c>
      <c r="F31" s="8" t="s">
        <v>170</v>
      </c>
    </row>
    <row r="32" spans="2:6">
      <c r="E32" s="20">
        <v>44795</v>
      </c>
      <c r="F32" s="8" t="s">
        <v>171</v>
      </c>
    </row>
    <row r="33" spans="5:6">
      <c r="E33" s="20">
        <v>44763</v>
      </c>
      <c r="F33" s="8" t="s">
        <v>172</v>
      </c>
    </row>
    <row r="34" spans="5:6">
      <c r="E34" s="20">
        <v>44740</v>
      </c>
      <c r="F34" s="8" t="s">
        <v>160</v>
      </c>
    </row>
    <row r="35" spans="5:6">
      <c r="E35" s="20">
        <v>44728</v>
      </c>
      <c r="F35" s="8" t="s">
        <v>157</v>
      </c>
    </row>
    <row r="36" spans="5:6">
      <c r="E36" s="20">
        <v>44721</v>
      </c>
      <c r="F36" s="8" t="s">
        <v>156</v>
      </c>
    </row>
    <row r="37" spans="5:6">
      <c r="E37" s="20">
        <v>44683</v>
      </c>
      <c r="F37" s="8" t="s">
        <v>155</v>
      </c>
    </row>
    <row r="38" spans="5:6">
      <c r="E38" s="20">
        <v>44677</v>
      </c>
      <c r="F38" s="8" t="s">
        <v>154</v>
      </c>
    </row>
    <row r="39" spans="5:6">
      <c r="E39" s="20">
        <v>44670</v>
      </c>
      <c r="F39" s="8" t="s">
        <v>146</v>
      </c>
    </row>
    <row r="40" spans="5:6">
      <c r="E40" s="20">
        <v>44656</v>
      </c>
      <c r="F40" s="8" t="s">
        <v>149</v>
      </c>
    </row>
    <row r="41" spans="5:6">
      <c r="E41" s="20">
        <v>44651</v>
      </c>
      <c r="F41" s="8" t="s">
        <v>148</v>
      </c>
    </row>
    <row r="42" spans="5:6">
      <c r="E42" s="20">
        <v>44648</v>
      </c>
      <c r="F42" s="8" t="s">
        <v>147</v>
      </c>
    </row>
    <row r="43" spans="5:6">
      <c r="E43" s="20">
        <v>44636</v>
      </c>
      <c r="F43" s="8" t="s">
        <v>134</v>
      </c>
    </row>
    <row r="44" spans="5:6">
      <c r="E44" s="20">
        <v>44630</v>
      </c>
      <c r="F44" s="8" t="s">
        <v>136</v>
      </c>
    </row>
    <row r="45" spans="5:6">
      <c r="E45" s="20">
        <v>44615</v>
      </c>
      <c r="F45" s="8" t="s">
        <v>137</v>
      </c>
    </row>
    <row r="46" spans="5:6">
      <c r="E46" s="20">
        <v>44607</v>
      </c>
      <c r="F46" s="8" t="s">
        <v>133</v>
      </c>
    </row>
    <row r="47" spans="5:6">
      <c r="E47" s="20">
        <v>44564</v>
      </c>
      <c r="F47" s="8" t="s">
        <v>115</v>
      </c>
    </row>
    <row r="48" spans="5:6">
      <c r="E48" s="20">
        <v>44546</v>
      </c>
      <c r="F48" s="8" t="s">
        <v>116</v>
      </c>
    </row>
    <row r="49" spans="2:13">
      <c r="E49" s="20">
        <v>44448</v>
      </c>
      <c r="F49" s="8" t="s">
        <v>48</v>
      </c>
    </row>
    <row r="50" spans="2:13">
      <c r="E50" s="20">
        <v>44440</v>
      </c>
      <c r="F50" s="8" t="s">
        <v>49</v>
      </c>
    </row>
    <row r="51" spans="2:13">
      <c r="E51" s="20">
        <v>44427</v>
      </c>
      <c r="F51" s="8" t="s">
        <v>50</v>
      </c>
    </row>
    <row r="52" spans="2:13">
      <c r="E52" s="20">
        <v>44377</v>
      </c>
      <c r="F52" s="8" t="s">
        <v>51</v>
      </c>
    </row>
    <row r="53" spans="2:13">
      <c r="E53" s="20">
        <v>44326</v>
      </c>
      <c r="F53" s="8" t="s">
        <v>52</v>
      </c>
    </row>
    <row r="54" spans="2:13">
      <c r="E54" s="20">
        <v>44280</v>
      </c>
      <c r="F54" s="8" t="s">
        <v>194</v>
      </c>
    </row>
    <row r="60" spans="2:13">
      <c r="B60" s="1"/>
    </row>
    <row r="61" spans="2:13">
      <c r="K61" s="11"/>
      <c r="M61" s="11"/>
    </row>
    <row r="62" spans="2:13">
      <c r="M62" s="21"/>
    </row>
    <row r="63" spans="2:13">
      <c r="M63" s="21"/>
    </row>
    <row r="64" spans="2:13">
      <c r="M64" s="21"/>
    </row>
    <row r="65" spans="11:14">
      <c r="K65" s="11"/>
      <c r="L65" s="11"/>
      <c r="M65" s="22"/>
      <c r="N65" s="15"/>
    </row>
    <row r="66" spans="11:14">
      <c r="M66" s="21"/>
    </row>
    <row r="67" spans="11:14">
      <c r="M67" s="21"/>
    </row>
    <row r="68" spans="11:14">
      <c r="M68" s="21"/>
    </row>
    <row r="69" spans="11:14">
      <c r="M69" s="21"/>
    </row>
    <row r="70" spans="11:14">
      <c r="M70" s="21"/>
    </row>
    <row r="71" spans="11:14">
      <c r="M71" s="21"/>
    </row>
    <row r="72" spans="11:14">
      <c r="M72" s="21"/>
    </row>
    <row r="73" spans="11:14">
      <c r="M73" s="21"/>
    </row>
    <row r="74" spans="11:14">
      <c r="M74" s="21"/>
    </row>
    <row r="75" spans="11:14">
      <c r="M75" s="21"/>
    </row>
    <row r="76" spans="11:14">
      <c r="M76" s="21"/>
    </row>
    <row r="77" spans="11:14">
      <c r="M77" s="21"/>
    </row>
    <row r="78" spans="11:14">
      <c r="M78" s="21"/>
    </row>
    <row r="79" spans="11:14">
      <c r="M79" s="21"/>
    </row>
    <row r="80" spans="11:14">
      <c r="M80" s="21"/>
    </row>
    <row r="81" spans="13:13">
      <c r="M81" s="21"/>
    </row>
    <row r="82" spans="13:13">
      <c r="M82" s="21"/>
    </row>
    <row r="83" spans="13:13">
      <c r="M83" s="21"/>
    </row>
    <row r="84" spans="13:13">
      <c r="M84" s="21"/>
    </row>
    <row r="85" spans="13:13">
      <c r="M85" s="21"/>
    </row>
    <row r="86" spans="13:13">
      <c r="M86" s="21"/>
    </row>
    <row r="87" spans="13:13">
      <c r="M87" s="21"/>
    </row>
    <row r="88" spans="13:13">
      <c r="M88" s="21"/>
    </row>
    <row r="89" spans="13:13">
      <c r="M89" s="21"/>
    </row>
    <row r="90" spans="13:13">
      <c r="M90" s="21"/>
    </row>
    <row r="91" spans="13:13">
      <c r="M91" s="21"/>
    </row>
    <row r="92" spans="13:13">
      <c r="M92" s="21"/>
    </row>
    <row r="93" spans="13:13">
      <c r="M93" s="21"/>
    </row>
    <row r="94" spans="13:13">
      <c r="M94" s="21"/>
    </row>
    <row r="95" spans="13:13">
      <c r="M95" s="21"/>
    </row>
    <row r="96" spans="13:13">
      <c r="M96" s="21"/>
    </row>
    <row r="97" spans="12:13">
      <c r="M97" s="21"/>
    </row>
    <row r="98" spans="12:13">
      <c r="M98" s="21"/>
    </row>
    <row r="99" spans="12:13">
      <c r="M99" s="21"/>
    </row>
    <row r="100" spans="12:13">
      <c r="M100" s="21"/>
    </row>
    <row r="101" spans="12:13">
      <c r="M101" s="21"/>
    </row>
    <row r="102" spans="12:13">
      <c r="M102" s="21"/>
    </row>
    <row r="103" spans="12:13">
      <c r="M103" s="21"/>
    </row>
    <row r="104" spans="12:13">
      <c r="M104" s="21"/>
    </row>
    <row r="105" spans="12:13">
      <c r="M105" s="21"/>
    </row>
    <row r="106" spans="12:13">
      <c r="M106" s="21"/>
    </row>
    <row r="107" spans="12:13">
      <c r="M107" s="21"/>
    </row>
    <row r="108" spans="12:13">
      <c r="M108" s="21"/>
    </row>
    <row r="109" spans="12:13">
      <c r="M109" s="21"/>
    </row>
    <row r="111" spans="12:13">
      <c r="L111" s="9"/>
    </row>
  </sheetData>
  <hyperlinks>
    <hyperlink ref="E49" r:id="rId1" display="9/9/21 Press Release" xr:uid="{D879A47D-CEDE-6B45-9E60-9F54FB18B685}"/>
    <hyperlink ref="E50" r:id="rId2" display="9/1/21 Press Release" xr:uid="{919BA319-D27F-5F45-A159-BD7F47F2F59D}"/>
    <hyperlink ref="E51" r:id="rId3" display="8/19/21 Press Release " xr:uid="{B211C8DC-3A52-F14F-8F6D-24C0F5F95485}"/>
    <hyperlink ref="E52" r:id="rId4" display="6/30/21 Press Release" xr:uid="{33BCD7E2-316F-0A41-B77C-80F8C21D0669}"/>
    <hyperlink ref="E53" r:id="rId5" display="5/10/21 Press Release" xr:uid="{39EC7DB8-A0BC-B149-906C-A4D8AE9C2474}"/>
    <hyperlink ref="E47" r:id="rId6" display="1/3/2022 Press release" xr:uid="{27C89C1F-6A3B-8E47-9D36-8C4F95C3DD23}"/>
    <hyperlink ref="E48" r:id="rId7" display="12/16/21 Press release" xr:uid="{332C27BD-6179-A44B-82BA-1BB3D044EC05}"/>
    <hyperlink ref="E43" r:id="rId8" display="3/16/2022 Press Release" xr:uid="{3D9CDEB0-1E08-1E46-BAE4-80C186F12D19}"/>
    <hyperlink ref="B25" r:id="rId9" xr:uid="{9BE232BB-5FDC-6C4F-A32E-5212308C52F0}"/>
    <hyperlink ref="E44" r:id="rId10" display="3/10/22 Press Release" xr:uid="{993F6CD6-AF6A-D34E-A97A-0883743F6E97}"/>
    <hyperlink ref="E46" r:id="rId11" display="2/15/2022 Press Release" xr:uid="{40FC8D02-2B58-E347-B032-7BA7EFAAD1CA}"/>
    <hyperlink ref="A1" location="Model!A1" display="Model" xr:uid="{4EBDF202-A121-B14F-A255-3F8E62B44989}"/>
    <hyperlink ref="E39" r:id="rId12" display="4/19/22 Press Release" xr:uid="{4A0C956C-3152-864B-91A8-4119706762C5}"/>
    <hyperlink ref="E42" r:id="rId13" display="3/28/22 Press Release" xr:uid="{E98A3860-CE2C-D346-A7F8-3BFECB77F349}"/>
    <hyperlink ref="E40" r:id="rId14" display="4/5/22 Press Release" xr:uid="{0BE5ACE2-4857-3B4D-A854-8D959D99B602}"/>
    <hyperlink ref="E38" r:id="rId15" display="4/26/22 Press Release" xr:uid="{F45703FF-7DA6-AD43-A4AB-DA9E06AC4711}"/>
    <hyperlink ref="E37" r:id="rId16" display="5/2/22 Press Release" xr:uid="{064F4BA5-C4A3-394A-A224-77908E3229CD}"/>
    <hyperlink ref="E36" r:id="rId17" display="6/9/22 Press Release" xr:uid="{98142C7F-2AA7-8B44-B252-2DE623CB2A48}"/>
    <hyperlink ref="E35" r:id="rId18" display="6/16/22 Press Release" xr:uid="{C0CF27D7-F5D7-D44D-A046-6D01F37E2A6A}"/>
    <hyperlink ref="E34" r:id="rId19" display="6/28/22 Press Release" xr:uid="{236EE2B4-06FC-FC43-BCD9-B55CD85EF132}"/>
    <hyperlink ref="E27" r:id="rId20" display="10/11/2022 Press Releases" xr:uid="{58D60953-E809-8344-80E4-753831B5BCCD}"/>
    <hyperlink ref="E28" r:id="rId21" display="9/27/2022 Press Release" xr:uid="{06E23F18-D0BF-1441-8ECB-A0DF37C02A7E}"/>
    <hyperlink ref="E29" r:id="rId22" display="9/13/22 Press Release" xr:uid="{31796C53-3353-614C-850C-37223269C65A}"/>
    <hyperlink ref="E30" r:id="rId23" display="9/7/22 Press Release" xr:uid="{F5A9EBA8-65D3-B145-BFD3-96A9517114BB}"/>
    <hyperlink ref="E25" r:id="rId24" display="https://ir.chipotle.com/2024-01-02-CHIPOTLE-AND-STRAVA-TEAM-UP-TO-HELP-FANS-ACHIEVE-WELLNESS-GOALS-ALL-JANUARY" xr:uid="{8F61C397-6067-AC4B-B494-83E922F1BE68}"/>
    <hyperlink ref="E26" r:id="rId25" display="https://ir.chipotle.com/2023-12-13-CHIPOTLE-INVESTS-IN-AUTONOMOUS-AGRICULTURAL-ROBOTS-AND-CLIMATE-SMART-FERTILIZER-TO-IMPROVE-THE-FUTURE-OF-FARMING" xr:uid="{F5AC78B6-94FC-8546-AB05-921EDE6AB4EE}"/>
    <hyperlink ref="E54" r:id="rId26" display="https://ir.chipotle.com/2021-03-25-Chipotle-Invests-In-Leading-Autonomous-Delivery-Company-Nuro" xr:uid="{42BFF284-5C82-4F42-B97C-204926615DF4}"/>
    <hyperlink ref="E24" r:id="rId27" display="https://ir.chipotle.com/2024-02-28-CHIPOTLE-DOUBLES-ITS-COMMITMENT-TO-THE-CULTIVATE-NEXT-VENTURE-FUND-TO-100-MILLION,-MARKING-ITS-TWO-YEAR-ANNIVERSARY" xr:uid="{6B02CC92-51C3-B645-B764-8CD662CC60BB}"/>
    <hyperlink ref="E22" r:id="rId28" display="https://ir.chipotle.com/2024-03-19-CHIPOTLE-BOARD-OF-DIRECTORS-APPROVES-50-FOR-1-STOCK-SPLIT" xr:uid="{B08C3402-BE9C-A34F-ACB4-1730ED1C4966}"/>
    <hyperlink ref="E23" r:id="rId29" display="https://ir.chipotle.com/2024-03-12-CHICKEN-AL-PASTOR-IS-BACK-CHIPOTLE-REINTRODUCES-ONE-OF-ITS-MOST-POPULAR-MENU-INNOVATIONS" xr:uid="{14879690-4BED-4546-BC50-DB312E87F222}"/>
    <hyperlink ref="E21" r:id="rId30" display="https://ir.chipotle.com/2024-04-08-CHIPOTLE-KICKS-OFF-PARTNERSHIP-WITH-TEKKEN-TM-8,-RETURNS-WITH-NEW-EXCLUSIVE-EXPERIENCES-FOR-THE-FIGHTING-GAME-COMMUNITY-FGC" xr:uid="{B6914D22-F406-D547-89CB-55A89DEC785D}"/>
    <hyperlink ref="E20" r:id="rId31" display="https://ir.chipotle.com/2024-04-22-CHIPOTLE-INTRODUCES-ITS-REAL-INGREDIENTS-TO-KUWAIT" xr:uid="{DA29A152-4B0B-E245-AAB2-09356D247CBE}"/>
    <hyperlink ref="E19" r:id="rId32" display="https://ir.chipotle.com/2024-04-24-CHIPOTLE-ANNOUNCES-FIRST-QUARTER-2024-RESULTS" xr:uid="{CFA2226E-2062-1944-8726-C14213316461}"/>
    <hyperlink ref="E17" r:id="rId33" display="https://ir.chipotle.com/2024-08-27-CHIPOTLE-TESTS-CHIPOTLE-HONEY-CHICKEN-IN-SELECT-MARKETS" xr:uid="{95684927-3924-1245-AC4C-DC920CE00FC2}"/>
    <hyperlink ref="E15" r:id="rId34" display="https://newsroom.chipotle.com/2024-09-16-CHIPOTLE-DEBUTS-AUTOCADO-AND-THE-AUGMENTED-MAKELINE-BY-HYPHEN-IN-RESTAURANTS" xr:uid="{B7000FC3-D4EA-F348-BBCE-463594A71A9D}"/>
    <hyperlink ref="E16" r:id="rId35" display="https://newsroom.chipotle.com/2024-09-10-CHIPOTLE-BRINGS-BACK-SMOKED-BRISKET-IN-THE-U-S-AND-CANADA" xr:uid="{DD136792-852A-A746-A6A8-CE9FAE734150}"/>
    <hyperlink ref="E18" r:id="rId36" display="https://newsroom.chipotle.com/2024-08-13-CHIPOTLE-ANNOUNCES-CEO-DEPARTURE" xr:uid="{C22FBA2A-265A-E14D-8EAE-D7F258A8DA24}"/>
    <hyperlink ref="C17" r:id="rId37" xr:uid="{8AE5B916-8E91-BC4C-BEF7-0A020A25FE99}"/>
    <hyperlink ref="B21" r:id="rId38" xr:uid="{A0D4C4E1-BFD4-5349-BFA6-3B8FECE9E4D6}"/>
    <hyperlink ref="B19" r:id="rId39" xr:uid="{050D932C-E096-0D4B-B445-902F2B82A1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JG179"/>
  <sheetViews>
    <sheetView zoomScale="150" zoomScaleNormal="150" workbookViewId="0">
      <pane xSplit="2" ySplit="3" topLeftCell="C4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baseColWidth="10" defaultRowHeight="13" outlineLevelRow="1" outlineLevelCol="1"/>
  <cols>
    <col min="1" max="1" width="5.33203125" style="24" bestFit="1" customWidth="1"/>
    <col min="2" max="2" width="24.33203125" style="9" bestFit="1" customWidth="1"/>
    <col min="3" max="14" width="9.5" style="25" bestFit="1" customWidth="1" outlineLevel="1"/>
    <col min="15" max="18" width="9.5" style="25" bestFit="1" customWidth="1"/>
    <col min="19" max="19" width="11.1640625" style="25" bestFit="1" customWidth="1"/>
    <col min="20" max="22" width="9.5" style="25" bestFit="1" customWidth="1"/>
    <col min="23" max="23" width="11.1640625" style="25" bestFit="1" customWidth="1"/>
    <col min="24" max="24" width="10.1640625" style="25" bestFit="1" customWidth="1"/>
    <col min="25" max="25" width="9.5" style="25" bestFit="1" customWidth="1"/>
    <col min="26" max="27" width="9.1640625" style="25" bestFit="1" customWidth="1"/>
    <col min="28" max="28" width="10" style="25" bestFit="1" customWidth="1"/>
    <col min="29" max="29" width="9.1640625" style="25" bestFit="1" customWidth="1"/>
    <col min="30" max="30" width="9.33203125" style="25" bestFit="1" customWidth="1"/>
    <col min="31" max="32" width="9.1640625" style="25" bestFit="1" customWidth="1"/>
    <col min="33" max="33" width="7.6640625" style="25" bestFit="1" customWidth="1"/>
    <col min="34" max="38" width="3.6640625" style="25" customWidth="1"/>
    <col min="39" max="40" width="7.6640625" style="25" bestFit="1" customWidth="1" outlineLevel="1"/>
    <col min="41" max="50" width="9.1640625" style="25" bestFit="1" customWidth="1" outlineLevel="1"/>
    <col min="51" max="52" width="9.1640625" style="25" bestFit="1" customWidth="1"/>
    <col min="53" max="53" width="9.5" style="25" bestFit="1" customWidth="1"/>
    <col min="54" max="54" width="9.33203125" style="25" bestFit="1" customWidth="1"/>
    <col min="55" max="55" width="9.5" style="25" bestFit="1" customWidth="1"/>
    <col min="56" max="56" width="10.1640625" style="25" bestFit="1" customWidth="1"/>
    <col min="57" max="57" width="9.5" style="25" bestFit="1" customWidth="1"/>
    <col min="58" max="58" width="10.1640625" style="25" bestFit="1" customWidth="1"/>
    <col min="59" max="66" width="10.5" style="25" bestFit="1" customWidth="1"/>
    <col min="67" max="68" width="10.1640625" style="25" bestFit="1" customWidth="1"/>
    <col min="69" max="69" width="11.5" style="25" bestFit="1" customWidth="1"/>
    <col min="70" max="178" width="10.1640625" style="25" bestFit="1" customWidth="1"/>
    <col min="179" max="256" width="11.1640625" style="25" bestFit="1" customWidth="1"/>
    <col min="257" max="16384" width="10.83203125" style="25"/>
  </cols>
  <sheetData>
    <row r="1" spans="1:267" s="9" customFormat="1">
      <c r="A1" s="23" t="s">
        <v>211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</row>
    <row r="2" spans="1:267" s="10" customFormat="1">
      <c r="A2" s="27" t="s">
        <v>207</v>
      </c>
      <c r="B2" s="28" t="s">
        <v>159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>
        <v>44651</v>
      </c>
      <c r="X2" s="29">
        <v>44742</v>
      </c>
      <c r="Y2" s="29">
        <v>44834</v>
      </c>
      <c r="Z2" s="29"/>
      <c r="AA2" s="30">
        <v>45016</v>
      </c>
      <c r="AB2" s="30">
        <v>45107</v>
      </c>
      <c r="AC2" s="30">
        <v>45199</v>
      </c>
      <c r="AD2" s="30"/>
      <c r="AE2" s="30">
        <v>45382</v>
      </c>
      <c r="AF2" s="30">
        <v>45473</v>
      </c>
      <c r="AG2" s="30">
        <v>45567</v>
      </c>
      <c r="AH2" s="30"/>
      <c r="AI2" s="30"/>
      <c r="AJ2" s="30"/>
      <c r="AK2" s="30"/>
      <c r="AL2" s="30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31">
        <v>0.87822878228782286</v>
      </c>
      <c r="BB2" s="32"/>
      <c r="BC2" s="32"/>
      <c r="BD2" s="32"/>
      <c r="BF2" s="32">
        <f>AVERAGE(285,315)</f>
        <v>300</v>
      </c>
      <c r="BG2" s="32"/>
      <c r="BH2" s="32"/>
      <c r="BI2" s="32"/>
      <c r="BJ2" s="32"/>
      <c r="BK2" s="32"/>
      <c r="BL2" s="32"/>
      <c r="BM2" s="32"/>
      <c r="BN2" s="32"/>
      <c r="BO2" s="10" t="s">
        <v>193</v>
      </c>
      <c r="IV2" s="10" t="s">
        <v>205</v>
      </c>
    </row>
    <row r="3" spans="1:267" s="33" customFormat="1">
      <c r="C3" s="33" t="s">
        <v>121</v>
      </c>
      <c r="D3" s="33" t="s">
        <v>122</v>
      </c>
      <c r="E3" s="33" t="s">
        <v>123</v>
      </c>
      <c r="F3" s="33" t="s">
        <v>124</v>
      </c>
      <c r="G3" s="33" t="s">
        <v>117</v>
      </c>
      <c r="H3" s="33" t="s">
        <v>118</v>
      </c>
      <c r="I3" s="33" t="s">
        <v>119</v>
      </c>
      <c r="J3" s="33" t="s">
        <v>120</v>
      </c>
      <c r="K3" s="33" t="s">
        <v>0</v>
      </c>
      <c r="L3" s="33" t="s">
        <v>1</v>
      </c>
      <c r="M3" s="33" t="s">
        <v>2</v>
      </c>
      <c r="N3" s="33" t="s">
        <v>3</v>
      </c>
      <c r="O3" s="33" t="s">
        <v>4</v>
      </c>
      <c r="P3" s="33" t="s">
        <v>5</v>
      </c>
      <c r="Q3" s="33" t="s">
        <v>6</v>
      </c>
      <c r="R3" s="33" t="s">
        <v>7</v>
      </c>
      <c r="S3" s="33" t="s">
        <v>8</v>
      </c>
      <c r="T3" s="33" t="s">
        <v>9</v>
      </c>
      <c r="U3" s="33" t="s">
        <v>10</v>
      </c>
      <c r="V3" s="33" t="s">
        <v>11</v>
      </c>
      <c r="W3" s="33" t="s">
        <v>128</v>
      </c>
      <c r="X3" s="33" t="s">
        <v>129</v>
      </c>
      <c r="Y3" s="33" t="s">
        <v>130</v>
      </c>
      <c r="Z3" s="33" t="s">
        <v>131</v>
      </c>
      <c r="AA3" s="33" t="s">
        <v>173</v>
      </c>
      <c r="AB3" s="33" t="s">
        <v>174</v>
      </c>
      <c r="AC3" s="33" t="s">
        <v>175</v>
      </c>
      <c r="AD3" s="33" t="s">
        <v>176</v>
      </c>
      <c r="AE3" s="33" t="s">
        <v>202</v>
      </c>
      <c r="AF3" s="33" t="s">
        <v>213</v>
      </c>
      <c r="AG3" s="33" t="s">
        <v>216</v>
      </c>
      <c r="AM3" s="34">
        <f t="shared" ref="AM3:AQ3" si="0">+AN3-1</f>
        <v>2005</v>
      </c>
      <c r="AN3" s="34">
        <f t="shared" si="0"/>
        <v>2006</v>
      </c>
      <c r="AO3" s="34">
        <f t="shared" si="0"/>
        <v>2007</v>
      </c>
      <c r="AP3" s="34">
        <f t="shared" si="0"/>
        <v>2008</v>
      </c>
      <c r="AQ3" s="34">
        <f t="shared" si="0"/>
        <v>2009</v>
      </c>
      <c r="AR3" s="34">
        <f>+AS3-1</f>
        <v>2010</v>
      </c>
      <c r="AS3" s="34">
        <v>2011</v>
      </c>
      <c r="AT3" s="34">
        <v>2012</v>
      </c>
      <c r="AU3" s="34">
        <v>2013</v>
      </c>
      <c r="AV3" s="34">
        <v>2014</v>
      </c>
      <c r="AW3" s="34">
        <f t="shared" ref="AW3:AX3" si="1">+AX3-1</f>
        <v>2015</v>
      </c>
      <c r="AX3" s="34">
        <f t="shared" si="1"/>
        <v>2016</v>
      </c>
      <c r="AY3" s="34">
        <f>+AZ3-1</f>
        <v>2017</v>
      </c>
      <c r="AZ3" s="34">
        <v>2018</v>
      </c>
      <c r="BA3" s="34">
        <v>2019</v>
      </c>
      <c r="BB3" s="34">
        <v>2020</v>
      </c>
      <c r="BC3" s="34">
        <v>2021</v>
      </c>
      <c r="BD3" s="34">
        <f>+BC3+1</f>
        <v>2022</v>
      </c>
      <c r="BE3" s="34">
        <f t="shared" ref="BE3:BL3" si="2">+BD3+1</f>
        <v>2023</v>
      </c>
      <c r="BF3" s="34">
        <f t="shared" si="2"/>
        <v>2024</v>
      </c>
      <c r="BG3" s="34">
        <f t="shared" si="2"/>
        <v>2025</v>
      </c>
      <c r="BH3" s="34">
        <f t="shared" si="2"/>
        <v>2026</v>
      </c>
      <c r="BI3" s="34">
        <f t="shared" si="2"/>
        <v>2027</v>
      </c>
      <c r="BJ3" s="34">
        <f t="shared" si="2"/>
        <v>2028</v>
      </c>
      <c r="BK3" s="34">
        <f t="shared" si="2"/>
        <v>2029</v>
      </c>
      <c r="BL3" s="34">
        <f t="shared" si="2"/>
        <v>2030</v>
      </c>
      <c r="BM3" s="34">
        <f t="shared" ref="BM3" si="3">+BL3+1</f>
        <v>2031</v>
      </c>
      <c r="BN3" s="34">
        <f t="shared" ref="BN3:BO3" si="4">+BM3+1</f>
        <v>2032</v>
      </c>
      <c r="BO3" s="34">
        <f t="shared" si="4"/>
        <v>2033</v>
      </c>
      <c r="BP3" s="33">
        <f>+BO3+1</f>
        <v>2034</v>
      </c>
      <c r="BQ3" s="33">
        <f t="shared" ref="BQ3:EB3" si="5">+BP3+1</f>
        <v>2035</v>
      </c>
      <c r="BR3" s="33">
        <f t="shared" si="5"/>
        <v>2036</v>
      </c>
      <c r="BS3" s="33">
        <f t="shared" si="5"/>
        <v>2037</v>
      </c>
      <c r="BT3" s="33">
        <f t="shared" si="5"/>
        <v>2038</v>
      </c>
      <c r="BU3" s="33">
        <f t="shared" si="5"/>
        <v>2039</v>
      </c>
      <c r="BV3" s="33">
        <f t="shared" si="5"/>
        <v>2040</v>
      </c>
      <c r="BW3" s="33">
        <f t="shared" si="5"/>
        <v>2041</v>
      </c>
      <c r="BX3" s="33">
        <f t="shared" si="5"/>
        <v>2042</v>
      </c>
      <c r="BY3" s="33">
        <f t="shared" si="5"/>
        <v>2043</v>
      </c>
      <c r="BZ3" s="33">
        <f t="shared" si="5"/>
        <v>2044</v>
      </c>
      <c r="CA3" s="33">
        <f t="shared" si="5"/>
        <v>2045</v>
      </c>
      <c r="CB3" s="33">
        <f t="shared" si="5"/>
        <v>2046</v>
      </c>
      <c r="CC3" s="33">
        <f t="shared" si="5"/>
        <v>2047</v>
      </c>
      <c r="CD3" s="33">
        <f t="shared" si="5"/>
        <v>2048</v>
      </c>
      <c r="CE3" s="33">
        <f t="shared" si="5"/>
        <v>2049</v>
      </c>
      <c r="CF3" s="33">
        <f t="shared" si="5"/>
        <v>2050</v>
      </c>
      <c r="CG3" s="33">
        <f t="shared" si="5"/>
        <v>2051</v>
      </c>
      <c r="CH3" s="33">
        <f t="shared" si="5"/>
        <v>2052</v>
      </c>
      <c r="CI3" s="33">
        <f t="shared" si="5"/>
        <v>2053</v>
      </c>
      <c r="CJ3" s="33">
        <f t="shared" si="5"/>
        <v>2054</v>
      </c>
      <c r="CK3" s="33">
        <f t="shared" si="5"/>
        <v>2055</v>
      </c>
      <c r="CL3" s="33">
        <f t="shared" si="5"/>
        <v>2056</v>
      </c>
      <c r="CM3" s="33">
        <f t="shared" si="5"/>
        <v>2057</v>
      </c>
      <c r="CN3" s="33">
        <f t="shared" si="5"/>
        <v>2058</v>
      </c>
      <c r="CO3" s="33">
        <f t="shared" si="5"/>
        <v>2059</v>
      </c>
      <c r="CP3" s="33">
        <f t="shared" si="5"/>
        <v>2060</v>
      </c>
      <c r="CQ3" s="33">
        <f t="shared" si="5"/>
        <v>2061</v>
      </c>
      <c r="CR3" s="33">
        <f t="shared" si="5"/>
        <v>2062</v>
      </c>
      <c r="CS3" s="33">
        <f t="shared" si="5"/>
        <v>2063</v>
      </c>
      <c r="CT3" s="33">
        <f t="shared" si="5"/>
        <v>2064</v>
      </c>
      <c r="CU3" s="33">
        <f t="shared" si="5"/>
        <v>2065</v>
      </c>
      <c r="CV3" s="33">
        <f t="shared" si="5"/>
        <v>2066</v>
      </c>
      <c r="CW3" s="33">
        <f t="shared" si="5"/>
        <v>2067</v>
      </c>
      <c r="CX3" s="33">
        <f t="shared" si="5"/>
        <v>2068</v>
      </c>
      <c r="CY3" s="33">
        <f t="shared" si="5"/>
        <v>2069</v>
      </c>
      <c r="CZ3" s="33">
        <f t="shared" si="5"/>
        <v>2070</v>
      </c>
      <c r="DA3" s="33">
        <f t="shared" si="5"/>
        <v>2071</v>
      </c>
      <c r="DB3" s="33">
        <f t="shared" si="5"/>
        <v>2072</v>
      </c>
      <c r="DC3" s="33">
        <f t="shared" si="5"/>
        <v>2073</v>
      </c>
      <c r="DD3" s="33">
        <f t="shared" si="5"/>
        <v>2074</v>
      </c>
      <c r="DE3" s="33">
        <f t="shared" si="5"/>
        <v>2075</v>
      </c>
      <c r="DF3" s="33">
        <f t="shared" si="5"/>
        <v>2076</v>
      </c>
      <c r="DG3" s="33">
        <f t="shared" si="5"/>
        <v>2077</v>
      </c>
      <c r="DH3" s="33">
        <f t="shared" si="5"/>
        <v>2078</v>
      </c>
      <c r="DI3" s="33">
        <f t="shared" si="5"/>
        <v>2079</v>
      </c>
      <c r="DJ3" s="33">
        <f t="shared" si="5"/>
        <v>2080</v>
      </c>
      <c r="DK3" s="33">
        <f t="shared" si="5"/>
        <v>2081</v>
      </c>
      <c r="DL3" s="33">
        <f t="shared" si="5"/>
        <v>2082</v>
      </c>
      <c r="DM3" s="33">
        <f t="shared" si="5"/>
        <v>2083</v>
      </c>
      <c r="DN3" s="33">
        <f t="shared" si="5"/>
        <v>2084</v>
      </c>
      <c r="DO3" s="33">
        <f t="shared" si="5"/>
        <v>2085</v>
      </c>
      <c r="DP3" s="33">
        <f t="shared" si="5"/>
        <v>2086</v>
      </c>
      <c r="DQ3" s="33">
        <f t="shared" si="5"/>
        <v>2087</v>
      </c>
      <c r="DR3" s="33">
        <f t="shared" si="5"/>
        <v>2088</v>
      </c>
      <c r="DS3" s="33">
        <f t="shared" si="5"/>
        <v>2089</v>
      </c>
      <c r="DT3" s="33">
        <f t="shared" si="5"/>
        <v>2090</v>
      </c>
      <c r="DU3" s="33">
        <f t="shared" si="5"/>
        <v>2091</v>
      </c>
      <c r="DV3" s="33">
        <f t="shared" si="5"/>
        <v>2092</v>
      </c>
      <c r="DW3" s="33">
        <f t="shared" si="5"/>
        <v>2093</v>
      </c>
      <c r="DX3" s="33">
        <f t="shared" si="5"/>
        <v>2094</v>
      </c>
      <c r="DY3" s="33">
        <f t="shared" si="5"/>
        <v>2095</v>
      </c>
      <c r="DZ3" s="33">
        <f t="shared" si="5"/>
        <v>2096</v>
      </c>
      <c r="EA3" s="33">
        <f t="shared" si="5"/>
        <v>2097</v>
      </c>
      <c r="EB3" s="33">
        <f t="shared" si="5"/>
        <v>2098</v>
      </c>
      <c r="EC3" s="33">
        <f t="shared" ref="EC3:GN3" si="6">+EB3+1</f>
        <v>2099</v>
      </c>
      <c r="ED3" s="33">
        <f t="shared" si="6"/>
        <v>2100</v>
      </c>
      <c r="EE3" s="33">
        <f t="shared" si="6"/>
        <v>2101</v>
      </c>
      <c r="EF3" s="33">
        <f t="shared" si="6"/>
        <v>2102</v>
      </c>
      <c r="EG3" s="33">
        <f t="shared" si="6"/>
        <v>2103</v>
      </c>
      <c r="EH3" s="33">
        <f t="shared" si="6"/>
        <v>2104</v>
      </c>
      <c r="EI3" s="33">
        <f t="shared" si="6"/>
        <v>2105</v>
      </c>
      <c r="EJ3" s="33">
        <f t="shared" si="6"/>
        <v>2106</v>
      </c>
      <c r="EK3" s="33">
        <f t="shared" si="6"/>
        <v>2107</v>
      </c>
      <c r="EL3" s="33">
        <f t="shared" si="6"/>
        <v>2108</v>
      </c>
      <c r="EM3" s="33">
        <f t="shared" si="6"/>
        <v>2109</v>
      </c>
      <c r="EN3" s="33">
        <f t="shared" si="6"/>
        <v>2110</v>
      </c>
      <c r="EO3" s="33">
        <f t="shared" si="6"/>
        <v>2111</v>
      </c>
      <c r="EP3" s="33">
        <f t="shared" si="6"/>
        <v>2112</v>
      </c>
      <c r="EQ3" s="33">
        <f t="shared" si="6"/>
        <v>2113</v>
      </c>
      <c r="ER3" s="33">
        <f t="shared" si="6"/>
        <v>2114</v>
      </c>
      <c r="ES3" s="33">
        <f t="shared" si="6"/>
        <v>2115</v>
      </c>
      <c r="ET3" s="33">
        <f t="shared" si="6"/>
        <v>2116</v>
      </c>
      <c r="EU3" s="33">
        <f t="shared" si="6"/>
        <v>2117</v>
      </c>
      <c r="EV3" s="33">
        <f t="shared" si="6"/>
        <v>2118</v>
      </c>
      <c r="EW3" s="33">
        <f t="shared" si="6"/>
        <v>2119</v>
      </c>
      <c r="EX3" s="33">
        <f t="shared" si="6"/>
        <v>2120</v>
      </c>
      <c r="EY3" s="33">
        <f t="shared" si="6"/>
        <v>2121</v>
      </c>
      <c r="EZ3" s="33">
        <f t="shared" si="6"/>
        <v>2122</v>
      </c>
      <c r="FA3" s="33">
        <f t="shared" si="6"/>
        <v>2123</v>
      </c>
      <c r="FB3" s="33">
        <f t="shared" si="6"/>
        <v>2124</v>
      </c>
      <c r="FC3" s="33">
        <f t="shared" si="6"/>
        <v>2125</v>
      </c>
      <c r="FD3" s="33">
        <f t="shared" si="6"/>
        <v>2126</v>
      </c>
      <c r="FE3" s="33">
        <f t="shared" si="6"/>
        <v>2127</v>
      </c>
      <c r="FF3" s="33">
        <f t="shared" si="6"/>
        <v>2128</v>
      </c>
      <c r="FG3" s="33">
        <f t="shared" si="6"/>
        <v>2129</v>
      </c>
      <c r="FH3" s="33">
        <f t="shared" si="6"/>
        <v>2130</v>
      </c>
      <c r="FI3" s="33">
        <f t="shared" si="6"/>
        <v>2131</v>
      </c>
      <c r="FJ3" s="33">
        <f t="shared" si="6"/>
        <v>2132</v>
      </c>
      <c r="FK3" s="33">
        <f t="shared" si="6"/>
        <v>2133</v>
      </c>
      <c r="FL3" s="33">
        <f t="shared" si="6"/>
        <v>2134</v>
      </c>
      <c r="FM3" s="33">
        <f t="shared" si="6"/>
        <v>2135</v>
      </c>
      <c r="FN3" s="33">
        <f t="shared" si="6"/>
        <v>2136</v>
      </c>
      <c r="FO3" s="33">
        <f t="shared" si="6"/>
        <v>2137</v>
      </c>
      <c r="FP3" s="33">
        <f t="shared" si="6"/>
        <v>2138</v>
      </c>
      <c r="FQ3" s="33">
        <f t="shared" si="6"/>
        <v>2139</v>
      </c>
      <c r="FR3" s="33">
        <f t="shared" si="6"/>
        <v>2140</v>
      </c>
      <c r="FS3" s="33">
        <f t="shared" si="6"/>
        <v>2141</v>
      </c>
      <c r="FT3" s="33">
        <f t="shared" si="6"/>
        <v>2142</v>
      </c>
      <c r="FU3" s="33">
        <f t="shared" si="6"/>
        <v>2143</v>
      </c>
      <c r="FV3" s="33">
        <f t="shared" si="6"/>
        <v>2144</v>
      </c>
      <c r="FW3" s="33">
        <f t="shared" si="6"/>
        <v>2145</v>
      </c>
      <c r="FX3" s="33">
        <f t="shared" si="6"/>
        <v>2146</v>
      </c>
      <c r="FY3" s="33">
        <f t="shared" si="6"/>
        <v>2147</v>
      </c>
      <c r="FZ3" s="33">
        <f t="shared" si="6"/>
        <v>2148</v>
      </c>
      <c r="GA3" s="33">
        <f t="shared" si="6"/>
        <v>2149</v>
      </c>
      <c r="GB3" s="33">
        <f t="shared" si="6"/>
        <v>2150</v>
      </c>
      <c r="GC3" s="33">
        <f t="shared" si="6"/>
        <v>2151</v>
      </c>
      <c r="GD3" s="33">
        <f t="shared" si="6"/>
        <v>2152</v>
      </c>
      <c r="GE3" s="33">
        <f t="shared" si="6"/>
        <v>2153</v>
      </c>
      <c r="GF3" s="33">
        <f t="shared" si="6"/>
        <v>2154</v>
      </c>
      <c r="GG3" s="33">
        <f t="shared" si="6"/>
        <v>2155</v>
      </c>
      <c r="GH3" s="33">
        <f t="shared" si="6"/>
        <v>2156</v>
      </c>
      <c r="GI3" s="33">
        <f t="shared" si="6"/>
        <v>2157</v>
      </c>
      <c r="GJ3" s="33">
        <f t="shared" si="6"/>
        <v>2158</v>
      </c>
      <c r="GK3" s="33">
        <f t="shared" si="6"/>
        <v>2159</v>
      </c>
      <c r="GL3" s="33">
        <f t="shared" si="6"/>
        <v>2160</v>
      </c>
      <c r="GM3" s="33">
        <f t="shared" si="6"/>
        <v>2161</v>
      </c>
      <c r="GN3" s="33">
        <f t="shared" si="6"/>
        <v>2162</v>
      </c>
      <c r="GO3" s="33">
        <f t="shared" ref="GO3:IV3" si="7">+GN3+1</f>
        <v>2163</v>
      </c>
      <c r="GP3" s="33">
        <f t="shared" si="7"/>
        <v>2164</v>
      </c>
      <c r="GQ3" s="33">
        <f t="shared" si="7"/>
        <v>2165</v>
      </c>
      <c r="GR3" s="33">
        <f t="shared" si="7"/>
        <v>2166</v>
      </c>
      <c r="GS3" s="33">
        <f t="shared" si="7"/>
        <v>2167</v>
      </c>
      <c r="GT3" s="33">
        <f t="shared" si="7"/>
        <v>2168</v>
      </c>
      <c r="GU3" s="33">
        <f t="shared" si="7"/>
        <v>2169</v>
      </c>
      <c r="GV3" s="33">
        <f t="shared" si="7"/>
        <v>2170</v>
      </c>
      <c r="GW3" s="33">
        <f t="shared" si="7"/>
        <v>2171</v>
      </c>
      <c r="GX3" s="33">
        <f t="shared" si="7"/>
        <v>2172</v>
      </c>
      <c r="GY3" s="33">
        <f t="shared" si="7"/>
        <v>2173</v>
      </c>
      <c r="GZ3" s="33">
        <f t="shared" si="7"/>
        <v>2174</v>
      </c>
      <c r="HA3" s="33">
        <f t="shared" si="7"/>
        <v>2175</v>
      </c>
      <c r="HB3" s="33">
        <f t="shared" si="7"/>
        <v>2176</v>
      </c>
      <c r="HC3" s="33">
        <f t="shared" si="7"/>
        <v>2177</v>
      </c>
      <c r="HD3" s="33">
        <f t="shared" si="7"/>
        <v>2178</v>
      </c>
      <c r="HE3" s="33">
        <f t="shared" si="7"/>
        <v>2179</v>
      </c>
      <c r="HF3" s="33">
        <f t="shared" si="7"/>
        <v>2180</v>
      </c>
      <c r="HG3" s="33">
        <f t="shared" si="7"/>
        <v>2181</v>
      </c>
      <c r="HH3" s="33">
        <f t="shared" si="7"/>
        <v>2182</v>
      </c>
      <c r="HI3" s="33">
        <f t="shared" si="7"/>
        <v>2183</v>
      </c>
      <c r="HJ3" s="33">
        <f t="shared" si="7"/>
        <v>2184</v>
      </c>
      <c r="HK3" s="33">
        <f t="shared" si="7"/>
        <v>2185</v>
      </c>
      <c r="HL3" s="33">
        <f t="shared" si="7"/>
        <v>2186</v>
      </c>
      <c r="HM3" s="33">
        <f t="shared" si="7"/>
        <v>2187</v>
      </c>
      <c r="HN3" s="33">
        <f t="shared" si="7"/>
        <v>2188</v>
      </c>
      <c r="HO3" s="33">
        <f t="shared" si="7"/>
        <v>2189</v>
      </c>
      <c r="HP3" s="33">
        <f t="shared" si="7"/>
        <v>2190</v>
      </c>
      <c r="HQ3" s="33">
        <f t="shared" si="7"/>
        <v>2191</v>
      </c>
      <c r="HR3" s="33">
        <f t="shared" si="7"/>
        <v>2192</v>
      </c>
      <c r="HS3" s="33">
        <f t="shared" si="7"/>
        <v>2193</v>
      </c>
      <c r="HT3" s="33">
        <f t="shared" si="7"/>
        <v>2194</v>
      </c>
      <c r="HU3" s="33">
        <f t="shared" si="7"/>
        <v>2195</v>
      </c>
      <c r="HV3" s="33">
        <f t="shared" si="7"/>
        <v>2196</v>
      </c>
      <c r="HW3" s="33">
        <f t="shared" si="7"/>
        <v>2197</v>
      </c>
      <c r="HX3" s="33">
        <f t="shared" si="7"/>
        <v>2198</v>
      </c>
      <c r="HY3" s="33">
        <f t="shared" si="7"/>
        <v>2199</v>
      </c>
      <c r="HZ3" s="33">
        <f t="shared" si="7"/>
        <v>2200</v>
      </c>
      <c r="IA3" s="33">
        <f t="shared" si="7"/>
        <v>2201</v>
      </c>
      <c r="IB3" s="33">
        <f t="shared" si="7"/>
        <v>2202</v>
      </c>
      <c r="IC3" s="33">
        <f t="shared" si="7"/>
        <v>2203</v>
      </c>
      <c r="ID3" s="33">
        <f t="shared" si="7"/>
        <v>2204</v>
      </c>
      <c r="IE3" s="33">
        <f t="shared" si="7"/>
        <v>2205</v>
      </c>
      <c r="IF3" s="33">
        <f t="shared" si="7"/>
        <v>2206</v>
      </c>
      <c r="IG3" s="33">
        <f t="shared" si="7"/>
        <v>2207</v>
      </c>
      <c r="IH3" s="33">
        <f t="shared" si="7"/>
        <v>2208</v>
      </c>
      <c r="II3" s="33">
        <f t="shared" si="7"/>
        <v>2209</v>
      </c>
      <c r="IJ3" s="33">
        <f t="shared" si="7"/>
        <v>2210</v>
      </c>
      <c r="IK3" s="33">
        <f t="shared" si="7"/>
        <v>2211</v>
      </c>
      <c r="IL3" s="33">
        <f t="shared" si="7"/>
        <v>2212</v>
      </c>
      <c r="IM3" s="33">
        <f t="shared" si="7"/>
        <v>2213</v>
      </c>
      <c r="IN3" s="33">
        <f t="shared" si="7"/>
        <v>2214</v>
      </c>
      <c r="IO3" s="33">
        <f t="shared" si="7"/>
        <v>2215</v>
      </c>
      <c r="IP3" s="33">
        <f t="shared" si="7"/>
        <v>2216</v>
      </c>
      <c r="IQ3" s="33">
        <f t="shared" si="7"/>
        <v>2217</v>
      </c>
      <c r="IR3" s="33">
        <f t="shared" si="7"/>
        <v>2218</v>
      </c>
      <c r="IS3" s="33">
        <f t="shared" si="7"/>
        <v>2219</v>
      </c>
      <c r="IT3" s="33">
        <f t="shared" si="7"/>
        <v>2220</v>
      </c>
      <c r="IU3" s="33">
        <f t="shared" si="7"/>
        <v>2221</v>
      </c>
      <c r="IV3" s="33">
        <f t="shared" si="7"/>
        <v>2222</v>
      </c>
      <c r="IW3" s="33">
        <f t="shared" ref="IW3:JG3" si="8">+IV3+1</f>
        <v>2223</v>
      </c>
      <c r="IX3" s="33">
        <f t="shared" si="8"/>
        <v>2224</v>
      </c>
      <c r="IY3" s="33">
        <f t="shared" si="8"/>
        <v>2225</v>
      </c>
      <c r="IZ3" s="33">
        <f t="shared" si="8"/>
        <v>2226</v>
      </c>
      <c r="JA3" s="33">
        <f t="shared" si="8"/>
        <v>2227</v>
      </c>
      <c r="JB3" s="33">
        <f t="shared" si="8"/>
        <v>2228</v>
      </c>
      <c r="JC3" s="33">
        <f t="shared" si="8"/>
        <v>2229</v>
      </c>
      <c r="JD3" s="33">
        <f t="shared" si="8"/>
        <v>2230</v>
      </c>
      <c r="JE3" s="33">
        <f t="shared" si="8"/>
        <v>2231</v>
      </c>
      <c r="JF3" s="33">
        <f t="shared" si="8"/>
        <v>2232</v>
      </c>
      <c r="JG3" s="33">
        <f t="shared" si="8"/>
        <v>2233</v>
      </c>
    </row>
    <row r="4" spans="1:267" s="35" customFormat="1">
      <c r="B4" s="35" t="s">
        <v>217</v>
      </c>
      <c r="Z4" s="35">
        <v>0.12</v>
      </c>
      <c r="AA4" s="35">
        <v>0.10100000000000001</v>
      </c>
      <c r="AB4" s="35">
        <v>5.6000000000000001E-2</v>
      </c>
      <c r="AC4" s="35">
        <v>0.06</v>
      </c>
      <c r="AD4" s="35">
        <v>5.1999999999999998E-2</v>
      </c>
      <c r="AE4" s="35">
        <v>2.7E-2</v>
      </c>
      <c r="AF4" s="35">
        <v>3.3000000000000002E-2</v>
      </c>
    </row>
    <row r="5" spans="1:267" s="33" customFormat="1"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</row>
    <row r="6" spans="1:267">
      <c r="B6" s="15" t="s">
        <v>232</v>
      </c>
      <c r="C6" s="36">
        <v>57</v>
      </c>
      <c r="D6" s="36">
        <v>50</v>
      </c>
      <c r="E6" s="36">
        <v>38</v>
      </c>
      <c r="F6" s="36"/>
      <c r="G6" s="36">
        <v>35</v>
      </c>
      <c r="H6" s="36">
        <v>34</v>
      </c>
      <c r="I6" s="36">
        <v>28</v>
      </c>
      <c r="J6" s="36"/>
      <c r="K6" s="25">
        <v>15</v>
      </c>
      <c r="L6" s="25">
        <v>20</v>
      </c>
      <c r="M6" s="25">
        <v>25</v>
      </c>
      <c r="N6" s="25">
        <v>80</v>
      </c>
      <c r="O6" s="36">
        <v>19</v>
      </c>
      <c r="P6" s="36">
        <v>37</v>
      </c>
      <c r="Q6" s="36">
        <v>44</v>
      </c>
      <c r="R6" s="36">
        <v>61</v>
      </c>
      <c r="S6" s="36">
        <v>40</v>
      </c>
      <c r="T6" s="25">
        <v>56</v>
      </c>
      <c r="U6" s="25">
        <v>41</v>
      </c>
      <c r="V6" s="25">
        <v>78</v>
      </c>
      <c r="W6" s="25">
        <v>51</v>
      </c>
      <c r="X6" s="25">
        <v>42</v>
      </c>
      <c r="AA6" s="25">
        <v>40</v>
      </c>
      <c r="AB6" s="25">
        <v>47</v>
      </c>
      <c r="AE6" s="25">
        <v>47</v>
      </c>
      <c r="AF6" s="25">
        <v>52</v>
      </c>
      <c r="AS6" s="37"/>
      <c r="AT6" s="37"/>
      <c r="AU6" s="37"/>
      <c r="AV6" s="37"/>
      <c r="AW6" s="37"/>
      <c r="AX6" s="37"/>
      <c r="AY6" s="37"/>
      <c r="AZ6" s="38"/>
      <c r="BA6" s="38"/>
      <c r="BB6" s="38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</row>
    <row r="7" spans="1:267">
      <c r="B7" s="9" t="s">
        <v>43</v>
      </c>
      <c r="C7" s="25">
        <v>-1</v>
      </c>
      <c r="D7" s="25">
        <v>-2</v>
      </c>
      <c r="E7" s="25">
        <v>-3</v>
      </c>
      <c r="G7" s="25">
        <v>-1</v>
      </c>
      <c r="H7" s="25">
        <v>-3</v>
      </c>
      <c r="I7" s="25">
        <v>-32</v>
      </c>
      <c r="K7" s="25">
        <v>-2</v>
      </c>
      <c r="L7" s="25">
        <v>-1</v>
      </c>
      <c r="M7" s="25">
        <v>-1</v>
      </c>
      <c r="N7" s="25">
        <v>-3</v>
      </c>
      <c r="O7" s="25">
        <v>-2</v>
      </c>
      <c r="P7" s="25">
        <v>-3</v>
      </c>
      <c r="Q7" s="25">
        <v>-3</v>
      </c>
      <c r="R7" s="25">
        <v>-1</v>
      </c>
      <c r="S7" s="25">
        <v>-5</v>
      </c>
      <c r="T7" s="25">
        <v>-5</v>
      </c>
      <c r="U7" s="25">
        <v>0</v>
      </c>
      <c r="V7" s="25">
        <v>-4</v>
      </c>
      <c r="W7" s="25">
        <v>-1</v>
      </c>
      <c r="X7" s="25">
        <v>-1</v>
      </c>
      <c r="AE7" s="25">
        <v>-3</v>
      </c>
      <c r="AF7" s="25">
        <v>-1</v>
      </c>
      <c r="AS7" s="37"/>
      <c r="AT7" s="37"/>
      <c r="AU7" s="37"/>
      <c r="AV7" s="37"/>
      <c r="AW7" s="37"/>
      <c r="AX7" s="37"/>
      <c r="AY7" s="37"/>
      <c r="AZ7" s="39"/>
      <c r="BA7" s="39"/>
      <c r="BB7" s="39"/>
      <c r="BC7" s="37"/>
      <c r="BD7" s="37"/>
      <c r="BE7" s="37"/>
      <c r="BF7" s="37"/>
      <c r="BG7" s="37">
        <v>777.77777777777783</v>
      </c>
      <c r="BH7" s="37">
        <f>300*9</f>
        <v>2700</v>
      </c>
      <c r="BI7" s="37"/>
      <c r="BJ7" s="37"/>
      <c r="BK7" s="37"/>
      <c r="BL7" s="37"/>
      <c r="BM7" s="37"/>
      <c r="BN7" s="37"/>
      <c r="BO7" s="37"/>
    </row>
    <row r="8" spans="1:267">
      <c r="B8" s="9" t="s">
        <v>44</v>
      </c>
      <c r="D8" s="25">
        <v>0</v>
      </c>
      <c r="E8" s="25">
        <v>0</v>
      </c>
      <c r="G8" s="25">
        <v>-1</v>
      </c>
      <c r="H8" s="25">
        <v>-5</v>
      </c>
      <c r="I8" s="25">
        <v>0</v>
      </c>
      <c r="K8" s="25">
        <v>0</v>
      </c>
      <c r="L8" s="25">
        <v>0</v>
      </c>
      <c r="M8" s="25">
        <v>-1</v>
      </c>
      <c r="N8" s="25">
        <v>-1</v>
      </c>
      <c r="O8" s="25">
        <v>-1</v>
      </c>
      <c r="P8" s="25">
        <v>-3</v>
      </c>
      <c r="Q8" s="25">
        <v>0</v>
      </c>
      <c r="R8" s="25">
        <v>-2</v>
      </c>
      <c r="S8" s="25">
        <v>0</v>
      </c>
      <c r="T8" s="25">
        <v>-1</v>
      </c>
      <c r="U8" s="25">
        <v>-2</v>
      </c>
      <c r="V8" s="25">
        <v>0</v>
      </c>
      <c r="W8" s="25">
        <v>-2</v>
      </c>
      <c r="X8" s="25">
        <v>-3</v>
      </c>
      <c r="AA8" s="25">
        <v>-4</v>
      </c>
      <c r="AB8" s="25">
        <v>-3</v>
      </c>
      <c r="AE8" s="25">
        <v>-2</v>
      </c>
      <c r="AS8" s="37"/>
      <c r="AT8" s="37"/>
      <c r="AU8" s="37"/>
      <c r="AV8" s="37"/>
      <c r="AW8" s="37"/>
      <c r="AX8" s="37"/>
      <c r="AY8" s="37"/>
      <c r="AZ8" s="39"/>
      <c r="BA8" s="39"/>
      <c r="BB8" s="39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</row>
    <row r="9" spans="1:267" s="36" customFormat="1">
      <c r="A9" s="40"/>
      <c r="B9" s="15" t="s">
        <v>42</v>
      </c>
      <c r="C9" s="36">
        <v>2291</v>
      </c>
      <c r="D9" s="36">
        <f>+C9+SUM(D6:D8)</f>
        <v>2339</v>
      </c>
      <c r="E9" s="36">
        <f>+D9+SUM(E6:E8)</f>
        <v>2374</v>
      </c>
      <c r="F9" s="36">
        <v>2408</v>
      </c>
      <c r="G9" s="36">
        <f>+F9+SUM(G6:G8)</f>
        <v>2441</v>
      </c>
      <c r="H9" s="36">
        <f>+G9+SUM(H6:H8)</f>
        <v>2467</v>
      </c>
      <c r="I9" s="36">
        <f>+H9+SUM(I6:I8)</f>
        <v>2463</v>
      </c>
      <c r="J9" s="36">
        <v>2491</v>
      </c>
      <c r="K9" s="36">
        <f t="shared" ref="K9:O9" si="9">+J9+SUM(K6:K8)</f>
        <v>2504</v>
      </c>
      <c r="L9" s="36">
        <f t="shared" si="9"/>
        <v>2523</v>
      </c>
      <c r="M9" s="36">
        <v>2546</v>
      </c>
      <c r="N9" s="36">
        <f t="shared" si="9"/>
        <v>2622</v>
      </c>
      <c r="O9" s="36">
        <f t="shared" si="9"/>
        <v>2638</v>
      </c>
      <c r="P9" s="36">
        <f t="shared" ref="P9:U9" si="10">+O9+SUM(P6:P8)</f>
        <v>2669</v>
      </c>
      <c r="Q9" s="36">
        <f t="shared" si="10"/>
        <v>2710</v>
      </c>
      <c r="R9" s="36">
        <f t="shared" si="10"/>
        <v>2768</v>
      </c>
      <c r="S9" s="36">
        <f t="shared" si="10"/>
        <v>2803</v>
      </c>
      <c r="T9" s="36">
        <f t="shared" si="10"/>
        <v>2853</v>
      </c>
      <c r="U9" s="36">
        <f t="shared" si="10"/>
        <v>2892</v>
      </c>
      <c r="V9" s="36">
        <f>+U9+SUM(V6:V8)</f>
        <v>2966</v>
      </c>
      <c r="W9" s="36">
        <f>+V9+SUM(W6:W8)</f>
        <v>3014</v>
      </c>
      <c r="X9" s="36">
        <f>+W9+SUM(X6:X8)</f>
        <v>3052</v>
      </c>
      <c r="Y9" s="36">
        <v>3090</v>
      </c>
      <c r="Z9" s="36">
        <v>3187</v>
      </c>
      <c r="AA9" s="36">
        <v>3224</v>
      </c>
      <c r="AB9" s="36">
        <f>+AA9+SUM(AB6:AB8)</f>
        <v>3268</v>
      </c>
      <c r="AC9" s="36">
        <v>3321</v>
      </c>
      <c r="AD9" s="36">
        <v>3437</v>
      </c>
      <c r="AE9" s="36">
        <f>+AD9+SUM(AE6:AE8)</f>
        <v>3479</v>
      </c>
      <c r="AF9" s="36">
        <f>+AE9+SUM(AF6:AF8)</f>
        <v>3530</v>
      </c>
      <c r="AM9" s="36">
        <v>489</v>
      </c>
      <c r="AN9" s="36">
        <v>581</v>
      </c>
      <c r="AO9" s="36">
        <v>704</v>
      </c>
      <c r="AP9" s="36">
        <v>837</v>
      </c>
      <c r="AQ9" s="36">
        <v>956</v>
      </c>
      <c r="AR9" s="36">
        <v>1084</v>
      </c>
      <c r="AS9" s="36">
        <v>1230</v>
      </c>
      <c r="AT9" s="36">
        <v>1410</v>
      </c>
      <c r="AU9" s="36">
        <v>1595</v>
      </c>
      <c r="AV9" s="36">
        <v>1783</v>
      </c>
      <c r="AW9" s="36">
        <v>2010</v>
      </c>
      <c r="AX9" s="36">
        <v>2250</v>
      </c>
      <c r="AY9" s="36">
        <v>2408</v>
      </c>
      <c r="AZ9" s="41">
        <v>2491</v>
      </c>
      <c r="BA9" s="42">
        <f>+N9</f>
        <v>2622</v>
      </c>
      <c r="BB9" s="42">
        <f>+R9</f>
        <v>2768</v>
      </c>
      <c r="BC9" s="36">
        <f>+V9</f>
        <v>2966</v>
      </c>
      <c r="BD9" s="36">
        <f>+Z9</f>
        <v>3187</v>
      </c>
      <c r="BE9" s="36">
        <f>+AD9</f>
        <v>3437</v>
      </c>
      <c r="BF9" s="36">
        <f t="shared" ref="BF9:BN9" si="11">+BE9+$BF$2</f>
        <v>3737</v>
      </c>
      <c r="BG9" s="36">
        <f t="shared" si="11"/>
        <v>4037</v>
      </c>
      <c r="BH9" s="36">
        <f t="shared" si="11"/>
        <v>4337</v>
      </c>
      <c r="BI9" s="36">
        <f t="shared" si="11"/>
        <v>4637</v>
      </c>
      <c r="BJ9" s="36">
        <f t="shared" si="11"/>
        <v>4937</v>
      </c>
      <c r="BK9" s="36">
        <f t="shared" si="11"/>
        <v>5237</v>
      </c>
      <c r="BL9" s="36">
        <f t="shared" si="11"/>
        <v>5537</v>
      </c>
      <c r="BM9" s="36">
        <f t="shared" si="11"/>
        <v>5837</v>
      </c>
      <c r="BN9" s="36">
        <f t="shared" si="11"/>
        <v>6137</v>
      </c>
      <c r="BO9" s="36">
        <v>7000</v>
      </c>
    </row>
    <row r="10" spans="1:267" outlineLevel="1">
      <c r="B10" s="9" t="s">
        <v>178</v>
      </c>
      <c r="D10" s="25">
        <f t="shared" ref="D10:U10" si="12">+D9-C9</f>
        <v>48</v>
      </c>
      <c r="E10" s="25">
        <f t="shared" si="12"/>
        <v>35</v>
      </c>
      <c r="F10" s="25">
        <f t="shared" si="12"/>
        <v>34</v>
      </c>
      <c r="G10" s="25">
        <f t="shared" si="12"/>
        <v>33</v>
      </c>
      <c r="H10" s="25">
        <f t="shared" si="12"/>
        <v>26</v>
      </c>
      <c r="I10" s="25">
        <f t="shared" si="12"/>
        <v>-4</v>
      </c>
      <c r="J10" s="25">
        <f t="shared" si="12"/>
        <v>28</v>
      </c>
      <c r="K10" s="25">
        <f t="shared" si="12"/>
        <v>13</v>
      </c>
      <c r="L10" s="25">
        <f t="shared" si="12"/>
        <v>19</v>
      </c>
      <c r="M10" s="25">
        <f t="shared" si="12"/>
        <v>23</v>
      </c>
      <c r="N10" s="25">
        <f t="shared" si="12"/>
        <v>76</v>
      </c>
      <c r="O10" s="25">
        <f t="shared" si="12"/>
        <v>16</v>
      </c>
      <c r="P10" s="25">
        <f t="shared" si="12"/>
        <v>31</v>
      </c>
      <c r="Q10" s="25">
        <f t="shared" si="12"/>
        <v>41</v>
      </c>
      <c r="R10" s="25">
        <f t="shared" si="12"/>
        <v>58</v>
      </c>
      <c r="S10" s="25">
        <f t="shared" si="12"/>
        <v>35</v>
      </c>
      <c r="T10" s="25">
        <f t="shared" si="12"/>
        <v>50</v>
      </c>
      <c r="U10" s="25">
        <f t="shared" si="12"/>
        <v>39</v>
      </c>
      <c r="V10" s="25">
        <f>+V9-U9</f>
        <v>74</v>
      </c>
      <c r="W10" s="25">
        <f t="shared" ref="W10:Z10" si="13">+W9-V9</f>
        <v>48</v>
      </c>
      <c r="X10" s="25">
        <f t="shared" si="13"/>
        <v>38</v>
      </c>
      <c r="Y10" s="25">
        <f t="shared" si="13"/>
        <v>38</v>
      </c>
      <c r="Z10" s="25">
        <f t="shared" si="13"/>
        <v>97</v>
      </c>
      <c r="AA10" s="25">
        <f t="shared" ref="AA10" si="14">+AA9-Z9</f>
        <v>37</v>
      </c>
      <c r="AB10" s="25">
        <f t="shared" ref="AB10" si="15">+AB9-AA9</f>
        <v>44</v>
      </c>
      <c r="AC10" s="25">
        <f t="shared" ref="AC10" si="16">+AC9-AB9</f>
        <v>53</v>
      </c>
      <c r="AD10" s="25">
        <f t="shared" ref="AD10" si="17">+AD9-AC9</f>
        <v>116</v>
      </c>
      <c r="AE10" s="25">
        <f t="shared" ref="AE10" si="18">+AE9-AD9</f>
        <v>42</v>
      </c>
      <c r="AF10" s="25">
        <f t="shared" ref="AF10" si="19">+AF9-AE9</f>
        <v>51</v>
      </c>
      <c r="AN10" s="43">
        <f t="shared" ref="AN10:BA10" si="20">+AN9-AM9</f>
        <v>92</v>
      </c>
      <c r="AO10" s="43">
        <f t="shared" si="20"/>
        <v>123</v>
      </c>
      <c r="AP10" s="43">
        <f t="shared" si="20"/>
        <v>133</v>
      </c>
      <c r="AQ10" s="43">
        <f t="shared" si="20"/>
        <v>119</v>
      </c>
      <c r="AR10" s="43">
        <f t="shared" si="20"/>
        <v>128</v>
      </c>
      <c r="AS10" s="43">
        <f t="shared" si="20"/>
        <v>146</v>
      </c>
      <c r="AT10" s="43">
        <f t="shared" si="20"/>
        <v>180</v>
      </c>
      <c r="AU10" s="43">
        <f t="shared" si="20"/>
        <v>185</v>
      </c>
      <c r="AV10" s="43">
        <f t="shared" si="20"/>
        <v>188</v>
      </c>
      <c r="AW10" s="43">
        <f t="shared" si="20"/>
        <v>227</v>
      </c>
      <c r="AX10" s="43">
        <f t="shared" si="20"/>
        <v>240</v>
      </c>
      <c r="AY10" s="43">
        <f t="shared" si="20"/>
        <v>158</v>
      </c>
      <c r="AZ10" s="43">
        <f t="shared" si="20"/>
        <v>83</v>
      </c>
      <c r="BA10" s="43">
        <f t="shared" si="20"/>
        <v>131</v>
      </c>
      <c r="BB10" s="43">
        <f>+BB9-BA9</f>
        <v>146</v>
      </c>
      <c r="BC10" s="43">
        <f>+BC9-BB9</f>
        <v>198</v>
      </c>
      <c r="BD10" s="43">
        <f>+BD9-BC9</f>
        <v>221</v>
      </c>
      <c r="BE10" s="43">
        <f>+BE9-BD9</f>
        <v>250</v>
      </c>
      <c r="BF10" s="43">
        <f>+BF9-BE9</f>
        <v>300</v>
      </c>
      <c r="BG10" s="43">
        <f t="shared" ref="BG10:BO10" si="21">+BG9-BF9</f>
        <v>300</v>
      </c>
      <c r="BH10" s="43">
        <f t="shared" si="21"/>
        <v>300</v>
      </c>
      <c r="BI10" s="43">
        <f t="shared" si="21"/>
        <v>300</v>
      </c>
      <c r="BJ10" s="43">
        <f t="shared" si="21"/>
        <v>300</v>
      </c>
      <c r="BK10" s="43">
        <f t="shared" si="21"/>
        <v>300</v>
      </c>
      <c r="BL10" s="43">
        <f t="shared" si="21"/>
        <v>300</v>
      </c>
      <c r="BM10" s="43">
        <f t="shared" si="21"/>
        <v>300</v>
      </c>
      <c r="BN10" s="43">
        <f t="shared" si="21"/>
        <v>300</v>
      </c>
      <c r="BO10" s="43">
        <f t="shared" si="21"/>
        <v>863</v>
      </c>
    </row>
    <row r="11" spans="1:267">
      <c r="B11" s="9" t="s">
        <v>53</v>
      </c>
      <c r="C11" s="25">
        <f t="shared" ref="C11:AF11" si="22">+C17/C9</f>
        <v>466.53382802269749</v>
      </c>
      <c r="D11" s="25">
        <f t="shared" si="22"/>
        <v>499.96109448482258</v>
      </c>
      <c r="E11" s="25">
        <f t="shared" si="22"/>
        <v>475.17860151642799</v>
      </c>
      <c r="F11" s="25">
        <f t="shared" si="22"/>
        <v>461.00498338870432</v>
      </c>
      <c r="G11" s="25">
        <f t="shared" si="22"/>
        <v>470.46169602621876</v>
      </c>
      <c r="H11" s="25">
        <f t="shared" si="22"/>
        <v>513.38467774625053</v>
      </c>
      <c r="I11" s="25">
        <f t="shared" si="22"/>
        <v>497.3637840032481</v>
      </c>
      <c r="J11" s="25">
        <f t="shared" si="22"/>
        <v>491.79486150140508</v>
      </c>
      <c r="K11" s="25">
        <f t="shared" si="22"/>
        <v>522.45087859424916</v>
      </c>
      <c r="L11" s="25">
        <f t="shared" si="22"/>
        <v>568.4625445897741</v>
      </c>
      <c r="M11" s="25">
        <f t="shared" si="22"/>
        <v>551.33424980361349</v>
      </c>
      <c r="N11" s="25">
        <f t="shared" si="22"/>
        <v>549.2845156369184</v>
      </c>
      <c r="O11" s="25">
        <f t="shared" si="22"/>
        <v>534.78847611827143</v>
      </c>
      <c r="P11" s="25">
        <f t="shared" si="22"/>
        <v>511.32933683027352</v>
      </c>
      <c r="Q11" s="25">
        <f t="shared" si="22"/>
        <v>590.92767527675278</v>
      </c>
      <c r="R11" s="25">
        <f t="shared" si="22"/>
        <v>580.82008670520236</v>
      </c>
      <c r="S11" s="25">
        <f t="shared" si="22"/>
        <v>621.32536567962893</v>
      </c>
      <c r="T11" s="25">
        <f t="shared" si="22"/>
        <v>663.35015772870668</v>
      </c>
      <c r="U11" s="25">
        <f t="shared" si="22"/>
        <v>675.07434301521437</v>
      </c>
      <c r="V11" s="25">
        <f t="shared" si="22"/>
        <v>661.03607552258939</v>
      </c>
      <c r="W11" s="25">
        <f t="shared" si="22"/>
        <v>670.38453881884539</v>
      </c>
      <c r="X11" s="25">
        <f t="shared" si="22"/>
        <v>725.20937090432506</v>
      </c>
      <c r="Y11" s="25">
        <f t="shared" si="22"/>
        <v>718.50323624595467</v>
      </c>
      <c r="Z11" s="25">
        <f t="shared" si="22"/>
        <v>684.21681832444301</v>
      </c>
      <c r="AA11" s="25">
        <f t="shared" si="22"/>
        <v>734.67121588089333</v>
      </c>
      <c r="AB11" s="25">
        <f t="shared" si="22"/>
        <v>769.52294981640148</v>
      </c>
      <c r="AC11" s="25">
        <f t="shared" si="22"/>
        <v>744.33845227341158</v>
      </c>
      <c r="AD11" s="25">
        <f t="shared" si="22"/>
        <v>732.12685481524591</v>
      </c>
      <c r="AE11" s="25">
        <f t="shared" si="22"/>
        <v>776.61626904282843</v>
      </c>
      <c r="AF11" s="25">
        <f t="shared" si="22"/>
        <v>842.24277620396606</v>
      </c>
      <c r="AN11" s="43">
        <f t="shared" ref="AN11:BB11" si="23">+AN17/AN9</f>
        <v>1416.4027538726334</v>
      </c>
      <c r="AO11" s="43">
        <f t="shared" si="23"/>
        <v>1542.3039772727273</v>
      </c>
      <c r="AP11" s="43">
        <f t="shared" si="23"/>
        <v>1591.3596176821984</v>
      </c>
      <c r="AQ11" s="43">
        <f t="shared" si="23"/>
        <v>1588.3023012552301</v>
      </c>
      <c r="AR11" s="43">
        <f t="shared" si="23"/>
        <v>1693.6549815498156</v>
      </c>
      <c r="AS11" s="43">
        <f t="shared" si="23"/>
        <v>1845.1609756097562</v>
      </c>
      <c r="AT11" s="43">
        <f t="shared" si="23"/>
        <v>1937.0382978723405</v>
      </c>
      <c r="AU11" s="43">
        <f t="shared" si="23"/>
        <v>2015.4175548589342</v>
      </c>
      <c r="AV11" s="43">
        <f t="shared" si="23"/>
        <v>2304.1329220415032</v>
      </c>
      <c r="AW11" s="43">
        <f t="shared" si="23"/>
        <v>2239.4144278606964</v>
      </c>
      <c r="AX11" s="43">
        <f t="shared" si="23"/>
        <v>1735.2817777777777</v>
      </c>
      <c r="AY11" s="43">
        <f t="shared" si="23"/>
        <v>1858.9750830564783</v>
      </c>
      <c r="AZ11" s="43">
        <f t="shared" si="23"/>
        <v>1953.0248896025691</v>
      </c>
      <c r="BA11" s="43">
        <f t="shared" si="23"/>
        <v>2130.5755148741418</v>
      </c>
      <c r="BB11" s="43">
        <f t="shared" si="23"/>
        <v>2162.0787572254335</v>
      </c>
      <c r="BC11" s="43">
        <f t="shared" ref="BC11:BE11" si="24">+BC17/BC9</f>
        <v>2544.5249494268373</v>
      </c>
      <c r="BD11" s="43">
        <f t="shared" si="24"/>
        <v>2709.3354251647315</v>
      </c>
      <c r="BE11" s="43">
        <f t="shared" si="24"/>
        <v>2872.1702065755021</v>
      </c>
      <c r="BF11" s="25">
        <f>+BE11*1.06</f>
        <v>3044.5004189700326</v>
      </c>
      <c r="BG11" s="25">
        <f t="shared" ref="BG11:BO11" si="25">+BF11*1.06</f>
        <v>3227.1704441082347</v>
      </c>
      <c r="BH11" s="25">
        <f t="shared" si="25"/>
        <v>3420.8006707547288</v>
      </c>
      <c r="BI11" s="25">
        <f t="shared" si="25"/>
        <v>3626.0487110000126</v>
      </c>
      <c r="BJ11" s="25">
        <f t="shared" si="25"/>
        <v>3843.6116336600135</v>
      </c>
      <c r="BK11" s="25">
        <f t="shared" si="25"/>
        <v>4074.2283316796143</v>
      </c>
      <c r="BL11" s="25">
        <f t="shared" si="25"/>
        <v>4318.6820315803916</v>
      </c>
      <c r="BM11" s="25">
        <f t="shared" si="25"/>
        <v>4577.802953475215</v>
      </c>
      <c r="BN11" s="25">
        <f t="shared" si="25"/>
        <v>4852.471130683728</v>
      </c>
      <c r="BO11" s="25">
        <f t="shared" si="25"/>
        <v>5143.6193985247519</v>
      </c>
    </row>
    <row r="12" spans="1:267">
      <c r="B12" s="9" t="s">
        <v>227</v>
      </c>
      <c r="AD12" s="25">
        <v>3018</v>
      </c>
      <c r="AE12" s="25">
        <v>3082</v>
      </c>
      <c r="AF12" s="25">
        <v>3146</v>
      </c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267"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  <c r="BA13" s="45"/>
      <c r="BB13" s="45"/>
      <c r="BC13" s="45"/>
      <c r="BD13" s="45"/>
      <c r="BE13" s="45"/>
    </row>
    <row r="14" spans="1:267" s="48" customFormat="1">
      <c r="A14" s="46"/>
      <c r="B14" s="47" t="s">
        <v>206</v>
      </c>
      <c r="AB14" s="48">
        <v>7.3999999999999996E-2</v>
      </c>
      <c r="AD14" s="48">
        <v>7.9000000000000001E-2</v>
      </c>
      <c r="AE14" s="48">
        <v>7.0000000000000007E-2</v>
      </c>
      <c r="AF14" s="48">
        <v>0.111</v>
      </c>
      <c r="AY14" s="49"/>
      <c r="AZ14" s="50"/>
      <c r="BA14" s="50"/>
      <c r="BB14" s="50"/>
      <c r="BC14" s="50"/>
      <c r="BF14" s="48">
        <v>0.08</v>
      </c>
    </row>
    <row r="15" spans="1:267">
      <c r="B15" s="9" t="s">
        <v>18</v>
      </c>
      <c r="M15" s="25">
        <v>1397333</v>
      </c>
      <c r="O15" s="25">
        <v>1402117</v>
      </c>
      <c r="P15" s="25">
        <v>0</v>
      </c>
      <c r="Q15" s="25">
        <v>1581335</v>
      </c>
      <c r="R15" s="25">
        <f t="shared" ref="R15:R31" si="26">+BB15-SUM(O15:Q15)</f>
        <v>2937093</v>
      </c>
      <c r="S15" s="25">
        <v>1715990</v>
      </c>
      <c r="T15" s="25">
        <v>1869365</v>
      </c>
      <c r="U15" s="25">
        <v>1932409</v>
      </c>
      <c r="V15" s="25">
        <v>1939405</v>
      </c>
      <c r="W15" s="25">
        <v>1998956</v>
      </c>
      <c r="X15" s="25">
        <v>2192802</v>
      </c>
      <c r="Y15" s="25">
        <v>2202336</v>
      </c>
      <c r="Z15" s="51">
        <f t="shared" ref="Z15:Z31" si="27">+BD15-SUM(W15:Y15)</f>
        <v>2163907</v>
      </c>
      <c r="AA15" s="25">
        <v>2351009</v>
      </c>
      <c r="AB15" s="25">
        <v>2497509</v>
      </c>
      <c r="AC15" s="25">
        <v>2456039</v>
      </c>
      <c r="AD15" s="25">
        <f>+BE15-SUM(AA15:AC15)</f>
        <v>2499567</v>
      </c>
      <c r="AE15" s="25">
        <v>2684447</v>
      </c>
      <c r="AF15" s="25">
        <v>2954913</v>
      </c>
      <c r="AZ15" s="25">
        <v>4860626</v>
      </c>
      <c r="BA15" s="25">
        <v>5561036</v>
      </c>
      <c r="BB15" s="25">
        <v>5920545</v>
      </c>
      <c r="BD15" s="25">
        <v>8558001</v>
      </c>
      <c r="BE15" s="25">
        <v>9804124</v>
      </c>
    </row>
    <row r="16" spans="1:267">
      <c r="B16" s="9" t="s">
        <v>19</v>
      </c>
      <c r="M16" s="25">
        <v>6364</v>
      </c>
      <c r="O16" s="25">
        <v>8655</v>
      </c>
      <c r="P16" s="25">
        <v>0</v>
      </c>
      <c r="Q16" s="25">
        <v>20079</v>
      </c>
      <c r="R16" s="25">
        <f t="shared" si="26"/>
        <v>35355</v>
      </c>
      <c r="S16" s="25">
        <v>25585</v>
      </c>
      <c r="T16" s="25">
        <v>23173</v>
      </c>
      <c r="U16" s="25">
        <v>19906</v>
      </c>
      <c r="V16" s="25">
        <v>21228</v>
      </c>
      <c r="W16" s="25">
        <v>21583</v>
      </c>
      <c r="X16" s="25">
        <v>20537</v>
      </c>
      <c r="Y16" s="25">
        <v>17839</v>
      </c>
      <c r="Z16" s="51">
        <f t="shared" si="27"/>
        <v>16692</v>
      </c>
      <c r="AA16" s="25">
        <v>17571</v>
      </c>
      <c r="AB16" s="25">
        <v>17292</v>
      </c>
      <c r="AC16" s="25">
        <v>15909</v>
      </c>
      <c r="AD16" s="25">
        <f>+BE16-SUM(AA16:AC16)</f>
        <v>16753</v>
      </c>
      <c r="AE16" s="25">
        <v>17401</v>
      </c>
      <c r="AF16" s="25">
        <v>18204</v>
      </c>
      <c r="AZ16" s="25">
        <v>4359</v>
      </c>
      <c r="BA16" s="25">
        <v>25333</v>
      </c>
      <c r="BB16" s="25">
        <v>64089</v>
      </c>
      <c r="BD16" s="25">
        <v>76651</v>
      </c>
      <c r="BE16" s="25">
        <v>67525</v>
      </c>
    </row>
    <row r="17" spans="1:267" s="36" customFormat="1">
      <c r="A17" s="40"/>
      <c r="B17" s="15" t="s">
        <v>20</v>
      </c>
      <c r="C17" s="36">
        <v>1068829</v>
      </c>
      <c r="D17" s="36">
        <v>1169409</v>
      </c>
      <c r="E17" s="36">
        <v>1128074</v>
      </c>
      <c r="F17" s="36">
        <f t="shared" ref="F17:F31" si="28">+AY17-SUM(C17:E17)</f>
        <v>1110100</v>
      </c>
      <c r="G17" s="36">
        <v>1148397</v>
      </c>
      <c r="H17" s="36">
        <v>1266520</v>
      </c>
      <c r="I17" s="36">
        <v>1225007</v>
      </c>
      <c r="J17" s="36">
        <f>+AZ17-SUM(G17:I17)</f>
        <v>1225061</v>
      </c>
      <c r="K17" s="36">
        <v>1308217</v>
      </c>
      <c r="L17" s="36">
        <v>1434231</v>
      </c>
      <c r="M17" s="36">
        <f>+SUM(M15:M16)</f>
        <v>1403697</v>
      </c>
      <c r="N17" s="36">
        <f t="shared" ref="N17:N31" si="29">+BA17-SUM(K17:M17)</f>
        <v>1440224</v>
      </c>
      <c r="O17" s="36">
        <f>+SUM(O15:O16)</f>
        <v>1410772</v>
      </c>
      <c r="P17" s="36">
        <v>1364738</v>
      </c>
      <c r="Q17" s="36">
        <f>+SUM(Q15:Q16)</f>
        <v>1601414</v>
      </c>
      <c r="R17" s="36">
        <f t="shared" si="26"/>
        <v>1607710</v>
      </c>
      <c r="S17" s="36">
        <f t="shared" ref="S17:Y17" si="30">+SUM(S15:S16)</f>
        <v>1741575</v>
      </c>
      <c r="T17" s="36">
        <f t="shared" si="30"/>
        <v>1892538</v>
      </c>
      <c r="U17" s="36">
        <f t="shared" si="30"/>
        <v>1952315</v>
      </c>
      <c r="V17" s="36">
        <f t="shared" si="30"/>
        <v>1960633</v>
      </c>
      <c r="W17" s="36">
        <f t="shared" si="30"/>
        <v>2020539</v>
      </c>
      <c r="X17" s="36">
        <f t="shared" si="30"/>
        <v>2213339</v>
      </c>
      <c r="Y17" s="36">
        <f t="shared" si="30"/>
        <v>2220175</v>
      </c>
      <c r="Z17" s="52">
        <f t="shared" si="27"/>
        <v>2180599</v>
      </c>
      <c r="AA17" s="36">
        <f t="shared" ref="AA17" si="31">+SUM(AA15:AA16)</f>
        <v>2368580</v>
      </c>
      <c r="AB17" s="36">
        <f t="shared" ref="AB17:AC17" si="32">+SUM(AB15:AB16)</f>
        <v>2514801</v>
      </c>
      <c r="AC17" s="36">
        <f t="shared" si="32"/>
        <v>2471948</v>
      </c>
      <c r="AD17" s="36">
        <f t="shared" ref="AD17:AD31" si="33">+BE17-SUM(AA17:AC17)</f>
        <v>2516320</v>
      </c>
      <c r="AE17" s="36">
        <f t="shared" ref="AE17:AF17" si="34">+SUM(AE15:AE16)</f>
        <v>2701848</v>
      </c>
      <c r="AF17" s="36">
        <f t="shared" si="34"/>
        <v>2973117</v>
      </c>
      <c r="AM17" s="36">
        <v>627695</v>
      </c>
      <c r="AN17" s="36">
        <v>822930</v>
      </c>
      <c r="AO17" s="36">
        <v>1085782</v>
      </c>
      <c r="AP17" s="36">
        <v>1331968</v>
      </c>
      <c r="AQ17" s="36">
        <v>1518417</v>
      </c>
      <c r="AR17" s="36">
        <v>1835922</v>
      </c>
      <c r="AS17" s="36">
        <v>2269548</v>
      </c>
      <c r="AT17" s="36">
        <v>2731224</v>
      </c>
      <c r="AU17" s="36">
        <v>3214591</v>
      </c>
      <c r="AV17" s="36">
        <v>4108269</v>
      </c>
      <c r="AW17" s="36">
        <v>4501223</v>
      </c>
      <c r="AX17" s="36">
        <v>3904384</v>
      </c>
      <c r="AY17" s="36">
        <v>4476412</v>
      </c>
      <c r="AZ17" s="36">
        <f>+SUM(AZ15:AZ16)</f>
        <v>4864985</v>
      </c>
      <c r="BA17" s="36">
        <f>+SUM(BA15:BA16)</f>
        <v>5586369</v>
      </c>
      <c r="BB17" s="36">
        <f>+SUM(BB15:BB16)</f>
        <v>5984634</v>
      </c>
      <c r="BC17" s="36">
        <f t="shared" ref="BC17:BC22" si="35">SUM(S17:V17)</f>
        <v>7547061</v>
      </c>
      <c r="BD17" s="36">
        <f>+BD15+BD16</f>
        <v>8634652</v>
      </c>
      <c r="BE17" s="36">
        <f>+BE15+BE16</f>
        <v>9871649</v>
      </c>
      <c r="BF17" s="36">
        <f t="shared" ref="BF17:BO17" si="36">+BF9*BF11</f>
        <v>11377298.065691011</v>
      </c>
      <c r="BG17" s="36">
        <f t="shared" si="36"/>
        <v>13028087.082864944</v>
      </c>
      <c r="BH17" s="36">
        <f t="shared" si="36"/>
        <v>14836012.509063259</v>
      </c>
      <c r="BI17" s="36">
        <f t="shared" si="36"/>
        <v>16813987.872907057</v>
      </c>
      <c r="BJ17" s="36">
        <f t="shared" si="36"/>
        <v>18975910.635379486</v>
      </c>
      <c r="BK17" s="36">
        <f t="shared" si="36"/>
        <v>21336733.773006141</v>
      </c>
      <c r="BL17" s="36">
        <f t="shared" si="36"/>
        <v>23912542.408860628</v>
      </c>
      <c r="BM17" s="36">
        <f t="shared" si="36"/>
        <v>26720635.839434829</v>
      </c>
      <c r="BN17" s="36">
        <f t="shared" si="36"/>
        <v>29779615.329006039</v>
      </c>
      <c r="BO17" s="36">
        <f t="shared" si="36"/>
        <v>36005335.789673261</v>
      </c>
    </row>
    <row r="18" spans="1:267">
      <c r="B18" s="9" t="s">
        <v>21</v>
      </c>
      <c r="C18" s="25">
        <v>361795</v>
      </c>
      <c r="D18" s="25">
        <v>399152</v>
      </c>
      <c r="E18" s="25">
        <v>394567</v>
      </c>
      <c r="F18" s="25">
        <f t="shared" si="28"/>
        <v>379914</v>
      </c>
      <c r="G18" s="25">
        <v>371915</v>
      </c>
      <c r="H18" s="25">
        <v>413096</v>
      </c>
      <c r="I18" s="25">
        <v>409213</v>
      </c>
      <c r="J18" s="25">
        <f t="shared" ref="J18:J31" si="37">+AZ18-SUM(G18:I18)</f>
        <v>406536</v>
      </c>
      <c r="K18" s="25">
        <v>421367</v>
      </c>
      <c r="L18" s="25">
        <v>483284</v>
      </c>
      <c r="M18" s="25">
        <v>466496</v>
      </c>
      <c r="N18" s="25">
        <f t="shared" si="29"/>
        <v>476769</v>
      </c>
      <c r="O18" s="25">
        <v>462299</v>
      </c>
      <c r="P18" s="25">
        <v>454756</v>
      </c>
      <c r="Q18" s="25">
        <v>517261</v>
      </c>
      <c r="R18" s="25">
        <f t="shared" si="26"/>
        <v>498450</v>
      </c>
      <c r="S18" s="25">
        <v>522671</v>
      </c>
      <c r="T18" s="25">
        <v>574478</v>
      </c>
      <c r="U18" s="25">
        <v>591332</v>
      </c>
      <c r="V18" s="25">
        <v>620150</v>
      </c>
      <c r="W18" s="25">
        <v>626926</v>
      </c>
      <c r="X18" s="25">
        <v>673928</v>
      </c>
      <c r="Y18" s="25">
        <v>662540</v>
      </c>
      <c r="Z18" s="51">
        <f t="shared" si="27"/>
        <v>638851</v>
      </c>
      <c r="AA18" s="25">
        <v>692559</v>
      </c>
      <c r="AB18" s="25">
        <v>738664</v>
      </c>
      <c r="AC18" s="25">
        <v>734186</v>
      </c>
      <c r="AD18" s="25">
        <f t="shared" si="33"/>
        <v>747155</v>
      </c>
      <c r="AE18" s="25">
        <v>779076</v>
      </c>
      <c r="AF18" s="25">
        <v>873673</v>
      </c>
      <c r="AS18" s="25">
        <v>738720</v>
      </c>
      <c r="AT18" s="25">
        <v>891003</v>
      </c>
      <c r="AU18" s="25">
        <v>1073514</v>
      </c>
      <c r="AV18" s="25">
        <v>1420994</v>
      </c>
      <c r="AW18" s="25">
        <v>1503835</v>
      </c>
      <c r="AX18" s="25">
        <v>1365580</v>
      </c>
      <c r="AY18" s="25">
        <v>1535428</v>
      </c>
      <c r="AZ18" s="25">
        <v>1600760</v>
      </c>
      <c r="BA18" s="25">
        <v>1847916</v>
      </c>
      <c r="BB18" s="25">
        <v>1932766</v>
      </c>
      <c r="BC18" s="25">
        <f t="shared" si="35"/>
        <v>2308631</v>
      </c>
      <c r="BD18" s="25">
        <v>2602245</v>
      </c>
      <c r="BE18" s="25">
        <v>2912564</v>
      </c>
      <c r="BF18" s="25">
        <f>+BF17*(BE18/BE17)</f>
        <v>3356795.684631947</v>
      </c>
      <c r="BG18" s="25">
        <f>+BG17*(BF18/BF17)</f>
        <v>3843849.9410197274</v>
      </c>
      <c r="BH18" s="25">
        <f t="shared" ref="BH18:BL18" si="38">+BH17*(BG18/BG17)</f>
        <v>4377266.2437093658</v>
      </c>
      <c r="BI18" s="25">
        <f t="shared" si="38"/>
        <v>4960854.6429340905</v>
      </c>
      <c r="BJ18" s="25">
        <f t="shared" si="38"/>
        <v>5598715.4915884286</v>
      </c>
      <c r="BK18" s="25">
        <f t="shared" si="38"/>
        <v>6295260.5653667245</v>
      </c>
      <c r="BL18" s="25">
        <f t="shared" si="38"/>
        <v>7055235.6722286968</v>
      </c>
      <c r="BM18" s="25">
        <f t="shared" ref="BM18" si="39">+BM17*(BL18/BL17)</f>
        <v>7883744.8538787859</v>
      </c>
      <c r="BN18" s="25">
        <f t="shared" ref="BN18:BO18" si="40">+BN17*(BM18/BM17)</f>
        <v>8786276.288906863</v>
      </c>
      <c r="BO18" s="25">
        <f t="shared" si="40"/>
        <v>10623133.463204972</v>
      </c>
    </row>
    <row r="19" spans="1:267">
      <c r="B19" s="9" t="s">
        <v>22</v>
      </c>
      <c r="C19" s="25">
        <v>287851</v>
      </c>
      <c r="D19" s="25">
        <v>305851</v>
      </c>
      <c r="E19" s="25">
        <v>306862</v>
      </c>
      <c r="F19" s="25">
        <f t="shared" si="28"/>
        <v>305428</v>
      </c>
      <c r="G19" s="25">
        <v>318863</v>
      </c>
      <c r="H19" s="25">
        <v>341842</v>
      </c>
      <c r="I19" s="25">
        <v>332865</v>
      </c>
      <c r="J19" s="25">
        <f t="shared" si="37"/>
        <v>332509</v>
      </c>
      <c r="K19" s="25">
        <v>348842</v>
      </c>
      <c r="L19" s="25">
        <v>368053</v>
      </c>
      <c r="M19" s="25">
        <v>373645</v>
      </c>
      <c r="N19" s="25">
        <f t="shared" si="29"/>
        <v>381520</v>
      </c>
      <c r="O19" s="25">
        <v>393565</v>
      </c>
      <c r="P19" s="25">
        <v>385266</v>
      </c>
      <c r="Q19" s="25">
        <v>405818</v>
      </c>
      <c r="R19" s="25">
        <f t="shared" si="26"/>
        <v>408364</v>
      </c>
      <c r="S19" s="25">
        <v>433669</v>
      </c>
      <c r="T19" s="25">
        <v>464506</v>
      </c>
      <c r="U19" s="25">
        <v>502757</v>
      </c>
      <c r="V19" s="25">
        <v>516829</v>
      </c>
      <c r="W19" s="25">
        <v>531940</v>
      </c>
      <c r="X19" s="25">
        <v>549926</v>
      </c>
      <c r="Y19" s="25">
        <v>557178</v>
      </c>
      <c r="Z19" s="51">
        <f t="shared" si="27"/>
        <v>558914</v>
      </c>
      <c r="AA19" s="25">
        <v>583794</v>
      </c>
      <c r="AB19" s="25">
        <v>611678</v>
      </c>
      <c r="AC19" s="25">
        <v>616282</v>
      </c>
      <c r="AD19" s="25">
        <f t="shared" si="33"/>
        <v>629228</v>
      </c>
      <c r="AE19" s="25">
        <v>659450</v>
      </c>
      <c r="AF19" s="25">
        <v>716627</v>
      </c>
      <c r="AS19" s="25">
        <v>543119</v>
      </c>
      <c r="AT19" s="25">
        <v>641836</v>
      </c>
      <c r="AU19" s="25">
        <v>739800</v>
      </c>
      <c r="AV19" s="25">
        <v>904407</v>
      </c>
      <c r="AW19" s="25">
        <v>1045726</v>
      </c>
      <c r="AX19" s="25">
        <v>1105001</v>
      </c>
      <c r="AY19" s="25">
        <v>1205992</v>
      </c>
      <c r="AZ19" s="25">
        <v>1326079</v>
      </c>
      <c r="BA19" s="25">
        <v>1472060</v>
      </c>
      <c r="BB19" s="25">
        <v>1593013</v>
      </c>
      <c r="BC19" s="25">
        <f t="shared" si="35"/>
        <v>1917761</v>
      </c>
      <c r="BD19" s="25">
        <v>2197958</v>
      </c>
      <c r="BE19" s="25">
        <v>2440982</v>
      </c>
      <c r="BF19" s="25">
        <f t="shared" ref="BF19:BL19" si="41">+BF17*(BE19/BE17)</f>
        <v>2813286.796054699</v>
      </c>
      <c r="BG19" s="25">
        <f t="shared" si="41"/>
        <v>3221480.6324359621</v>
      </c>
      <c r="BH19" s="25">
        <f t="shared" si="41"/>
        <v>3668529.8967171796</v>
      </c>
      <c r="BI19" s="25">
        <f t="shared" si="41"/>
        <v>4157627.7424353738</v>
      </c>
      <c r="BJ19" s="25">
        <f t="shared" si="41"/>
        <v>4692210.6220115693</v>
      </c>
      <c r="BK19" s="25">
        <f t="shared" si="41"/>
        <v>5275975.9872641414</v>
      </c>
      <c r="BL19" s="25">
        <f t="shared" si="41"/>
        <v>5912901.23810778</v>
      </c>
      <c r="BM19" s="25">
        <f t="shared" ref="BM19" si="42">+BM17*(BL19/BL17)</f>
        <v>6607264.0054985043</v>
      </c>
      <c r="BN19" s="25">
        <f t="shared" ref="BN19:BO19" si="43">+BN17*(BM19/BM17)</f>
        <v>7363663.8605189286</v>
      </c>
      <c r="BO19" s="25">
        <f t="shared" si="43"/>
        <v>8903109.9633453563</v>
      </c>
    </row>
    <row r="20" spans="1:267">
      <c r="B20" s="9" t="s">
        <v>23</v>
      </c>
      <c r="C20" s="25">
        <v>78962</v>
      </c>
      <c r="D20" s="25">
        <v>80321</v>
      </c>
      <c r="E20" s="25">
        <v>83199</v>
      </c>
      <c r="F20" s="25">
        <f t="shared" si="28"/>
        <v>84650</v>
      </c>
      <c r="G20" s="25">
        <v>85256</v>
      </c>
      <c r="H20" s="25">
        <v>86772</v>
      </c>
      <c r="I20" s="25">
        <v>86691</v>
      </c>
      <c r="J20" s="25">
        <f t="shared" si="37"/>
        <v>88404</v>
      </c>
      <c r="K20" s="25">
        <v>88770</v>
      </c>
      <c r="L20" s="25">
        <v>89923</v>
      </c>
      <c r="M20" s="25">
        <v>91409</v>
      </c>
      <c r="N20" s="25">
        <f t="shared" si="29"/>
        <v>92970</v>
      </c>
      <c r="O20" s="25">
        <v>95279</v>
      </c>
      <c r="P20" s="25">
        <v>95576</v>
      </c>
      <c r="Q20" s="25">
        <v>97694</v>
      </c>
      <c r="R20" s="25">
        <f t="shared" si="26"/>
        <v>99213</v>
      </c>
      <c r="S20" s="25">
        <v>101769</v>
      </c>
      <c r="T20" s="25">
        <v>103430</v>
      </c>
      <c r="U20" s="25">
        <v>104223</v>
      </c>
      <c r="V20" s="25">
        <v>107184</v>
      </c>
      <c r="W20" s="25">
        <v>112032</v>
      </c>
      <c r="X20" s="25">
        <v>113919</v>
      </c>
      <c r="Y20" s="25">
        <v>115826</v>
      </c>
      <c r="Z20" s="51">
        <f t="shared" si="27"/>
        <v>118648</v>
      </c>
      <c r="AA20" s="25">
        <v>121931</v>
      </c>
      <c r="AB20" s="25">
        <v>123897</v>
      </c>
      <c r="AC20" s="25">
        <v>126269</v>
      </c>
      <c r="AD20" s="25">
        <f t="shared" si="33"/>
        <v>131167</v>
      </c>
      <c r="AE20" s="25">
        <v>135699</v>
      </c>
      <c r="AF20" s="25">
        <v>138663</v>
      </c>
      <c r="AS20" s="25">
        <v>147274</v>
      </c>
      <c r="AT20" s="25">
        <v>171435</v>
      </c>
      <c r="AU20" s="25">
        <v>199107</v>
      </c>
      <c r="AV20" s="25">
        <v>230868</v>
      </c>
      <c r="AW20" s="25">
        <v>262412</v>
      </c>
      <c r="AX20" s="25">
        <v>293636</v>
      </c>
      <c r="AY20" s="25">
        <v>327132</v>
      </c>
      <c r="AZ20" s="25">
        <v>347123</v>
      </c>
      <c r="BA20" s="25">
        <v>363072</v>
      </c>
      <c r="BB20" s="25">
        <v>387762</v>
      </c>
      <c r="BC20" s="25">
        <f t="shared" si="35"/>
        <v>416606</v>
      </c>
      <c r="BD20" s="25">
        <v>460425</v>
      </c>
      <c r="BE20" s="25">
        <v>503264</v>
      </c>
      <c r="BF20" s="25">
        <f t="shared" ref="BF20:BL20" si="44">+BF17*(BE20/BE17)</f>
        <v>580023.10796624969</v>
      </c>
      <c r="BG20" s="25">
        <f t="shared" si="44"/>
        <v>664181.55848844943</v>
      </c>
      <c r="BH20" s="25">
        <f t="shared" si="44"/>
        <v>756350.93988463446</v>
      </c>
      <c r="BI20" s="25">
        <f t="shared" si="44"/>
        <v>857189.59343780321</v>
      </c>
      <c r="BJ20" s="25">
        <f t="shared" si="44"/>
        <v>967406.02203376777</v>
      </c>
      <c r="BK20" s="25">
        <f t="shared" si="44"/>
        <v>1087762.5395248719</v>
      </c>
      <c r="BL20" s="25">
        <f t="shared" si="44"/>
        <v>1219079.1774355869</v>
      </c>
      <c r="BM20" s="25">
        <f t="shared" ref="BM20" si="45">+BM17*(BL20/BL17)</f>
        <v>1362237.8667532981</v>
      </c>
      <c r="BN20" s="25">
        <f t="shared" ref="BN20:BO20" si="46">+BN17*(BM20/BM17)</f>
        <v>1518186.9137503665</v>
      </c>
      <c r="BO20" s="25">
        <f t="shared" si="46"/>
        <v>1835578.7681322666</v>
      </c>
    </row>
    <row r="21" spans="1:267">
      <c r="B21" s="9" t="s">
        <v>24</v>
      </c>
      <c r="C21" s="25">
        <v>150609</v>
      </c>
      <c r="D21" s="25">
        <v>163685</v>
      </c>
      <c r="E21" s="25">
        <v>162312</v>
      </c>
      <c r="F21" s="25">
        <f t="shared" si="28"/>
        <v>175038</v>
      </c>
      <c r="G21" s="25">
        <v>148069</v>
      </c>
      <c r="H21" s="25">
        <v>175171</v>
      </c>
      <c r="I21" s="25">
        <v>167488</v>
      </c>
      <c r="J21" s="25">
        <f t="shared" si="37"/>
        <v>189303</v>
      </c>
      <c r="K21" s="25">
        <v>174743</v>
      </c>
      <c r="L21" s="25">
        <v>193309</v>
      </c>
      <c r="M21" s="25">
        <v>180259</v>
      </c>
      <c r="N21" s="25">
        <f t="shared" si="29"/>
        <v>212070</v>
      </c>
      <c r="O21" s="25">
        <v>210762</v>
      </c>
      <c r="P21" s="25">
        <v>262378</v>
      </c>
      <c r="Q21" s="25">
        <v>268416</v>
      </c>
      <c r="R21" s="25">
        <f t="shared" si="26"/>
        <v>288456</v>
      </c>
      <c r="S21" s="25">
        <v>294710</v>
      </c>
      <c r="T21" s="25">
        <v>287242</v>
      </c>
      <c r="U21" s="25">
        <v>294650</v>
      </c>
      <c r="V21" s="25">
        <v>320452</v>
      </c>
      <c r="W21" s="25">
        <v>330695</v>
      </c>
      <c r="X21" s="25">
        <v>317481</v>
      </c>
      <c r="Y21" s="25">
        <v>322085</v>
      </c>
      <c r="Z21" s="51">
        <f t="shared" si="27"/>
        <v>341644</v>
      </c>
      <c r="AA21" s="25">
        <v>363206</v>
      </c>
      <c r="AB21" s="25">
        <v>349707</v>
      </c>
      <c r="AC21" s="25">
        <v>345368</v>
      </c>
      <c r="AD21" s="25">
        <f t="shared" si="33"/>
        <v>370466</v>
      </c>
      <c r="AE21" s="25">
        <v>385773</v>
      </c>
      <c r="AF21" s="25">
        <v>384754</v>
      </c>
      <c r="AS21" s="25">
        <v>251208</v>
      </c>
      <c r="AT21" s="25">
        <v>286610</v>
      </c>
      <c r="AU21" s="25">
        <v>347401</v>
      </c>
      <c r="AV21" s="25">
        <v>434244</v>
      </c>
      <c r="AW21" s="25">
        <v>514963</v>
      </c>
      <c r="AX21" s="25">
        <v>641953</v>
      </c>
      <c r="AY21" s="25">
        <v>651644</v>
      </c>
      <c r="AZ21" s="25">
        <v>680031</v>
      </c>
      <c r="BA21" s="25">
        <v>760381</v>
      </c>
      <c r="BB21" s="25">
        <v>1030012</v>
      </c>
      <c r="BC21" s="25">
        <f t="shared" si="35"/>
        <v>1197054</v>
      </c>
      <c r="BD21" s="25">
        <v>1311905</v>
      </c>
      <c r="BE21" s="25">
        <v>1428747</v>
      </c>
      <c r="BF21" s="25">
        <f t="shared" ref="BF21:BL21" si="47">+BF17*(BE21/BE17)</f>
        <v>1646663.1339365728</v>
      </c>
      <c r="BG21" s="25">
        <f t="shared" si="47"/>
        <v>1885585.7147455344</v>
      </c>
      <c r="BH21" s="25">
        <f t="shared" si="47"/>
        <v>2147251.0179693997</v>
      </c>
      <c r="BI21" s="25">
        <f t="shared" si="47"/>
        <v>2433528.0490070446</v>
      </c>
      <c r="BJ21" s="25">
        <f t="shared" si="47"/>
        <v>2746428.2201045174</v>
      </c>
      <c r="BK21" s="25">
        <f t="shared" si="47"/>
        <v>3088115.7107572616</v>
      </c>
      <c r="BL21" s="25">
        <f t="shared" si="47"/>
        <v>3460918.5586959589</v>
      </c>
      <c r="BM21" s="25">
        <f t="shared" ref="BM21" si="48">+BM17*(BL21/BL17)</f>
        <v>3867340.531828573</v>
      </c>
      <c r="BN21" s="25">
        <f t="shared" ref="BN21:BO21" si="49">+BN17*(BM21/BM17)</f>
        <v>4310073.8349257959</v>
      </c>
      <c r="BO21" s="25">
        <f t="shared" si="49"/>
        <v>5211137.0140377069</v>
      </c>
    </row>
    <row r="22" spans="1:267">
      <c r="B22" s="9" t="s">
        <v>25</v>
      </c>
      <c r="C22" s="25">
        <v>69441</v>
      </c>
      <c r="D22" s="25">
        <v>70075</v>
      </c>
      <c r="E22" s="25">
        <v>99182</v>
      </c>
      <c r="F22" s="25">
        <f t="shared" si="28"/>
        <v>57690</v>
      </c>
      <c r="G22" s="25">
        <v>77063</v>
      </c>
      <c r="H22" s="25">
        <v>85153</v>
      </c>
      <c r="I22" s="25">
        <v>109524</v>
      </c>
      <c r="J22" s="25">
        <f t="shared" si="37"/>
        <v>103720</v>
      </c>
      <c r="K22" s="25">
        <v>102671</v>
      </c>
      <c r="L22" s="25">
        <v>121395</v>
      </c>
      <c r="M22" s="25">
        <v>115070</v>
      </c>
      <c r="N22" s="25">
        <f t="shared" si="29"/>
        <v>112416</v>
      </c>
      <c r="O22" s="25">
        <v>106470</v>
      </c>
      <c r="P22" s="25">
        <v>102647</v>
      </c>
      <c r="Q22" s="25">
        <v>133150</v>
      </c>
      <c r="R22" s="25">
        <f t="shared" si="26"/>
        <v>124024</v>
      </c>
      <c r="S22" s="25">
        <v>155103</v>
      </c>
      <c r="T22" s="25">
        <v>146044</v>
      </c>
      <c r="U22" s="25">
        <v>145930</v>
      </c>
      <c r="V22" s="25">
        <v>159777</v>
      </c>
      <c r="W22" s="25">
        <v>147402</v>
      </c>
      <c r="X22" s="25">
        <v>140820</v>
      </c>
      <c r="Y22" s="25">
        <v>140896</v>
      </c>
      <c r="Z22" s="51">
        <f t="shared" si="27"/>
        <v>135073</v>
      </c>
      <c r="AA22" s="25">
        <v>148340</v>
      </c>
      <c r="AB22" s="25">
        <v>156496</v>
      </c>
      <c r="AC22" s="25">
        <v>159501</v>
      </c>
      <c r="AD22" s="25">
        <f t="shared" si="33"/>
        <v>169247</v>
      </c>
      <c r="AE22" s="25">
        <v>204625</v>
      </c>
      <c r="AF22" s="25">
        <v>175028</v>
      </c>
      <c r="AS22" s="25">
        <v>149426</v>
      </c>
      <c r="AT22" s="25">
        <v>183409</v>
      </c>
      <c r="AU22" s="25">
        <v>203733</v>
      </c>
      <c r="AV22" s="25">
        <v>273897</v>
      </c>
      <c r="AW22" s="25">
        <v>250214</v>
      </c>
      <c r="AX22" s="25">
        <v>276240</v>
      </c>
      <c r="AY22" s="25">
        <v>296388</v>
      </c>
      <c r="AZ22" s="25">
        <v>375460</v>
      </c>
      <c r="BA22" s="25">
        <v>451552</v>
      </c>
      <c r="BB22" s="25">
        <v>466291</v>
      </c>
      <c r="BC22" s="25">
        <f t="shared" si="35"/>
        <v>606854</v>
      </c>
      <c r="BD22" s="25">
        <v>564191</v>
      </c>
      <c r="BE22" s="25">
        <v>633584</v>
      </c>
      <c r="BF22" s="25">
        <f t="shared" ref="BF22:BL22" si="50">+BF17*(BE22/BE17)</f>
        <v>730219.84651731176</v>
      </c>
      <c r="BG22" s="25">
        <f t="shared" si="50"/>
        <v>836171.0922167009</v>
      </c>
      <c r="BH22" s="25">
        <f t="shared" si="50"/>
        <v>952207.69595255423</v>
      </c>
      <c r="BI22" s="25">
        <f t="shared" si="50"/>
        <v>1079158.4762047299</v>
      </c>
      <c r="BJ22" s="25">
        <f t="shared" si="50"/>
        <v>1217915.4023817375</v>
      </c>
      <c r="BK22" s="25">
        <f t="shared" si="50"/>
        <v>1369438.1891856492</v>
      </c>
      <c r="BL22" s="25">
        <f t="shared" si="50"/>
        <v>1534759.2149574556</v>
      </c>
      <c r="BM22" s="25">
        <f t="shared" ref="BM22" si="51">+BM17*(BL22/BL17)</f>
        <v>1714988.7863408106</v>
      </c>
      <c r="BN22" s="25">
        <f t="shared" ref="BN22:BO22" si="52">+BN17*(BM22/BM17)</f>
        <v>1911320.7731163215</v>
      </c>
      <c r="BO22" s="25">
        <f t="shared" si="52"/>
        <v>2310901.1139845373</v>
      </c>
    </row>
    <row r="23" spans="1:267">
      <c r="B23" s="9" t="s">
        <v>26</v>
      </c>
      <c r="C23" s="25">
        <v>39279</v>
      </c>
      <c r="D23" s="25">
        <v>41081</v>
      </c>
      <c r="E23" s="25">
        <v>41546</v>
      </c>
      <c r="F23" s="25">
        <f t="shared" si="28"/>
        <v>41442</v>
      </c>
      <c r="G23" s="25">
        <v>46915</v>
      </c>
      <c r="H23" s="25">
        <v>49193</v>
      </c>
      <c r="I23" s="25">
        <v>52654</v>
      </c>
      <c r="J23" s="25">
        <f t="shared" si="37"/>
        <v>53217</v>
      </c>
      <c r="K23" s="25">
        <v>53781</v>
      </c>
      <c r="L23" s="25">
        <v>51642</v>
      </c>
      <c r="M23" s="25">
        <v>52206</v>
      </c>
      <c r="N23" s="25">
        <f t="shared" si="29"/>
        <v>55149</v>
      </c>
      <c r="O23" s="25">
        <v>58374</v>
      </c>
      <c r="P23" s="25">
        <v>60024</v>
      </c>
      <c r="Q23" s="25">
        <v>60180</v>
      </c>
      <c r="R23" s="25">
        <f t="shared" si="26"/>
        <v>59956</v>
      </c>
      <c r="S23" s="25">
        <v>63122</v>
      </c>
      <c r="T23" s="25">
        <v>62082</v>
      </c>
      <c r="U23" s="25">
        <v>63191</v>
      </c>
      <c r="V23" s="25">
        <v>66262</v>
      </c>
      <c r="W23" s="25">
        <v>71665</v>
      </c>
      <c r="X23" s="25">
        <v>69733</v>
      </c>
      <c r="Y23" s="25">
        <v>71416</v>
      </c>
      <c r="Z23" s="51">
        <f t="shared" si="27"/>
        <v>74012</v>
      </c>
      <c r="AA23" s="25">
        <v>76585</v>
      </c>
      <c r="AB23" s="25">
        <v>78771</v>
      </c>
      <c r="AC23" s="25">
        <v>78546</v>
      </c>
      <c r="AD23" s="25">
        <f t="shared" si="33"/>
        <v>85492</v>
      </c>
      <c r="AE23" s="25">
        <v>83243</v>
      </c>
      <c r="AF23" s="25">
        <v>83562</v>
      </c>
      <c r="AS23" s="25">
        <v>74938</v>
      </c>
      <c r="AT23" s="25">
        <v>84130</v>
      </c>
      <c r="AU23" s="25">
        <v>96054</v>
      </c>
      <c r="AV23" s="25">
        <v>110474</v>
      </c>
      <c r="AW23" s="25">
        <v>130368</v>
      </c>
      <c r="AX23" s="25">
        <v>146368</v>
      </c>
      <c r="AY23" s="25">
        <v>163348</v>
      </c>
      <c r="AZ23" s="25">
        <v>201979</v>
      </c>
      <c r="BA23" s="25">
        <v>212778</v>
      </c>
      <c r="BB23" s="25">
        <v>238534</v>
      </c>
      <c r="BC23" s="25">
        <v>254657</v>
      </c>
      <c r="BD23" s="25">
        <v>286826</v>
      </c>
      <c r="BE23" s="25">
        <v>319394</v>
      </c>
      <c r="BF23" s="25">
        <f>+BF$17*(BE23/BE$17)</f>
        <v>368108.78693046264</v>
      </c>
      <c r="BG23" s="25">
        <f t="shared" ref="BG23:BO23" si="53">+BG$17*(BF23/BF$17)</f>
        <v>421519.52989258087</v>
      </c>
      <c r="BH23" s="25">
        <f t="shared" si="53"/>
        <v>480014.37037720351</v>
      </c>
      <c r="BI23" s="25">
        <f t="shared" si="53"/>
        <v>544011.12141236756</v>
      </c>
      <c r="BJ23" s="25">
        <f t="shared" si="53"/>
        <v>613959.4308383934</v>
      </c>
      <c r="BK23" s="25">
        <f t="shared" si="53"/>
        <v>690343.09735845786</v>
      </c>
      <c r="BL23" s="25">
        <f t="shared" si="53"/>
        <v>773682.54990991182</v>
      </c>
      <c r="BM23" s="25">
        <f t="shared" si="53"/>
        <v>864537.5016170498</v>
      </c>
      <c r="BN23" s="25">
        <f t="shared" si="53"/>
        <v>963509.7903493687</v>
      </c>
      <c r="BO23" s="25">
        <f t="shared" si="53"/>
        <v>1164940.9555796506</v>
      </c>
    </row>
    <row r="24" spans="1:267">
      <c r="B24" s="9" t="s">
        <v>27</v>
      </c>
      <c r="C24" s="25">
        <v>4069</v>
      </c>
      <c r="D24" s="25">
        <v>2903</v>
      </c>
      <c r="E24" s="25">
        <v>2792</v>
      </c>
      <c r="F24" s="25">
        <f t="shared" si="28"/>
        <v>2577</v>
      </c>
      <c r="G24" s="25">
        <v>2649</v>
      </c>
      <c r="H24" s="25">
        <v>2014</v>
      </c>
      <c r="I24" s="25">
        <v>2127</v>
      </c>
      <c r="J24" s="25">
        <f t="shared" si="37"/>
        <v>1756</v>
      </c>
      <c r="K24" s="25">
        <v>940</v>
      </c>
      <c r="L24" s="25">
        <v>2118</v>
      </c>
      <c r="M24" s="25">
        <v>3064</v>
      </c>
      <c r="N24" s="25">
        <f t="shared" si="29"/>
        <v>4986</v>
      </c>
      <c r="O24" s="25">
        <v>3566</v>
      </c>
      <c r="P24" s="25">
        <v>3644</v>
      </c>
      <c r="Q24" s="25">
        <v>3808</v>
      </c>
      <c r="R24" s="25">
        <f t="shared" si="26"/>
        <v>4497</v>
      </c>
      <c r="S24" s="25">
        <v>3421</v>
      </c>
      <c r="T24" s="25">
        <v>4965</v>
      </c>
      <c r="U24" s="25">
        <v>5894</v>
      </c>
      <c r="V24" s="25">
        <v>6984</v>
      </c>
      <c r="W24" s="25">
        <v>5348</v>
      </c>
      <c r="X24" s="25">
        <v>5253</v>
      </c>
      <c r="Y24" s="25">
        <v>7618</v>
      </c>
      <c r="Z24" s="51">
        <f t="shared" si="27"/>
        <v>11341</v>
      </c>
      <c r="AA24" s="25">
        <v>6198</v>
      </c>
      <c r="AB24" s="25">
        <v>7538</v>
      </c>
      <c r="AC24" s="25">
        <v>9605</v>
      </c>
      <c r="AD24" s="25">
        <f t="shared" si="33"/>
        <v>13590</v>
      </c>
      <c r="AE24" s="25">
        <v>7211</v>
      </c>
      <c r="AF24" s="25">
        <v>8995</v>
      </c>
      <c r="AS24" s="25">
        <v>8495</v>
      </c>
      <c r="AT24" s="25">
        <v>11909</v>
      </c>
      <c r="AU24" s="25">
        <v>15511</v>
      </c>
      <c r="AV24" s="25">
        <v>15609</v>
      </c>
      <c r="AW24" s="25">
        <v>16922</v>
      </c>
      <c r="AX24" s="25">
        <v>17162</v>
      </c>
      <c r="AY24" s="25">
        <v>12341</v>
      </c>
      <c r="AZ24" s="25">
        <v>8546</v>
      </c>
      <c r="BA24" s="25">
        <v>11108</v>
      </c>
      <c r="BB24" s="25">
        <v>15515</v>
      </c>
      <c r="BC24" s="25">
        <f>+SUM(S24:V24)</f>
        <v>21264</v>
      </c>
      <c r="BD24" s="25">
        <v>29560</v>
      </c>
      <c r="BE24" s="25">
        <v>36931</v>
      </c>
      <c r="BF24" s="25">
        <f t="shared" ref="BF24:BL24" si="54">+BF17*(BE24/BE17)</f>
        <v>42563.810247308706</v>
      </c>
      <c r="BG24" s="25">
        <f t="shared" si="54"/>
        <v>48739.606124294456</v>
      </c>
      <c r="BH24" s="25">
        <f t="shared" si="54"/>
        <v>55503.267789628175</v>
      </c>
      <c r="BI24" s="25">
        <f t="shared" si="54"/>
        <v>62903.106272754485</v>
      </c>
      <c r="BJ24" s="25">
        <f t="shared" si="54"/>
        <v>70991.113609813299</v>
      </c>
      <c r="BK24" s="25">
        <f t="shared" si="54"/>
        <v>79823.230644737254</v>
      </c>
      <c r="BL24" s="25">
        <f t="shared" si="54"/>
        <v>89459.633714856755</v>
      </c>
      <c r="BM24" s="25">
        <f t="shared" ref="BM24" si="55">+BM17*(BL24/BL17)</f>
        <v>99965.041523069522</v>
      </c>
      <c r="BN24" s="25">
        <f t="shared" ref="BN24:BO24" si="56">+BN17*(BM24/BM17)</f>
        <v>111409.04358689436</v>
      </c>
      <c r="BO24" s="25">
        <f t="shared" si="56"/>
        <v>134700.19609169889</v>
      </c>
    </row>
    <row r="25" spans="1:267">
      <c r="B25" s="9" t="s">
        <v>125</v>
      </c>
      <c r="Z25" s="51"/>
    </row>
    <row r="26" spans="1:267">
      <c r="B26" s="9" t="s">
        <v>28</v>
      </c>
      <c r="C26" s="25">
        <f>+C17-SUM(C18:C25)</f>
        <v>76823</v>
      </c>
      <c r="D26" s="25">
        <f>+D17-SUM(D18:D25)</f>
        <v>106341</v>
      </c>
      <c r="E26" s="25">
        <f>+E17-SUM(E18:E25)</f>
        <v>37614</v>
      </c>
      <c r="F26" s="25">
        <f t="shared" si="28"/>
        <v>63361</v>
      </c>
      <c r="G26" s="25">
        <f>+G17-SUM(G18:G25)</f>
        <v>97667</v>
      </c>
      <c r="H26" s="25">
        <f>+H17-SUM(H18:H25)</f>
        <v>113279</v>
      </c>
      <c r="I26" s="25">
        <f>+I17-SUM(I18:I25)</f>
        <v>64445</v>
      </c>
      <c r="J26" s="25">
        <f t="shared" si="37"/>
        <v>49616</v>
      </c>
      <c r="K26" s="25">
        <f>+K17-SUM(K18:K25)</f>
        <v>117103</v>
      </c>
      <c r="L26" s="25">
        <f>+L17-SUM(L18:L25)</f>
        <v>124507</v>
      </c>
      <c r="M26" s="25">
        <f>+M17-SUM(M18:M25)</f>
        <v>121548</v>
      </c>
      <c r="N26" s="25">
        <f t="shared" si="29"/>
        <v>104344</v>
      </c>
      <c r="O26" s="25">
        <f>+O17-SUM(O18:O25)</f>
        <v>80457</v>
      </c>
      <c r="P26" s="25">
        <f>+P17-SUM(P18:P25)</f>
        <v>447</v>
      </c>
      <c r="Q26" s="25">
        <f>+Q17-SUM(Q18:Q25)</f>
        <v>115087</v>
      </c>
      <c r="R26" s="25">
        <f t="shared" si="26"/>
        <v>124750</v>
      </c>
      <c r="S26" s="25">
        <f>+S17-SUM(S18:S25)</f>
        <v>167110</v>
      </c>
      <c r="T26" s="25">
        <f>+T17-SUM(T18:T25)</f>
        <v>249791</v>
      </c>
      <c r="U26" s="25">
        <f>+U17-SUM(U18:U25)</f>
        <v>244338</v>
      </c>
      <c r="V26" s="25">
        <f t="shared" ref="V26" si="57">+V17-SUM(V18:V25)</f>
        <v>162995</v>
      </c>
      <c r="W26" s="25">
        <f>+W17-SUM(W18:W25)</f>
        <v>194531</v>
      </c>
      <c r="X26" s="25">
        <f>+X17-SUM(X18:X25)</f>
        <v>342279</v>
      </c>
      <c r="Y26" s="25">
        <f>+Y17-SUM(Y18:Y25)</f>
        <v>342616</v>
      </c>
      <c r="Z26" s="51">
        <f t="shared" si="27"/>
        <v>302116</v>
      </c>
      <c r="AA26" s="25">
        <f>+AA17-SUM(AA18:AA25)</f>
        <v>375967</v>
      </c>
      <c r="AB26" s="25">
        <f>+AB17-SUM(AB18:AB25)</f>
        <v>448050</v>
      </c>
      <c r="AC26" s="25">
        <f>+AC17-SUM(AC18:AC25)</f>
        <v>402191</v>
      </c>
      <c r="AD26" s="25">
        <f t="shared" si="33"/>
        <v>369975</v>
      </c>
      <c r="AE26" s="25">
        <f>+AE17-SUM(AE18:AE25)</f>
        <v>446771</v>
      </c>
      <c r="AF26" s="25">
        <f>+AF17-SUM(AF18:AF25)</f>
        <v>591815</v>
      </c>
      <c r="AS26" s="25">
        <f t="shared" ref="AS26:BB26" si="58">+AS17-SUM(AS18:AS25)</f>
        <v>356368</v>
      </c>
      <c r="AT26" s="25">
        <f t="shared" si="58"/>
        <v>460892</v>
      </c>
      <c r="AU26" s="25">
        <f t="shared" si="58"/>
        <v>539471</v>
      </c>
      <c r="AV26" s="25">
        <f t="shared" si="58"/>
        <v>717776</v>
      </c>
      <c r="AW26" s="25">
        <f t="shared" si="58"/>
        <v>776783</v>
      </c>
      <c r="AX26" s="25">
        <f t="shared" si="58"/>
        <v>58444</v>
      </c>
      <c r="AY26" s="25">
        <f t="shared" si="58"/>
        <v>284139</v>
      </c>
      <c r="AZ26" s="25">
        <f t="shared" si="58"/>
        <v>325007</v>
      </c>
      <c r="BA26" s="25">
        <f t="shared" si="58"/>
        <v>467502</v>
      </c>
      <c r="BB26" s="25">
        <f t="shared" si="58"/>
        <v>320741</v>
      </c>
      <c r="BC26" s="25">
        <f>SUM(S26:V26)</f>
        <v>824234</v>
      </c>
      <c r="BD26" s="25">
        <f>+BD17-SUM(BD18:BD25)</f>
        <v>1181542</v>
      </c>
      <c r="BE26" s="25">
        <f>+BE17-SUM(BE18:BE25)</f>
        <v>1596183</v>
      </c>
      <c r="BF26" s="25">
        <f t="shared" ref="BF26:BL26" si="59">+BF17-SUM(BF18:BF25)</f>
        <v>1839636.8994064592</v>
      </c>
      <c r="BG26" s="25">
        <f>+BG17-SUM(BG18:BG25)</f>
        <v>2106559.0079416949</v>
      </c>
      <c r="BH26" s="25">
        <f>+BH17-SUM(BH18:BH25)</f>
        <v>2398889.0766632948</v>
      </c>
      <c r="BI26" s="25">
        <f t="shared" si="59"/>
        <v>2718715.1412028912</v>
      </c>
      <c r="BJ26" s="25">
        <f t="shared" si="59"/>
        <v>3068284.3328112606</v>
      </c>
      <c r="BK26" s="25">
        <f t="shared" si="59"/>
        <v>3450014.4529042989</v>
      </c>
      <c r="BL26" s="25">
        <f t="shared" si="59"/>
        <v>3866506.3638103791</v>
      </c>
      <c r="BM26" s="25">
        <f t="shared" ref="BM26:BN26" si="60">+BM17-SUM(BM18:BM25)</f>
        <v>4320557.2519947328</v>
      </c>
      <c r="BN26" s="25">
        <f t="shared" si="60"/>
        <v>4815174.8238514997</v>
      </c>
      <c r="BO26" s="25">
        <f t="shared" ref="BO26" si="61">+BO17-SUM(BO18:BO25)</f>
        <v>5821834.3152970746</v>
      </c>
    </row>
    <row r="27" spans="1:267">
      <c r="B27" s="9" t="s">
        <v>29</v>
      </c>
      <c r="C27" s="25">
        <v>1188</v>
      </c>
      <c r="D27" s="25">
        <v>1049</v>
      </c>
      <c r="E27" s="25">
        <v>1275</v>
      </c>
      <c r="F27" s="25">
        <f t="shared" si="28"/>
        <v>1437</v>
      </c>
      <c r="G27" s="25">
        <v>1394</v>
      </c>
      <c r="H27" s="25">
        <v>2323</v>
      </c>
      <c r="I27" s="25">
        <v>2493</v>
      </c>
      <c r="J27" s="25">
        <f t="shared" si="37"/>
        <v>3858</v>
      </c>
      <c r="K27" s="25">
        <v>3129</v>
      </c>
      <c r="L27" s="25">
        <v>3947</v>
      </c>
      <c r="M27" s="25">
        <v>4411</v>
      </c>
      <c r="N27" s="25">
        <f t="shared" si="29"/>
        <v>2840</v>
      </c>
      <c r="O27" s="25">
        <v>2743</v>
      </c>
      <c r="P27" s="25">
        <v>623</v>
      </c>
      <c r="Q27" s="25">
        <v>-595</v>
      </c>
      <c r="R27" s="25">
        <f t="shared" si="26"/>
        <v>846</v>
      </c>
      <c r="S27" s="25">
        <v>-2168</v>
      </c>
      <c r="T27" s="25">
        <v>851</v>
      </c>
      <c r="U27" s="25">
        <v>-126</v>
      </c>
      <c r="V27" s="25">
        <v>9263</v>
      </c>
      <c r="W27" s="25">
        <v>-213</v>
      </c>
      <c r="X27" s="25">
        <v>10572</v>
      </c>
      <c r="Y27" s="25">
        <v>3712</v>
      </c>
      <c r="Z27" s="51">
        <f t="shared" si="27"/>
        <v>7057</v>
      </c>
      <c r="AA27" s="25">
        <v>8949</v>
      </c>
      <c r="AB27" s="25">
        <v>16446</v>
      </c>
      <c r="AC27" s="25">
        <v>18392</v>
      </c>
      <c r="AD27" s="25">
        <f t="shared" si="33"/>
        <v>18906</v>
      </c>
      <c r="AE27" s="25">
        <v>19364</v>
      </c>
      <c r="AF27" s="25">
        <v>21861</v>
      </c>
      <c r="AS27" s="25">
        <v>-857</v>
      </c>
      <c r="AT27" s="25">
        <v>1820</v>
      </c>
      <c r="AU27" s="25">
        <v>1751</v>
      </c>
      <c r="AV27" s="25">
        <v>3503</v>
      </c>
      <c r="AW27" s="25">
        <v>6278</v>
      </c>
      <c r="AX27" s="25">
        <v>4172</v>
      </c>
      <c r="AY27" s="25">
        <v>4949</v>
      </c>
      <c r="AZ27" s="25">
        <v>10068</v>
      </c>
      <c r="BA27" s="25">
        <v>14327</v>
      </c>
      <c r="BB27" s="25">
        <v>3617</v>
      </c>
      <c r="BC27" s="25">
        <f>+BC26*(BB27/BB26)</f>
        <v>9294.8964366887922</v>
      </c>
      <c r="BD27" s="25">
        <v>21128</v>
      </c>
      <c r="BE27" s="25">
        <v>62693</v>
      </c>
      <c r="BF27" s="25">
        <f t="shared" ref="BF27:BO27" si="62">+BE55*$BS$35</f>
        <v>24901.23</v>
      </c>
      <c r="BG27" s="25">
        <f t="shared" si="62"/>
        <v>48394.410430521391</v>
      </c>
      <c r="BH27" s="25">
        <f t="shared" si="62"/>
        <v>75546.823502011321</v>
      </c>
      <c r="BI27" s="25">
        <f t="shared" si="62"/>
        <v>106724.71584409417</v>
      </c>
      <c r="BJ27" s="25">
        <f t="shared" si="62"/>
        <v>142325.25804288618</v>
      </c>
      <c r="BK27" s="25">
        <f t="shared" si="62"/>
        <v>182778.93888764843</v>
      </c>
      <c r="BL27" s="25">
        <f t="shared" si="62"/>
        <v>228552.13562422697</v>
      </c>
      <c r="BM27" s="25">
        <f t="shared" si="62"/>
        <v>280149.87271710299</v>
      </c>
      <c r="BN27" s="25">
        <f t="shared" si="62"/>
        <v>338118.78248847212</v>
      </c>
      <c r="BO27" s="25">
        <f t="shared" si="62"/>
        <v>403050.28192835569</v>
      </c>
    </row>
    <row r="28" spans="1:267">
      <c r="B28" s="9" t="s">
        <v>30</v>
      </c>
      <c r="C28" s="25">
        <f>+C26+C27</f>
        <v>78011</v>
      </c>
      <c r="D28" s="25">
        <f>+D26+D27</f>
        <v>107390</v>
      </c>
      <c r="E28" s="25">
        <f>+E26+E27</f>
        <v>38889</v>
      </c>
      <c r="F28" s="25">
        <f t="shared" si="28"/>
        <v>64798</v>
      </c>
      <c r="G28" s="25">
        <f>+G26+G27</f>
        <v>99061</v>
      </c>
      <c r="H28" s="25">
        <f>+H26+H27</f>
        <v>115602</v>
      </c>
      <c r="I28" s="25">
        <f>+I26+I27</f>
        <v>66938</v>
      </c>
      <c r="J28" s="25">
        <f t="shared" si="37"/>
        <v>53474</v>
      </c>
      <c r="K28" s="25">
        <f>+K26+K27</f>
        <v>120232</v>
      </c>
      <c r="L28" s="25">
        <f>+L26+L27</f>
        <v>128454</v>
      </c>
      <c r="M28" s="25">
        <f>+M26+M27</f>
        <v>125959</v>
      </c>
      <c r="N28" s="25">
        <f t="shared" si="29"/>
        <v>107184</v>
      </c>
      <c r="O28" s="25">
        <f>+O26+O27</f>
        <v>83200</v>
      </c>
      <c r="P28" s="25">
        <f>+P26+P27</f>
        <v>1070</v>
      </c>
      <c r="Q28" s="25">
        <f>+Q26+Q27</f>
        <v>114492</v>
      </c>
      <c r="R28" s="25">
        <f t="shared" si="26"/>
        <v>125596</v>
      </c>
      <c r="S28" s="25">
        <f>+S26+S27</f>
        <v>164942</v>
      </c>
      <c r="T28" s="25">
        <f>+T26+T27</f>
        <v>250642</v>
      </c>
      <c r="U28" s="25">
        <f>+U26+U27</f>
        <v>244212</v>
      </c>
      <c r="V28" s="25">
        <f t="shared" ref="V28" si="63">+V26+V27</f>
        <v>172258</v>
      </c>
      <c r="W28" s="25">
        <f>+W26+W27</f>
        <v>194318</v>
      </c>
      <c r="X28" s="25">
        <f>+X26+X27</f>
        <v>352851</v>
      </c>
      <c r="Y28" s="25">
        <f>+Y26+Y27</f>
        <v>346328</v>
      </c>
      <c r="Z28" s="51">
        <f t="shared" si="27"/>
        <v>309173</v>
      </c>
      <c r="AA28" s="25">
        <f>+AA26+AA27</f>
        <v>384916</v>
      </c>
      <c r="AB28" s="25">
        <f>+AB26+AB27</f>
        <v>464496</v>
      </c>
      <c r="AC28" s="25">
        <f>+AC26+AC27</f>
        <v>420583</v>
      </c>
      <c r="AD28" s="25">
        <f t="shared" si="33"/>
        <v>388881</v>
      </c>
      <c r="AE28" s="25">
        <f>+AE26+AE27</f>
        <v>466135</v>
      </c>
      <c r="AF28" s="25">
        <f>+AF26+AF27</f>
        <v>613676</v>
      </c>
      <c r="AS28" s="25">
        <f t="shared" ref="AS28:BD28" si="64">+AS26+AS27</f>
        <v>355511</v>
      </c>
      <c r="AT28" s="25">
        <f t="shared" si="64"/>
        <v>462712</v>
      </c>
      <c r="AU28" s="25">
        <f t="shared" si="64"/>
        <v>541222</v>
      </c>
      <c r="AV28" s="25">
        <f t="shared" si="64"/>
        <v>721279</v>
      </c>
      <c r="AW28" s="25">
        <f t="shared" si="64"/>
        <v>783061</v>
      </c>
      <c r="AX28" s="25">
        <f t="shared" si="64"/>
        <v>62616</v>
      </c>
      <c r="AY28" s="25">
        <f t="shared" si="64"/>
        <v>289088</v>
      </c>
      <c r="AZ28" s="25">
        <f t="shared" si="64"/>
        <v>335075</v>
      </c>
      <c r="BA28" s="25">
        <f t="shared" si="64"/>
        <v>481829</v>
      </c>
      <c r="BB28" s="25">
        <f t="shared" si="64"/>
        <v>324358</v>
      </c>
      <c r="BC28" s="25">
        <f t="shared" si="64"/>
        <v>833528.89643668884</v>
      </c>
      <c r="BD28" s="25">
        <f t="shared" si="64"/>
        <v>1202670</v>
      </c>
      <c r="BE28" s="25">
        <f t="shared" ref="BE28:BL28" si="65">+BE26+BE27</f>
        <v>1658876</v>
      </c>
      <c r="BF28" s="25">
        <f t="shared" si="65"/>
        <v>1864538.1294064592</v>
      </c>
      <c r="BG28" s="25">
        <f t="shared" si="65"/>
        <v>2154953.4183722162</v>
      </c>
      <c r="BH28" s="25">
        <f t="shared" si="65"/>
        <v>2474435.9001653059</v>
      </c>
      <c r="BI28" s="25">
        <f t="shared" si="65"/>
        <v>2825439.8570469855</v>
      </c>
      <c r="BJ28" s="25">
        <f t="shared" si="65"/>
        <v>3210609.590854147</v>
      </c>
      <c r="BK28" s="25">
        <f t="shared" si="65"/>
        <v>3632793.3917919472</v>
      </c>
      <c r="BL28" s="25">
        <f t="shared" si="65"/>
        <v>4095058.4994346062</v>
      </c>
      <c r="BM28" s="25">
        <f t="shared" ref="BM28:BN28" si="66">+BM26+BM27</f>
        <v>4600707.1247118358</v>
      </c>
      <c r="BN28" s="25">
        <f t="shared" si="66"/>
        <v>5153293.6063399715</v>
      </c>
      <c r="BO28" s="25">
        <f t="shared" ref="BO28" si="67">+BO26+BO27</f>
        <v>6224884.5972254304</v>
      </c>
    </row>
    <row r="29" spans="1:267">
      <c r="B29" s="9" t="s">
        <v>31</v>
      </c>
      <c r="C29" s="25">
        <v>-28241</v>
      </c>
      <c r="D29" s="25">
        <v>-41044</v>
      </c>
      <c r="E29" s="25">
        <v>-12532</v>
      </c>
      <c r="F29" s="25">
        <f t="shared" si="28"/>
        <v>181307</v>
      </c>
      <c r="G29" s="25">
        <v>-34756</v>
      </c>
      <c r="H29" s="25">
        <v>-23396</v>
      </c>
      <c r="I29" s="25">
        <v>-22280</v>
      </c>
      <c r="J29" s="25">
        <f t="shared" si="37"/>
        <v>-11451</v>
      </c>
      <c r="K29" s="25">
        <v>-25158</v>
      </c>
      <c r="L29" s="25">
        <v>-32939</v>
      </c>
      <c r="M29" s="25">
        <v>-21450</v>
      </c>
      <c r="N29" s="25">
        <f t="shared" si="29"/>
        <v>-28580</v>
      </c>
      <c r="O29" s="25">
        <v>2524</v>
      </c>
      <c r="P29" s="25">
        <v>12491</v>
      </c>
      <c r="Q29" s="25">
        <v>-26257</v>
      </c>
      <c r="R29" s="25">
        <f t="shared" si="26"/>
        <v>72927</v>
      </c>
      <c r="S29" s="25">
        <v>-32173</v>
      </c>
      <c r="T29" s="25">
        <v>-58402</v>
      </c>
      <c r="U29" s="25">
        <v>-35120</v>
      </c>
      <c r="V29" s="25">
        <v>-34084</v>
      </c>
      <c r="W29" s="25">
        <v>-31714</v>
      </c>
      <c r="X29" s="25">
        <v>-88228</v>
      </c>
      <c r="Y29" s="25">
        <v>-82827</v>
      </c>
      <c r="Z29" s="51">
        <f t="shared" si="27"/>
        <v>-79661</v>
      </c>
      <c r="AA29" s="25">
        <v>-84911</v>
      </c>
      <c r="AB29" s="25">
        <v>-106466</v>
      </c>
      <c r="AC29" s="25">
        <v>-100125</v>
      </c>
      <c r="AD29" s="25">
        <f t="shared" si="33"/>
        <v>-100267</v>
      </c>
      <c r="AE29" s="25">
        <v>101369</v>
      </c>
      <c r="AF29" s="25">
        <v>152243</v>
      </c>
      <c r="AS29" s="25">
        <v>-134760</v>
      </c>
      <c r="AT29" s="25">
        <v>-179685</v>
      </c>
      <c r="AU29" s="25">
        <v>-207033</v>
      </c>
      <c r="AV29" s="25">
        <v>-268929</v>
      </c>
      <c r="AW29" s="25">
        <v>-294265</v>
      </c>
      <c r="AX29" s="25">
        <v>-15801</v>
      </c>
      <c r="AY29" s="25">
        <v>99490</v>
      </c>
      <c r="AZ29" s="25">
        <v>-91883</v>
      </c>
      <c r="BA29" s="25">
        <v>-108127</v>
      </c>
      <c r="BB29" s="25">
        <v>61685</v>
      </c>
      <c r="BC29" s="25">
        <f>SUM(S29:V29)</f>
        <v>-159779</v>
      </c>
      <c r="BD29" s="25">
        <v>-282430</v>
      </c>
      <c r="BE29" s="25">
        <v>-391769</v>
      </c>
      <c r="BF29" s="25">
        <f>+BF28*(AVERAGE(-0.25,-0.27))</f>
        <v>-484779.91364567942</v>
      </c>
      <c r="BG29" s="25">
        <f t="shared" ref="BG29:BL29" si="68">+BG28*(BF29/BF28)</f>
        <v>-560287.88877677626</v>
      </c>
      <c r="BH29" s="25">
        <f t="shared" si="68"/>
        <v>-643353.33404297952</v>
      </c>
      <c r="BI29" s="25">
        <f t="shared" si="68"/>
        <v>-734614.36283221631</v>
      </c>
      <c r="BJ29" s="25">
        <f t="shared" si="68"/>
        <v>-834758.49362207821</v>
      </c>
      <c r="BK29" s="25">
        <f t="shared" si="68"/>
        <v>-944526.28186590632</v>
      </c>
      <c r="BL29" s="25">
        <f t="shared" si="68"/>
        <v>-1064715.2098529977</v>
      </c>
      <c r="BM29" s="25">
        <f t="shared" ref="BM29" si="69">+BM28*(BL29/BL28)</f>
        <v>-1196183.8524250772</v>
      </c>
      <c r="BN29" s="25">
        <f t="shared" ref="BN29:BO29" si="70">+BN28*(BM29/BM28)</f>
        <v>-1339856.3376483927</v>
      </c>
      <c r="BO29" s="25">
        <f t="shared" si="70"/>
        <v>-1618469.995278612</v>
      </c>
    </row>
    <row r="30" spans="1:267" s="36" customFormat="1">
      <c r="A30" s="40"/>
      <c r="B30" s="15" t="s">
        <v>32</v>
      </c>
      <c r="C30" s="36">
        <f>+C28+C29</f>
        <v>49770</v>
      </c>
      <c r="D30" s="36">
        <f>+D28+D29</f>
        <v>66346</v>
      </c>
      <c r="E30" s="36">
        <f>+E28+E29</f>
        <v>26357</v>
      </c>
      <c r="F30" s="36">
        <f t="shared" si="28"/>
        <v>246105</v>
      </c>
      <c r="G30" s="36">
        <f>+G28+G29</f>
        <v>64305</v>
      </c>
      <c r="H30" s="36">
        <f>+H28+H29</f>
        <v>92206</v>
      </c>
      <c r="I30" s="36">
        <f>+I28+I29</f>
        <v>44658</v>
      </c>
      <c r="J30" s="36">
        <f t="shared" si="37"/>
        <v>42023</v>
      </c>
      <c r="K30" s="36">
        <f>+K28+K29</f>
        <v>95074</v>
      </c>
      <c r="L30" s="36">
        <f>+L28+L29</f>
        <v>95515</v>
      </c>
      <c r="M30" s="36">
        <f>+M28+M29</f>
        <v>104509</v>
      </c>
      <c r="N30" s="36">
        <f t="shared" si="29"/>
        <v>78604</v>
      </c>
      <c r="O30" s="36">
        <f>+O28+O29</f>
        <v>85724</v>
      </c>
      <c r="P30" s="36">
        <f>+P28+P29</f>
        <v>13561</v>
      </c>
      <c r="Q30" s="36">
        <f>+Q28+Q29</f>
        <v>88235</v>
      </c>
      <c r="R30" s="36">
        <f t="shared" si="26"/>
        <v>198523</v>
      </c>
      <c r="S30" s="36">
        <f>+S28+S29</f>
        <v>132769</v>
      </c>
      <c r="T30" s="36">
        <f>+T28+T29</f>
        <v>192240</v>
      </c>
      <c r="U30" s="36">
        <f>+U28+U29</f>
        <v>209092</v>
      </c>
      <c r="V30" s="36">
        <f t="shared" ref="V30" si="71">+V28+V29</f>
        <v>138174</v>
      </c>
      <c r="W30" s="36">
        <f>+W28+W29</f>
        <v>162604</v>
      </c>
      <c r="X30" s="36">
        <f>+X28+X29</f>
        <v>264623</v>
      </c>
      <c r="Y30" s="36">
        <f>+Y28+Y29</f>
        <v>263501</v>
      </c>
      <c r="Z30" s="52">
        <f t="shared" si="27"/>
        <v>229512</v>
      </c>
      <c r="AA30" s="36">
        <f>+AA28+AA29</f>
        <v>300005</v>
      </c>
      <c r="AB30" s="36">
        <f>+AB28+AB29</f>
        <v>358030</v>
      </c>
      <c r="AC30" s="36">
        <f>+AC28+AC29</f>
        <v>320458</v>
      </c>
      <c r="AD30" s="36">
        <f t="shared" si="33"/>
        <v>288614</v>
      </c>
      <c r="AE30" s="36">
        <f>+AE28-AE29</f>
        <v>364766</v>
      </c>
      <c r="AF30" s="36">
        <f>+AF28-AF29</f>
        <v>461433</v>
      </c>
      <c r="AS30" s="36">
        <f t="shared" ref="AS30:BB30" si="72">+AS28+AS29</f>
        <v>220751</v>
      </c>
      <c r="AT30" s="36">
        <f t="shared" si="72"/>
        <v>283027</v>
      </c>
      <c r="AU30" s="36">
        <f t="shared" si="72"/>
        <v>334189</v>
      </c>
      <c r="AV30" s="36">
        <f t="shared" si="72"/>
        <v>452350</v>
      </c>
      <c r="AW30" s="36">
        <f t="shared" si="72"/>
        <v>488796</v>
      </c>
      <c r="AX30" s="36">
        <f t="shared" si="72"/>
        <v>46815</v>
      </c>
      <c r="AY30" s="36">
        <f t="shared" si="72"/>
        <v>388578</v>
      </c>
      <c r="AZ30" s="36">
        <f t="shared" si="72"/>
        <v>243192</v>
      </c>
      <c r="BA30" s="36">
        <f t="shared" si="72"/>
        <v>373702</v>
      </c>
      <c r="BB30" s="36">
        <f t="shared" si="72"/>
        <v>386043</v>
      </c>
      <c r="BC30" s="36">
        <f>SUM(S30:V30)</f>
        <v>672275</v>
      </c>
      <c r="BD30" s="36">
        <f>+SUM(BD28:BD29)</f>
        <v>920240</v>
      </c>
      <c r="BE30" s="36">
        <f>+SUM(BE28:BE29)</f>
        <v>1267107</v>
      </c>
      <c r="BF30" s="36">
        <f t="shared" ref="BF30:BN30" si="73">+BF28-BF29</f>
        <v>2349318.0430521388</v>
      </c>
      <c r="BG30" s="36">
        <f t="shared" si="73"/>
        <v>2715241.3071489925</v>
      </c>
      <c r="BH30" s="36">
        <f t="shared" si="73"/>
        <v>3117789.2342082853</v>
      </c>
      <c r="BI30" s="36">
        <f t="shared" si="73"/>
        <v>3560054.2198792016</v>
      </c>
      <c r="BJ30" s="36">
        <f t="shared" si="73"/>
        <v>4045368.0844762251</v>
      </c>
      <c r="BK30" s="36">
        <f t="shared" si="73"/>
        <v>4577319.6736578532</v>
      </c>
      <c r="BL30" s="36">
        <f t="shared" si="73"/>
        <v>5159773.7092876043</v>
      </c>
      <c r="BM30" s="36">
        <f t="shared" si="73"/>
        <v>5796890.9771369128</v>
      </c>
      <c r="BN30" s="36">
        <f t="shared" si="73"/>
        <v>6493149.9439883642</v>
      </c>
      <c r="BO30" s="36">
        <f t="shared" ref="BO30" si="74">+BO28-BO29</f>
        <v>7843354.5925040422</v>
      </c>
      <c r="BP30" s="36">
        <f>+BO30*(1+$BS$36)</f>
        <v>7921788.1384290829</v>
      </c>
      <c r="BQ30" s="36">
        <f t="shared" ref="BQ30:CU30" si="75">+BP30*(1+$BS$36)</f>
        <v>8001006.0198133737</v>
      </c>
      <c r="BR30" s="36">
        <f t="shared" si="75"/>
        <v>8081016.0800115075</v>
      </c>
      <c r="BS30" s="36">
        <f t="shared" si="75"/>
        <v>8161826.2408116227</v>
      </c>
      <c r="BT30" s="36">
        <f t="shared" si="75"/>
        <v>8243444.5032197386</v>
      </c>
      <c r="BU30" s="36">
        <f t="shared" si="75"/>
        <v>8325878.9482519357</v>
      </c>
      <c r="BV30" s="36">
        <f t="shared" si="75"/>
        <v>8409137.7377344556</v>
      </c>
      <c r="BW30" s="36">
        <f t="shared" si="75"/>
        <v>8493229.1151117999</v>
      </c>
      <c r="BX30" s="36">
        <f t="shared" si="75"/>
        <v>8578161.4062629174</v>
      </c>
      <c r="BY30" s="36">
        <f t="shared" si="75"/>
        <v>8663943.0203255471</v>
      </c>
      <c r="BZ30" s="36">
        <f t="shared" si="75"/>
        <v>8750582.4505288024</v>
      </c>
      <c r="CA30" s="36">
        <f t="shared" si="75"/>
        <v>8838088.2750340905</v>
      </c>
      <c r="CB30" s="36">
        <f t="shared" si="75"/>
        <v>8926469.1577844322</v>
      </c>
      <c r="CC30" s="36">
        <f t="shared" si="75"/>
        <v>9015733.8493622765</v>
      </c>
      <c r="CD30" s="36">
        <f t="shared" si="75"/>
        <v>9105891.1878558993</v>
      </c>
      <c r="CE30" s="36">
        <f t="shared" si="75"/>
        <v>9196950.0997344591</v>
      </c>
      <c r="CF30" s="36">
        <f t="shared" si="75"/>
        <v>9288919.6007318031</v>
      </c>
      <c r="CG30" s="36">
        <f t="shared" si="75"/>
        <v>9381808.7967391219</v>
      </c>
      <c r="CH30" s="36">
        <f t="shared" si="75"/>
        <v>9475626.884706514</v>
      </c>
      <c r="CI30" s="36">
        <f t="shared" si="75"/>
        <v>9570383.153553579</v>
      </c>
      <c r="CJ30" s="36">
        <f t="shared" si="75"/>
        <v>9666086.9850891158</v>
      </c>
      <c r="CK30" s="36">
        <f t="shared" si="75"/>
        <v>9762747.8549400065</v>
      </c>
      <c r="CL30" s="36">
        <f t="shared" si="75"/>
        <v>9860375.3334894069</v>
      </c>
      <c r="CM30" s="36">
        <f t="shared" si="75"/>
        <v>9958979.0868243016</v>
      </c>
      <c r="CN30" s="36">
        <f t="shared" si="75"/>
        <v>10058568.877692545</v>
      </c>
      <c r="CO30" s="36">
        <f t="shared" si="75"/>
        <v>10159154.56646947</v>
      </c>
      <c r="CP30" s="36">
        <f t="shared" si="75"/>
        <v>10260746.112134164</v>
      </c>
      <c r="CQ30" s="36">
        <f t="shared" si="75"/>
        <v>10363353.573255505</v>
      </c>
      <c r="CR30" s="36">
        <f t="shared" si="75"/>
        <v>10466987.10898806</v>
      </c>
      <c r="CS30" s="36">
        <f t="shared" si="75"/>
        <v>10571656.980077941</v>
      </c>
      <c r="CT30" s="36">
        <f t="shared" si="75"/>
        <v>10677373.54987872</v>
      </c>
      <c r="CU30" s="36">
        <f t="shared" si="75"/>
        <v>10784147.285377508</v>
      </c>
      <c r="CV30" s="36">
        <f t="shared" ref="CV30:EA30" si="76">+CU30*(1+$BS$36)</f>
        <v>10891988.758231284</v>
      </c>
      <c r="CW30" s="36">
        <f t="shared" si="76"/>
        <v>11000908.645813597</v>
      </c>
      <c r="CX30" s="36">
        <f t="shared" si="76"/>
        <v>11110917.732271733</v>
      </c>
      <c r="CY30" s="36">
        <f t="shared" si="76"/>
        <v>11222026.90959445</v>
      </c>
      <c r="CZ30" s="36">
        <f t="shared" si="76"/>
        <v>11334247.178690394</v>
      </c>
      <c r="DA30" s="36">
        <f t="shared" si="76"/>
        <v>11447589.650477298</v>
      </c>
      <c r="DB30" s="36">
        <f t="shared" si="76"/>
        <v>11562065.54698207</v>
      </c>
      <c r="DC30" s="36">
        <f t="shared" si="76"/>
        <v>11677686.20245189</v>
      </c>
      <c r="DD30" s="36">
        <f t="shared" si="76"/>
        <v>11794463.06447641</v>
      </c>
      <c r="DE30" s="36">
        <f t="shared" si="76"/>
        <v>11912407.695121175</v>
      </c>
      <c r="DF30" s="36">
        <f t="shared" si="76"/>
        <v>12031531.772072386</v>
      </c>
      <c r="DG30" s="36">
        <f t="shared" si="76"/>
        <v>12151847.08979311</v>
      </c>
      <c r="DH30" s="36">
        <f t="shared" si="76"/>
        <v>12273365.560691042</v>
      </c>
      <c r="DI30" s="36">
        <f t="shared" si="76"/>
        <v>12396099.216297952</v>
      </c>
      <c r="DJ30" s="36">
        <f t="shared" si="76"/>
        <v>12520060.208460933</v>
      </c>
      <c r="DK30" s="36">
        <f t="shared" si="76"/>
        <v>12645260.810545541</v>
      </c>
      <c r="DL30" s="36">
        <f t="shared" si="76"/>
        <v>12771713.418650998</v>
      </c>
      <c r="DM30" s="36">
        <f t="shared" si="76"/>
        <v>12899430.552837508</v>
      </c>
      <c r="DN30" s="36">
        <f t="shared" si="76"/>
        <v>13028424.858365882</v>
      </c>
      <c r="DO30" s="36">
        <f t="shared" si="76"/>
        <v>13158709.106949542</v>
      </c>
      <c r="DP30" s="36">
        <f t="shared" si="76"/>
        <v>13290296.198019037</v>
      </c>
      <c r="DQ30" s="36">
        <f t="shared" si="76"/>
        <v>13423199.159999227</v>
      </c>
      <c r="DR30" s="36">
        <f t="shared" si="76"/>
        <v>13557431.151599219</v>
      </c>
      <c r="DS30" s="36">
        <f t="shared" si="76"/>
        <v>13693005.463115212</v>
      </c>
      <c r="DT30" s="36">
        <f t="shared" si="76"/>
        <v>13829935.517746365</v>
      </c>
      <c r="DU30" s="36">
        <f t="shared" si="76"/>
        <v>13968234.872923829</v>
      </c>
      <c r="DV30" s="36">
        <f t="shared" si="76"/>
        <v>14107917.221653067</v>
      </c>
      <c r="DW30" s="36">
        <f t="shared" si="76"/>
        <v>14248996.393869597</v>
      </c>
      <c r="DX30" s="36">
        <f t="shared" si="76"/>
        <v>14391486.357808294</v>
      </c>
      <c r="DY30" s="36">
        <f t="shared" si="76"/>
        <v>14535401.221386377</v>
      </c>
      <c r="DZ30" s="36">
        <f t="shared" si="76"/>
        <v>14680755.23360024</v>
      </c>
      <c r="EA30" s="36">
        <f t="shared" si="76"/>
        <v>14827562.785936242</v>
      </c>
      <c r="EB30" s="36">
        <f t="shared" ref="EB30:FG30" si="77">+EA30*(1+$BS$36)</f>
        <v>14975838.413795605</v>
      </c>
      <c r="EC30" s="36">
        <f t="shared" si="77"/>
        <v>15125596.797933562</v>
      </c>
      <c r="ED30" s="36">
        <f t="shared" si="77"/>
        <v>15276852.765912898</v>
      </c>
      <c r="EE30" s="36">
        <f t="shared" si="77"/>
        <v>15429621.293572027</v>
      </c>
      <c r="EF30" s="36">
        <f t="shared" si="77"/>
        <v>15583917.506507747</v>
      </c>
      <c r="EG30" s="36">
        <f t="shared" si="77"/>
        <v>15739756.681572825</v>
      </c>
      <c r="EH30" s="36">
        <f t="shared" si="77"/>
        <v>15897154.248388553</v>
      </c>
      <c r="EI30" s="36">
        <f t="shared" si="77"/>
        <v>16056125.790872438</v>
      </c>
      <c r="EJ30" s="36">
        <f t="shared" si="77"/>
        <v>16216687.048781162</v>
      </c>
      <c r="EK30" s="36">
        <f t="shared" si="77"/>
        <v>16378853.919268973</v>
      </c>
      <c r="EL30" s="36">
        <f t="shared" si="77"/>
        <v>16542642.458461663</v>
      </c>
      <c r="EM30" s="36">
        <f t="shared" si="77"/>
        <v>16708068.883046279</v>
      </c>
      <c r="EN30" s="36">
        <f t="shared" si="77"/>
        <v>16875149.571876742</v>
      </c>
      <c r="EO30" s="36">
        <f t="shared" si="77"/>
        <v>17043901.067595508</v>
      </c>
      <c r="EP30" s="36">
        <f t="shared" si="77"/>
        <v>17214340.078271464</v>
      </c>
      <c r="EQ30" s="36">
        <f t="shared" si="77"/>
        <v>17386483.479054179</v>
      </c>
      <c r="ER30" s="36">
        <f t="shared" si="77"/>
        <v>17560348.313844722</v>
      </c>
      <c r="ES30" s="36">
        <f t="shared" si="77"/>
        <v>17735951.796983168</v>
      </c>
      <c r="ET30" s="36">
        <f t="shared" si="77"/>
        <v>17913311.314952999</v>
      </c>
      <c r="EU30" s="36">
        <f t="shared" si="77"/>
        <v>18092444.428102531</v>
      </c>
      <c r="EV30" s="36">
        <f t="shared" si="77"/>
        <v>18273368.872383557</v>
      </c>
      <c r="EW30" s="36">
        <f t="shared" si="77"/>
        <v>18456102.561107393</v>
      </c>
      <c r="EX30" s="36">
        <f t="shared" si="77"/>
        <v>18640663.586718466</v>
      </c>
      <c r="EY30" s="36">
        <f t="shared" si="77"/>
        <v>18827070.222585652</v>
      </c>
      <c r="EZ30" s="36">
        <f t="shared" si="77"/>
        <v>19015340.924811509</v>
      </c>
      <c r="FA30" s="36">
        <f t="shared" si="77"/>
        <v>19205494.334059622</v>
      </c>
      <c r="FB30" s="36">
        <f t="shared" si="77"/>
        <v>19397549.277400218</v>
      </c>
      <c r="FC30" s="36">
        <f t="shared" si="77"/>
        <v>19591524.77017422</v>
      </c>
      <c r="FD30" s="36">
        <f t="shared" si="77"/>
        <v>19787440.017875962</v>
      </c>
      <c r="FE30" s="36">
        <f t="shared" si="77"/>
        <v>19985314.418054722</v>
      </c>
      <c r="FF30" s="36">
        <f t="shared" si="77"/>
        <v>20185167.56223527</v>
      </c>
      <c r="FG30" s="36">
        <f t="shared" si="77"/>
        <v>20387019.237857621</v>
      </c>
      <c r="FH30" s="36">
        <f t="shared" ref="FH30:GM30" si="78">+FG30*(1+$BS$36)</f>
        <v>20590889.430236198</v>
      </c>
      <c r="FI30" s="36">
        <f t="shared" si="78"/>
        <v>20796798.324538559</v>
      </c>
      <c r="FJ30" s="36">
        <f t="shared" si="78"/>
        <v>21004766.307783943</v>
      </c>
      <c r="FK30" s="36">
        <f t="shared" si="78"/>
        <v>21214813.970861781</v>
      </c>
      <c r="FL30" s="36">
        <f t="shared" si="78"/>
        <v>21426962.110570401</v>
      </c>
      <c r="FM30" s="36">
        <f t="shared" si="78"/>
        <v>21641231.731676105</v>
      </c>
      <c r="FN30" s="36">
        <f t="shared" si="78"/>
        <v>21857644.048992869</v>
      </c>
      <c r="FO30" s="36">
        <f t="shared" si="78"/>
        <v>22076220.489482798</v>
      </c>
      <c r="FP30" s="36">
        <f t="shared" si="78"/>
        <v>22296982.694377627</v>
      </c>
      <c r="FQ30" s="36">
        <f t="shared" si="78"/>
        <v>22519952.521321405</v>
      </c>
      <c r="FR30" s="36">
        <f t="shared" si="78"/>
        <v>22745152.04653462</v>
      </c>
      <c r="FS30" s="36">
        <f t="shared" si="78"/>
        <v>22972603.566999968</v>
      </c>
      <c r="FT30" s="36">
        <f t="shared" si="78"/>
        <v>23202329.602669969</v>
      </c>
      <c r="FU30" s="36">
        <f t="shared" si="78"/>
        <v>23434352.898696668</v>
      </c>
      <c r="FV30" s="36">
        <f t="shared" si="78"/>
        <v>23668696.427683637</v>
      </c>
      <c r="FW30" s="36">
        <f t="shared" si="78"/>
        <v>23905383.391960472</v>
      </c>
      <c r="FX30" s="36">
        <f t="shared" si="78"/>
        <v>24144437.225880075</v>
      </c>
      <c r="FY30" s="36">
        <f t="shared" si="78"/>
        <v>24385881.598138876</v>
      </c>
      <c r="FZ30" s="36">
        <f t="shared" si="78"/>
        <v>24629740.414120264</v>
      </c>
      <c r="GA30" s="36">
        <f t="shared" si="78"/>
        <v>24876037.818261467</v>
      </c>
      <c r="GB30" s="36">
        <f t="shared" si="78"/>
        <v>25124798.196444083</v>
      </c>
      <c r="GC30" s="36">
        <f t="shared" si="78"/>
        <v>25376046.178408526</v>
      </c>
      <c r="GD30" s="36">
        <f t="shared" si="78"/>
        <v>25629806.640192613</v>
      </c>
      <c r="GE30" s="36">
        <f t="shared" si="78"/>
        <v>25886104.706594538</v>
      </c>
      <c r="GF30" s="36">
        <f t="shared" si="78"/>
        <v>26144965.753660485</v>
      </c>
      <c r="GG30" s="36">
        <f t="shared" si="78"/>
        <v>26406415.411197089</v>
      </c>
      <c r="GH30" s="36">
        <f t="shared" si="78"/>
        <v>26670479.565309059</v>
      </c>
      <c r="GI30" s="36">
        <f t="shared" si="78"/>
        <v>26937184.360962149</v>
      </c>
      <c r="GJ30" s="36">
        <f t="shared" si="78"/>
        <v>27206556.204571769</v>
      </c>
      <c r="GK30" s="36">
        <f t="shared" si="78"/>
        <v>27478621.766617488</v>
      </c>
      <c r="GL30" s="36">
        <f t="shared" si="78"/>
        <v>27753407.984283663</v>
      </c>
      <c r="GM30" s="36">
        <f t="shared" si="78"/>
        <v>28030942.064126499</v>
      </c>
      <c r="GN30" s="36">
        <f t="shared" ref="GN30:HS30" si="79">+GM30*(1+$BS$36)</f>
        <v>28311251.484767765</v>
      </c>
      <c r="GO30" s="36">
        <f t="shared" si="79"/>
        <v>28594363.999615442</v>
      </c>
      <c r="GP30" s="36">
        <f t="shared" si="79"/>
        <v>28880307.639611598</v>
      </c>
      <c r="GQ30" s="36">
        <f t="shared" si="79"/>
        <v>29169110.716007713</v>
      </c>
      <c r="GR30" s="36">
        <f t="shared" si="79"/>
        <v>29460801.82316779</v>
      </c>
      <c r="GS30" s="36">
        <f t="shared" si="79"/>
        <v>29755409.841399468</v>
      </c>
      <c r="GT30" s="36">
        <f t="shared" si="79"/>
        <v>30052963.939813465</v>
      </c>
      <c r="GU30" s="36">
        <f t="shared" si="79"/>
        <v>30353493.5792116</v>
      </c>
      <c r="GV30" s="36">
        <f t="shared" si="79"/>
        <v>30657028.515003715</v>
      </c>
      <c r="GW30" s="36">
        <f t="shared" si="79"/>
        <v>30963598.800153751</v>
      </c>
      <c r="GX30" s="36">
        <f t="shared" si="79"/>
        <v>31273234.788155288</v>
      </c>
      <c r="GY30" s="36">
        <f t="shared" si="79"/>
        <v>31585967.136036839</v>
      </c>
      <c r="GZ30" s="36">
        <f t="shared" si="79"/>
        <v>31901826.807397209</v>
      </c>
      <c r="HA30" s="36">
        <f t="shared" si="79"/>
        <v>32220845.075471181</v>
      </c>
      <c r="HB30" s="36">
        <f t="shared" si="79"/>
        <v>32543053.526225895</v>
      </c>
      <c r="HC30" s="36">
        <f t="shared" si="79"/>
        <v>32868484.061488155</v>
      </c>
      <c r="HD30" s="36">
        <f t="shared" si="79"/>
        <v>33197168.902103037</v>
      </c>
      <c r="HE30" s="36">
        <f t="shared" si="79"/>
        <v>33529140.591124069</v>
      </c>
      <c r="HF30" s="36">
        <f t="shared" si="79"/>
        <v>33864431.99703531</v>
      </c>
      <c r="HG30" s="36">
        <f t="shared" si="79"/>
        <v>34203076.317005664</v>
      </c>
      <c r="HH30" s="36">
        <f t="shared" si="79"/>
        <v>34545107.08017572</v>
      </c>
      <c r="HI30" s="36">
        <f t="shared" si="79"/>
        <v>34890558.150977477</v>
      </c>
      <c r="HJ30" s="36">
        <f t="shared" si="79"/>
        <v>35239463.732487254</v>
      </c>
      <c r="HK30" s="36">
        <f t="shared" si="79"/>
        <v>35591858.369812123</v>
      </c>
      <c r="HL30" s="36">
        <f t="shared" si="79"/>
        <v>35947776.953510247</v>
      </c>
      <c r="HM30" s="36">
        <f t="shared" si="79"/>
        <v>36307254.723045349</v>
      </c>
      <c r="HN30" s="36">
        <f t="shared" si="79"/>
        <v>36670327.270275801</v>
      </c>
      <c r="HO30" s="36">
        <f t="shared" si="79"/>
        <v>37037030.542978562</v>
      </c>
      <c r="HP30" s="36">
        <f t="shared" si="79"/>
        <v>37407400.848408349</v>
      </c>
      <c r="HQ30" s="36">
        <f t="shared" si="79"/>
        <v>37781474.856892429</v>
      </c>
      <c r="HR30" s="36">
        <f t="shared" si="79"/>
        <v>38159289.605461352</v>
      </c>
      <c r="HS30" s="36">
        <f t="shared" si="79"/>
        <v>38540882.501515962</v>
      </c>
      <c r="HT30" s="36">
        <f t="shared" ref="HT30:IV30" si="80">+HS30*(1+$BS$36)</f>
        <v>38926291.32653112</v>
      </c>
      <c r="HU30" s="36">
        <f t="shared" si="80"/>
        <v>39315554.23979643</v>
      </c>
      <c r="HV30" s="36">
        <f t="shared" si="80"/>
        <v>39708709.782194391</v>
      </c>
      <c r="HW30" s="36">
        <f t="shared" si="80"/>
        <v>40105796.880016334</v>
      </c>
      <c r="HX30" s="36">
        <f t="shared" si="80"/>
        <v>40506854.848816499</v>
      </c>
      <c r="HY30" s="36">
        <f t="shared" si="80"/>
        <v>40911923.397304662</v>
      </c>
      <c r="HZ30" s="36">
        <f t="shared" si="80"/>
        <v>41321042.63127771</v>
      </c>
      <c r="IA30" s="36">
        <f t="shared" si="80"/>
        <v>41734253.057590485</v>
      </c>
      <c r="IB30" s="36">
        <f t="shared" si="80"/>
        <v>42151595.588166393</v>
      </c>
      <c r="IC30" s="36">
        <f t="shared" si="80"/>
        <v>42573111.544048056</v>
      </c>
      <c r="ID30" s="36">
        <f t="shared" si="80"/>
        <v>42998842.659488536</v>
      </c>
      <c r="IE30" s="36">
        <f t="shared" si="80"/>
        <v>43428831.08608342</v>
      </c>
      <c r="IF30" s="36">
        <f t="shared" si="80"/>
        <v>43863119.396944255</v>
      </c>
      <c r="IG30" s="36">
        <f t="shared" si="80"/>
        <v>44301750.590913698</v>
      </c>
      <c r="IH30" s="36">
        <f t="shared" si="80"/>
        <v>44744768.096822836</v>
      </c>
      <c r="II30" s="36">
        <f t="shared" si="80"/>
        <v>45192215.777791068</v>
      </c>
      <c r="IJ30" s="36">
        <f t="shared" si="80"/>
        <v>45644137.935568981</v>
      </c>
      <c r="IK30" s="36">
        <f t="shared" si="80"/>
        <v>46100579.314924672</v>
      </c>
      <c r="IL30" s="36">
        <f t="shared" si="80"/>
        <v>46561585.10807392</v>
      </c>
      <c r="IM30" s="36">
        <f t="shared" si="80"/>
        <v>47027200.959154658</v>
      </c>
      <c r="IN30" s="36">
        <f t="shared" si="80"/>
        <v>47497472.968746208</v>
      </c>
      <c r="IO30" s="36">
        <f t="shared" si="80"/>
        <v>47972447.698433667</v>
      </c>
      <c r="IP30" s="36">
        <f t="shared" si="80"/>
        <v>48452172.175418004</v>
      </c>
      <c r="IQ30" s="36">
        <f t="shared" si="80"/>
        <v>48936693.897172183</v>
      </c>
      <c r="IR30" s="36">
        <f t="shared" si="80"/>
        <v>49426060.836143903</v>
      </c>
      <c r="IS30" s="36">
        <f t="shared" si="80"/>
        <v>49920321.444505341</v>
      </c>
      <c r="IT30" s="36">
        <f t="shared" si="80"/>
        <v>50419524.658950396</v>
      </c>
      <c r="IU30" s="36">
        <f t="shared" si="80"/>
        <v>50923719.9055399</v>
      </c>
      <c r="IV30" s="36">
        <f t="shared" si="80"/>
        <v>51432957.104595296</v>
      </c>
      <c r="IW30" s="36">
        <f t="shared" ref="IW30" si="81">+IV30*(1+$BS$36)</f>
        <v>51947286.675641246</v>
      </c>
      <c r="IX30" s="36">
        <f t="shared" ref="IX30" si="82">+IW30*(1+$BS$36)</f>
        <v>52466759.542397656</v>
      </c>
      <c r="IY30" s="36">
        <f t="shared" ref="IY30" si="83">+IX30*(1+$BS$36)</f>
        <v>52991427.13782163</v>
      </c>
      <c r="IZ30" s="36">
        <f t="shared" ref="IZ30" si="84">+IY30*(1+$BS$36)</f>
        <v>53521341.409199849</v>
      </c>
      <c r="JA30" s="36">
        <f t="shared" ref="JA30" si="85">+IZ30*(1+$BS$36)</f>
        <v>54056554.823291846</v>
      </c>
      <c r="JB30" s="36">
        <f t="shared" ref="JB30" si="86">+JA30*(1+$BS$36)</f>
        <v>54597120.371524766</v>
      </c>
      <c r="JC30" s="36">
        <f t="shared" ref="JC30" si="87">+JB30*(1+$BS$36)</f>
        <v>55143091.575240016</v>
      </c>
      <c r="JD30" s="36">
        <f t="shared" ref="JD30" si="88">+JC30*(1+$BS$36)</f>
        <v>55694522.490992419</v>
      </c>
      <c r="JE30" s="36">
        <f t="shared" ref="JE30" si="89">+JD30*(1+$BS$36)</f>
        <v>56251467.715902343</v>
      </c>
      <c r="JF30" s="36">
        <f t="shared" ref="JF30" si="90">+JE30*(1+$BS$36)</f>
        <v>56813982.39306137</v>
      </c>
      <c r="JG30" s="36">
        <f t="shared" ref="JG30" si="91">+JF30*(1+$BS$36)</f>
        <v>57382122.216991983</v>
      </c>
    </row>
    <row r="31" spans="1:267">
      <c r="B31" s="9" t="s">
        <v>132</v>
      </c>
      <c r="C31" s="53">
        <v>1.6</v>
      </c>
      <c r="D31" s="53">
        <v>2.3199999999999998</v>
      </c>
      <c r="E31" s="53">
        <v>0.69</v>
      </c>
      <c r="F31" s="53">
        <f t="shared" si="28"/>
        <v>1.5600000000000005</v>
      </c>
      <c r="G31" s="53">
        <v>2.13</v>
      </c>
      <c r="H31" s="53">
        <v>1.68</v>
      </c>
      <c r="I31" s="53">
        <v>1.37</v>
      </c>
      <c r="J31" s="54">
        <f t="shared" si="37"/>
        <v>1.1299999999999999</v>
      </c>
      <c r="K31" s="53">
        <v>3.13</v>
      </c>
      <c r="L31" s="53">
        <v>3.22</v>
      </c>
      <c r="M31" s="53">
        <v>3.47</v>
      </c>
      <c r="N31" s="54">
        <f t="shared" si="29"/>
        <v>2.5600000000000005</v>
      </c>
      <c r="O31" s="53">
        <v>2.7</v>
      </c>
      <c r="P31" s="53">
        <v>0.28999999999999998</v>
      </c>
      <c r="Q31" s="53">
        <v>2.82</v>
      </c>
      <c r="R31" s="54">
        <f t="shared" si="26"/>
        <v>6.7099999999999991</v>
      </c>
      <c r="S31" s="53">
        <v>4.45</v>
      </c>
      <c r="T31" s="53">
        <v>0.28999999999999998</v>
      </c>
      <c r="U31" s="53">
        <f>+U30/U32</f>
        <v>7.3430026338893768</v>
      </c>
      <c r="V31" s="53">
        <f t="shared" ref="V31" si="92">+V30/V32</f>
        <v>4.850763559768299</v>
      </c>
      <c r="W31" s="53">
        <f>+W30/W32</f>
        <v>5.7455213596692696</v>
      </c>
      <c r="X31" s="53">
        <f>+X30/X32</f>
        <v>9.4198704257439836</v>
      </c>
      <c r="Y31" s="53">
        <f>+Y30/Y32</f>
        <v>9.4255615967949637</v>
      </c>
      <c r="Z31" s="55">
        <f t="shared" si="27"/>
        <v>8.2021476084553164</v>
      </c>
      <c r="AA31" s="53">
        <f>+AA30/AA32</f>
        <v>10.796206995825536</v>
      </c>
      <c r="AB31" s="53">
        <f>+AB30/AB32</f>
        <v>12.90337694165135</v>
      </c>
      <c r="AC31" s="53">
        <f>+AC30/AC32</f>
        <v>11.576821646616812</v>
      </c>
      <c r="AD31" s="53">
        <f t="shared" si="33"/>
        <v>10.451021337595222</v>
      </c>
      <c r="AE31" s="53">
        <f>+AE30/AE32</f>
        <v>13.204677092383434</v>
      </c>
      <c r="AF31" s="53">
        <f>+AF30/AF32</f>
        <v>0.33400433436263588</v>
      </c>
      <c r="AS31" s="25">
        <v>6.76</v>
      </c>
      <c r="AT31" s="25">
        <v>8.75</v>
      </c>
      <c r="AU31" s="25">
        <v>10.47</v>
      </c>
      <c r="AV31" s="25">
        <v>14.13</v>
      </c>
      <c r="AW31" s="25">
        <v>15.1</v>
      </c>
      <c r="AX31" s="25">
        <v>0.77</v>
      </c>
      <c r="AY31" s="25">
        <v>6.17</v>
      </c>
      <c r="AZ31" s="25">
        <v>6.31</v>
      </c>
      <c r="BA31" s="25">
        <v>12.38</v>
      </c>
      <c r="BB31" s="25">
        <v>12.52</v>
      </c>
      <c r="BC31" s="25">
        <f>SUM(S31:V31)</f>
        <v>16.933766193657675</v>
      </c>
      <c r="BD31" s="25">
        <f>+BD30/BD32</f>
        <v>32.793100990663532</v>
      </c>
      <c r="BE31" s="25">
        <f>+BE30/BE32</f>
        <v>45.727426921688924</v>
      </c>
      <c r="BF31" s="25">
        <f>+BF30/BF32</f>
        <v>84.782318406789557</v>
      </c>
      <c r="BG31" s="25">
        <f t="shared" ref="BG31:BL31" si="93">+BG30/BG32</f>
        <v>97.987777233814242</v>
      </c>
      <c r="BH31" s="25">
        <f t="shared" si="93"/>
        <v>112.51494890683094</v>
      </c>
      <c r="BI31" s="25">
        <f t="shared" si="93"/>
        <v>128.47543196965722</v>
      </c>
      <c r="BJ31" s="25">
        <f t="shared" si="93"/>
        <v>145.98946533656533</v>
      </c>
      <c r="BK31" s="25">
        <f t="shared" si="93"/>
        <v>165.18656346654109</v>
      </c>
      <c r="BL31" s="25">
        <f t="shared" si="93"/>
        <v>186.20619665418997</v>
      </c>
      <c r="BM31" s="25">
        <f t="shared" ref="BM31:BN31" si="94">+BM30/BM32</f>
        <v>209.19851956466664</v>
      </c>
      <c r="BN31" s="25">
        <f t="shared" si="94"/>
        <v>234.32515135288213</v>
      </c>
      <c r="BO31" s="25">
        <f t="shared" ref="BO31" si="95">+BO30/BO32</f>
        <v>283.05141077243024</v>
      </c>
    </row>
    <row r="32" spans="1:267">
      <c r="B32" s="9" t="s">
        <v>33</v>
      </c>
      <c r="C32" s="25">
        <f t="shared" ref="C32" si="96">+C30/C31</f>
        <v>31106.25</v>
      </c>
      <c r="D32" s="25">
        <f t="shared" ref="D32" si="97">+D30/D31</f>
        <v>28597.413793103449</v>
      </c>
      <c r="E32" s="25">
        <f t="shared" ref="E32" si="98">+E30/E31</f>
        <v>38198.550724637687</v>
      </c>
      <c r="F32" s="25">
        <f>+F30/F31</f>
        <v>157759.61538461535</v>
      </c>
      <c r="G32" s="25">
        <f t="shared" ref="G32" si="99">+G30/G31</f>
        <v>30190.140845070426</v>
      </c>
      <c r="H32" s="25">
        <f t="shared" ref="H32" si="100">+H30/H31</f>
        <v>54884.523809523809</v>
      </c>
      <c r="I32" s="25">
        <f t="shared" ref="I32" si="101">+I30/I31</f>
        <v>32597.0802919708</v>
      </c>
      <c r="J32" s="25">
        <f>+J30/J31</f>
        <v>37188.495575221241</v>
      </c>
      <c r="K32" s="25">
        <f t="shared" ref="K32:S32" si="102">+K30/K31</f>
        <v>30375.079872204475</v>
      </c>
      <c r="L32" s="25">
        <f t="shared" si="102"/>
        <v>29663.043478260868</v>
      </c>
      <c r="M32" s="25">
        <f t="shared" si="102"/>
        <v>30117.8674351585</v>
      </c>
      <c r="N32" s="25">
        <f t="shared" si="102"/>
        <v>30704.687499999993</v>
      </c>
      <c r="O32" s="25">
        <f t="shared" si="102"/>
        <v>31749.629629629628</v>
      </c>
      <c r="P32" s="25">
        <f t="shared" si="102"/>
        <v>46762.068965517246</v>
      </c>
      <c r="Q32" s="25">
        <f t="shared" si="102"/>
        <v>31289.007092198583</v>
      </c>
      <c r="R32" s="25">
        <f t="shared" si="102"/>
        <v>29586.140089418783</v>
      </c>
      <c r="S32" s="25">
        <f t="shared" si="102"/>
        <v>29835.73033707865</v>
      </c>
      <c r="T32" s="25">
        <v>28501</v>
      </c>
      <c r="U32" s="25">
        <v>28475</v>
      </c>
      <c r="V32" s="25">
        <v>28485</v>
      </c>
      <c r="W32" s="25">
        <v>28301</v>
      </c>
      <c r="X32" s="25">
        <v>28092</v>
      </c>
      <c r="Y32" s="25">
        <v>27956</v>
      </c>
      <c r="Z32" s="51">
        <f>+Z30/Z31</f>
        <v>27981.939725566979</v>
      </c>
      <c r="AA32" s="25">
        <v>27788</v>
      </c>
      <c r="AB32" s="25">
        <v>27747</v>
      </c>
      <c r="AC32" s="25">
        <v>27681</v>
      </c>
      <c r="AD32" s="25">
        <f>+AD30/AD31</f>
        <v>27615.865538593382</v>
      </c>
      <c r="AE32" s="25">
        <v>27624</v>
      </c>
      <c r="AF32" s="25">
        <v>1381518</v>
      </c>
      <c r="AS32" s="25">
        <f t="shared" ref="AS32:BB32" si="103">+AS30/AS31</f>
        <v>32655.473372781067</v>
      </c>
      <c r="AT32" s="25">
        <f t="shared" si="103"/>
        <v>32345.942857142858</v>
      </c>
      <c r="AU32" s="25">
        <f t="shared" si="103"/>
        <v>31918.720152817572</v>
      </c>
      <c r="AV32" s="25">
        <f t="shared" si="103"/>
        <v>32013.446567586692</v>
      </c>
      <c r="AW32" s="25">
        <f t="shared" si="103"/>
        <v>32370.596026490068</v>
      </c>
      <c r="AX32" s="25">
        <f t="shared" si="103"/>
        <v>60798.7012987013</v>
      </c>
      <c r="AY32" s="25">
        <f t="shared" si="103"/>
        <v>62978.606158833063</v>
      </c>
      <c r="AZ32" s="25">
        <f t="shared" si="103"/>
        <v>38540.72900158479</v>
      </c>
      <c r="BA32" s="25">
        <f t="shared" si="103"/>
        <v>30185.945072697898</v>
      </c>
      <c r="BB32" s="25">
        <f t="shared" si="103"/>
        <v>30834.105431309905</v>
      </c>
      <c r="BC32" s="25">
        <f>+BB32</f>
        <v>30834.105431309905</v>
      </c>
      <c r="BD32" s="25">
        <v>28062</v>
      </c>
      <c r="BE32" s="25">
        <v>27710</v>
      </c>
      <c r="BF32" s="25">
        <f t="shared" ref="BF32:BL32" si="104">+BE32</f>
        <v>27710</v>
      </c>
      <c r="BG32" s="25">
        <f t="shared" si="104"/>
        <v>27710</v>
      </c>
      <c r="BH32" s="25">
        <f t="shared" si="104"/>
        <v>27710</v>
      </c>
      <c r="BI32" s="25">
        <f t="shared" si="104"/>
        <v>27710</v>
      </c>
      <c r="BJ32" s="25">
        <f t="shared" si="104"/>
        <v>27710</v>
      </c>
      <c r="BK32" s="25">
        <f t="shared" si="104"/>
        <v>27710</v>
      </c>
      <c r="BL32" s="25">
        <f t="shared" si="104"/>
        <v>27710</v>
      </c>
      <c r="BM32" s="25">
        <f t="shared" ref="BM32" si="105">+BL32</f>
        <v>27710</v>
      </c>
      <c r="BN32" s="25">
        <f t="shared" ref="BN32:BO32" si="106">+BM32</f>
        <v>27710</v>
      </c>
      <c r="BO32" s="25">
        <f t="shared" si="106"/>
        <v>27710</v>
      </c>
    </row>
    <row r="34" spans="1:71">
      <c r="B34" s="56" t="s">
        <v>177</v>
      </c>
      <c r="BD34" s="45"/>
      <c r="BR34" s="57"/>
      <c r="BS34" s="57"/>
    </row>
    <row r="35" spans="1:71">
      <c r="B35" s="9" t="s">
        <v>18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>
        <f t="shared" ref="G35:Y42" si="107">+IFERROR(S15/O15-1,0)</f>
        <v>0.22385649699704091</v>
      </c>
      <c r="T35" s="45">
        <f t="shared" si="107"/>
        <v>0</v>
      </c>
      <c r="U35" s="45">
        <f t="shared" si="107"/>
        <v>0.22201114880781114</v>
      </c>
      <c r="V35" s="45">
        <f t="shared" si="107"/>
        <v>-0.33968553259975087</v>
      </c>
      <c r="W35" s="45">
        <f t="shared" si="107"/>
        <v>0.16489956235176195</v>
      </c>
      <c r="X35" s="45">
        <f t="shared" si="107"/>
        <v>0.17301971525090076</v>
      </c>
      <c r="Y35" s="45">
        <f t="shared" si="107"/>
        <v>0.1396841972894971</v>
      </c>
      <c r="Z35" s="45">
        <f>+IFERROR(Z15/V15-1,0)</f>
        <v>0.11575818356660927</v>
      </c>
      <c r="AA35" s="45">
        <f t="shared" ref="AA35:AF42" si="108">+IFERROR(AA15/W15-1,0)</f>
        <v>0.17611843382245529</v>
      </c>
      <c r="AB35" s="45">
        <f t="shared" si="108"/>
        <v>0.13895782656163203</v>
      </c>
      <c r="AC35" s="45">
        <f t="shared" si="108"/>
        <v>0.11519722694448076</v>
      </c>
      <c r="AD35" s="45">
        <f t="shared" si="108"/>
        <v>0.15511757205831866</v>
      </c>
      <c r="AE35" s="45">
        <f t="shared" si="108"/>
        <v>0.14182761529198751</v>
      </c>
      <c r="AF35" s="45">
        <f t="shared" si="108"/>
        <v>0.18314408476606081</v>
      </c>
      <c r="BD35" s="45"/>
      <c r="BR35" s="58" t="s">
        <v>114</v>
      </c>
      <c r="BS35" s="99">
        <v>0.01</v>
      </c>
    </row>
    <row r="36" spans="1:71">
      <c r="B36" s="9" t="s">
        <v>19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>
        <f t="shared" si="107"/>
        <v>1.9560947429231659</v>
      </c>
      <c r="T36" s="45">
        <f t="shared" si="107"/>
        <v>0</v>
      </c>
      <c r="U36" s="45">
        <f t="shared" si="107"/>
        <v>-8.6159669306240527E-3</v>
      </c>
      <c r="V36" s="45">
        <f t="shared" si="107"/>
        <v>-0.39957573186253714</v>
      </c>
      <c r="W36" s="45">
        <f t="shared" si="107"/>
        <v>-0.15641977721321088</v>
      </c>
      <c r="X36" s="45">
        <f t="shared" si="107"/>
        <v>-0.1137530746990032</v>
      </c>
      <c r="Y36" s="45">
        <f t="shared" si="107"/>
        <v>-0.10383803878227671</v>
      </c>
      <c r="Z36" s="45">
        <f t="shared" ref="Z36:Z42" si="109">+IFERROR(Z16/V16-1,0)</f>
        <v>-0.21368004522328998</v>
      </c>
      <c r="AA36" s="45">
        <f t="shared" si="108"/>
        <v>-0.18588704072649775</v>
      </c>
      <c r="AB36" s="45">
        <f t="shared" si="108"/>
        <v>-0.15800749866095343</v>
      </c>
      <c r="AC36" s="45">
        <f t="shared" si="108"/>
        <v>-0.10818992095969504</v>
      </c>
      <c r="AD36" s="45">
        <f t="shared" si="108"/>
        <v>3.6544452432303309E-3</v>
      </c>
      <c r="AE36" s="45">
        <f t="shared" si="108"/>
        <v>-9.6750327243754208E-3</v>
      </c>
      <c r="AF36" s="45">
        <f t="shared" si="108"/>
        <v>5.2741151977793166E-2</v>
      </c>
      <c r="BD36" s="45"/>
      <c r="BR36" s="59" t="s">
        <v>34</v>
      </c>
      <c r="BS36" s="61">
        <v>0.01</v>
      </c>
    </row>
    <row r="37" spans="1:71" s="36" customFormat="1">
      <c r="A37" s="40"/>
      <c r="B37" s="15" t="s">
        <v>20</v>
      </c>
      <c r="G37" s="60">
        <f t="shared" si="107"/>
        <v>7.4444087875609632E-2</v>
      </c>
      <c r="H37" s="60">
        <f t="shared" si="107"/>
        <v>8.3042801962358803E-2</v>
      </c>
      <c r="I37" s="60">
        <f t="shared" si="107"/>
        <v>8.5927873526027598E-2</v>
      </c>
      <c r="J37" s="60">
        <f t="shared" si="107"/>
        <v>0.10355913881632284</v>
      </c>
      <c r="K37" s="60">
        <f t="shared" si="107"/>
        <v>0.13916790099590992</v>
      </c>
      <c r="L37" s="60">
        <f t="shared" si="107"/>
        <v>0.13241875375043421</v>
      </c>
      <c r="M37" s="60">
        <f t="shared" si="107"/>
        <v>0.14586855422050649</v>
      </c>
      <c r="N37" s="60">
        <f t="shared" si="107"/>
        <v>0.17563451942393082</v>
      </c>
      <c r="O37" s="60">
        <f t="shared" si="107"/>
        <v>7.8392957743248948E-2</v>
      </c>
      <c r="P37" s="60">
        <f t="shared" si="107"/>
        <v>-4.8453143182653258E-2</v>
      </c>
      <c r="Q37" s="60">
        <f t="shared" si="107"/>
        <v>0.14085447215460323</v>
      </c>
      <c r="R37" s="60">
        <f t="shared" si="107"/>
        <v>0.11629163241273588</v>
      </c>
      <c r="S37" s="60">
        <f t="shared" si="107"/>
        <v>0.23448367276923565</v>
      </c>
      <c r="T37" s="60">
        <f t="shared" si="107"/>
        <v>0.38674089825299807</v>
      </c>
      <c r="U37" s="60">
        <f t="shared" si="107"/>
        <v>0.21911947816117516</v>
      </c>
      <c r="V37" s="60">
        <f t="shared" si="107"/>
        <v>0.21951906749351568</v>
      </c>
      <c r="W37" s="60">
        <f t="shared" si="107"/>
        <v>0.1601791481848327</v>
      </c>
      <c r="X37" s="60">
        <f t="shared" si="107"/>
        <v>0.16950835333293179</v>
      </c>
      <c r="Y37" s="60">
        <f t="shared" si="107"/>
        <v>0.13720122008999569</v>
      </c>
      <c r="Z37" s="60">
        <f t="shared" si="109"/>
        <v>0.11219131780399483</v>
      </c>
      <c r="AA37" s="60">
        <f t="shared" si="108"/>
        <v>0.17225156257810426</v>
      </c>
      <c r="AB37" s="60">
        <f t="shared" si="108"/>
        <v>0.13620236213250658</v>
      </c>
      <c r="AC37" s="60">
        <f t="shared" si="108"/>
        <v>0.11340232188904031</v>
      </c>
      <c r="AD37" s="60">
        <f t="shared" si="108"/>
        <v>0.1539581555343279</v>
      </c>
      <c r="AE37" s="60">
        <f t="shared" si="108"/>
        <v>0.14070371277305393</v>
      </c>
      <c r="AF37" s="60">
        <f t="shared" si="108"/>
        <v>0.18224742236065605</v>
      </c>
      <c r="AU37" s="60">
        <f t="shared" ref="AU37:BD37" si="110">+AU17/AT17-1</f>
        <v>0.17697816070743366</v>
      </c>
      <c r="AV37" s="60">
        <f t="shared" si="110"/>
        <v>0.27800675109212958</v>
      </c>
      <c r="AW37" s="60">
        <f t="shared" si="110"/>
        <v>9.5649530252279069E-2</v>
      </c>
      <c r="AX37" s="60">
        <f t="shared" si="110"/>
        <v>-0.13259485255451686</v>
      </c>
      <c r="AY37" s="60">
        <f t="shared" si="110"/>
        <v>0.14650915483722904</v>
      </c>
      <c r="AZ37" s="60">
        <f t="shared" si="110"/>
        <v>8.6804565799573519E-2</v>
      </c>
      <c r="BA37" s="60">
        <f t="shared" si="110"/>
        <v>0.14828082717623992</v>
      </c>
      <c r="BB37" s="60">
        <f t="shared" si="110"/>
        <v>7.1292283055415684E-2</v>
      </c>
      <c r="BC37" s="60">
        <f t="shared" si="110"/>
        <v>0.26107310823017738</v>
      </c>
      <c r="BD37" s="60">
        <f t="shared" si="110"/>
        <v>0.14410788517543449</v>
      </c>
      <c r="BE37" s="60">
        <f t="shared" ref="BE37:BO37" si="111">+BE17/BD17-1</f>
        <v>0.14325962412845361</v>
      </c>
      <c r="BF37" s="60">
        <f t="shared" si="111"/>
        <v>0.15252254873436155</v>
      </c>
      <c r="BG37" s="60">
        <f t="shared" si="111"/>
        <v>0.14509499598608522</v>
      </c>
      <c r="BH37" s="60">
        <f t="shared" si="111"/>
        <v>0.13877136487490715</v>
      </c>
      <c r="BI37" s="60">
        <f t="shared" si="111"/>
        <v>0.13332257320728602</v>
      </c>
      <c r="BJ37" s="60">
        <f t="shared" si="111"/>
        <v>0.12857882251455699</v>
      </c>
      <c r="BK37" s="60">
        <f t="shared" si="111"/>
        <v>0.12441158598339075</v>
      </c>
      <c r="BL37" s="60">
        <f t="shared" si="111"/>
        <v>0.12072178728279548</v>
      </c>
      <c r="BM37" s="60">
        <f t="shared" si="111"/>
        <v>0.11743182228643656</v>
      </c>
      <c r="BN37" s="60">
        <f t="shared" si="111"/>
        <v>0.11448004111701215</v>
      </c>
      <c r="BO37" s="60">
        <f t="shared" si="111"/>
        <v>0.20905980120580092</v>
      </c>
      <c r="BR37" s="59" t="s">
        <v>35</v>
      </c>
      <c r="BS37" s="97">
        <v>7.0000000000000007E-2</v>
      </c>
    </row>
    <row r="38" spans="1:71">
      <c r="B38" s="9" t="s">
        <v>21</v>
      </c>
      <c r="G38" s="45">
        <f t="shared" si="107"/>
        <v>2.7971641399134883E-2</v>
      </c>
      <c r="H38" s="45">
        <f t="shared" si="107"/>
        <v>3.4934060207640227E-2</v>
      </c>
      <c r="I38" s="45">
        <f t="shared" si="107"/>
        <v>3.7119171142036667E-2</v>
      </c>
      <c r="J38" s="45">
        <f t="shared" si="107"/>
        <v>7.0073753533694383E-2</v>
      </c>
      <c r="K38" s="45">
        <f t="shared" si="107"/>
        <v>0.13296586585644565</v>
      </c>
      <c r="L38" s="45">
        <f t="shared" si="107"/>
        <v>0.16990723705869826</v>
      </c>
      <c r="M38" s="45">
        <f t="shared" si="107"/>
        <v>0.13998333386280493</v>
      </c>
      <c r="N38" s="45">
        <f t="shared" si="107"/>
        <v>0.17275960800519519</v>
      </c>
      <c r="O38" s="45">
        <f t="shared" si="107"/>
        <v>9.7140972121689595E-2</v>
      </c>
      <c r="P38" s="45">
        <f t="shared" si="107"/>
        <v>-5.9029473353142237E-2</v>
      </c>
      <c r="Q38" s="45">
        <f t="shared" si="107"/>
        <v>0.10882194059541783</v>
      </c>
      <c r="R38" s="45">
        <f t="shared" si="107"/>
        <v>4.5474852601574245E-2</v>
      </c>
      <c r="S38" s="45">
        <f t="shared" si="107"/>
        <v>0.13059080811336377</v>
      </c>
      <c r="T38" s="45">
        <f t="shared" si="107"/>
        <v>0.26326645497805412</v>
      </c>
      <c r="U38" s="45">
        <f t="shared" si="107"/>
        <v>0.1431985013368493</v>
      </c>
      <c r="V38" s="45">
        <f t="shared" si="107"/>
        <v>0.24415688634767774</v>
      </c>
      <c r="W38" s="45">
        <f t="shared" si="107"/>
        <v>0.19946582075531261</v>
      </c>
      <c r="X38" s="45">
        <f t="shared" si="107"/>
        <v>0.17311367885280204</v>
      </c>
      <c r="Y38" s="45">
        <f t="shared" si="107"/>
        <v>0.12041966272753712</v>
      </c>
      <c r="Z38" s="45">
        <f t="shared" si="109"/>
        <v>3.0155607514311011E-2</v>
      </c>
      <c r="AA38" s="45">
        <f t="shared" si="108"/>
        <v>0.10469018672060182</v>
      </c>
      <c r="AB38" s="45">
        <f t="shared" si="108"/>
        <v>9.6057739105661177E-2</v>
      </c>
      <c r="AC38" s="45">
        <f t="shared" si="108"/>
        <v>0.10813837655084968</v>
      </c>
      <c r="AD38" s="45">
        <f t="shared" si="108"/>
        <v>0.16952935817585013</v>
      </c>
      <c r="AE38" s="45">
        <f t="shared" si="108"/>
        <v>0.12492365271406469</v>
      </c>
      <c r="AF38" s="45">
        <f t="shared" si="108"/>
        <v>0.18277457680352627</v>
      </c>
      <c r="BD38" s="45"/>
      <c r="BR38" s="62" t="s">
        <v>36</v>
      </c>
      <c r="BS38" s="63">
        <f>NPV(BS37,BF30:JG30)</f>
        <v>96985269.773047924</v>
      </c>
    </row>
    <row r="39" spans="1:71">
      <c r="B39" s="9" t="s">
        <v>22</v>
      </c>
      <c r="G39" s="45">
        <f t="shared" si="107"/>
        <v>0.10773629412439067</v>
      </c>
      <c r="H39" s="45">
        <f t="shared" si="107"/>
        <v>0.11767494629738007</v>
      </c>
      <c r="I39" s="45">
        <f t="shared" si="107"/>
        <v>8.4738416617241574E-2</v>
      </c>
      <c r="J39" s="45">
        <f t="shared" si="107"/>
        <v>8.866574118941295E-2</v>
      </c>
      <c r="K39" s="45">
        <f t="shared" si="107"/>
        <v>9.4018434249191651E-2</v>
      </c>
      <c r="L39" s="45">
        <f t="shared" si="107"/>
        <v>7.6675774188075252E-2</v>
      </c>
      <c r="M39" s="45">
        <f t="shared" si="107"/>
        <v>0.12251212954200641</v>
      </c>
      <c r="N39" s="45">
        <f t="shared" si="107"/>
        <v>0.14739751405225121</v>
      </c>
      <c r="O39" s="45">
        <f t="shared" si="107"/>
        <v>0.12820417266269546</v>
      </c>
      <c r="P39" s="45">
        <f t="shared" si="107"/>
        <v>4.6767720953232228E-2</v>
      </c>
      <c r="Q39" s="45">
        <f t="shared" si="107"/>
        <v>8.6105795608130808E-2</v>
      </c>
      <c r="R39" s="45">
        <f t="shared" si="107"/>
        <v>7.0360662612707126E-2</v>
      </c>
      <c r="S39" s="45">
        <f t="shared" si="107"/>
        <v>0.10189930507031875</v>
      </c>
      <c r="T39" s="45">
        <f t="shared" si="107"/>
        <v>0.20567607834587021</v>
      </c>
      <c r="U39" s="45">
        <f t="shared" si="107"/>
        <v>0.23887309089296194</v>
      </c>
      <c r="V39" s="45">
        <f t="shared" si="107"/>
        <v>0.26560862367887483</v>
      </c>
      <c r="W39" s="45">
        <f t="shared" si="107"/>
        <v>0.22660370005695585</v>
      </c>
      <c r="X39" s="45">
        <f t="shared" si="107"/>
        <v>0.18389428769488436</v>
      </c>
      <c r="Y39" s="45">
        <f t="shared" si="107"/>
        <v>0.10824513631834076</v>
      </c>
      <c r="Z39" s="45">
        <f t="shared" si="109"/>
        <v>8.1429254163369214E-2</v>
      </c>
      <c r="AA39" s="45">
        <f t="shared" si="108"/>
        <v>9.7480918900627822E-2</v>
      </c>
      <c r="AB39" s="45">
        <f t="shared" si="108"/>
        <v>0.11229147194349776</v>
      </c>
      <c r="AC39" s="45">
        <f t="shared" si="108"/>
        <v>0.10607741152737549</v>
      </c>
      <c r="AD39" s="45">
        <f t="shared" si="108"/>
        <v>0.12580468551512403</v>
      </c>
      <c r="AE39" s="45">
        <f t="shared" si="108"/>
        <v>0.12959365803691036</v>
      </c>
      <c r="AF39" s="45">
        <f t="shared" si="108"/>
        <v>0.17157556753716818</v>
      </c>
      <c r="BD39" s="45"/>
      <c r="BR39" s="59" t="s">
        <v>15</v>
      </c>
      <c r="BS39" s="64">
        <f>Main!F7</f>
        <v>2490123</v>
      </c>
    </row>
    <row r="40" spans="1:71">
      <c r="B40" s="9" t="s">
        <v>23</v>
      </c>
      <c r="G40" s="45">
        <f t="shared" si="107"/>
        <v>7.9709227223221379E-2</v>
      </c>
      <c r="H40" s="45">
        <f t="shared" si="107"/>
        <v>8.0315235119084782E-2</v>
      </c>
      <c r="I40" s="45">
        <f t="shared" si="107"/>
        <v>4.1971658313200821E-2</v>
      </c>
      <c r="J40" s="45">
        <f t="shared" si="107"/>
        <v>4.4347312463083322E-2</v>
      </c>
      <c r="K40" s="45">
        <f t="shared" si="107"/>
        <v>4.1217040442901309E-2</v>
      </c>
      <c r="L40" s="45">
        <f t="shared" si="107"/>
        <v>3.6313557368736538E-2</v>
      </c>
      <c r="M40" s="45">
        <f t="shared" si="107"/>
        <v>5.4423181183744562E-2</v>
      </c>
      <c r="N40" s="45">
        <f t="shared" si="107"/>
        <v>5.1649246640423474E-2</v>
      </c>
      <c r="O40" s="45">
        <f t="shared" si="107"/>
        <v>7.3324321279711668E-2</v>
      </c>
      <c r="P40" s="45">
        <f t="shared" si="107"/>
        <v>6.286489552172414E-2</v>
      </c>
      <c r="Q40" s="45">
        <f t="shared" si="107"/>
        <v>6.8756905775142485E-2</v>
      </c>
      <c r="R40" s="45">
        <f t="shared" si="107"/>
        <v>6.7150693772184633E-2</v>
      </c>
      <c r="S40" s="45">
        <f t="shared" si="107"/>
        <v>6.8115744287828406E-2</v>
      </c>
      <c r="T40" s="45">
        <f t="shared" si="107"/>
        <v>8.2175441533439253E-2</v>
      </c>
      <c r="U40" s="45">
        <f t="shared" si="107"/>
        <v>6.6831125760026255E-2</v>
      </c>
      <c r="V40" s="45">
        <f t="shared" si="107"/>
        <v>8.034229385262015E-2</v>
      </c>
      <c r="W40" s="45">
        <f t="shared" si="107"/>
        <v>0.10084603366447542</v>
      </c>
      <c r="X40" s="45">
        <f t="shared" si="107"/>
        <v>0.10141158271294604</v>
      </c>
      <c r="Y40" s="45">
        <f t="shared" si="107"/>
        <v>0.11132859349663704</v>
      </c>
      <c r="Z40" s="45">
        <f t="shared" si="109"/>
        <v>0.10695626212867593</v>
      </c>
      <c r="AA40" s="45">
        <f t="shared" si="108"/>
        <v>8.8358683233361823E-2</v>
      </c>
      <c r="AB40" s="45">
        <f t="shared" si="108"/>
        <v>8.7588549759039402E-2</v>
      </c>
      <c r="AC40" s="45">
        <f t="shared" si="108"/>
        <v>9.0161103724552438E-2</v>
      </c>
      <c r="AD40" s="45">
        <f t="shared" si="108"/>
        <v>0.10551378868586059</v>
      </c>
      <c r="AE40" s="45">
        <f t="shared" si="108"/>
        <v>0.11291632152610909</v>
      </c>
      <c r="AF40" s="45">
        <f t="shared" si="108"/>
        <v>0.11917964115353885</v>
      </c>
      <c r="BD40" s="45"/>
      <c r="BR40" s="59" t="s">
        <v>37</v>
      </c>
      <c r="BS40" s="64">
        <f>+BS38+BS39</f>
        <v>99475392.773047924</v>
      </c>
    </row>
    <row r="41" spans="1:71">
      <c r="B41" s="9" t="s">
        <v>24</v>
      </c>
      <c r="G41" s="45">
        <f t="shared" si="107"/>
        <v>-1.6864861993639124E-2</v>
      </c>
      <c r="H41" s="45">
        <f t="shared" si="107"/>
        <v>7.0171365732962787E-2</v>
      </c>
      <c r="I41" s="45">
        <f t="shared" si="107"/>
        <v>3.1889201044901228E-2</v>
      </c>
      <c r="J41" s="45">
        <f t="shared" si="107"/>
        <v>8.1496589312035184E-2</v>
      </c>
      <c r="K41" s="45">
        <f t="shared" si="107"/>
        <v>0.18014574286312457</v>
      </c>
      <c r="L41" s="45">
        <f t="shared" si="107"/>
        <v>0.10354453648149531</v>
      </c>
      <c r="M41" s="45">
        <f t="shared" si="107"/>
        <v>7.6250238823079908E-2</v>
      </c>
      <c r="N41" s="45">
        <f t="shared" si="107"/>
        <v>0.12026750764647143</v>
      </c>
      <c r="O41" s="45">
        <f t="shared" si="107"/>
        <v>0.20612556726163556</v>
      </c>
      <c r="P41" s="45">
        <f t="shared" si="107"/>
        <v>0.35729841859406442</v>
      </c>
      <c r="Q41" s="45">
        <f t="shared" si="107"/>
        <v>0.48905741183519269</v>
      </c>
      <c r="R41" s="45">
        <f t="shared" si="107"/>
        <v>0.36019238930541797</v>
      </c>
      <c r="S41" s="45">
        <f t="shared" si="107"/>
        <v>0.39830709520691587</v>
      </c>
      <c r="T41" s="45">
        <f t="shared" si="107"/>
        <v>9.4764042716996011E-2</v>
      </c>
      <c r="U41" s="45">
        <f t="shared" si="107"/>
        <v>9.7736349546971857E-2</v>
      </c>
      <c r="V41" s="45">
        <f t="shared" si="107"/>
        <v>0.11092159636131682</v>
      </c>
      <c r="W41" s="45">
        <f t="shared" si="107"/>
        <v>0.1221030843880424</v>
      </c>
      <c r="X41" s="45">
        <f t="shared" si="107"/>
        <v>0.10527360204983949</v>
      </c>
      <c r="Y41" s="45">
        <f t="shared" si="107"/>
        <v>9.3110470049210914E-2</v>
      </c>
      <c r="Z41" s="45">
        <f t="shared" si="109"/>
        <v>6.613158913035333E-2</v>
      </c>
      <c r="AA41" s="45">
        <f t="shared" si="108"/>
        <v>9.8311132614644858E-2</v>
      </c>
      <c r="AB41" s="45">
        <f t="shared" si="108"/>
        <v>0.10150528693055638</v>
      </c>
      <c r="AC41" s="45">
        <f t="shared" si="108"/>
        <v>7.2288371082167791E-2</v>
      </c>
      <c r="AD41" s="45">
        <f t="shared" si="108"/>
        <v>8.4362669913711441E-2</v>
      </c>
      <c r="AE41" s="45">
        <f t="shared" si="108"/>
        <v>6.2132784150041642E-2</v>
      </c>
      <c r="AF41" s="45">
        <f t="shared" si="108"/>
        <v>0.10021818265004701</v>
      </c>
      <c r="BD41" s="45"/>
      <c r="BR41" s="59" t="s">
        <v>13</v>
      </c>
      <c r="BS41" s="64">
        <f>+Main!F5</f>
        <v>1371372</v>
      </c>
    </row>
    <row r="42" spans="1:71">
      <c r="B42" s="9" t="s">
        <v>25</v>
      </c>
      <c r="G42" s="45">
        <f t="shared" si="107"/>
        <v>0.10976224420731273</v>
      </c>
      <c r="H42" s="45">
        <f t="shared" si="107"/>
        <v>0.21516946129147341</v>
      </c>
      <c r="I42" s="45">
        <f t="shared" si="107"/>
        <v>0.10427295275352377</v>
      </c>
      <c r="J42" s="45">
        <f t="shared" si="107"/>
        <v>0.79788524874328304</v>
      </c>
      <c r="K42" s="45">
        <f t="shared" si="107"/>
        <v>0.33229954712378174</v>
      </c>
      <c r="L42" s="45">
        <f t="shared" si="107"/>
        <v>0.42561037191878159</v>
      </c>
      <c r="M42" s="45">
        <f t="shared" si="107"/>
        <v>5.0637303239472686E-2</v>
      </c>
      <c r="N42" s="45">
        <f t="shared" si="107"/>
        <v>8.3841110682606912E-2</v>
      </c>
      <c r="O42" s="45">
        <f t="shared" si="107"/>
        <v>3.7001684993815287E-2</v>
      </c>
      <c r="P42" s="45">
        <f t="shared" si="107"/>
        <v>-0.15443799168005268</v>
      </c>
      <c r="Q42" s="45">
        <f t="shared" si="107"/>
        <v>0.15712175197705736</v>
      </c>
      <c r="R42" s="45">
        <f t="shared" si="107"/>
        <v>0.10325932251636782</v>
      </c>
      <c r="S42" s="45">
        <f t="shared" si="107"/>
        <v>0.45677655677655671</v>
      </c>
      <c r="T42" s="45">
        <f t="shared" si="107"/>
        <v>0.42277903884185597</v>
      </c>
      <c r="U42" s="45">
        <f t="shared" si="107"/>
        <v>9.5981975215921889E-2</v>
      </c>
      <c r="V42" s="45">
        <f t="shared" si="107"/>
        <v>0.28827485002902664</v>
      </c>
      <c r="W42" s="45">
        <f t="shared" si="107"/>
        <v>-4.9650877159049145E-2</v>
      </c>
      <c r="X42" s="45">
        <f t="shared" si="107"/>
        <v>-3.5770041905179295E-2</v>
      </c>
      <c r="Y42" s="45">
        <f t="shared" si="107"/>
        <v>-3.4495991228671308E-2</v>
      </c>
      <c r="Z42" s="45">
        <f t="shared" si="109"/>
        <v>-0.15461549534663943</v>
      </c>
      <c r="AA42" s="45">
        <f t="shared" si="108"/>
        <v>6.3635500196741468E-3</v>
      </c>
      <c r="AB42" s="45">
        <f t="shared" si="108"/>
        <v>0.11131941485584429</v>
      </c>
      <c r="AC42" s="45">
        <f t="shared" si="108"/>
        <v>0.1320477515330456</v>
      </c>
      <c r="AD42" s="45">
        <f t="shared" si="108"/>
        <v>0.25300393120756914</v>
      </c>
      <c r="AE42" s="45">
        <f t="shared" si="108"/>
        <v>0.37943238506134547</v>
      </c>
      <c r="AF42" s="45">
        <f t="shared" si="108"/>
        <v>0.11841836213066159</v>
      </c>
      <c r="BD42" s="45"/>
      <c r="BE42" s="45"/>
      <c r="BF42" s="45"/>
      <c r="BR42" s="59" t="s">
        <v>38</v>
      </c>
      <c r="BS42" s="64">
        <f>+BS40/BS41</f>
        <v>72.537132720405495</v>
      </c>
    </row>
    <row r="43" spans="1:71" s="45" customFormat="1">
      <c r="A43" s="65"/>
      <c r="B43" s="66" t="s">
        <v>229</v>
      </c>
      <c r="C43" s="45">
        <f t="shared" ref="C43:AD43" si="112">+C26/C17</f>
        <v>7.1875856661823362E-2</v>
      </c>
      <c r="D43" s="45">
        <f t="shared" si="112"/>
        <v>9.093567776543536E-2</v>
      </c>
      <c r="E43" s="45">
        <f t="shared" si="112"/>
        <v>3.3343557248903886E-2</v>
      </c>
      <c r="F43" s="45">
        <f t="shared" si="112"/>
        <v>5.7076839924331144E-2</v>
      </c>
      <c r="G43" s="45">
        <f t="shared" si="112"/>
        <v>8.5046373336050168E-2</v>
      </c>
      <c r="H43" s="45">
        <f t="shared" si="112"/>
        <v>8.944114581688406E-2</v>
      </c>
      <c r="I43" s="45">
        <f t="shared" si="112"/>
        <v>5.260786264894813E-2</v>
      </c>
      <c r="J43" s="45">
        <f t="shared" si="112"/>
        <v>4.0500840366316453E-2</v>
      </c>
      <c r="K43" s="45">
        <f t="shared" si="112"/>
        <v>8.9513436990957929E-2</v>
      </c>
      <c r="L43" s="45">
        <f t="shared" si="112"/>
        <v>8.6810980936822588E-2</v>
      </c>
      <c r="M43" s="45">
        <f t="shared" si="112"/>
        <v>8.6591337019313999E-2</v>
      </c>
      <c r="N43" s="45">
        <f t="shared" si="112"/>
        <v>7.2449841135823312E-2</v>
      </c>
      <c r="O43" s="45">
        <f t="shared" si="112"/>
        <v>5.7030476930361534E-2</v>
      </c>
      <c r="P43" s="45">
        <f t="shared" si="112"/>
        <v>3.2753539507216769E-4</v>
      </c>
      <c r="Q43" s="45">
        <f t="shared" si="112"/>
        <v>7.1865863543093794E-2</v>
      </c>
      <c r="R43" s="45">
        <f t="shared" si="112"/>
        <v>7.7594839865398613E-2</v>
      </c>
      <c r="S43" s="45">
        <f t="shared" si="112"/>
        <v>9.5953375536511495E-2</v>
      </c>
      <c r="T43" s="45">
        <f>+T26/T17</f>
        <v>0.13198731016233228</v>
      </c>
      <c r="U43" s="45">
        <f t="shared" si="112"/>
        <v>0.12515295943533702</v>
      </c>
      <c r="V43" s="45">
        <f t="shared" si="112"/>
        <v>8.313386544039604E-2</v>
      </c>
      <c r="W43" s="45">
        <f t="shared" si="112"/>
        <v>9.6276785550786198E-2</v>
      </c>
      <c r="X43" s="45">
        <f t="shared" si="112"/>
        <v>0.15464373058081027</v>
      </c>
      <c r="Y43" s="45">
        <f t="shared" si="112"/>
        <v>0.15431936671658766</v>
      </c>
      <c r="Z43" s="45">
        <f t="shared" si="112"/>
        <v>0.13854725238340473</v>
      </c>
      <c r="AA43" s="45">
        <f t="shared" si="112"/>
        <v>0.15873096961048391</v>
      </c>
      <c r="AB43" s="45">
        <f t="shared" si="112"/>
        <v>0.17816519080436186</v>
      </c>
      <c r="AC43" s="45">
        <f t="shared" si="112"/>
        <v>0.16270204713044126</v>
      </c>
      <c r="AD43" s="45">
        <f t="shared" si="112"/>
        <v>0.14703018693965791</v>
      </c>
      <c r="AE43" s="45">
        <f>+AE26/AE17</f>
        <v>0.16535756267562055</v>
      </c>
      <c r="AF43" s="45">
        <f>+AF26/AF17</f>
        <v>0.19905540212510978</v>
      </c>
      <c r="AS43" s="45">
        <f>+AS26/AS17</f>
        <v>0.15702157433991262</v>
      </c>
      <c r="AT43" s="45">
        <f t="shared" ref="AT43:AW43" si="113">+AT26/AT17</f>
        <v>0.16874924942077252</v>
      </c>
      <c r="AU43" s="45">
        <f t="shared" si="113"/>
        <v>0.16781948310064951</v>
      </c>
      <c r="AV43" s="45">
        <f t="shared" si="113"/>
        <v>0.17471494685474587</v>
      </c>
      <c r="AW43" s="45">
        <f t="shared" si="113"/>
        <v>0.17257154333388947</v>
      </c>
      <c r="AX43" s="45">
        <f t="shared" ref="AX43:BL43" si="114">+AX26/AX17</f>
        <v>1.4968814542831853E-2</v>
      </c>
      <c r="AY43" s="45">
        <f t="shared" si="114"/>
        <v>6.3474720378731891E-2</v>
      </c>
      <c r="AZ43" s="45">
        <f t="shared" si="114"/>
        <v>6.6805344723570581E-2</v>
      </c>
      <c r="BA43" s="45">
        <f t="shared" si="114"/>
        <v>8.3686201180050948E-2</v>
      </c>
      <c r="BB43" s="45">
        <f t="shared" si="114"/>
        <v>5.3594087792169079E-2</v>
      </c>
      <c r="BC43" s="45">
        <f t="shared" si="114"/>
        <v>0.10921257957236598</v>
      </c>
      <c r="BD43" s="45">
        <f t="shared" si="114"/>
        <v>0.13683724601755809</v>
      </c>
      <c r="BE43" s="45">
        <f t="shared" si="114"/>
        <v>0.16169365422129575</v>
      </c>
      <c r="BF43" s="45">
        <f t="shared" si="114"/>
        <v>0.16169365422129575</v>
      </c>
      <c r="BG43" s="45">
        <f t="shared" si="114"/>
        <v>0.16169365422129583</v>
      </c>
      <c r="BH43" s="45">
        <f t="shared" si="114"/>
        <v>0.16169365422129586</v>
      </c>
      <c r="BI43" s="45">
        <f t="shared" si="114"/>
        <v>0.16169365422129561</v>
      </c>
      <c r="BJ43" s="45">
        <f t="shared" si="114"/>
        <v>0.16169365422129583</v>
      </c>
      <c r="BK43" s="45">
        <f t="shared" si="114"/>
        <v>0.16169365422129578</v>
      </c>
      <c r="BL43" s="45">
        <f t="shared" si="114"/>
        <v>0.16169365422129567</v>
      </c>
      <c r="BM43" s="45">
        <f>+BM26/BM17</f>
        <v>0.16169365422129556</v>
      </c>
      <c r="BN43" s="45">
        <f>+BN26/BN17</f>
        <v>0.16169365422129572</v>
      </c>
      <c r="BO43" s="45">
        <f>+BO26/BO17</f>
        <v>0.16169365422129581</v>
      </c>
      <c r="BR43" s="67" t="s">
        <v>39</v>
      </c>
      <c r="BS43" s="64">
        <f>+Main!F4</f>
        <v>58.5</v>
      </c>
    </row>
    <row r="44" spans="1:71"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70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R44" s="71" t="s">
        <v>45</v>
      </c>
      <c r="BS44" s="72">
        <f>+BS42/BS43-1</f>
        <v>0.23995098667359827</v>
      </c>
    </row>
    <row r="45" spans="1:71" s="75" customFormat="1">
      <c r="A45" s="76"/>
      <c r="B45" s="15" t="s">
        <v>228</v>
      </c>
      <c r="C45" s="75">
        <f t="shared" ref="C45:AE45" si="115">+SUM(C22:C26)</f>
        <v>189612</v>
      </c>
      <c r="D45" s="75">
        <f t="shared" si="115"/>
        <v>220400</v>
      </c>
      <c r="E45" s="75">
        <f t="shared" si="115"/>
        <v>181134</v>
      </c>
      <c r="F45" s="75">
        <f t="shared" si="115"/>
        <v>165070</v>
      </c>
      <c r="G45" s="75">
        <f t="shared" si="115"/>
        <v>224294</v>
      </c>
      <c r="H45" s="75">
        <f t="shared" si="115"/>
        <v>249639</v>
      </c>
      <c r="I45" s="75">
        <f t="shared" si="115"/>
        <v>228750</v>
      </c>
      <c r="J45" s="75">
        <f t="shared" si="115"/>
        <v>208309</v>
      </c>
      <c r="K45" s="75">
        <f t="shared" si="115"/>
        <v>274495</v>
      </c>
      <c r="L45" s="75">
        <f t="shared" si="115"/>
        <v>299662</v>
      </c>
      <c r="M45" s="75">
        <f t="shared" si="115"/>
        <v>291888</v>
      </c>
      <c r="N45" s="75">
        <f t="shared" si="115"/>
        <v>276895</v>
      </c>
      <c r="O45" s="75">
        <f t="shared" si="115"/>
        <v>248867</v>
      </c>
      <c r="P45" s="75">
        <f t="shared" si="115"/>
        <v>166762</v>
      </c>
      <c r="Q45" s="75">
        <f t="shared" si="115"/>
        <v>312225</v>
      </c>
      <c r="R45" s="75">
        <f t="shared" si="115"/>
        <v>313227</v>
      </c>
      <c r="S45" s="75">
        <f t="shared" si="115"/>
        <v>388756</v>
      </c>
      <c r="T45" s="75">
        <f t="shared" si="115"/>
        <v>462882</v>
      </c>
      <c r="U45" s="75">
        <f t="shared" si="115"/>
        <v>459353</v>
      </c>
      <c r="V45" s="75">
        <f t="shared" si="115"/>
        <v>396018</v>
      </c>
      <c r="W45" s="75">
        <f t="shared" si="115"/>
        <v>418946</v>
      </c>
      <c r="X45" s="75">
        <f t="shared" si="115"/>
        <v>558085</v>
      </c>
      <c r="Y45" s="75">
        <f t="shared" si="115"/>
        <v>562546</v>
      </c>
      <c r="Z45" s="75">
        <f t="shared" si="115"/>
        <v>522542</v>
      </c>
      <c r="AA45" s="75">
        <f t="shared" si="115"/>
        <v>607090</v>
      </c>
      <c r="AB45" s="75">
        <f t="shared" si="115"/>
        <v>690855</v>
      </c>
      <c r="AC45" s="75">
        <f t="shared" si="115"/>
        <v>649843</v>
      </c>
      <c r="AD45" s="75">
        <f t="shared" si="115"/>
        <v>638304</v>
      </c>
      <c r="AE45" s="75">
        <f t="shared" si="115"/>
        <v>741850</v>
      </c>
      <c r="AF45" s="75">
        <f>+SUM(AF22:AF26)</f>
        <v>859400</v>
      </c>
      <c r="AG45" s="75">
        <f>586053-273347</f>
        <v>312706</v>
      </c>
      <c r="AM45" s="36"/>
      <c r="AS45" s="75">
        <f>+SUM(AS22:AS26)</f>
        <v>589227</v>
      </c>
      <c r="AT45" s="75">
        <f t="shared" ref="AT45:BH45" si="116">+SUM(AT22:AT26)</f>
        <v>740340</v>
      </c>
      <c r="AU45" s="75">
        <f t="shared" si="116"/>
        <v>854769</v>
      </c>
      <c r="AV45" s="75">
        <f t="shared" si="116"/>
        <v>1117756</v>
      </c>
      <c r="AW45" s="75">
        <f t="shared" si="116"/>
        <v>1174287</v>
      </c>
      <c r="AX45" s="75">
        <f t="shared" si="116"/>
        <v>498214</v>
      </c>
      <c r="AY45" s="75">
        <f t="shared" si="116"/>
        <v>756216</v>
      </c>
      <c r="AZ45" s="75">
        <f t="shared" si="116"/>
        <v>910992</v>
      </c>
      <c r="BA45" s="75">
        <f t="shared" si="116"/>
        <v>1142940</v>
      </c>
      <c r="BB45" s="75">
        <f t="shared" si="116"/>
        <v>1041081</v>
      </c>
      <c r="BC45" s="75">
        <f t="shared" si="116"/>
        <v>1707009</v>
      </c>
      <c r="BD45" s="75">
        <f t="shared" si="116"/>
        <v>2062119</v>
      </c>
      <c r="BE45" s="75">
        <f t="shared" si="116"/>
        <v>2586092</v>
      </c>
      <c r="BF45" s="75">
        <f t="shared" si="116"/>
        <v>2980529.3431015424</v>
      </c>
      <c r="BG45" s="75">
        <f t="shared" si="116"/>
        <v>3412989.2361752712</v>
      </c>
      <c r="BH45" s="75">
        <f t="shared" si="116"/>
        <v>3886614.4107826808</v>
      </c>
      <c r="BI45" s="75">
        <f t="shared" ref="BI45:BO45" si="117">+SUM(BI22:BI26)</f>
        <v>4404787.8450927436</v>
      </c>
      <c r="BJ45" s="75">
        <f t="shared" si="117"/>
        <v>4971150.2796412045</v>
      </c>
      <c r="BK45" s="75">
        <f t="shared" si="117"/>
        <v>5589618.9700931432</v>
      </c>
      <c r="BL45" s="75">
        <f t="shared" si="117"/>
        <v>6264407.7623926029</v>
      </c>
      <c r="BM45" s="75">
        <f t="shared" si="117"/>
        <v>7000048.5814756621</v>
      </c>
      <c r="BN45" s="75">
        <f t="shared" si="117"/>
        <v>7801414.4309040848</v>
      </c>
      <c r="BO45" s="75">
        <f t="shared" si="117"/>
        <v>9432376.580952961</v>
      </c>
      <c r="BR45" s="25"/>
      <c r="BS45" s="25"/>
    </row>
    <row r="46" spans="1:71" s="57" customFormat="1">
      <c r="A46" s="73"/>
      <c r="B46" s="15"/>
      <c r="C46" s="69">
        <f t="shared" ref="C46:AE46" si="118">+C45/C17</f>
        <v>0.17740162364606499</v>
      </c>
      <c r="D46" s="69">
        <f t="shared" si="118"/>
        <v>0.18847127053066975</v>
      </c>
      <c r="E46" s="69">
        <f t="shared" si="118"/>
        <v>0.16056925343550157</v>
      </c>
      <c r="F46" s="69">
        <f t="shared" si="118"/>
        <v>0.14869831546707504</v>
      </c>
      <c r="G46" s="69">
        <f t="shared" si="118"/>
        <v>0.19531050673242789</v>
      </c>
      <c r="H46" s="69">
        <f t="shared" si="118"/>
        <v>0.19710624388087042</v>
      </c>
      <c r="I46" s="69">
        <f t="shared" si="118"/>
        <v>0.18673362682825487</v>
      </c>
      <c r="J46" s="69">
        <f t="shared" si="118"/>
        <v>0.17003969598248578</v>
      </c>
      <c r="K46" s="69">
        <f t="shared" si="118"/>
        <v>0.20982375248143084</v>
      </c>
      <c r="L46" s="69">
        <f t="shared" si="118"/>
        <v>0.20893565959737309</v>
      </c>
      <c r="M46" s="69">
        <f t="shared" si="118"/>
        <v>0.20794231233663676</v>
      </c>
      <c r="N46" s="69">
        <f t="shared" si="118"/>
        <v>0.1922582875997067</v>
      </c>
      <c r="O46" s="69">
        <f t="shared" si="118"/>
        <v>0.17640483366553916</v>
      </c>
      <c r="P46" s="69">
        <f t="shared" si="118"/>
        <v>0.12219341734457456</v>
      </c>
      <c r="Q46" s="69">
        <f t="shared" si="118"/>
        <v>0.19496832174565729</v>
      </c>
      <c r="R46" s="69">
        <f t="shared" si="118"/>
        <v>0.19482804734684739</v>
      </c>
      <c r="S46" s="69">
        <f t="shared" si="118"/>
        <v>0.22322093507313781</v>
      </c>
      <c r="T46" s="69">
        <f t="shared" si="118"/>
        <v>0.24458267152363652</v>
      </c>
      <c r="U46" s="69">
        <f t="shared" si="118"/>
        <v>0.23528631394011726</v>
      </c>
      <c r="V46" s="69">
        <f t="shared" si="118"/>
        <v>0.20198476716448208</v>
      </c>
      <c r="W46" s="69">
        <f t="shared" si="118"/>
        <v>0.20734368403678424</v>
      </c>
      <c r="X46" s="69">
        <f t="shared" si="118"/>
        <v>0.25214619179438846</v>
      </c>
      <c r="Y46" s="69">
        <f t="shared" si="118"/>
        <v>0.25337912551938474</v>
      </c>
      <c r="Z46" s="69">
        <f t="shared" si="118"/>
        <v>0.23963232121082326</v>
      </c>
      <c r="AA46" s="69">
        <f t="shared" si="118"/>
        <v>0.2563096876609614</v>
      </c>
      <c r="AB46" s="69">
        <f t="shared" si="118"/>
        <v>0.27471557391618662</v>
      </c>
      <c r="AC46" s="69">
        <f t="shared" si="118"/>
        <v>0.26288700247739838</v>
      </c>
      <c r="AD46" s="69">
        <f t="shared" si="118"/>
        <v>0.25366567050295669</v>
      </c>
      <c r="AE46" s="69">
        <f t="shared" si="118"/>
        <v>0.27457133043753756</v>
      </c>
      <c r="AF46" s="69">
        <f>+AF45/AF17</f>
        <v>0.2890569055977279</v>
      </c>
      <c r="AM46" s="36"/>
      <c r="AS46" s="69">
        <f>+AS45/AS17</f>
        <v>0.25962306150828268</v>
      </c>
      <c r="AT46" s="69">
        <f t="shared" ref="AT46:BH46" si="119">+AT45/AT17</f>
        <v>0.27106528062143564</v>
      </c>
      <c r="AU46" s="69">
        <f t="shared" si="119"/>
        <v>0.26590287846883165</v>
      </c>
      <c r="AV46" s="69">
        <f t="shared" si="119"/>
        <v>0.2720746864433658</v>
      </c>
      <c r="AW46" s="69">
        <f t="shared" si="119"/>
        <v>0.26088176480036646</v>
      </c>
      <c r="AX46" s="69">
        <f t="shared" si="119"/>
        <v>0.12760373979608564</v>
      </c>
      <c r="AY46" s="69">
        <f t="shared" si="119"/>
        <v>0.16893351192875009</v>
      </c>
      <c r="AZ46" s="69">
        <f t="shared" si="119"/>
        <v>0.1872548425123613</v>
      </c>
      <c r="BA46" s="69">
        <f t="shared" si="119"/>
        <v>0.20459443334301761</v>
      </c>
      <c r="BB46" s="69">
        <f t="shared" si="119"/>
        <v>0.17395900902210562</v>
      </c>
      <c r="BC46" s="69">
        <f t="shared" si="119"/>
        <v>0.22618195347831427</v>
      </c>
      <c r="BD46" s="69">
        <f t="shared" si="119"/>
        <v>0.23881900509713652</v>
      </c>
      <c r="BE46" s="69">
        <f t="shared" si="119"/>
        <v>0.26197163209510388</v>
      </c>
      <c r="BF46" s="69">
        <f t="shared" si="119"/>
        <v>0.26197163209510388</v>
      </c>
      <c r="BG46" s="69">
        <f t="shared" si="119"/>
        <v>0.26197163209510393</v>
      </c>
      <c r="BH46" s="69">
        <f t="shared" si="119"/>
        <v>0.26197163209510399</v>
      </c>
      <c r="BI46" s="69">
        <f t="shared" ref="BI46" si="120">+BI45/BI17</f>
        <v>0.26197163209510377</v>
      </c>
      <c r="BJ46" s="69">
        <f t="shared" ref="BJ46" si="121">+BJ45/BJ17</f>
        <v>0.26197163209510393</v>
      </c>
      <c r="BK46" s="69">
        <f t="shared" ref="BK46" si="122">+BK45/BK17</f>
        <v>0.26197163209510393</v>
      </c>
      <c r="BL46" s="69">
        <f t="shared" ref="BL46" si="123">+BL45/BL17</f>
        <v>0.26197163209510377</v>
      </c>
      <c r="BM46" s="69">
        <f t="shared" ref="BM46" si="124">+BM45/BM17</f>
        <v>0.26197163209510366</v>
      </c>
      <c r="BN46" s="69">
        <f t="shared" ref="BN46" si="125">+BN45/BN17</f>
        <v>0.26197163209510382</v>
      </c>
      <c r="BO46" s="69">
        <f t="shared" ref="BO46" si="126">+BO45/BO17</f>
        <v>0.26197163209510388</v>
      </c>
    </row>
    <row r="47" spans="1:71" s="57" customFormat="1">
      <c r="A47" s="73"/>
      <c r="B47" s="15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M47" s="36"/>
    </row>
    <row r="48" spans="1:71" s="57" customFormat="1">
      <c r="A48" s="73"/>
      <c r="B48" s="15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M48" s="36"/>
    </row>
    <row r="49" spans="1:71" s="75" customFormat="1">
      <c r="A49" s="76"/>
      <c r="B49" s="15" t="s">
        <v>163</v>
      </c>
      <c r="C49" s="36"/>
      <c r="D49" s="36"/>
      <c r="E49" s="36"/>
      <c r="F49" s="36"/>
      <c r="O49" s="77"/>
      <c r="P49" s="77"/>
      <c r="Q49" s="77"/>
      <c r="R49" s="77"/>
      <c r="S49" s="77">
        <v>1424.91</v>
      </c>
      <c r="T49" s="77">
        <v>1407.99</v>
      </c>
      <c r="U49" s="77">
        <v>1812.75</v>
      </c>
      <c r="V49" s="77">
        <v>1750.04</v>
      </c>
      <c r="W49" s="77">
        <v>1490.25</v>
      </c>
      <c r="X49" s="77">
        <f>+BS43</f>
        <v>58.5</v>
      </c>
      <c r="Y49" s="77"/>
      <c r="Z49" s="77"/>
      <c r="AA49" s="78"/>
      <c r="AB49" s="77"/>
      <c r="AC49" s="77"/>
      <c r="AD49" s="77">
        <v>54.96</v>
      </c>
      <c r="AE49" s="77">
        <v>60.47</v>
      </c>
      <c r="AF49" s="77">
        <v>54.63</v>
      </c>
      <c r="AG49" s="77"/>
      <c r="AH49" s="77"/>
      <c r="AI49" s="77"/>
      <c r="AJ49" s="77"/>
      <c r="AK49" s="77"/>
      <c r="AL49" s="77"/>
      <c r="AM49" s="25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R49" s="25" t="s">
        <v>209</v>
      </c>
      <c r="BS49" s="79">
        <f>+Main!$F$9/Model!BE30</f>
        <v>61.348519896109799</v>
      </c>
    </row>
    <row r="50" spans="1:71" s="75" customFormat="1">
      <c r="A50" s="76"/>
      <c r="B50" s="15" t="s">
        <v>164</v>
      </c>
      <c r="C50" s="36"/>
      <c r="D50" s="36"/>
      <c r="E50" s="36"/>
      <c r="F50" s="36"/>
      <c r="O50" s="77"/>
      <c r="P50" s="77"/>
      <c r="Q50" s="77"/>
      <c r="R50" s="77"/>
      <c r="S50" s="77">
        <f t="shared" ref="S50:X50" si="127">+S32*S49/1000</f>
        <v>42513.230514606745</v>
      </c>
      <c r="T50" s="77">
        <f t="shared" si="127"/>
        <v>40129.122990000003</v>
      </c>
      <c r="U50" s="77">
        <f t="shared" si="127"/>
        <v>51618.056250000001</v>
      </c>
      <c r="V50" s="77">
        <f t="shared" si="127"/>
        <v>49849.8894</v>
      </c>
      <c r="W50" s="77">
        <f t="shared" si="127"/>
        <v>42175.56525</v>
      </c>
      <c r="X50" s="77">
        <f t="shared" si="127"/>
        <v>1643.3820000000001</v>
      </c>
      <c r="Y50" s="77"/>
      <c r="Z50" s="77"/>
      <c r="AA50" s="78"/>
      <c r="AB50" s="77"/>
      <c r="AC50" s="77"/>
      <c r="AD50" s="77">
        <f>+AD32*(AD49/1000)*50</f>
        <v>75888.398500054624</v>
      </c>
      <c r="AE50" s="77">
        <f>+AE32*(AE49/1000)*50</f>
        <v>83521.164000000004</v>
      </c>
      <c r="AF50" s="77">
        <f>+AF32*AF49/1000</f>
        <v>75472.328340000007</v>
      </c>
      <c r="AG50" s="77"/>
      <c r="AH50" s="77"/>
      <c r="AI50" s="77"/>
      <c r="AJ50" s="77"/>
      <c r="AK50" s="77"/>
      <c r="AL50" s="77"/>
      <c r="AM50" s="25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R50" s="25" t="s">
        <v>208</v>
      </c>
      <c r="BS50" s="79">
        <f>+Main!$F$9/Model!BF30</f>
        <v>33.088384618631565</v>
      </c>
    </row>
    <row r="51" spans="1:71" s="75" customFormat="1">
      <c r="A51" s="76"/>
      <c r="B51" s="15" t="s">
        <v>165</v>
      </c>
      <c r="C51" s="36"/>
      <c r="D51" s="36"/>
      <c r="E51" s="36"/>
      <c r="F51" s="36"/>
      <c r="O51" s="77"/>
      <c r="P51" s="77"/>
      <c r="Q51" s="77"/>
      <c r="R51" s="77"/>
      <c r="S51" s="77">
        <f t="shared" ref="S51:X51" si="128">+S50-(S55/1000)</f>
        <v>41316.078514606743</v>
      </c>
      <c r="T51" s="77">
        <f t="shared" si="128"/>
        <v>38959.702990000005</v>
      </c>
      <c r="U51" s="77">
        <f t="shared" si="128"/>
        <v>50379.178250000004</v>
      </c>
      <c r="V51" s="77">
        <f t="shared" si="128"/>
        <v>48468.403400000003</v>
      </c>
      <c r="W51" s="77">
        <f t="shared" si="128"/>
        <v>40955.363250000002</v>
      </c>
      <c r="X51" s="77">
        <f t="shared" si="128"/>
        <v>490.95900000000006</v>
      </c>
      <c r="Y51" s="77"/>
      <c r="Z51" s="77"/>
      <c r="AA51" s="78"/>
      <c r="AB51" s="77"/>
      <c r="AC51" s="77"/>
      <c r="AD51" s="77">
        <f>+AD50-(AD55/1000)</f>
        <v>74002.909500054622</v>
      </c>
      <c r="AE51" s="77">
        <f>+AE50-(AE55/1000)</f>
        <v>81298.343000000008</v>
      </c>
      <c r="AF51" s="77">
        <f>+AF50-(AF55/1000)</f>
        <v>72982.20534</v>
      </c>
      <c r="AG51" s="77"/>
      <c r="AH51" s="77"/>
      <c r="AI51" s="77"/>
      <c r="AJ51" s="77"/>
      <c r="AK51" s="77"/>
      <c r="AL51" s="77"/>
      <c r="AM51" s="25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R51" s="25" t="s">
        <v>210</v>
      </c>
      <c r="BS51" s="79">
        <f>+Main!$F$9/Model!BG30</f>
        <v>28.629182531707286</v>
      </c>
    </row>
    <row r="52" spans="1:71" s="103" customFormat="1">
      <c r="A52" s="100"/>
      <c r="B52" s="101"/>
      <c r="C52" s="102"/>
      <c r="D52" s="102"/>
      <c r="E52" s="102"/>
      <c r="F52" s="102"/>
      <c r="AA52" s="104"/>
      <c r="AM52" s="102"/>
      <c r="AQ52" s="103">
        <f>+AQ17/1000000</f>
        <v>1.5184169999999999</v>
      </c>
      <c r="AR52" s="103">
        <f t="shared" ref="AR52:BE52" si="129">+AR17/1000000</f>
        <v>1.8359220000000001</v>
      </c>
      <c r="AS52" s="103">
        <f t="shared" si="129"/>
        <v>2.2695479999999999</v>
      </c>
      <c r="AT52" s="103">
        <f t="shared" si="129"/>
        <v>2.7312240000000001</v>
      </c>
      <c r="AU52" s="103">
        <f t="shared" si="129"/>
        <v>3.214591</v>
      </c>
      <c r="AV52" s="103">
        <f t="shared" si="129"/>
        <v>4.1082689999999999</v>
      </c>
      <c r="AW52" s="103">
        <f t="shared" si="129"/>
        <v>4.5012230000000004</v>
      </c>
      <c r="AX52" s="103">
        <f t="shared" si="129"/>
        <v>3.9043839999999999</v>
      </c>
      <c r="AY52" s="103">
        <f t="shared" si="129"/>
        <v>4.4764119999999998</v>
      </c>
      <c r="AZ52" s="103">
        <f t="shared" si="129"/>
        <v>4.8649849999999999</v>
      </c>
      <c r="BA52" s="103">
        <f t="shared" si="129"/>
        <v>5.5863690000000004</v>
      </c>
      <c r="BB52" s="103">
        <f t="shared" si="129"/>
        <v>5.9846339999999998</v>
      </c>
      <c r="BC52" s="103">
        <f t="shared" si="129"/>
        <v>7.5470610000000002</v>
      </c>
      <c r="BD52" s="103">
        <f t="shared" si="129"/>
        <v>8.6346520000000009</v>
      </c>
      <c r="BE52" s="103">
        <f t="shared" si="129"/>
        <v>9.8716489999999997</v>
      </c>
    </row>
    <row r="53" spans="1:71" s="57" customFormat="1">
      <c r="A53" s="73"/>
      <c r="B53" s="15"/>
      <c r="C53" s="36"/>
      <c r="D53" s="36"/>
      <c r="E53" s="36"/>
      <c r="F53" s="36"/>
      <c r="AA53" s="74"/>
      <c r="AM53" s="36"/>
    </row>
    <row r="54" spans="1:71"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X54" s="45"/>
      <c r="AY54" s="45"/>
      <c r="AZ54" s="45"/>
      <c r="BA54" s="45"/>
      <c r="BB54" s="45"/>
      <c r="BC54" s="45"/>
    </row>
    <row r="55" spans="1:71">
      <c r="B55" s="9" t="s">
        <v>113</v>
      </c>
      <c r="C55" s="25">
        <f>+C56+C64+C65+C61</f>
        <v>577040</v>
      </c>
      <c r="D55" s="25">
        <f t="shared" ref="D55:N55" si="130">+D56+D64+D65+D61</f>
        <v>569603</v>
      </c>
      <c r="E55" s="25">
        <f t="shared" ref="E55:F55" si="131">+E56+E64+E65+E61</f>
        <v>548357</v>
      </c>
      <c r="F55" s="25">
        <f t="shared" si="131"/>
        <v>538552</v>
      </c>
      <c r="G55" s="25">
        <f t="shared" ref="G55:H55" si="132">+G56+G64+G65+G61</f>
        <v>579977</v>
      </c>
      <c r="H55" s="25">
        <f t="shared" si="132"/>
        <v>573927</v>
      </c>
      <c r="I55" s="25">
        <f t="shared" si="130"/>
        <v>700395</v>
      </c>
      <c r="J55" s="25">
        <f t="shared" si="130"/>
        <v>706997</v>
      </c>
      <c r="K55" s="25">
        <f t="shared" si="130"/>
        <v>763406</v>
      </c>
      <c r="L55" s="25">
        <f t="shared" ref="L55:M55" si="133">+L56+L64+L65+L61</f>
        <v>746323</v>
      </c>
      <c r="M55" s="25">
        <f t="shared" si="133"/>
        <v>844058</v>
      </c>
      <c r="N55" s="25">
        <f t="shared" si="130"/>
        <v>908637</v>
      </c>
      <c r="O55" s="25">
        <f t="shared" ref="O55:T55" si="134">+O56+O64+O65+O61</f>
        <v>909249</v>
      </c>
      <c r="P55" s="25">
        <f t="shared" si="134"/>
        <v>934642</v>
      </c>
      <c r="Q55" s="25">
        <f t="shared" si="134"/>
        <v>1094285</v>
      </c>
      <c r="R55" s="25">
        <f t="shared" si="134"/>
        <v>1081780</v>
      </c>
      <c r="S55" s="25">
        <f t="shared" si="134"/>
        <v>1197152</v>
      </c>
      <c r="T55" s="25">
        <f t="shared" si="134"/>
        <v>1169420</v>
      </c>
      <c r="U55" s="25">
        <f>+U56+U64+U65+U61</f>
        <v>1238878</v>
      </c>
      <c r="V55" s="25">
        <f t="shared" ref="V55:AE55" si="135">+V56+V64+V65+V61</f>
        <v>1381486</v>
      </c>
      <c r="W55" s="25">
        <f t="shared" si="135"/>
        <v>1220202</v>
      </c>
      <c r="X55" s="25">
        <f>+X56+X64+X65+X61</f>
        <v>1152423</v>
      </c>
      <c r="Y55" s="25">
        <f t="shared" si="135"/>
        <v>1257495</v>
      </c>
      <c r="Z55" s="25">
        <f t="shared" si="135"/>
        <v>1312157</v>
      </c>
      <c r="AA55" s="25">
        <f t="shared" si="135"/>
        <v>1455741</v>
      </c>
      <c r="AB55" s="25">
        <f t="shared" si="135"/>
        <v>1811876</v>
      </c>
      <c r="AC55" s="25">
        <f t="shared" si="135"/>
        <v>1952568</v>
      </c>
      <c r="AD55" s="25">
        <f t="shared" si="135"/>
        <v>1885489</v>
      </c>
      <c r="AE55" s="25">
        <f t="shared" si="135"/>
        <v>2222821</v>
      </c>
      <c r="AF55" s="25">
        <f>+AF56+AF64+AF65+AF61</f>
        <v>2490123</v>
      </c>
      <c r="BE55" s="25">
        <f>+AF55</f>
        <v>2490123</v>
      </c>
      <c r="BF55" s="25">
        <f t="shared" ref="BF55:BO55" si="136">+BE55+BF30</f>
        <v>4839441.0430521388</v>
      </c>
      <c r="BG55" s="25">
        <f t="shared" si="136"/>
        <v>7554682.3502011318</v>
      </c>
      <c r="BH55" s="25">
        <f t="shared" si="136"/>
        <v>10672471.584409418</v>
      </c>
      <c r="BI55" s="25">
        <f t="shared" si="136"/>
        <v>14232525.804288618</v>
      </c>
      <c r="BJ55" s="25">
        <f t="shared" si="136"/>
        <v>18277893.888764843</v>
      </c>
      <c r="BK55" s="25">
        <f t="shared" si="136"/>
        <v>22855213.562422697</v>
      </c>
      <c r="BL55" s="25">
        <f t="shared" si="136"/>
        <v>28014987.271710299</v>
      </c>
      <c r="BM55" s="25">
        <f t="shared" si="136"/>
        <v>33811878.248847209</v>
      </c>
      <c r="BN55" s="25">
        <f t="shared" si="136"/>
        <v>40305028.192835569</v>
      </c>
      <c r="BO55" s="25">
        <f t="shared" si="136"/>
        <v>48148382.785339609</v>
      </c>
    </row>
    <row r="56" spans="1:71">
      <c r="B56" s="9" t="s">
        <v>54</v>
      </c>
      <c r="C56" s="25">
        <v>122413</v>
      </c>
      <c r="D56" s="25">
        <v>175137</v>
      </c>
      <c r="E56" s="25">
        <v>113480</v>
      </c>
      <c r="F56" s="25">
        <v>184569</v>
      </c>
      <c r="G56" s="25">
        <v>231838</v>
      </c>
      <c r="H56" s="25">
        <v>225658</v>
      </c>
      <c r="I56" s="25">
        <v>343028</v>
      </c>
      <c r="J56" s="25">
        <v>249953</v>
      </c>
      <c r="K56" s="25">
        <v>277661</v>
      </c>
      <c r="L56" s="25">
        <v>299913</v>
      </c>
      <c r="M56" s="25">
        <v>386565</v>
      </c>
      <c r="N56" s="25">
        <v>480626</v>
      </c>
      <c r="O56" s="25">
        <v>500315</v>
      </c>
      <c r="P56" s="25">
        <v>605622</v>
      </c>
      <c r="Q56" s="25">
        <v>662401</v>
      </c>
      <c r="R56" s="25">
        <v>607987</v>
      </c>
      <c r="S56" s="25">
        <v>694776</v>
      </c>
      <c r="T56" s="25">
        <v>668269</v>
      </c>
      <c r="U56" s="25">
        <v>721109</v>
      </c>
      <c r="V56" s="25">
        <v>815374</v>
      </c>
      <c r="W56" s="25">
        <v>615863</v>
      </c>
      <c r="X56" s="25">
        <v>520933</v>
      </c>
      <c r="Y56" s="25">
        <v>366623</v>
      </c>
      <c r="Z56" s="25">
        <v>384000</v>
      </c>
      <c r="AA56" s="25">
        <v>409727</v>
      </c>
      <c r="AB56" s="25">
        <v>504866</v>
      </c>
      <c r="AC56" s="25">
        <v>602307</v>
      </c>
      <c r="AD56" s="25">
        <v>560609</v>
      </c>
      <c r="AE56" s="25">
        <v>727394</v>
      </c>
      <c r="AF56" s="25">
        <v>806528</v>
      </c>
    </row>
    <row r="57" spans="1:71">
      <c r="B57" s="9" t="s">
        <v>55</v>
      </c>
      <c r="C57" s="25">
        <v>21852</v>
      </c>
      <c r="D57" s="25">
        <v>24940</v>
      </c>
      <c r="E57" s="25">
        <v>23870</v>
      </c>
      <c r="F57" s="25">
        <v>40453</v>
      </c>
      <c r="G57" s="25">
        <v>26691</v>
      </c>
      <c r="H57" s="25">
        <v>23702</v>
      </c>
      <c r="I57" s="25">
        <v>26868</v>
      </c>
      <c r="J57" s="25">
        <v>62312</v>
      </c>
      <c r="K57" s="25">
        <v>49725</v>
      </c>
      <c r="L57" s="25">
        <v>49362</v>
      </c>
      <c r="M57" s="25">
        <v>49489</v>
      </c>
      <c r="N57" s="25">
        <v>80545</v>
      </c>
      <c r="O57" s="25">
        <v>63461</v>
      </c>
      <c r="P57" s="25">
        <v>68006</v>
      </c>
      <c r="Q57" s="25">
        <v>69366</v>
      </c>
      <c r="R57" s="25">
        <v>104500</v>
      </c>
      <c r="S57" s="25">
        <v>68449</v>
      </c>
      <c r="T57" s="25">
        <v>75697</v>
      </c>
      <c r="U57" s="25">
        <v>76099</v>
      </c>
      <c r="V57" s="25">
        <v>99599</v>
      </c>
      <c r="W57" s="25">
        <v>89295</v>
      </c>
      <c r="X57" s="25">
        <v>83636</v>
      </c>
      <c r="Y57" s="25">
        <v>71276</v>
      </c>
      <c r="Z57" s="25">
        <v>106880</v>
      </c>
      <c r="AA57" s="25">
        <v>65869</v>
      </c>
      <c r="AB57" s="25">
        <v>60985</v>
      </c>
      <c r="AC57" s="25">
        <v>71122</v>
      </c>
      <c r="AD57" s="25">
        <v>115535</v>
      </c>
      <c r="AE57" s="25">
        <v>89836</v>
      </c>
      <c r="AF57" s="25">
        <v>97542</v>
      </c>
    </row>
    <row r="58" spans="1:71">
      <c r="B58" s="9" t="s">
        <v>56</v>
      </c>
      <c r="C58" s="25">
        <v>18319</v>
      </c>
      <c r="D58" s="25">
        <v>19126</v>
      </c>
      <c r="E58" s="25">
        <v>21634</v>
      </c>
      <c r="F58" s="25">
        <v>19860</v>
      </c>
      <c r="G58" s="25">
        <v>17404</v>
      </c>
      <c r="H58" s="25">
        <v>20851</v>
      </c>
      <c r="I58" s="25">
        <v>18285</v>
      </c>
      <c r="J58" s="25">
        <v>21555</v>
      </c>
      <c r="K58" s="25">
        <v>18780</v>
      </c>
      <c r="L58" s="25">
        <v>21144</v>
      </c>
      <c r="M58" s="25">
        <v>23871</v>
      </c>
      <c r="N58" s="25">
        <v>26096</v>
      </c>
      <c r="O58" s="25">
        <v>23335</v>
      </c>
      <c r="P58" s="25">
        <v>24178</v>
      </c>
      <c r="Q58" s="25">
        <v>25464</v>
      </c>
      <c r="R58" s="25">
        <v>26445</v>
      </c>
      <c r="S58" s="25">
        <v>24304</v>
      </c>
      <c r="T58" s="25">
        <v>25159</v>
      </c>
      <c r="U58" s="25">
        <v>28450</v>
      </c>
      <c r="V58" s="25">
        <v>32826</v>
      </c>
      <c r="W58" s="25">
        <v>29852</v>
      </c>
      <c r="X58" s="25">
        <v>29456</v>
      </c>
      <c r="Y58" s="25">
        <v>33752</v>
      </c>
      <c r="Z58" s="25">
        <v>35668</v>
      </c>
      <c r="AA58" s="25">
        <v>34599</v>
      </c>
      <c r="AB58" s="25">
        <v>36004</v>
      </c>
      <c r="AC58" s="25">
        <v>40177</v>
      </c>
      <c r="AD58" s="25">
        <v>39309</v>
      </c>
      <c r="AE58" s="25">
        <v>37947</v>
      </c>
      <c r="AF58" s="25">
        <v>35560</v>
      </c>
    </row>
    <row r="59" spans="1:71">
      <c r="B59" s="9" t="s">
        <v>57</v>
      </c>
      <c r="C59" s="25">
        <v>47023</v>
      </c>
      <c r="D59" s="25">
        <v>50296</v>
      </c>
      <c r="E59" s="25">
        <v>49089</v>
      </c>
      <c r="F59" s="25">
        <v>50918</v>
      </c>
      <c r="G59" s="25">
        <v>55742</v>
      </c>
      <c r="H59" s="25">
        <v>69860</v>
      </c>
      <c r="I59" s="25">
        <v>55406</v>
      </c>
      <c r="J59" s="25">
        <v>54129</v>
      </c>
      <c r="K59" s="25">
        <v>34217</v>
      </c>
      <c r="L59" s="25">
        <v>44116</v>
      </c>
      <c r="M59" s="25">
        <v>62211</v>
      </c>
      <c r="N59" s="25">
        <v>57076</v>
      </c>
      <c r="O59" s="25">
        <v>50781</v>
      </c>
      <c r="P59" s="25">
        <v>53656</v>
      </c>
      <c r="Q59" s="25">
        <v>50794</v>
      </c>
      <c r="R59" s="25">
        <v>54906</v>
      </c>
      <c r="S59" s="25">
        <v>61615</v>
      </c>
      <c r="T59" s="25">
        <v>71613</v>
      </c>
      <c r="U59" s="25">
        <v>72821</v>
      </c>
      <c r="V59" s="25">
        <v>78756</v>
      </c>
      <c r="W59" s="25">
        <v>70403</v>
      </c>
      <c r="X59" s="25">
        <v>73716</v>
      </c>
      <c r="Y59" s="25">
        <v>76439</v>
      </c>
      <c r="Z59" s="25">
        <v>86412</v>
      </c>
      <c r="AA59" s="25">
        <v>98389</v>
      </c>
      <c r="AB59" s="25">
        <v>103422</v>
      </c>
      <c r="AC59" s="25">
        <v>104038</v>
      </c>
      <c r="AD59" s="25">
        <v>117462</v>
      </c>
      <c r="AE59" s="25">
        <v>98118</v>
      </c>
      <c r="AF59" s="25">
        <v>91852</v>
      </c>
    </row>
    <row r="60" spans="1:71">
      <c r="B60" s="9" t="s">
        <v>58</v>
      </c>
      <c r="C60" s="25">
        <v>0</v>
      </c>
      <c r="D60" s="25">
        <v>0</v>
      </c>
      <c r="E60" s="25">
        <v>12986</v>
      </c>
      <c r="F60" s="25">
        <v>9353</v>
      </c>
      <c r="G60" s="25">
        <v>0</v>
      </c>
      <c r="H60" s="25">
        <v>32334</v>
      </c>
      <c r="I60" s="25">
        <v>21697</v>
      </c>
      <c r="J60" s="25">
        <v>0</v>
      </c>
      <c r="K60" s="25">
        <v>0</v>
      </c>
      <c r="L60" s="25">
        <v>0</v>
      </c>
      <c r="M60" s="25">
        <v>3824</v>
      </c>
      <c r="N60" s="25">
        <v>27705</v>
      </c>
      <c r="O60" s="25">
        <v>56631</v>
      </c>
      <c r="P60" s="25">
        <v>97840</v>
      </c>
      <c r="Q60" s="25">
        <v>60436</v>
      </c>
      <c r="R60" s="25">
        <v>282783</v>
      </c>
      <c r="S60" s="25">
        <v>244122</v>
      </c>
      <c r="T60" s="25">
        <v>284612</v>
      </c>
      <c r="U60" s="25">
        <v>318593</v>
      </c>
      <c r="V60" s="25">
        <v>94064</v>
      </c>
      <c r="W60" s="25">
        <v>50701</v>
      </c>
      <c r="X60" s="25">
        <v>97874</v>
      </c>
      <c r="Y60" s="25">
        <v>112064</v>
      </c>
      <c r="Z60" s="25">
        <v>47741</v>
      </c>
      <c r="AA60" s="25">
        <v>0</v>
      </c>
      <c r="AB60" s="25">
        <v>0</v>
      </c>
      <c r="AC60" s="25">
        <v>0</v>
      </c>
      <c r="AD60" s="25">
        <v>52960</v>
      </c>
      <c r="AE60" s="25">
        <v>0</v>
      </c>
      <c r="AF60" s="25">
        <v>71529</v>
      </c>
    </row>
    <row r="61" spans="1:71">
      <c r="B61" s="9" t="s">
        <v>59</v>
      </c>
      <c r="C61" s="25">
        <v>454627</v>
      </c>
      <c r="D61" s="25">
        <v>394466</v>
      </c>
      <c r="E61" s="25">
        <v>434877</v>
      </c>
      <c r="F61" s="25">
        <v>324382</v>
      </c>
      <c r="G61" s="25">
        <v>298764</v>
      </c>
      <c r="H61" s="25">
        <v>348269</v>
      </c>
      <c r="I61" s="25">
        <v>327787</v>
      </c>
      <c r="J61" s="25">
        <v>426845</v>
      </c>
      <c r="K61" s="25">
        <v>457363</v>
      </c>
      <c r="L61" s="25">
        <v>417867</v>
      </c>
      <c r="M61" s="25">
        <v>428796</v>
      </c>
      <c r="N61" s="25">
        <v>400156</v>
      </c>
      <c r="O61" s="25">
        <v>380978</v>
      </c>
      <c r="P61" s="25">
        <v>301041</v>
      </c>
      <c r="Q61" s="25">
        <v>342819</v>
      </c>
      <c r="R61" s="25">
        <v>343616</v>
      </c>
      <c r="S61" s="25">
        <v>363585</v>
      </c>
      <c r="T61" s="25">
        <v>322460</v>
      </c>
      <c r="U61" s="25">
        <v>301534</v>
      </c>
      <c r="V61" s="25">
        <v>260945</v>
      </c>
      <c r="W61" s="25">
        <v>240379</v>
      </c>
      <c r="X61" s="25">
        <v>240684</v>
      </c>
      <c r="Y61" s="25">
        <v>417278</v>
      </c>
      <c r="Z61" s="25">
        <v>515136</v>
      </c>
      <c r="AA61" s="25">
        <v>652858</v>
      </c>
      <c r="AB61" s="25">
        <v>851142</v>
      </c>
      <c r="AC61" s="25">
        <v>851699</v>
      </c>
      <c r="AD61" s="25">
        <v>734838</v>
      </c>
      <c r="AE61" s="25">
        <v>692474</v>
      </c>
      <c r="AF61" s="25">
        <v>683287</v>
      </c>
    </row>
    <row r="62" spans="1:71">
      <c r="B62" s="9" t="s">
        <v>60</v>
      </c>
      <c r="C62" s="25">
        <f t="shared" ref="C62:N62" si="137">+SUM(C56:C61)</f>
        <v>664234</v>
      </c>
      <c r="D62" s="25">
        <f t="shared" si="137"/>
        <v>663965</v>
      </c>
      <c r="E62" s="25">
        <f t="shared" si="137"/>
        <v>655936</v>
      </c>
      <c r="F62" s="25">
        <f t="shared" si="137"/>
        <v>629535</v>
      </c>
      <c r="G62" s="25">
        <f t="shared" si="137"/>
        <v>630439</v>
      </c>
      <c r="H62" s="25">
        <f t="shared" si="137"/>
        <v>720674</v>
      </c>
      <c r="I62" s="25">
        <f t="shared" si="137"/>
        <v>793071</v>
      </c>
      <c r="J62" s="25">
        <f t="shared" si="137"/>
        <v>814794</v>
      </c>
      <c r="K62" s="25">
        <f t="shared" si="137"/>
        <v>837746</v>
      </c>
      <c r="L62" s="25">
        <f t="shared" si="137"/>
        <v>832402</v>
      </c>
      <c r="M62" s="25">
        <f t="shared" si="137"/>
        <v>954756</v>
      </c>
      <c r="N62" s="25">
        <f t="shared" si="137"/>
        <v>1072204</v>
      </c>
      <c r="O62" s="25">
        <f t="shared" ref="O62:W62" si="138">+SUM(O56:O61)</f>
        <v>1075501</v>
      </c>
      <c r="P62" s="25">
        <f t="shared" si="138"/>
        <v>1150343</v>
      </c>
      <c r="Q62" s="25">
        <f t="shared" si="138"/>
        <v>1211280</v>
      </c>
      <c r="R62" s="25">
        <f t="shared" si="138"/>
        <v>1420237</v>
      </c>
      <c r="S62" s="25">
        <f t="shared" si="138"/>
        <v>1456851</v>
      </c>
      <c r="T62" s="25">
        <f t="shared" si="138"/>
        <v>1447810</v>
      </c>
      <c r="U62" s="25">
        <f t="shared" si="138"/>
        <v>1518606</v>
      </c>
      <c r="V62" s="25">
        <f t="shared" si="138"/>
        <v>1381564</v>
      </c>
      <c r="W62" s="25">
        <f t="shared" si="138"/>
        <v>1096493</v>
      </c>
      <c r="X62" s="25">
        <f t="shared" ref="X62:Z62" si="139">+SUM(X56:X61)</f>
        <v>1046299</v>
      </c>
      <c r="Y62" s="25">
        <f t="shared" si="139"/>
        <v>1077432</v>
      </c>
      <c r="Z62" s="25">
        <f t="shared" si="139"/>
        <v>1175837</v>
      </c>
      <c r="AA62" s="25">
        <f t="shared" ref="AA62:AB62" si="140">+SUM(AA56:AA61)</f>
        <v>1261442</v>
      </c>
      <c r="AB62" s="25">
        <f t="shared" si="140"/>
        <v>1556419</v>
      </c>
      <c r="AC62" s="25">
        <f t="shared" ref="AC62:AE62" si="141">+SUM(AC56:AC61)</f>
        <v>1669343</v>
      </c>
      <c r="AD62" s="25">
        <f t="shared" si="141"/>
        <v>1620713</v>
      </c>
      <c r="AE62" s="25">
        <f t="shared" si="141"/>
        <v>1645769</v>
      </c>
      <c r="AF62" s="25">
        <f t="shared" ref="AF62" si="142">+SUM(AF56:AF61)</f>
        <v>1786298</v>
      </c>
      <c r="BN62" s="77"/>
    </row>
    <row r="63" spans="1:71">
      <c r="B63" s="9" t="s">
        <v>188</v>
      </c>
      <c r="C63" s="25">
        <v>1322622</v>
      </c>
      <c r="D63" s="25">
        <v>1328280</v>
      </c>
      <c r="E63" s="25">
        <v>1331786</v>
      </c>
      <c r="F63" s="25">
        <v>1338366</v>
      </c>
      <c r="G63" s="25">
        <v>1343717</v>
      </c>
      <c r="H63" s="25">
        <v>1333949</v>
      </c>
      <c r="I63" s="25">
        <v>1361440</v>
      </c>
      <c r="J63" s="25">
        <v>1379254</v>
      </c>
      <c r="K63" s="25">
        <v>1366684</v>
      </c>
      <c r="L63" s="25">
        <v>1387896</v>
      </c>
      <c r="M63" s="25">
        <v>1425446</v>
      </c>
      <c r="N63" s="25">
        <v>1458690</v>
      </c>
      <c r="O63" s="25">
        <v>1465666</v>
      </c>
      <c r="P63" s="25">
        <v>1498048</v>
      </c>
      <c r="Q63" s="25">
        <v>1547217</v>
      </c>
      <c r="R63" s="25">
        <v>1584311</v>
      </c>
      <c r="S63" s="25">
        <v>1613670</v>
      </c>
      <c r="T63" s="25">
        <v>1666184</v>
      </c>
      <c r="U63" s="25">
        <v>1719224</v>
      </c>
      <c r="V63" s="25">
        <v>1769278</v>
      </c>
      <c r="W63" s="25">
        <v>1779521</v>
      </c>
      <c r="X63" s="25">
        <v>1813348</v>
      </c>
      <c r="Y63" s="25">
        <v>1871623</v>
      </c>
      <c r="Z63" s="25">
        <v>1951147</v>
      </c>
      <c r="AA63" s="25">
        <v>1981329</v>
      </c>
      <c r="AB63" s="25">
        <v>2021964</v>
      </c>
      <c r="AC63" s="25">
        <v>2093011</v>
      </c>
      <c r="AD63" s="25">
        <v>2170038</v>
      </c>
      <c r="AE63" s="25">
        <v>2202739</v>
      </c>
      <c r="AF63" s="25">
        <v>2265694</v>
      </c>
    </row>
    <row r="64" spans="1:71">
      <c r="B64" s="9" t="s">
        <v>61</v>
      </c>
      <c r="C64" s="25">
        <v>0</v>
      </c>
      <c r="D64" s="25">
        <v>0</v>
      </c>
      <c r="E64" s="25">
        <v>0</v>
      </c>
      <c r="F64" s="25">
        <v>0</v>
      </c>
      <c r="G64" s="25">
        <v>49375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61474</v>
      </c>
      <c r="R64" s="25">
        <v>102328</v>
      </c>
      <c r="S64" s="25">
        <v>110928</v>
      </c>
      <c r="T64" s="25">
        <v>150814</v>
      </c>
      <c r="U64" s="25">
        <v>188344</v>
      </c>
      <c r="V64" s="25">
        <v>274311</v>
      </c>
      <c r="W64" s="25">
        <v>333088</v>
      </c>
      <c r="X64" s="25">
        <v>359911</v>
      </c>
      <c r="Y64" s="25">
        <v>442620</v>
      </c>
      <c r="Z64" s="25">
        <v>388055</v>
      </c>
      <c r="AA64" s="25">
        <v>368023</v>
      </c>
      <c r="AB64" s="25">
        <v>430762</v>
      </c>
      <c r="AC64" s="25">
        <v>473247</v>
      </c>
      <c r="AD64" s="25">
        <v>564488</v>
      </c>
      <c r="AE64" s="25">
        <v>776815</v>
      </c>
      <c r="AF64" s="25">
        <v>972644</v>
      </c>
    </row>
    <row r="65" spans="2:32">
      <c r="B65" s="9" t="s">
        <v>62</v>
      </c>
      <c r="C65" s="25">
        <v>0</v>
      </c>
      <c r="D65" s="25">
        <v>0</v>
      </c>
      <c r="E65" s="25">
        <v>0</v>
      </c>
      <c r="F65" s="25">
        <v>29601</v>
      </c>
      <c r="G65" s="25">
        <v>0</v>
      </c>
      <c r="H65" s="25">
        <v>0</v>
      </c>
      <c r="I65" s="25">
        <v>29580</v>
      </c>
      <c r="J65" s="25">
        <v>30199</v>
      </c>
      <c r="K65" s="25">
        <v>28382</v>
      </c>
      <c r="L65" s="25">
        <v>28543</v>
      </c>
      <c r="M65" s="25">
        <v>28697</v>
      </c>
      <c r="N65" s="25">
        <v>27855</v>
      </c>
      <c r="O65" s="25">
        <v>27956</v>
      </c>
      <c r="P65" s="25">
        <v>27979</v>
      </c>
      <c r="Q65" s="25">
        <v>27591</v>
      </c>
      <c r="R65" s="25">
        <v>27849</v>
      </c>
      <c r="S65" s="25">
        <v>27863</v>
      </c>
      <c r="T65" s="25">
        <v>27877</v>
      </c>
      <c r="U65" s="25">
        <v>27891</v>
      </c>
      <c r="V65" s="25">
        <v>30856</v>
      </c>
      <c r="W65" s="25">
        <v>30872</v>
      </c>
      <c r="X65" s="25">
        <v>30895</v>
      </c>
      <c r="Y65" s="25">
        <v>30974</v>
      </c>
      <c r="Z65" s="25">
        <v>24966</v>
      </c>
      <c r="AA65" s="25">
        <v>25133</v>
      </c>
      <c r="AB65" s="25">
        <v>25106</v>
      </c>
      <c r="AC65" s="25">
        <v>25315</v>
      </c>
      <c r="AD65" s="25">
        <v>25554</v>
      </c>
      <c r="AE65" s="25">
        <v>26138</v>
      </c>
      <c r="AF65" s="25">
        <v>27664</v>
      </c>
    </row>
    <row r="66" spans="2:32">
      <c r="B66" s="9" t="s">
        <v>141</v>
      </c>
      <c r="C66" s="25">
        <v>0</v>
      </c>
      <c r="D66" s="25">
        <v>0</v>
      </c>
      <c r="E66" s="25">
        <v>0</v>
      </c>
      <c r="G66" s="25">
        <v>0</v>
      </c>
      <c r="H66" s="25">
        <v>0</v>
      </c>
      <c r="J66" s="25">
        <v>0</v>
      </c>
      <c r="K66" s="25">
        <v>0</v>
      </c>
      <c r="L66" s="25">
        <v>0</v>
      </c>
      <c r="M66" s="25">
        <v>9634</v>
      </c>
    </row>
    <row r="67" spans="2:32">
      <c r="B67" s="9" t="s">
        <v>63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2349993</v>
      </c>
      <c r="L67" s="25">
        <v>2370710</v>
      </c>
      <c r="M67" s="25">
        <v>2479464</v>
      </c>
      <c r="N67" s="25">
        <v>2505466</v>
      </c>
      <c r="O67" s="25">
        <v>2591416</v>
      </c>
      <c r="P67" s="25">
        <v>2634165</v>
      </c>
      <c r="Q67" s="25">
        <v>2708218</v>
      </c>
      <c r="R67" s="25">
        <v>2767185</v>
      </c>
      <c r="S67" s="25">
        <v>2858345</v>
      </c>
      <c r="T67" s="25">
        <v>2945912</v>
      </c>
      <c r="U67" s="25">
        <v>3094045</v>
      </c>
      <c r="V67" s="25">
        <v>3118294</v>
      </c>
      <c r="W67" s="25">
        <v>3147061</v>
      </c>
      <c r="X67" s="25">
        <v>3209934</v>
      </c>
      <c r="Y67" s="25">
        <v>3309051</v>
      </c>
      <c r="Z67" s="25">
        <v>3302402</v>
      </c>
      <c r="AA67" s="25">
        <v>3334277</v>
      </c>
      <c r="AB67" s="25">
        <v>3433719</v>
      </c>
      <c r="AC67" s="25">
        <v>3555808</v>
      </c>
      <c r="AD67" s="25">
        <v>3578548</v>
      </c>
      <c r="AE67" s="25">
        <v>3670983</v>
      </c>
      <c r="AF67" s="25">
        <v>3770997</v>
      </c>
    </row>
    <row r="68" spans="2:32">
      <c r="B68" s="9" t="s">
        <v>64</v>
      </c>
      <c r="C68" s="25">
        <v>53737</v>
      </c>
      <c r="D68" s="25">
        <v>54367</v>
      </c>
      <c r="E68" s="25">
        <v>54716</v>
      </c>
      <c r="F68" s="25">
        <v>26251</v>
      </c>
      <c r="G68" s="25">
        <v>51974</v>
      </c>
      <c r="H68" s="25">
        <v>52060</v>
      </c>
      <c r="I68" s="25">
        <v>24842</v>
      </c>
      <c r="J68" s="25">
        <v>19332</v>
      </c>
      <c r="K68" s="25">
        <v>20738</v>
      </c>
      <c r="L68" s="25">
        <v>17817</v>
      </c>
      <c r="M68" s="25">
        <v>18001</v>
      </c>
      <c r="N68" s="25">
        <v>18450</v>
      </c>
      <c r="O68" s="25">
        <v>24010</v>
      </c>
      <c r="P68" s="25">
        <v>37655</v>
      </c>
      <c r="Q68" s="25">
        <v>53921</v>
      </c>
      <c r="R68" s="25">
        <v>59047</v>
      </c>
      <c r="S68" s="25">
        <v>59463</v>
      </c>
      <c r="T68" s="25">
        <v>59918</v>
      </c>
      <c r="U68" s="25">
        <v>57518</v>
      </c>
      <c r="V68" s="25">
        <v>56716</v>
      </c>
      <c r="W68" s="25">
        <v>58283</v>
      </c>
      <c r="X68" s="25">
        <v>63010</v>
      </c>
      <c r="Y68" s="25">
        <v>63798</v>
      </c>
      <c r="Z68" s="25">
        <v>63158</v>
      </c>
      <c r="AA68" s="25">
        <v>61229</v>
      </c>
      <c r="AB68" s="25">
        <v>62526</v>
      </c>
      <c r="AC68" s="25">
        <v>72830</v>
      </c>
      <c r="AD68" s="25">
        <v>63082</v>
      </c>
      <c r="AE68" s="25">
        <v>66866</v>
      </c>
      <c r="AF68" s="25">
        <v>74599</v>
      </c>
    </row>
    <row r="69" spans="2:32">
      <c r="B69" s="9" t="s">
        <v>65</v>
      </c>
      <c r="C69" s="25">
        <v>21939</v>
      </c>
      <c r="D69" s="25">
        <v>21939</v>
      </c>
      <c r="E69" s="25">
        <v>21939</v>
      </c>
      <c r="F69" s="25">
        <v>21939</v>
      </c>
      <c r="G69" s="25">
        <v>21939</v>
      </c>
      <c r="H69" s="25">
        <v>21939</v>
      </c>
      <c r="I69" s="25">
        <v>21939</v>
      </c>
      <c r="J69" s="25">
        <v>21939</v>
      </c>
      <c r="K69" s="25">
        <v>21939</v>
      </c>
      <c r="L69" s="25">
        <v>21939</v>
      </c>
      <c r="M69" s="25">
        <v>21939</v>
      </c>
      <c r="N69" s="25">
        <v>21939</v>
      </c>
      <c r="O69" s="25">
        <v>21939</v>
      </c>
      <c r="P69" s="25">
        <v>21939</v>
      </c>
      <c r="Q69" s="25">
        <v>21939</v>
      </c>
      <c r="R69" s="25">
        <v>1939</v>
      </c>
      <c r="S69" s="25">
        <v>21939</v>
      </c>
      <c r="T69" s="25">
        <v>21939</v>
      </c>
      <c r="U69" s="25">
        <v>21939</v>
      </c>
      <c r="V69" s="25">
        <v>21939</v>
      </c>
      <c r="W69" s="25">
        <v>21939</v>
      </c>
      <c r="X69" s="25">
        <v>21939</v>
      </c>
      <c r="Y69" s="25">
        <v>21939</v>
      </c>
      <c r="Z69" s="25">
        <v>21939</v>
      </c>
      <c r="AA69" s="25">
        <v>21939</v>
      </c>
      <c r="AB69" s="25">
        <v>21939</v>
      </c>
      <c r="AC69" s="25">
        <v>21939</v>
      </c>
      <c r="AD69" s="25">
        <v>21939</v>
      </c>
      <c r="AE69" s="25">
        <v>21939</v>
      </c>
      <c r="AF69" s="25">
        <v>21939</v>
      </c>
    </row>
    <row r="70" spans="2:32">
      <c r="B70" s="9" t="s">
        <v>66</v>
      </c>
      <c r="C70" s="25">
        <f t="shared" ref="C70:D70" si="143">+SUM(C62:C69)</f>
        <v>2062532</v>
      </c>
      <c r="D70" s="25">
        <f t="shared" si="143"/>
        <v>2068551</v>
      </c>
      <c r="E70" s="25">
        <f t="shared" ref="E70:F70" si="144">+SUM(E62:E69)</f>
        <v>2064377</v>
      </c>
      <c r="F70" s="25">
        <f t="shared" si="144"/>
        <v>2045692</v>
      </c>
      <c r="G70" s="25">
        <f t="shared" ref="G70:M70" si="145">+SUM(G62:G69)</f>
        <v>2097444</v>
      </c>
      <c r="H70" s="25">
        <f t="shared" si="145"/>
        <v>2128622</v>
      </c>
      <c r="I70" s="25">
        <f t="shared" si="145"/>
        <v>2230872</v>
      </c>
      <c r="J70" s="25">
        <f t="shared" si="145"/>
        <v>2265518</v>
      </c>
      <c r="K70" s="25">
        <f t="shared" si="145"/>
        <v>4625482</v>
      </c>
      <c r="L70" s="25">
        <f t="shared" si="145"/>
        <v>4659307</v>
      </c>
      <c r="M70" s="25">
        <f t="shared" si="145"/>
        <v>4937937</v>
      </c>
      <c r="N70" s="25">
        <f t="shared" ref="N70:V70" si="146">+SUM(N62:N69)</f>
        <v>5104604</v>
      </c>
      <c r="O70" s="25">
        <f t="shared" si="146"/>
        <v>5206488</v>
      </c>
      <c r="P70" s="25">
        <f t="shared" si="146"/>
        <v>5370129</v>
      </c>
      <c r="Q70" s="25">
        <f t="shared" si="146"/>
        <v>5631640</v>
      </c>
      <c r="R70" s="25">
        <f t="shared" si="146"/>
        <v>5962896</v>
      </c>
      <c r="S70" s="25">
        <f t="shared" si="146"/>
        <v>6149059</v>
      </c>
      <c r="T70" s="25">
        <f t="shared" si="146"/>
        <v>6320454</v>
      </c>
      <c r="U70" s="25">
        <f t="shared" si="146"/>
        <v>6627567</v>
      </c>
      <c r="V70" s="25">
        <f t="shared" si="146"/>
        <v>6652958</v>
      </c>
      <c r="W70" s="25">
        <f t="shared" ref="W70:AE70" si="147">+SUM(W62:W69)</f>
        <v>6467257</v>
      </c>
      <c r="X70" s="25">
        <f t="shared" si="147"/>
        <v>6545336</v>
      </c>
      <c r="Y70" s="25">
        <f t="shared" si="147"/>
        <v>6817437</v>
      </c>
      <c r="Z70" s="25">
        <f t="shared" si="147"/>
        <v>6927504</v>
      </c>
      <c r="AA70" s="25">
        <f t="shared" si="147"/>
        <v>7053372</v>
      </c>
      <c r="AB70" s="25">
        <f t="shared" si="147"/>
        <v>7552435</v>
      </c>
      <c r="AC70" s="25">
        <f t="shared" si="147"/>
        <v>7911493</v>
      </c>
      <c r="AD70" s="25">
        <f t="shared" si="147"/>
        <v>8044362</v>
      </c>
      <c r="AE70" s="25">
        <f t="shared" si="147"/>
        <v>8411249</v>
      </c>
      <c r="AF70" s="25">
        <f t="shared" ref="AF70" si="148">+SUM(AF62:AF69)</f>
        <v>8919835</v>
      </c>
    </row>
    <row r="72" spans="2:32">
      <c r="B72" s="9" t="s">
        <v>67</v>
      </c>
      <c r="C72" s="25">
        <v>83840</v>
      </c>
      <c r="D72" s="25">
        <v>80976</v>
      </c>
      <c r="E72" s="25">
        <v>86705</v>
      </c>
      <c r="F72" s="25">
        <v>82028</v>
      </c>
      <c r="G72" s="25">
        <v>99001</v>
      </c>
      <c r="H72" s="25">
        <v>95597</v>
      </c>
      <c r="I72" s="25">
        <v>103486</v>
      </c>
      <c r="J72" s="25">
        <v>113071</v>
      </c>
      <c r="K72" s="25">
        <v>106214</v>
      </c>
      <c r="L72" s="25">
        <v>99007</v>
      </c>
      <c r="M72" s="25">
        <v>118483</v>
      </c>
      <c r="N72" s="25">
        <v>115816</v>
      </c>
      <c r="O72" s="25">
        <v>130423</v>
      </c>
      <c r="P72" s="25">
        <v>160523</v>
      </c>
      <c r="Q72" s="25">
        <v>157324</v>
      </c>
      <c r="R72" s="25">
        <v>121990</v>
      </c>
      <c r="S72" s="25">
        <v>147417</v>
      </c>
      <c r="T72" s="25">
        <v>140251</v>
      </c>
      <c r="U72" s="25">
        <v>171712</v>
      </c>
      <c r="V72" s="25">
        <v>163161</v>
      </c>
      <c r="W72" s="25">
        <v>168905</v>
      </c>
      <c r="X72" s="25">
        <v>158581</v>
      </c>
      <c r="Y72" s="25">
        <v>167842</v>
      </c>
      <c r="Z72" s="25">
        <v>184566</v>
      </c>
      <c r="AA72" s="25">
        <v>182606</v>
      </c>
      <c r="AB72" s="25">
        <v>162041</v>
      </c>
      <c r="AC72" s="25">
        <v>207541</v>
      </c>
      <c r="AD72" s="25">
        <v>197646</v>
      </c>
      <c r="AE72" s="25">
        <v>196866</v>
      </c>
      <c r="AF72" s="25">
        <v>203480</v>
      </c>
    </row>
    <row r="73" spans="2:32">
      <c r="B73" s="9" t="s">
        <v>68</v>
      </c>
      <c r="C73" s="25">
        <v>96730</v>
      </c>
      <c r="D73" s="25">
        <v>85169</v>
      </c>
      <c r="E73" s="25">
        <v>108120</v>
      </c>
      <c r="F73" s="25">
        <v>82541</v>
      </c>
      <c r="G73" s="25">
        <v>110268</v>
      </c>
      <c r="H73" s="25">
        <v>97573</v>
      </c>
      <c r="I73" s="25">
        <v>127302</v>
      </c>
      <c r="J73" s="25">
        <v>113467</v>
      </c>
      <c r="K73" s="25">
        <v>119689</v>
      </c>
      <c r="L73" s="25">
        <v>98800</v>
      </c>
      <c r="M73" s="25">
        <v>145766</v>
      </c>
      <c r="N73" s="25">
        <v>126600</v>
      </c>
      <c r="O73" s="25">
        <v>132273</v>
      </c>
      <c r="P73" s="25">
        <v>130306</v>
      </c>
      <c r="Q73" s="25">
        <v>194877</v>
      </c>
      <c r="R73" s="25">
        <v>203054</v>
      </c>
      <c r="S73" s="25">
        <v>221667</v>
      </c>
      <c r="T73" s="25">
        <v>225104</v>
      </c>
      <c r="U73" s="25">
        <v>190912</v>
      </c>
      <c r="V73" s="25">
        <v>162405</v>
      </c>
      <c r="W73" s="25">
        <v>172454</v>
      </c>
      <c r="X73" s="25">
        <v>161052</v>
      </c>
      <c r="Y73" s="25">
        <v>128495</v>
      </c>
      <c r="Z73" s="25">
        <v>170456</v>
      </c>
      <c r="AA73" s="25">
        <v>116465</v>
      </c>
      <c r="AB73" s="25">
        <v>177475</v>
      </c>
      <c r="AC73" s="25">
        <v>155015</v>
      </c>
      <c r="AD73" s="25">
        <v>227537</v>
      </c>
      <c r="AE73" s="25">
        <v>142425</v>
      </c>
      <c r="AF73" s="25">
        <v>223410</v>
      </c>
    </row>
    <row r="74" spans="2:32">
      <c r="B74" s="9" t="s">
        <v>69</v>
      </c>
      <c r="C74" s="25">
        <v>101114</v>
      </c>
      <c r="D74" s="25">
        <v>98311</v>
      </c>
      <c r="E74" s="25">
        <v>128577</v>
      </c>
      <c r="F74" s="25">
        <v>159324</v>
      </c>
      <c r="G74" s="25">
        <v>149409</v>
      </c>
      <c r="H74" s="25">
        <v>161991</v>
      </c>
      <c r="I74" s="25">
        <v>171998</v>
      </c>
      <c r="J74" s="25">
        <v>147849</v>
      </c>
      <c r="K74" s="25">
        <v>119813</v>
      </c>
      <c r="L74" s="25">
        <v>126879</v>
      </c>
      <c r="M74" s="25">
        <v>141159</v>
      </c>
      <c r="N74" s="25">
        <v>155843</v>
      </c>
      <c r="O74" s="25">
        <v>147242</v>
      </c>
      <c r="P74" s="25">
        <v>146229</v>
      </c>
      <c r="Q74" s="25">
        <v>158234</v>
      </c>
      <c r="R74" s="25">
        <v>164649</v>
      </c>
      <c r="S74" s="25">
        <v>145627</v>
      </c>
      <c r="T74" s="25">
        <v>143469</v>
      </c>
      <c r="U74" s="25">
        <v>153233</v>
      </c>
      <c r="V74" s="25">
        <v>173052</v>
      </c>
      <c r="W74" s="25">
        <v>136655</v>
      </c>
      <c r="X74" s="25">
        <v>148614</v>
      </c>
      <c r="Y74" s="25">
        <v>156455</v>
      </c>
      <c r="Z74" s="25">
        <v>147539</v>
      </c>
      <c r="AA74" s="25">
        <v>160436</v>
      </c>
      <c r="AB74" s="25">
        <v>141291</v>
      </c>
      <c r="AC74" s="25">
        <v>151148</v>
      </c>
      <c r="AD74" s="25">
        <v>147688</v>
      </c>
      <c r="AE74" s="25">
        <v>171612</v>
      </c>
      <c r="AF74" s="25">
        <v>169631</v>
      </c>
    </row>
    <row r="75" spans="2:32">
      <c r="B75" s="9" t="s">
        <v>70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70474</v>
      </c>
      <c r="K75" s="25">
        <v>57088</v>
      </c>
      <c r="L75" s="25">
        <v>61794</v>
      </c>
      <c r="M75" s="25">
        <v>61809</v>
      </c>
      <c r="N75" s="25">
        <v>95195</v>
      </c>
      <c r="O75" s="25">
        <v>77499</v>
      </c>
      <c r="P75" s="25">
        <v>88924</v>
      </c>
      <c r="Q75" s="25">
        <v>91467</v>
      </c>
      <c r="R75" s="25">
        <v>127750</v>
      </c>
      <c r="S75" s="25">
        <v>110197</v>
      </c>
      <c r="T75" s="25">
        <v>113016</v>
      </c>
      <c r="U75" s="25">
        <v>120423</v>
      </c>
      <c r="V75" s="25">
        <v>156351</v>
      </c>
      <c r="W75" s="25">
        <v>132421</v>
      </c>
      <c r="X75" s="25">
        <v>132446</v>
      </c>
      <c r="Y75" s="25">
        <v>133118</v>
      </c>
      <c r="Z75" s="25">
        <v>183071</v>
      </c>
      <c r="AA75" s="25">
        <v>157898</v>
      </c>
      <c r="AB75" s="25">
        <v>158959</v>
      </c>
      <c r="AC75" s="25">
        <v>156320</v>
      </c>
      <c r="AD75" s="25">
        <v>209680</v>
      </c>
      <c r="AE75" s="25">
        <v>187317</v>
      </c>
      <c r="AF75" s="25">
        <v>182331</v>
      </c>
    </row>
    <row r="76" spans="2:32">
      <c r="B76" s="9" t="s">
        <v>71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157665</v>
      </c>
      <c r="L76" s="25">
        <v>161253</v>
      </c>
      <c r="M76" s="25">
        <v>166802</v>
      </c>
      <c r="N76" s="25">
        <v>173139</v>
      </c>
      <c r="O76" s="25">
        <v>178358</v>
      </c>
      <c r="P76" s="25">
        <v>197196</v>
      </c>
      <c r="Q76" s="25">
        <v>199815</v>
      </c>
      <c r="R76" s="25">
        <v>204756</v>
      </c>
      <c r="S76" s="25">
        <v>209086</v>
      </c>
      <c r="T76" s="25">
        <v>213646</v>
      </c>
      <c r="U76" s="25">
        <v>214684</v>
      </c>
      <c r="V76" s="25">
        <v>218713</v>
      </c>
      <c r="W76" s="25">
        <v>223303</v>
      </c>
      <c r="X76" s="25">
        <v>230930</v>
      </c>
      <c r="Y76" s="25">
        <v>231947</v>
      </c>
      <c r="Z76" s="25">
        <v>236248</v>
      </c>
      <c r="AA76" s="25">
        <v>239029</v>
      </c>
      <c r="AB76" s="25">
        <v>244061</v>
      </c>
      <c r="AC76" s="25">
        <v>244994</v>
      </c>
      <c r="AD76" s="25">
        <v>248074</v>
      </c>
      <c r="AE76" s="25">
        <v>254144</v>
      </c>
      <c r="AF76" s="25">
        <v>264304</v>
      </c>
    </row>
    <row r="77" spans="2:32">
      <c r="B77" s="9" t="s">
        <v>142</v>
      </c>
      <c r="C77" s="25">
        <v>24639</v>
      </c>
      <c r="D77" s="25">
        <v>3329</v>
      </c>
      <c r="E77" s="25">
        <v>0</v>
      </c>
      <c r="G77" s="25">
        <v>8642</v>
      </c>
      <c r="H77" s="25">
        <v>0</v>
      </c>
      <c r="J77" s="25">
        <v>5129</v>
      </c>
      <c r="K77" s="25">
        <v>21198</v>
      </c>
      <c r="L77" s="25">
        <v>535</v>
      </c>
      <c r="AA77" s="25">
        <v>37658</v>
      </c>
      <c r="AB77" s="25">
        <v>98423</v>
      </c>
      <c r="AC77" s="25">
        <v>172689</v>
      </c>
      <c r="AE77" s="25">
        <v>44989</v>
      </c>
      <c r="AF77" s="25">
        <v>0</v>
      </c>
    </row>
    <row r="78" spans="2:32">
      <c r="B78" s="9" t="s">
        <v>72</v>
      </c>
      <c r="C78" s="25">
        <f>+SUM(C72:C77)</f>
        <v>306323</v>
      </c>
      <c r="D78" s="25">
        <f>+SUM(D72:D77)</f>
        <v>267785</v>
      </c>
      <c r="E78" s="25">
        <f t="shared" ref="E78:W78" si="149">+SUM(E72:E77)</f>
        <v>323402</v>
      </c>
      <c r="F78" s="25">
        <f t="shared" si="149"/>
        <v>323893</v>
      </c>
      <c r="G78" s="25">
        <f t="shared" si="149"/>
        <v>367320</v>
      </c>
      <c r="H78" s="25">
        <f t="shared" si="149"/>
        <v>355161</v>
      </c>
      <c r="I78" s="25">
        <f t="shared" si="149"/>
        <v>402786</v>
      </c>
      <c r="J78" s="25">
        <f t="shared" si="149"/>
        <v>449990</v>
      </c>
      <c r="K78" s="25">
        <f t="shared" si="149"/>
        <v>581667</v>
      </c>
      <c r="L78" s="25">
        <f t="shared" si="149"/>
        <v>548268</v>
      </c>
      <c r="M78" s="25">
        <f t="shared" si="149"/>
        <v>634019</v>
      </c>
      <c r="N78" s="25">
        <f t="shared" si="149"/>
        <v>666593</v>
      </c>
      <c r="O78" s="25">
        <f t="shared" si="149"/>
        <v>665795</v>
      </c>
      <c r="P78" s="25">
        <f t="shared" si="149"/>
        <v>723178</v>
      </c>
      <c r="Q78" s="25">
        <f t="shared" si="149"/>
        <v>801717</v>
      </c>
      <c r="R78" s="25">
        <f t="shared" si="149"/>
        <v>822199</v>
      </c>
      <c r="S78" s="25">
        <f t="shared" si="149"/>
        <v>833994</v>
      </c>
      <c r="T78" s="25">
        <f t="shared" si="149"/>
        <v>835486</v>
      </c>
      <c r="U78" s="25">
        <f t="shared" si="149"/>
        <v>850964</v>
      </c>
      <c r="V78" s="25">
        <f t="shared" si="149"/>
        <v>873682</v>
      </c>
      <c r="W78" s="25">
        <f t="shared" si="149"/>
        <v>833738</v>
      </c>
      <c r="X78" s="25">
        <f t="shared" ref="X78:Z78" si="150">+SUM(X72:X77)</f>
        <v>831623</v>
      </c>
      <c r="Y78" s="25">
        <f t="shared" si="150"/>
        <v>817857</v>
      </c>
      <c r="Z78" s="25">
        <f t="shared" si="150"/>
        <v>921880</v>
      </c>
      <c r="AA78" s="25">
        <f t="shared" ref="AA78:AB78" si="151">+SUM(AA72:AA77)</f>
        <v>894092</v>
      </c>
      <c r="AB78" s="25">
        <f t="shared" si="151"/>
        <v>982250</v>
      </c>
      <c r="AC78" s="25">
        <f t="shared" ref="AC78:AE78" si="152">+SUM(AC72:AC77)</f>
        <v>1087707</v>
      </c>
      <c r="AD78" s="25">
        <f t="shared" si="152"/>
        <v>1030625</v>
      </c>
      <c r="AE78" s="25">
        <f t="shared" si="152"/>
        <v>997353</v>
      </c>
      <c r="AF78" s="25">
        <f t="shared" ref="AF78" si="153">+SUM(AF72:AF77)</f>
        <v>1043156</v>
      </c>
    </row>
    <row r="79" spans="2:32">
      <c r="B79" s="9" t="s">
        <v>140</v>
      </c>
      <c r="C79" s="25">
        <v>297843</v>
      </c>
      <c r="D79" s="25">
        <v>301825</v>
      </c>
      <c r="E79" s="25">
        <v>309446</v>
      </c>
      <c r="F79" s="25">
        <v>316498</v>
      </c>
      <c r="G79" s="25">
        <v>321900</v>
      </c>
      <c r="H79" s="25">
        <v>327152</v>
      </c>
      <c r="I79" s="25">
        <v>327804</v>
      </c>
      <c r="J79" s="25">
        <v>330985</v>
      </c>
      <c r="K79" s="25">
        <v>0</v>
      </c>
      <c r="L79" s="25">
        <v>0</v>
      </c>
      <c r="M79" s="25">
        <v>0</v>
      </c>
    </row>
    <row r="80" spans="2:32">
      <c r="B80" s="9" t="s">
        <v>73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2513901</v>
      </c>
      <c r="L80" s="25">
        <v>2534769</v>
      </c>
      <c r="M80" s="25">
        <v>2642737</v>
      </c>
      <c r="N80" s="25">
        <v>2678374</v>
      </c>
      <c r="O80" s="25">
        <v>2764778</v>
      </c>
      <c r="P80" s="25">
        <v>2809178</v>
      </c>
      <c r="Q80" s="25">
        <v>2891140</v>
      </c>
      <c r="R80" s="25">
        <v>2952296</v>
      </c>
      <c r="S80" s="25">
        <v>3040176</v>
      </c>
      <c r="T80" s="25">
        <v>3134555</v>
      </c>
      <c r="U80" s="25">
        <v>3274875</v>
      </c>
      <c r="V80" s="25">
        <v>3301601</v>
      </c>
      <c r="W80" s="25">
        <v>3331319</v>
      </c>
      <c r="X80" s="25">
        <v>3393423</v>
      </c>
      <c r="Y80" s="25">
        <v>3497221</v>
      </c>
      <c r="Z80" s="25">
        <v>3495162</v>
      </c>
      <c r="AA80" s="25">
        <v>3532566</v>
      </c>
      <c r="AB80" s="25">
        <v>3643931</v>
      </c>
      <c r="AC80" s="25">
        <v>3773087</v>
      </c>
      <c r="AD80" s="25">
        <v>3803551</v>
      </c>
      <c r="AE80" s="25">
        <v>3903353</v>
      </c>
      <c r="AF80" s="25">
        <v>4014454</v>
      </c>
    </row>
    <row r="81" spans="1:32">
      <c r="B81" s="9" t="s">
        <v>74</v>
      </c>
      <c r="C81" s="25">
        <v>15741</v>
      </c>
      <c r="D81" s="25">
        <v>12866</v>
      </c>
      <c r="E81" s="25">
        <v>7577</v>
      </c>
      <c r="F81" s="25">
        <v>814</v>
      </c>
      <c r="G81" s="25">
        <v>6549</v>
      </c>
      <c r="H81" s="25">
        <v>17845</v>
      </c>
      <c r="I81" s="25">
        <v>27322</v>
      </c>
      <c r="J81" s="25">
        <v>11566</v>
      </c>
      <c r="K81" s="25">
        <v>12528</v>
      </c>
      <c r="L81" s="25">
        <v>4407</v>
      </c>
      <c r="M81" s="25">
        <v>0</v>
      </c>
      <c r="N81" s="25">
        <v>37814</v>
      </c>
      <c r="O81" s="25">
        <v>64851</v>
      </c>
      <c r="P81" s="25">
        <v>96502</v>
      </c>
      <c r="Q81" s="25">
        <v>95221</v>
      </c>
      <c r="R81" s="25">
        <v>149422</v>
      </c>
      <c r="S81" s="25">
        <v>135929</v>
      </c>
      <c r="T81" s="25">
        <v>133510</v>
      </c>
      <c r="U81" s="25">
        <v>148395</v>
      </c>
      <c r="V81" s="25">
        <v>141765</v>
      </c>
      <c r="W81" s="25">
        <v>127729</v>
      </c>
      <c r="X81" s="25">
        <v>126239</v>
      </c>
      <c r="Y81" s="25">
        <v>133255</v>
      </c>
      <c r="Z81" s="25">
        <v>98623</v>
      </c>
      <c r="AA81" s="25">
        <v>98137</v>
      </c>
      <c r="AB81" s="25">
        <v>106440</v>
      </c>
      <c r="AC81" s="25">
        <v>111089</v>
      </c>
      <c r="AD81" s="25">
        <v>89109</v>
      </c>
      <c r="AE81" s="25">
        <v>84229</v>
      </c>
      <c r="AF81" s="25">
        <v>83298</v>
      </c>
    </row>
    <row r="82" spans="1:32">
      <c r="B82" s="9" t="s">
        <v>75</v>
      </c>
      <c r="C82" s="25">
        <v>34633</v>
      </c>
      <c r="D82" s="25">
        <v>35879</v>
      </c>
      <c r="E82" s="25">
        <v>36826</v>
      </c>
      <c r="F82" s="25">
        <v>40042</v>
      </c>
      <c r="G82" s="25">
        <v>37630</v>
      </c>
      <c r="H82" s="25">
        <v>36457</v>
      </c>
      <c r="I82" s="25">
        <v>37123</v>
      </c>
      <c r="J82" s="25">
        <v>31638</v>
      </c>
      <c r="K82" s="25">
        <v>33587</v>
      </c>
      <c r="L82" s="25">
        <v>33814</v>
      </c>
      <c r="M82" s="25">
        <v>38734</v>
      </c>
      <c r="N82" s="25">
        <v>38797</v>
      </c>
      <c r="O82" s="25">
        <v>39044</v>
      </c>
      <c r="P82" s="25">
        <v>36775</v>
      </c>
      <c r="Q82" s="25">
        <v>37976</v>
      </c>
      <c r="R82" s="25">
        <v>38844</v>
      </c>
      <c r="S82" s="25">
        <v>41419</v>
      </c>
      <c r="T82" s="25">
        <v>42745</v>
      </c>
      <c r="U82" s="25">
        <v>42425</v>
      </c>
      <c r="V82" s="25">
        <v>38536</v>
      </c>
      <c r="W82" s="25">
        <v>40511</v>
      </c>
      <c r="X82" s="25">
        <v>39852</v>
      </c>
      <c r="Y82" s="25">
        <v>41723</v>
      </c>
      <c r="Z82" s="25">
        <v>43816</v>
      </c>
      <c r="AA82" s="25">
        <v>46892</v>
      </c>
      <c r="AB82" s="25">
        <v>52928</v>
      </c>
      <c r="AC82" s="25">
        <v>53296</v>
      </c>
      <c r="AD82" s="25">
        <v>58870</v>
      </c>
      <c r="AE82" s="25">
        <v>64985</v>
      </c>
      <c r="AF82" s="25">
        <v>67107</v>
      </c>
    </row>
    <row r="83" spans="1:32">
      <c r="B83" s="9" t="s">
        <v>76</v>
      </c>
      <c r="C83" s="25">
        <f t="shared" ref="C83:D83" si="154">+SUM(C78:C82)</f>
        <v>654540</v>
      </c>
      <c r="D83" s="25">
        <f t="shared" si="154"/>
        <v>618355</v>
      </c>
      <c r="E83" s="25">
        <f t="shared" ref="E83:F83" si="155">+SUM(E78:E82)</f>
        <v>677251</v>
      </c>
      <c r="F83" s="25">
        <f t="shared" si="155"/>
        <v>681247</v>
      </c>
      <c r="G83" s="25">
        <f t="shared" ref="G83:H83" si="156">+SUM(G78:G82)</f>
        <v>733399</v>
      </c>
      <c r="H83" s="25">
        <f t="shared" si="156"/>
        <v>736615</v>
      </c>
      <c r="I83" s="25">
        <f t="shared" ref="I83:K83" si="157">+SUM(I78:I82)</f>
        <v>795035</v>
      </c>
      <c r="J83" s="25">
        <f t="shared" si="157"/>
        <v>824179</v>
      </c>
      <c r="K83" s="25">
        <f t="shared" si="157"/>
        <v>3141683</v>
      </c>
      <c r="L83" s="25">
        <f t="shared" ref="L83:M83" si="158">+SUM(L78:L82)</f>
        <v>3121258</v>
      </c>
      <c r="M83" s="25">
        <f t="shared" si="158"/>
        <v>3315490</v>
      </c>
      <c r="N83" s="25">
        <f t="shared" ref="N83:U83" si="159">+SUM(N78:N82)</f>
        <v>3421578</v>
      </c>
      <c r="O83" s="25">
        <f t="shared" si="159"/>
        <v>3534468</v>
      </c>
      <c r="P83" s="25">
        <f t="shared" si="159"/>
        <v>3665633</v>
      </c>
      <c r="Q83" s="25">
        <f t="shared" si="159"/>
        <v>3826054</v>
      </c>
      <c r="R83" s="25">
        <f t="shared" si="159"/>
        <v>3962761</v>
      </c>
      <c r="S83" s="25">
        <f t="shared" si="159"/>
        <v>4051518</v>
      </c>
      <c r="T83" s="25">
        <f t="shared" si="159"/>
        <v>4146296</v>
      </c>
      <c r="U83" s="25">
        <f t="shared" si="159"/>
        <v>4316659</v>
      </c>
      <c r="V83" s="25">
        <f t="shared" ref="V83:W83" si="160">+SUM(V78:V82)</f>
        <v>4355584</v>
      </c>
      <c r="W83" s="25">
        <f t="shared" si="160"/>
        <v>4333297</v>
      </c>
      <c r="X83" s="25">
        <f t="shared" ref="X83:Z83" si="161">+SUM(X78:X82)</f>
        <v>4391137</v>
      </c>
      <c r="Y83" s="25">
        <f t="shared" si="161"/>
        <v>4490056</v>
      </c>
      <c r="Z83" s="25">
        <f t="shared" si="161"/>
        <v>4559481</v>
      </c>
      <c r="AA83" s="25">
        <f t="shared" ref="AA83:AB83" si="162">+SUM(AA78:AA82)</f>
        <v>4571687</v>
      </c>
      <c r="AB83" s="25">
        <f t="shared" si="162"/>
        <v>4785549</v>
      </c>
      <c r="AC83" s="25">
        <f t="shared" ref="AC83:AE83" si="163">+SUM(AC78:AC82)</f>
        <v>5025179</v>
      </c>
      <c r="AD83" s="25">
        <f t="shared" si="163"/>
        <v>4982155</v>
      </c>
      <c r="AE83" s="25">
        <f t="shared" si="163"/>
        <v>5049920</v>
      </c>
      <c r="AF83" s="25">
        <f t="shared" ref="AF83" si="164">+SUM(AF78:AF82)</f>
        <v>5208015</v>
      </c>
    </row>
    <row r="84" spans="1:32">
      <c r="B84" s="9" t="s">
        <v>77</v>
      </c>
      <c r="C84" s="25">
        <v>1407722</v>
      </c>
      <c r="D84" s="25">
        <v>1450196</v>
      </c>
      <c r="E84" s="25">
        <v>1387126</v>
      </c>
      <c r="F84" s="25">
        <v>1364445</v>
      </c>
      <c r="G84" s="25">
        <v>1364045</v>
      </c>
      <c r="H84" s="25">
        <v>1392007</v>
      </c>
      <c r="I84" s="25">
        <v>1435837</v>
      </c>
      <c r="J84" s="25">
        <v>1441339</v>
      </c>
      <c r="K84" s="25">
        <v>1483799</v>
      </c>
      <c r="L84" s="25">
        <v>1538049</v>
      </c>
      <c r="M84" s="25">
        <v>1622447</v>
      </c>
      <c r="N84" s="25">
        <v>1683026</v>
      </c>
      <c r="O84" s="25">
        <v>1672020</v>
      </c>
      <c r="P84" s="25">
        <v>1704496</v>
      </c>
      <c r="Q84" s="25">
        <v>1805586</v>
      </c>
      <c r="R84" s="25">
        <v>2020135</v>
      </c>
      <c r="S84" s="25">
        <v>2097531</v>
      </c>
      <c r="T84" s="25">
        <v>2174158</v>
      </c>
      <c r="U84" s="25">
        <v>2310908</v>
      </c>
      <c r="V84" s="25">
        <v>2297374</v>
      </c>
      <c r="W84" s="25">
        <v>2133960</v>
      </c>
      <c r="X84" s="25">
        <v>2154199</v>
      </c>
      <c r="Y84" s="25">
        <v>2327381</v>
      </c>
      <c r="Z84" s="25">
        <v>2368023</v>
      </c>
      <c r="AA84" s="25">
        <v>2481685</v>
      </c>
      <c r="AB84" s="25">
        <v>2766886</v>
      </c>
      <c r="AC84" s="25">
        <v>2886314</v>
      </c>
      <c r="AD84" s="25">
        <v>3062207</v>
      </c>
      <c r="AE84" s="25">
        <v>3361329</v>
      </c>
      <c r="AF84" s="25">
        <v>3711820</v>
      </c>
    </row>
    <row r="85" spans="1:32" s="36" customFormat="1">
      <c r="A85" s="40"/>
      <c r="B85" s="15" t="s">
        <v>139</v>
      </c>
      <c r="C85" s="36">
        <f t="shared" ref="C85:I85" si="165">+C83+C84</f>
        <v>2062262</v>
      </c>
      <c r="D85" s="36">
        <f t="shared" si="165"/>
        <v>2068551</v>
      </c>
      <c r="E85" s="36">
        <f t="shared" si="165"/>
        <v>2064377</v>
      </c>
      <c r="F85" s="36">
        <f t="shared" si="165"/>
        <v>2045692</v>
      </c>
      <c r="G85" s="36">
        <f t="shared" si="165"/>
        <v>2097444</v>
      </c>
      <c r="H85" s="36">
        <f t="shared" si="165"/>
        <v>2128622</v>
      </c>
      <c r="I85" s="36">
        <f t="shared" si="165"/>
        <v>2230872</v>
      </c>
      <c r="J85" s="36">
        <f t="shared" ref="J85:K85" si="166">+J83+J84</f>
        <v>2265518</v>
      </c>
      <c r="K85" s="36">
        <f t="shared" si="166"/>
        <v>4625482</v>
      </c>
      <c r="L85" s="36">
        <f t="shared" ref="L85:M85" si="167">+L83+L84</f>
        <v>4659307</v>
      </c>
      <c r="M85" s="36">
        <f t="shared" si="167"/>
        <v>4937937</v>
      </c>
      <c r="N85" s="36">
        <f t="shared" ref="N85:U85" si="168">+N83+N84</f>
        <v>5104604</v>
      </c>
      <c r="O85" s="36">
        <f t="shared" si="168"/>
        <v>5206488</v>
      </c>
      <c r="P85" s="36">
        <f t="shared" si="168"/>
        <v>5370129</v>
      </c>
      <c r="Q85" s="36">
        <f t="shared" si="168"/>
        <v>5631640</v>
      </c>
      <c r="R85" s="36">
        <f t="shared" si="168"/>
        <v>5982896</v>
      </c>
      <c r="S85" s="36">
        <f t="shared" si="168"/>
        <v>6149049</v>
      </c>
      <c r="T85" s="36">
        <f t="shared" si="168"/>
        <v>6320454</v>
      </c>
      <c r="U85" s="36">
        <f t="shared" si="168"/>
        <v>6627567</v>
      </c>
      <c r="V85" s="36">
        <f t="shared" ref="V85:W85" si="169">+V83+V84</f>
        <v>6652958</v>
      </c>
      <c r="W85" s="36">
        <f t="shared" si="169"/>
        <v>6467257</v>
      </c>
      <c r="X85" s="36">
        <f t="shared" ref="X85:Z85" si="170">+X83+X84</f>
        <v>6545336</v>
      </c>
      <c r="Y85" s="36">
        <f t="shared" si="170"/>
        <v>6817437</v>
      </c>
      <c r="Z85" s="36">
        <f t="shared" si="170"/>
        <v>6927504</v>
      </c>
      <c r="AA85" s="36">
        <f t="shared" ref="AA85:AB85" si="171">+AA83+AA84</f>
        <v>7053372</v>
      </c>
      <c r="AB85" s="36">
        <f t="shared" si="171"/>
        <v>7552435</v>
      </c>
      <c r="AC85" s="36">
        <f t="shared" ref="AC85:AE85" si="172">+AC83+AC84</f>
        <v>7911493</v>
      </c>
      <c r="AD85" s="36">
        <f t="shared" si="172"/>
        <v>8044362</v>
      </c>
      <c r="AE85" s="36">
        <f t="shared" si="172"/>
        <v>8411249</v>
      </c>
      <c r="AF85" s="36">
        <f t="shared" ref="AF85" si="173">+AF83+AF84</f>
        <v>8919835</v>
      </c>
    </row>
    <row r="87" spans="1:32" s="45" customFormat="1">
      <c r="A87" s="65"/>
      <c r="B87" s="66" t="s">
        <v>78</v>
      </c>
      <c r="F87" s="45">
        <f t="shared" ref="F87:H87" si="174">SUM(C30:F30)/F84</f>
        <v>0.28478832052592812</v>
      </c>
      <c r="G87" s="45">
        <f t="shared" si="174"/>
        <v>0.29552764021714828</v>
      </c>
      <c r="H87" s="45">
        <f t="shared" si="174"/>
        <v>0.30816870892172238</v>
      </c>
      <c r="I87" s="45">
        <f>SUM(F30:I30)/I84</f>
        <v>0.31150750398548027</v>
      </c>
      <c r="J87" s="45">
        <f>SUM(G30:J30)/J84</f>
        <v>0.16872644117726643</v>
      </c>
      <c r="K87" s="45">
        <f t="shared" ref="K87:S87" si="175">SUM(H30:K30)/K84</f>
        <v>0.18463484609438341</v>
      </c>
      <c r="L87" s="45">
        <f t="shared" si="175"/>
        <v>0.18027384043031139</v>
      </c>
      <c r="M87" s="45">
        <f t="shared" si="175"/>
        <v>0.20778552396472735</v>
      </c>
      <c r="N87" s="45">
        <f t="shared" si="175"/>
        <v>0.22204172722227702</v>
      </c>
      <c r="O87" s="45">
        <f t="shared" si="175"/>
        <v>0.2179112690039593</v>
      </c>
      <c r="P87" s="45">
        <f t="shared" si="175"/>
        <v>0.16567830021308352</v>
      </c>
      <c r="Q87" s="45">
        <f t="shared" si="175"/>
        <v>0.14738926863633192</v>
      </c>
      <c r="R87" s="45">
        <f t="shared" si="175"/>
        <v>0.19109762466369823</v>
      </c>
      <c r="S87" s="45">
        <f t="shared" si="175"/>
        <v>0.20647513672026779</v>
      </c>
      <c r="T87" s="45">
        <f t="shared" ref="T87" si="176">SUM(Q30:T30)/T84</f>
        <v>0.28138111397607718</v>
      </c>
      <c r="U87" s="45">
        <f t="shared" ref="U87" si="177">SUM(R30:U30)/U84</f>
        <v>0.31702863117008551</v>
      </c>
      <c r="V87" s="45">
        <f t="shared" ref="V87:Y87" si="178">SUM(S30:V30)/V84</f>
        <v>0.29262758262259431</v>
      </c>
      <c r="W87" s="45">
        <f t="shared" si="178"/>
        <v>0.32901741363474479</v>
      </c>
      <c r="X87" s="45">
        <f t="shared" si="178"/>
        <v>0.35952713746501602</v>
      </c>
      <c r="Y87" s="45">
        <f t="shared" si="178"/>
        <v>0.35615225869765199</v>
      </c>
      <c r="Z87" s="45">
        <f t="shared" ref="Z87" si="179">SUM(W30:Z30)/Z84</f>
        <v>0.38861109034836233</v>
      </c>
      <c r="AA87" s="45">
        <f t="shared" ref="AA87" si="180">SUM(X30:AA30)/AA84</f>
        <v>0.42617858430864514</v>
      </c>
      <c r="AB87" s="45">
        <f t="shared" ref="AB87" si="181">SUM(Y30:AB30)/AB84</f>
        <v>0.41600846583487716</v>
      </c>
      <c r="AC87" s="45">
        <f t="shared" ref="AC87" si="182">SUM(Z30:AC30)/AC84</f>
        <v>0.41852861469680708</v>
      </c>
      <c r="AD87" s="45">
        <f t="shared" ref="AD87:AF87" si="183">SUM(AA30:AD30)/AD84</f>
        <v>0.41378881310113913</v>
      </c>
      <c r="AE87" s="45">
        <f t="shared" si="183"/>
        <v>0.39623256158501591</v>
      </c>
      <c r="AF87" s="45">
        <f t="shared" si="183"/>
        <v>0.38667580863296175</v>
      </c>
    </row>
    <row r="89" spans="1:32" hidden="1" outlineLevel="1">
      <c r="B89" s="15" t="s">
        <v>143</v>
      </c>
    </row>
    <row r="90" spans="1:32" hidden="1" outlineLevel="1">
      <c r="B90" s="9" t="str">
        <f>+B72</f>
        <v>A/P</v>
      </c>
      <c r="L90" s="25">
        <f t="shared" ref="L90:U94" si="184">+L72/K72-1</f>
        <v>-6.785357862428687E-2</v>
      </c>
      <c r="M90" s="25">
        <f t="shared" si="184"/>
        <v>0.19671336370155657</v>
      </c>
      <c r="N90" s="25">
        <f t="shared" si="184"/>
        <v>-2.2509558333262958E-2</v>
      </c>
      <c r="O90" s="25">
        <f t="shared" si="184"/>
        <v>0.12612247012502587</v>
      </c>
      <c r="P90" s="25">
        <f t="shared" si="184"/>
        <v>0.23078751447214074</v>
      </c>
      <c r="Q90" s="25">
        <f>+Q72/P72-1</f>
        <v>-1.9928608361418632E-2</v>
      </c>
      <c r="R90" s="25">
        <f t="shared" si="184"/>
        <v>-0.22459383183748194</v>
      </c>
      <c r="S90" s="25">
        <f t="shared" si="184"/>
        <v>0.20843511763259293</v>
      </c>
      <c r="T90" s="25">
        <f t="shared" si="184"/>
        <v>-4.8610404498802717E-2</v>
      </c>
      <c r="U90" s="25">
        <f t="shared" si="184"/>
        <v>0.2243192561906866</v>
      </c>
      <c r="V90" s="25">
        <f>+V72/U72-1</f>
        <v>-4.9798499813641484E-2</v>
      </c>
      <c r="W90" s="25">
        <f>+W72/V72-1</f>
        <v>3.520449126935965E-2</v>
      </c>
    </row>
    <row r="91" spans="1:32" hidden="1" outlineLevel="1">
      <c r="B91" s="9" t="str">
        <f t="shared" ref="B91:B94" si="185">+B73</f>
        <v xml:space="preserve">Accrued payroll &amp; benefits </v>
      </c>
      <c r="L91" s="25">
        <f t="shared" si="184"/>
        <v>-0.17452731662892995</v>
      </c>
      <c r="M91" s="25">
        <f t="shared" si="184"/>
        <v>0.4753643724696357</v>
      </c>
      <c r="N91" s="25">
        <f t="shared" si="184"/>
        <v>-0.13148470836820658</v>
      </c>
      <c r="O91" s="25">
        <f t="shared" si="184"/>
        <v>4.4810426540284443E-2</v>
      </c>
      <c r="P91" s="25">
        <f t="shared" si="184"/>
        <v>-1.4870759716646642E-2</v>
      </c>
      <c r="Q91" s="25">
        <f t="shared" si="184"/>
        <v>0.49553359016468934</v>
      </c>
      <c r="R91" s="25">
        <f t="shared" si="184"/>
        <v>4.1959800284281812E-2</v>
      </c>
      <c r="S91" s="25">
        <f t="shared" si="184"/>
        <v>9.1665271307139973E-2</v>
      </c>
      <c r="T91" s="25">
        <f t="shared" si="184"/>
        <v>1.5505239841744567E-2</v>
      </c>
      <c r="U91" s="25">
        <f t="shared" si="184"/>
        <v>-0.15189423555334425</v>
      </c>
      <c r="V91" s="25">
        <f t="shared" ref="V91:W94" si="186">+V73/U73-1</f>
        <v>-0.14932010559839093</v>
      </c>
      <c r="W91" s="25">
        <f t="shared" si="186"/>
        <v>6.1876173763123044E-2</v>
      </c>
    </row>
    <row r="92" spans="1:32" hidden="1" outlineLevel="1">
      <c r="B92" s="9" t="str">
        <f t="shared" si="185"/>
        <v xml:space="preserve">Accrued liabilities </v>
      </c>
      <c r="L92" s="25">
        <f t="shared" si="184"/>
        <v>5.8975236410072407E-2</v>
      </c>
      <c r="M92" s="25">
        <f t="shared" si="184"/>
        <v>0.11254817582105781</v>
      </c>
      <c r="N92" s="25">
        <f t="shared" si="184"/>
        <v>0.10402453970345493</v>
      </c>
      <c r="O92" s="25">
        <f t="shared" si="184"/>
        <v>-5.5190159327014987E-2</v>
      </c>
      <c r="P92" s="25">
        <f t="shared" si="184"/>
        <v>-6.8798304831502177E-3</v>
      </c>
      <c r="Q92" s="25">
        <f t="shared" si="184"/>
        <v>8.209725840975457E-2</v>
      </c>
      <c r="R92" s="25">
        <f t="shared" si="184"/>
        <v>4.0541223757220246E-2</v>
      </c>
      <c r="S92" s="25">
        <f t="shared" si="184"/>
        <v>-0.1155306136083426</v>
      </c>
      <c r="T92" s="25">
        <f t="shared" si="184"/>
        <v>-1.4818680601811463E-2</v>
      </c>
      <c r="U92" s="25">
        <f t="shared" si="184"/>
        <v>6.8056513950748965E-2</v>
      </c>
      <c r="V92" s="25">
        <f t="shared" si="186"/>
        <v>0.12933898050680992</v>
      </c>
      <c r="W92" s="25">
        <f t="shared" si="186"/>
        <v>-0.21032406444305762</v>
      </c>
    </row>
    <row r="93" spans="1:32" hidden="1" outlineLevel="1">
      <c r="B93" s="9" t="str">
        <f t="shared" si="185"/>
        <v xml:space="preserve">Unearned revenue </v>
      </c>
      <c r="L93" s="25">
        <f t="shared" si="184"/>
        <v>8.2434136771300404E-2</v>
      </c>
      <c r="M93" s="25">
        <f t="shared" si="184"/>
        <v>2.4274201378782223E-4</v>
      </c>
      <c r="N93" s="25">
        <f t="shared" si="184"/>
        <v>0.54014787490494909</v>
      </c>
      <c r="O93" s="25">
        <f t="shared" si="184"/>
        <v>-0.18589211618257262</v>
      </c>
      <c r="P93" s="25">
        <f t="shared" si="184"/>
        <v>0.14742125704847808</v>
      </c>
      <c r="Q93" s="25">
        <f t="shared" si="184"/>
        <v>2.8597454005667711E-2</v>
      </c>
      <c r="R93" s="25">
        <f t="shared" si="184"/>
        <v>0.39667858353285879</v>
      </c>
      <c r="S93" s="25">
        <f t="shared" si="184"/>
        <v>-0.13740117416829745</v>
      </c>
      <c r="T93" s="25">
        <f t="shared" si="184"/>
        <v>2.558145866039907E-2</v>
      </c>
      <c r="U93" s="25">
        <f t="shared" si="184"/>
        <v>6.5539392652367745E-2</v>
      </c>
      <c r="V93" s="25">
        <f t="shared" si="186"/>
        <v>0.29834832216437057</v>
      </c>
      <c r="W93" s="25">
        <f t="shared" si="186"/>
        <v>-0.1530530664978158</v>
      </c>
    </row>
    <row r="94" spans="1:32" hidden="1" outlineLevel="1">
      <c r="B94" s="9" t="str">
        <f t="shared" si="185"/>
        <v>Current op lease liab</v>
      </c>
      <c r="L94" s="25">
        <f t="shared" si="184"/>
        <v>2.2757111597374147E-2</v>
      </c>
      <c r="M94" s="25">
        <f t="shared" si="184"/>
        <v>3.441176288193093E-2</v>
      </c>
      <c r="N94" s="25">
        <f t="shared" si="184"/>
        <v>3.7991151185237548E-2</v>
      </c>
      <c r="O94" s="25">
        <f t="shared" si="184"/>
        <v>3.0143410785553826E-2</v>
      </c>
      <c r="P94" s="25">
        <f t="shared" si="184"/>
        <v>0.10561903587167376</v>
      </c>
      <c r="Q94" s="25">
        <f t="shared" si="184"/>
        <v>1.3281202458467645E-2</v>
      </c>
      <c r="R94" s="25">
        <f t="shared" si="184"/>
        <v>2.4727873282786472E-2</v>
      </c>
      <c r="S94" s="25">
        <f t="shared" si="184"/>
        <v>2.1147121451874362E-2</v>
      </c>
      <c r="T94" s="25">
        <f t="shared" si="184"/>
        <v>2.1809207694441612E-2</v>
      </c>
      <c r="U94" s="25">
        <f t="shared" si="184"/>
        <v>4.8585042547018009E-3</v>
      </c>
      <c r="V94" s="25">
        <f t="shared" si="186"/>
        <v>1.8767118183003806E-2</v>
      </c>
      <c r="W94" s="25">
        <f t="shared" si="186"/>
        <v>2.0986406843671812E-2</v>
      </c>
    </row>
    <row r="95" spans="1:32" hidden="1" outlineLevel="1">
      <c r="B95" s="9" t="str">
        <f>+B80</f>
        <v>Long Term Op Lease</v>
      </c>
      <c r="L95" s="25">
        <f t="shared" ref="L95:U95" si="187">+L78/K78-1</f>
        <v>-5.7419451335557925E-2</v>
      </c>
      <c r="M95" s="25">
        <f t="shared" si="187"/>
        <v>0.15640343773483045</v>
      </c>
      <c r="N95" s="25">
        <f t="shared" si="187"/>
        <v>5.13770092063488E-2</v>
      </c>
      <c r="O95" s="25">
        <f t="shared" si="187"/>
        <v>-1.1971322831172415E-3</v>
      </c>
      <c r="P95" s="25">
        <f t="shared" si="187"/>
        <v>8.6187189750598803E-2</v>
      </c>
      <c r="Q95" s="25">
        <f t="shared" si="187"/>
        <v>0.10860258470252138</v>
      </c>
      <c r="R95" s="25">
        <f t="shared" si="187"/>
        <v>2.5547668316874939E-2</v>
      </c>
      <c r="S95" s="25">
        <f t="shared" si="187"/>
        <v>1.4345675438671268E-2</v>
      </c>
      <c r="T95" s="25">
        <f t="shared" si="187"/>
        <v>1.788981695312053E-3</v>
      </c>
      <c r="U95" s="25">
        <f t="shared" si="187"/>
        <v>1.8525744297331226E-2</v>
      </c>
      <c r="V95" s="25">
        <f>+V78/U78-1</f>
        <v>2.6696781532473679E-2</v>
      </c>
      <c r="W95" s="25">
        <f>+W78/V78-1</f>
        <v>-4.5719151819540782E-2</v>
      </c>
    </row>
    <row r="96" spans="1:32" hidden="1" outlineLevel="1">
      <c r="B96" s="9" t="str">
        <f>+B82</f>
        <v xml:space="preserve">Other liabilities </v>
      </c>
      <c r="L96" s="25">
        <f t="shared" ref="L96:U96" si="188">+L80/K80-1</f>
        <v>8.3010428811636228E-3</v>
      </c>
      <c r="M96" s="25">
        <f t="shared" si="188"/>
        <v>4.259480844211061E-2</v>
      </c>
      <c r="N96" s="25">
        <f t="shared" si="188"/>
        <v>1.348488328577524E-2</v>
      </c>
      <c r="O96" s="25">
        <f t="shared" si="188"/>
        <v>3.2259871100899229E-2</v>
      </c>
      <c r="P96" s="25">
        <f t="shared" si="188"/>
        <v>1.605915556330384E-2</v>
      </c>
      <c r="Q96" s="25">
        <f t="shared" si="188"/>
        <v>2.9176506437114336E-2</v>
      </c>
      <c r="R96" s="25">
        <f t="shared" si="188"/>
        <v>2.1152901623580966E-2</v>
      </c>
      <c r="S96" s="25">
        <f t="shared" si="188"/>
        <v>2.9766662963334189E-2</v>
      </c>
      <c r="T96" s="25">
        <f t="shared" si="188"/>
        <v>3.1043926404260791E-2</v>
      </c>
      <c r="U96" s="25">
        <f t="shared" si="188"/>
        <v>4.4765524930971079E-2</v>
      </c>
      <c r="V96" s="25">
        <f>+V80/U80-1</f>
        <v>8.1609221726020031E-3</v>
      </c>
      <c r="W96" s="25">
        <f>+W80/V80-1</f>
        <v>9.0010876541410934E-3</v>
      </c>
    </row>
    <row r="97" spans="1:32" hidden="1" outlineLevel="1">
      <c r="B97" s="9" t="str">
        <f>+B84</f>
        <v xml:space="preserve">Equity </v>
      </c>
      <c r="L97" s="25">
        <f t="shared" ref="L97:W97" si="189">+L82/K82-1</f>
        <v>6.7585673028254245E-3</v>
      </c>
      <c r="M97" s="25">
        <f t="shared" si="189"/>
        <v>0.14550186313361335</v>
      </c>
      <c r="N97" s="25">
        <f t="shared" si="189"/>
        <v>1.626478029638001E-3</v>
      </c>
      <c r="O97" s="25">
        <f t="shared" si="189"/>
        <v>6.3664716344047356E-3</v>
      </c>
      <c r="P97" s="25">
        <f t="shared" si="189"/>
        <v>-5.8113922753816216E-2</v>
      </c>
      <c r="Q97" s="25">
        <f t="shared" si="189"/>
        <v>3.2658055744391623E-2</v>
      </c>
      <c r="R97" s="25">
        <f t="shared" si="189"/>
        <v>2.2856540973246187E-2</v>
      </c>
      <c r="S97" s="25">
        <f t="shared" si="189"/>
        <v>6.6290804242611578E-2</v>
      </c>
      <c r="T97" s="25">
        <f t="shared" si="189"/>
        <v>3.2014292957338375E-2</v>
      </c>
      <c r="U97" s="25">
        <f t="shared" si="189"/>
        <v>-7.4862557024213405E-3</v>
      </c>
      <c r="V97" s="25">
        <f t="shared" si="189"/>
        <v>-9.1667648791985856E-2</v>
      </c>
      <c r="W97" s="25">
        <f t="shared" si="189"/>
        <v>5.1250778492837767E-2</v>
      </c>
    </row>
    <row r="98" spans="1:32" hidden="1" outlineLevel="1"/>
    <row r="99" spans="1:32" hidden="1" outlineLevel="1">
      <c r="B99" s="15" t="s">
        <v>144</v>
      </c>
    </row>
    <row r="100" spans="1:32" hidden="1" outlineLevel="1">
      <c r="B100" s="9" t="str">
        <f>+B81</f>
        <v>Deferred income taxes</v>
      </c>
      <c r="O100" s="25">
        <f t="shared" ref="O100:W101" si="190">STDEV(L90:O90)</f>
        <v>0.12410066422103937</v>
      </c>
      <c r="P100" s="25">
        <f t="shared" si="190"/>
        <v>0.11232707822684207</v>
      </c>
      <c r="Q100" s="25">
        <f t="shared" si="190"/>
        <v>0.12295046819827428</v>
      </c>
      <c r="R100" s="25">
        <f t="shared" si="190"/>
        <v>0.1973588550528913</v>
      </c>
      <c r="S100" s="25">
        <f t="shared" si="190"/>
        <v>0.21453093999651524</v>
      </c>
      <c r="T100" s="25">
        <f t="shared" si="190"/>
        <v>0.17781477457944547</v>
      </c>
      <c r="U100" s="25">
        <f t="shared" si="190"/>
        <v>0.21618327571176449</v>
      </c>
      <c r="V100" s="25">
        <f t="shared" si="190"/>
        <v>0.15347145850187366</v>
      </c>
      <c r="W100" s="25">
        <f t="shared" si="190"/>
        <v>0.12898559188540487</v>
      </c>
    </row>
    <row r="101" spans="1:32" hidden="1" outlineLevel="1">
      <c r="B101" s="9" t="str">
        <f>+B82</f>
        <v xml:space="preserve">Other liabilities </v>
      </c>
      <c r="O101" s="25">
        <f t="shared" si="190"/>
        <v>0.29679445765339985</v>
      </c>
      <c r="P101" s="25">
        <f t="shared" si="190"/>
        <v>0.26492351470193504</v>
      </c>
      <c r="Q101" s="25">
        <f t="shared" si="190"/>
        <v>0.27462953059622208</v>
      </c>
      <c r="R101" s="25">
        <f t="shared" si="190"/>
        <v>0.2373802919517124</v>
      </c>
      <c r="S101" s="25">
        <f t="shared" si="190"/>
        <v>0.23209223642893448</v>
      </c>
      <c r="T101" s="25">
        <f t="shared" si="190"/>
        <v>0.22513641179066099</v>
      </c>
      <c r="U101" s="25">
        <f t="shared" si="190"/>
        <v>0.10563065880929602</v>
      </c>
      <c r="V101" s="25">
        <f t="shared" si="190"/>
        <v>0.12192625526121278</v>
      </c>
      <c r="W101" s="25">
        <f t="shared" si="190"/>
        <v>0.11092359413700548</v>
      </c>
    </row>
    <row r="102" spans="1:32" hidden="1" outlineLevel="1">
      <c r="B102" s="9" t="str">
        <f>+B84</f>
        <v xml:space="preserve">Equity </v>
      </c>
      <c r="O102" s="25">
        <f t="shared" ref="O102:W106" si="191">STDEV(L93:O93)</f>
        <v>0.30842801376349016</v>
      </c>
      <c r="P102" s="25">
        <f t="shared" si="191"/>
        <v>0.30825737664218072</v>
      </c>
      <c r="Q102" s="25">
        <f t="shared" si="191"/>
        <v>0.30472320429330313</v>
      </c>
      <c r="R102" s="25">
        <f t="shared" si="191"/>
        <v>0.24293761708698589</v>
      </c>
      <c r="S102" s="25">
        <f t="shared" si="191"/>
        <v>0.22465762438944539</v>
      </c>
      <c r="T102" s="25">
        <f t="shared" si="191"/>
        <v>0.22593619323754499</v>
      </c>
      <c r="U102" s="25">
        <f t="shared" si="191"/>
        <v>0.22397028749477221</v>
      </c>
      <c r="V102" s="25">
        <f t="shared" si="191"/>
        <v>0.17977398583468304</v>
      </c>
      <c r="W102" s="25">
        <f t="shared" si="191"/>
        <v>0.1856642503816143</v>
      </c>
    </row>
    <row r="103" spans="1:32" hidden="1" outlineLevel="1">
      <c r="B103" s="9" t="str">
        <f>+B85</f>
        <v>TL+E</v>
      </c>
      <c r="O103" s="25">
        <f t="shared" si="191"/>
        <v>6.5516038370503687E-3</v>
      </c>
      <c r="P103" s="25">
        <f t="shared" si="191"/>
        <v>3.5862229870672585E-2</v>
      </c>
      <c r="Q103" s="25">
        <f t="shared" si="191"/>
        <v>4.0571828191773997E-2</v>
      </c>
      <c r="R103" s="25">
        <f t="shared" si="191"/>
        <v>4.2042551892534606E-2</v>
      </c>
      <c r="S103" s="25">
        <f t="shared" si="191"/>
        <v>4.3215430045700928E-2</v>
      </c>
      <c r="T103" s="25">
        <f t="shared" si="191"/>
        <v>4.8939127032102663E-3</v>
      </c>
      <c r="U103" s="25">
        <f t="shared" si="191"/>
        <v>8.987101746187923E-3</v>
      </c>
      <c r="V103" s="25">
        <f t="shared" si="191"/>
        <v>7.965822938511646E-3</v>
      </c>
      <c r="W103" s="25">
        <f t="shared" si="191"/>
        <v>7.9358977775194958E-3</v>
      </c>
    </row>
    <row r="104" spans="1:32" hidden="1" outlineLevel="1">
      <c r="B104" s="9" t="str">
        <f>+B89</f>
        <v>QoQ Change</v>
      </c>
      <c r="O104" s="25">
        <f t="shared" si="191"/>
        <v>9.0990099090172721E-2</v>
      </c>
      <c r="P104" s="25">
        <f t="shared" si="191"/>
        <v>6.6087455063084971E-2</v>
      </c>
      <c r="Q104" s="25">
        <f t="shared" si="191"/>
        <v>4.7823462714459017E-2</v>
      </c>
      <c r="R104" s="25">
        <f t="shared" si="191"/>
        <v>5.1222555719250218E-2</v>
      </c>
      <c r="S104" s="25">
        <f t="shared" si="191"/>
        <v>4.5870082291762093E-2</v>
      </c>
      <c r="T104" s="25">
        <f t="shared" si="191"/>
        <v>4.8338442482296622E-2</v>
      </c>
      <c r="U104" s="25">
        <f t="shared" si="191"/>
        <v>9.9771823309706895E-3</v>
      </c>
      <c r="V104" s="25">
        <f t="shared" si="191"/>
        <v>1.038820212143949E-2</v>
      </c>
      <c r="W104" s="25">
        <f t="shared" si="191"/>
        <v>3.2398277211140282E-2</v>
      </c>
    </row>
    <row r="105" spans="1:32" hidden="1" outlineLevel="1">
      <c r="B105" s="9" t="str">
        <f>+B91</f>
        <v xml:space="preserve">Accrued payroll &amp; benefits </v>
      </c>
      <c r="O105" s="25">
        <f t="shared" si="191"/>
        <v>1.6030332828902691E-2</v>
      </c>
      <c r="P105" s="25">
        <f t="shared" si="191"/>
        <v>1.3783836474006222E-2</v>
      </c>
      <c r="Q105" s="25">
        <f t="shared" si="191"/>
        <v>9.3514227877685725E-3</v>
      </c>
      <c r="R105" s="25">
        <f t="shared" si="191"/>
        <v>7.4034027628463077E-3</v>
      </c>
      <c r="S105" s="25">
        <f t="shared" si="191"/>
        <v>6.6133092154039104E-3</v>
      </c>
      <c r="T105" s="25">
        <f t="shared" si="191"/>
        <v>4.4895659941568064E-3</v>
      </c>
      <c r="U105" s="25">
        <f t="shared" si="191"/>
        <v>9.7658621544512523E-3</v>
      </c>
      <c r="V105" s="25">
        <f t="shared" si="191"/>
        <v>1.5125079584447351E-2</v>
      </c>
      <c r="W105" s="25">
        <f t="shared" si="191"/>
        <v>1.7836055907021569E-2</v>
      </c>
    </row>
    <row r="106" spans="1:32" hidden="1" outlineLevel="1">
      <c r="B106" s="9" t="str">
        <f>+B93</f>
        <v xml:space="preserve">Unearned revenue </v>
      </c>
      <c r="O106" s="25">
        <f t="shared" si="191"/>
        <v>7.0331029995739439E-2</v>
      </c>
      <c r="P106" s="25">
        <f t="shared" si="191"/>
        <v>8.6249287994458412E-2</v>
      </c>
      <c r="Q106" s="25">
        <f t="shared" si="191"/>
        <v>3.8343689807407134E-2</v>
      </c>
      <c r="R106" s="25">
        <f t="shared" si="191"/>
        <v>4.0837818268055215E-2</v>
      </c>
      <c r="S106" s="25">
        <f t="shared" si="191"/>
        <v>5.2746303871153227E-2</v>
      </c>
      <c r="T106" s="25">
        <f t="shared" si="191"/>
        <v>1.9089536328670661E-2</v>
      </c>
      <c r="U106" s="25">
        <f t="shared" si="191"/>
        <v>3.037174139132745E-2</v>
      </c>
      <c r="V106" s="25">
        <f t="shared" si="191"/>
        <v>6.8015212567306485E-2</v>
      </c>
      <c r="W106" s="25">
        <f t="shared" si="191"/>
        <v>6.3370459351594438E-2</v>
      </c>
    </row>
    <row r="107" spans="1:32" collapsed="1"/>
    <row r="108" spans="1:32" s="36" customFormat="1">
      <c r="A108" s="40"/>
      <c r="B108" s="15" t="s">
        <v>108</v>
      </c>
      <c r="N108" s="36">
        <f>+N84</f>
        <v>1683026</v>
      </c>
      <c r="O108" s="36">
        <f>+N115</f>
        <v>1672020</v>
      </c>
      <c r="P108" s="36">
        <f t="shared" ref="P108:T108" si="192">+P84</f>
        <v>1704496</v>
      </c>
      <c r="Q108" s="36">
        <f t="shared" si="192"/>
        <v>1805586</v>
      </c>
      <c r="R108" s="36">
        <f t="shared" si="192"/>
        <v>2020135</v>
      </c>
      <c r="S108" s="36">
        <f t="shared" si="192"/>
        <v>2097531</v>
      </c>
      <c r="T108" s="36">
        <f t="shared" si="192"/>
        <v>2174158</v>
      </c>
      <c r="U108" s="36">
        <f>+T84</f>
        <v>2174158</v>
      </c>
      <c r="V108" s="36">
        <v>2020135</v>
      </c>
      <c r="W108" s="36">
        <f>+V115</f>
        <v>2297374</v>
      </c>
      <c r="X108" s="36">
        <f>+W115</f>
        <v>2133960</v>
      </c>
      <c r="Y108" s="36">
        <f>+X115</f>
        <v>2154199</v>
      </c>
      <c r="Z108" s="36">
        <f>+V84</f>
        <v>2297374</v>
      </c>
      <c r="AA108" s="36">
        <f>+Z84</f>
        <v>2368023</v>
      </c>
      <c r="AB108" s="36">
        <f>+AA84</f>
        <v>2481685</v>
      </c>
      <c r="AC108" s="36">
        <f>+AB115</f>
        <v>2766886</v>
      </c>
      <c r="AD108" s="36">
        <f>+Z84</f>
        <v>2368023</v>
      </c>
      <c r="AE108" s="36">
        <f>+AD84</f>
        <v>3062207</v>
      </c>
      <c r="AF108" s="36">
        <f>+AE84</f>
        <v>3361329</v>
      </c>
    </row>
    <row r="109" spans="1:32">
      <c r="B109" s="9" t="s">
        <v>109</v>
      </c>
      <c r="N109" s="25">
        <v>-1051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178703</v>
      </c>
      <c r="W109" s="25">
        <v>24077</v>
      </c>
    </row>
    <row r="110" spans="1:32">
      <c r="B110" s="9" t="s">
        <v>82</v>
      </c>
      <c r="N110" s="25">
        <v>17708</v>
      </c>
      <c r="O110" s="25">
        <v>23676</v>
      </c>
      <c r="P110" s="25">
        <v>20128</v>
      </c>
      <c r="R110" s="25">
        <v>55960</v>
      </c>
      <c r="S110" s="25">
        <v>47670</v>
      </c>
      <c r="T110" s="25">
        <v>36693</v>
      </c>
      <c r="U110" s="25">
        <v>36693</v>
      </c>
      <c r="V110" s="25">
        <v>704</v>
      </c>
      <c r="W110" s="25">
        <v>0</v>
      </c>
      <c r="X110" s="25">
        <v>29142</v>
      </c>
      <c r="Y110" s="25">
        <v>25587</v>
      </c>
      <c r="Z110" s="25">
        <v>99821</v>
      </c>
      <c r="AA110" s="25">
        <v>20670</v>
      </c>
      <c r="AB110" s="25">
        <v>31467</v>
      </c>
      <c r="AC110" s="25">
        <v>36614</v>
      </c>
      <c r="AD110" s="25">
        <v>126686</v>
      </c>
      <c r="AE110" s="25">
        <v>36681</v>
      </c>
      <c r="AF110" s="25">
        <v>46160</v>
      </c>
    </row>
    <row r="111" spans="1:32">
      <c r="B111" s="9" t="s">
        <v>110</v>
      </c>
      <c r="N111" s="25">
        <v>-179</v>
      </c>
      <c r="O111" s="25">
        <v>-113</v>
      </c>
      <c r="P111" s="25">
        <v>42</v>
      </c>
      <c r="R111" s="25">
        <v>634</v>
      </c>
      <c r="S111" s="25">
        <v>25</v>
      </c>
      <c r="T111" s="25">
        <v>-81</v>
      </c>
      <c r="U111" s="25">
        <v>-81</v>
      </c>
      <c r="V111" s="25">
        <v>-554027</v>
      </c>
      <c r="W111" s="25">
        <v>-59</v>
      </c>
      <c r="X111" s="25">
        <v>-167</v>
      </c>
      <c r="Y111" s="25">
        <v>48</v>
      </c>
      <c r="Z111" s="25">
        <v>173</v>
      </c>
      <c r="AA111" s="25">
        <v>-290</v>
      </c>
      <c r="AB111" s="25">
        <v>-216</v>
      </c>
      <c r="AC111" s="25">
        <v>321</v>
      </c>
      <c r="AD111" s="25">
        <v>172</v>
      </c>
      <c r="AE111" s="25">
        <v>2110</v>
      </c>
      <c r="AF111" s="25">
        <v>1101</v>
      </c>
    </row>
    <row r="112" spans="1:32">
      <c r="B112" s="9" t="s">
        <v>231</v>
      </c>
      <c r="N112" s="25">
        <v>-102031</v>
      </c>
      <c r="O112" s="25">
        <v>-317</v>
      </c>
      <c r="P112" s="25">
        <v>-29</v>
      </c>
      <c r="R112" s="25">
        <v>-106036</v>
      </c>
      <c r="S112" s="25">
        <v>-159347</v>
      </c>
      <c r="T112" s="25">
        <v>-103340</v>
      </c>
      <c r="U112" s="25">
        <v>-103340</v>
      </c>
      <c r="V112" s="25">
        <v>652984</v>
      </c>
      <c r="W112" s="25">
        <v>-345921</v>
      </c>
      <c r="X112" s="25">
        <v>-267198</v>
      </c>
      <c r="Y112" s="25">
        <v>-107334</v>
      </c>
      <c r="Z112" s="25">
        <v>-925912</v>
      </c>
      <c r="AA112" s="25">
        <v>-198819</v>
      </c>
      <c r="AB112" s="25">
        <v>-88319</v>
      </c>
      <c r="AC112" s="25">
        <v>-229596</v>
      </c>
      <c r="AD112" s="25">
        <v>-662642</v>
      </c>
      <c r="AE112" s="25">
        <v>-97663</v>
      </c>
      <c r="AF112" s="25">
        <v>-151877</v>
      </c>
    </row>
    <row r="113" spans="1:57">
      <c r="B113" s="9" t="s">
        <v>32</v>
      </c>
      <c r="N113" s="25">
        <v>76388</v>
      </c>
      <c r="O113" s="25">
        <v>8175</v>
      </c>
      <c r="P113" s="25">
        <v>80244</v>
      </c>
      <c r="R113" s="25">
        <v>127101</v>
      </c>
      <c r="S113" s="25">
        <v>187974</v>
      </c>
      <c r="T113" s="25">
        <v>204434</v>
      </c>
      <c r="U113" s="25">
        <v>204434</v>
      </c>
      <c r="V113" s="25">
        <v>-1125</v>
      </c>
      <c r="W113" s="25">
        <v>158294</v>
      </c>
      <c r="X113" s="25">
        <v>259942</v>
      </c>
      <c r="Y113" s="25">
        <v>257138</v>
      </c>
      <c r="Z113" s="25">
        <v>899101</v>
      </c>
      <c r="AA113" s="25">
        <v>291644</v>
      </c>
      <c r="AB113" s="25">
        <v>341790</v>
      </c>
      <c r="AC113" s="25">
        <v>313217</v>
      </c>
      <c r="AD113" s="25">
        <v>1228767</v>
      </c>
      <c r="AE113" s="25">
        <v>359287</v>
      </c>
      <c r="AF113" s="25">
        <v>455671</v>
      </c>
    </row>
    <row r="114" spans="1:57">
      <c r="B114" s="9" t="s">
        <v>111</v>
      </c>
      <c r="N114" s="25">
        <v>-1841</v>
      </c>
      <c r="O114" s="25">
        <v>1055</v>
      </c>
      <c r="P114" s="25">
        <v>705</v>
      </c>
      <c r="R114" s="25">
        <v>-263</v>
      </c>
      <c r="S114" s="25">
        <v>305</v>
      </c>
      <c r="T114" s="25">
        <v>-956</v>
      </c>
      <c r="U114" s="25">
        <v>-956</v>
      </c>
      <c r="V114" s="25">
        <v>0</v>
      </c>
      <c r="W114" s="25">
        <v>195</v>
      </c>
      <c r="X114" s="25">
        <v>-1480</v>
      </c>
      <c r="Y114" s="25">
        <v>-2257</v>
      </c>
      <c r="Z114" s="25">
        <v>-2534</v>
      </c>
      <c r="AA114" s="25">
        <v>457</v>
      </c>
      <c r="AB114" s="25">
        <v>479</v>
      </c>
      <c r="AC114" s="25">
        <v>-1128</v>
      </c>
      <c r="AD114" s="25">
        <v>1231</v>
      </c>
      <c r="AE114" s="25">
        <v>-1293</v>
      </c>
      <c r="AF114" s="25">
        <v>-564</v>
      </c>
    </row>
    <row r="115" spans="1:57" s="36" customFormat="1">
      <c r="A115" s="40"/>
      <c r="B115" s="15" t="s">
        <v>112</v>
      </c>
      <c r="N115" s="36">
        <f>+SUM(N108:N114)</f>
        <v>1672020</v>
      </c>
      <c r="O115" s="36">
        <f>+SUM(O108:O114)</f>
        <v>1704496</v>
      </c>
      <c r="P115" s="36">
        <f>+SUM(P108:P114)</f>
        <v>1805586</v>
      </c>
      <c r="Q115" s="36">
        <f t="shared" ref="Q115:U115" si="193">+SUM(Q108:Q114)</f>
        <v>1805586</v>
      </c>
      <c r="R115" s="36">
        <f t="shared" si="193"/>
        <v>2097531</v>
      </c>
      <c r="S115" s="36">
        <f t="shared" si="193"/>
        <v>2174158</v>
      </c>
      <c r="T115" s="36">
        <f t="shared" si="193"/>
        <v>2310908</v>
      </c>
      <c r="U115" s="36">
        <f t="shared" si="193"/>
        <v>2310908</v>
      </c>
      <c r="V115" s="36">
        <f t="shared" ref="V115:AF115" si="194">+SUM(V108:V114)</f>
        <v>2297374</v>
      </c>
      <c r="W115" s="36">
        <f t="shared" si="194"/>
        <v>2133960</v>
      </c>
      <c r="X115" s="36">
        <f t="shared" si="194"/>
        <v>2154199</v>
      </c>
      <c r="Y115" s="36">
        <f t="shared" si="194"/>
        <v>2327381</v>
      </c>
      <c r="Z115" s="36">
        <f t="shared" si="194"/>
        <v>2368023</v>
      </c>
      <c r="AA115" s="36">
        <f t="shared" si="194"/>
        <v>2481685</v>
      </c>
      <c r="AB115" s="36">
        <f t="shared" si="194"/>
        <v>2766886</v>
      </c>
      <c r="AC115" s="36">
        <f t="shared" si="194"/>
        <v>2886314</v>
      </c>
      <c r="AD115" s="36">
        <f t="shared" si="194"/>
        <v>3062237</v>
      </c>
      <c r="AE115" s="36">
        <f t="shared" si="194"/>
        <v>3361329</v>
      </c>
      <c r="AF115" s="36">
        <f t="shared" si="194"/>
        <v>3711820</v>
      </c>
    </row>
    <row r="117" spans="1:57">
      <c r="B117" s="9" t="s">
        <v>32</v>
      </c>
      <c r="O117" s="25">
        <v>76388</v>
      </c>
      <c r="P117" s="25">
        <f>84563-O117</f>
        <v>8175</v>
      </c>
      <c r="Q117" s="25">
        <f>164807-P117-O117</f>
        <v>80244</v>
      </c>
      <c r="R117" s="25">
        <f>+BB117-SUM(O117:Q117)</f>
        <v>190959</v>
      </c>
      <c r="S117" s="25">
        <v>127101</v>
      </c>
      <c r="T117" s="25">
        <f>315075-S117</f>
        <v>187974</v>
      </c>
      <c r="U117" s="25">
        <f>519509-T117-S117</f>
        <v>204434</v>
      </c>
      <c r="V117" s="25">
        <f>+BC117-SUM(S117:U117)</f>
        <v>133475</v>
      </c>
      <c r="W117" s="25">
        <v>158294</v>
      </c>
      <c r="X117" s="25">
        <f>418236-W117</f>
        <v>259942</v>
      </c>
      <c r="Y117" s="25">
        <f>675374-SUM(W117:X117)</f>
        <v>257138</v>
      </c>
      <c r="AA117" s="25">
        <v>291644</v>
      </c>
      <c r="AE117" s="25">
        <v>359287</v>
      </c>
      <c r="AF117" s="25">
        <f>814958-AE117</f>
        <v>455671</v>
      </c>
      <c r="BA117" s="25">
        <v>350158</v>
      </c>
      <c r="BB117" s="25">
        <v>355766</v>
      </c>
      <c r="BC117" s="25">
        <v>652984</v>
      </c>
      <c r="BD117" s="25">
        <v>899101</v>
      </c>
      <c r="BE117" s="25">
        <v>1228737</v>
      </c>
    </row>
    <row r="118" spans="1:57">
      <c r="B118" s="9" t="s">
        <v>26</v>
      </c>
      <c r="O118" s="25">
        <v>58374</v>
      </c>
      <c r="P118" s="25">
        <f>118398-O118</f>
        <v>60024</v>
      </c>
      <c r="Q118" s="25">
        <f>178578-SUM(O118:P118)</f>
        <v>60180</v>
      </c>
      <c r="R118" s="25">
        <f t="shared" ref="R118:R150" si="195">+BB118-SUM(O118:Q118)</f>
        <v>59956</v>
      </c>
      <c r="S118" s="25">
        <v>63122</v>
      </c>
      <c r="T118" s="25">
        <f>125204-S118</f>
        <v>62082</v>
      </c>
      <c r="U118" s="25">
        <f>188395-T118-S118</f>
        <v>63191</v>
      </c>
      <c r="V118" s="25">
        <f t="shared" ref="V118:V150" si="196">+BC118-SUM(S118:U118)</f>
        <v>66262</v>
      </c>
      <c r="W118" s="25">
        <v>71655</v>
      </c>
      <c r="X118" s="25">
        <f>141398-W118</f>
        <v>69743</v>
      </c>
      <c r="Y118" s="25">
        <f>212814-SUM(W118:X118)</f>
        <v>71416</v>
      </c>
      <c r="AA118" s="25">
        <v>76585</v>
      </c>
      <c r="AE118" s="25">
        <v>83243</v>
      </c>
      <c r="AF118" s="25">
        <f>166805-AE118</f>
        <v>83562</v>
      </c>
      <c r="BA118" s="25">
        <v>212778</v>
      </c>
      <c r="BB118" s="25">
        <v>238534</v>
      </c>
      <c r="BC118" s="25">
        <v>254657</v>
      </c>
      <c r="BD118" s="25">
        <v>286826</v>
      </c>
      <c r="BE118" s="25">
        <v>319394</v>
      </c>
    </row>
    <row r="119" spans="1:57">
      <c r="B119" s="9" t="s">
        <v>79</v>
      </c>
      <c r="O119" s="25">
        <v>42961</v>
      </c>
      <c r="P119" s="25">
        <f>88139-O119</f>
        <v>45178</v>
      </c>
      <c r="Q119" s="25">
        <f>53857-SUM(O119:P119)</f>
        <v>-34282</v>
      </c>
      <c r="R119" s="25">
        <f t="shared" si="195"/>
        <v>54493</v>
      </c>
      <c r="S119" s="25">
        <v>49269</v>
      </c>
      <c r="T119" s="25">
        <v>105485</v>
      </c>
      <c r="U119" s="25">
        <f>+-1024-T119-S119</f>
        <v>-155778</v>
      </c>
      <c r="V119" s="25">
        <f t="shared" si="196"/>
        <v>-11333</v>
      </c>
      <c r="W119" s="25">
        <v>-14024</v>
      </c>
      <c r="X119" s="25">
        <f>+-15537-W119</f>
        <v>-1513</v>
      </c>
      <c r="Y119" s="25">
        <f>+-8576-SUM(W119:X119)</f>
        <v>6961</v>
      </c>
      <c r="AA119" s="25">
        <v>-486</v>
      </c>
      <c r="AE119" s="25">
        <v>-4890</v>
      </c>
      <c r="AF119" s="25">
        <f>-5826-AE119</f>
        <v>-936</v>
      </c>
      <c r="BA119" s="25">
        <v>29962</v>
      </c>
      <c r="BB119" s="25">
        <v>108350</v>
      </c>
      <c r="BC119" s="25">
        <v>-12357</v>
      </c>
      <c r="BD119" s="25">
        <v>-43195</v>
      </c>
      <c r="BE119" s="25">
        <v>-9505</v>
      </c>
    </row>
    <row r="120" spans="1:57">
      <c r="B120" s="9" t="s">
        <v>80</v>
      </c>
      <c r="O120" s="25">
        <v>27343</v>
      </c>
      <c r="P120" s="25">
        <f>55122-O120</f>
        <v>27779</v>
      </c>
      <c r="Q120" s="25">
        <f>21198-SUM(O120:P120)</f>
        <v>-33924</v>
      </c>
      <c r="R120" s="25">
        <f t="shared" si="195"/>
        <v>7676</v>
      </c>
      <c r="S120" s="25">
        <v>-13482</v>
      </c>
      <c r="T120" s="25">
        <f>+-15884-S120</f>
        <v>-2402</v>
      </c>
      <c r="U120" s="25">
        <f>12483-SUM(S120:T120)</f>
        <v>28367</v>
      </c>
      <c r="V120" s="25">
        <f t="shared" si="196"/>
        <v>4603</v>
      </c>
      <c r="W120" s="25">
        <v>4265</v>
      </c>
      <c r="X120" s="25">
        <f>8851-W120</f>
        <v>4586</v>
      </c>
      <c r="Y120" s="25">
        <f>15127-SUM(W120:X120)</f>
        <v>6276</v>
      </c>
      <c r="AA120" s="25">
        <v>8152</v>
      </c>
      <c r="AE120" s="25">
        <v>4209</v>
      </c>
      <c r="AF120" s="25">
        <f>9917-AE120</f>
        <v>5708</v>
      </c>
      <c r="BA120" s="25">
        <v>15402</v>
      </c>
      <c r="BB120" s="25">
        <v>28874</v>
      </c>
      <c r="BC120" s="25">
        <v>17086</v>
      </c>
      <c r="BD120" s="25">
        <v>20738</v>
      </c>
      <c r="BE120" s="25">
        <v>37025</v>
      </c>
    </row>
    <row r="121" spans="1:57">
      <c r="B121" s="9" t="s">
        <v>81</v>
      </c>
      <c r="O121" s="25">
        <v>8805</v>
      </c>
      <c r="P121" s="25">
        <f>13747-O121</f>
        <v>4942</v>
      </c>
      <c r="Q121" s="25">
        <f>+-143-SUM(O121:P121)</f>
        <v>-13890</v>
      </c>
      <c r="R121" s="25">
        <f t="shared" si="195"/>
        <v>307</v>
      </c>
      <c r="S121" s="25">
        <v>4937</v>
      </c>
      <c r="T121" s="25">
        <f>8235-S121</f>
        <v>3298</v>
      </c>
      <c r="U121" s="25">
        <f>733-SUM(S121:T121)</f>
        <v>-7502</v>
      </c>
      <c r="V121" s="25">
        <f t="shared" si="196"/>
        <v>-240</v>
      </c>
      <c r="W121" s="25">
        <v>-918</v>
      </c>
      <c r="X121" s="25">
        <f>+-0.876-W121</f>
        <v>917.12400000000002</v>
      </c>
      <c r="Y121" s="25">
        <f>+-969-SUM(W121:X121)</f>
        <v>-968.12400000000002</v>
      </c>
      <c r="AA121" s="25">
        <v>500</v>
      </c>
      <c r="AE121" s="25">
        <v>-412</v>
      </c>
      <c r="AF121" s="25">
        <f>+-155-AE121</f>
        <v>257</v>
      </c>
      <c r="BA121" s="25">
        <v>33</v>
      </c>
      <c r="BB121" s="25">
        <v>164</v>
      </c>
      <c r="BC121" s="25">
        <v>493</v>
      </c>
      <c r="BD121" s="25">
        <v>-760</v>
      </c>
      <c r="BE121" s="25">
        <v>1570</v>
      </c>
    </row>
    <row r="122" spans="1:57">
      <c r="B122" s="9" t="s">
        <v>82</v>
      </c>
      <c r="O122" s="25">
        <v>-90</v>
      </c>
      <c r="P122" s="25">
        <f>82-O122</f>
        <v>172</v>
      </c>
      <c r="Q122" s="25">
        <f>60579-SUM(O122:P122)</f>
        <v>60497</v>
      </c>
      <c r="R122" s="25">
        <f t="shared" si="195"/>
        <v>22047</v>
      </c>
      <c r="S122" s="25">
        <v>-275</v>
      </c>
      <c r="T122" s="25">
        <f>+-220-S122</f>
        <v>55</v>
      </c>
      <c r="U122" s="25">
        <f>138741-SUM(S122:T122)</f>
        <v>138961</v>
      </c>
      <c r="V122" s="25">
        <f t="shared" si="196"/>
        <v>37651</v>
      </c>
      <c r="W122" s="25">
        <v>23590</v>
      </c>
      <c r="X122" s="25">
        <f>52221-W122</f>
        <v>28631</v>
      </c>
      <c r="Y122" s="25">
        <f>77371-SUM(W122:X122)</f>
        <v>25150</v>
      </c>
      <c r="AA122" s="25">
        <v>20084</v>
      </c>
      <c r="AE122" s="25">
        <v>36003</v>
      </c>
      <c r="AF122" s="25">
        <f>81243-AE122</f>
        <v>45240</v>
      </c>
      <c r="BA122" s="25">
        <v>91396</v>
      </c>
      <c r="BB122" s="25">
        <v>82626</v>
      </c>
      <c r="BC122" s="25">
        <v>176392</v>
      </c>
      <c r="BD122" s="25">
        <v>98030</v>
      </c>
      <c r="BE122" s="25">
        <v>124016</v>
      </c>
    </row>
    <row r="123" spans="1:57">
      <c r="B123" s="9" t="s">
        <v>83</v>
      </c>
      <c r="O123" s="25">
        <v>17395</v>
      </c>
      <c r="P123" s="25">
        <f>40762-O123</f>
        <v>23367</v>
      </c>
      <c r="Q123" s="25">
        <f>2450-SUM(O123:P123)</f>
        <v>-38312</v>
      </c>
      <c r="R123" s="25">
        <f t="shared" si="195"/>
        <v>1193</v>
      </c>
      <c r="S123" s="25">
        <v>55390</v>
      </c>
      <c r="T123" s="25">
        <f>102680-S123</f>
        <v>47290</v>
      </c>
      <c r="U123" s="25">
        <f>2534-SUM(S123:T123)</f>
        <v>-100146</v>
      </c>
      <c r="V123" s="25">
        <f t="shared" si="196"/>
        <v>-7133</v>
      </c>
      <c r="W123" s="25">
        <v>-998</v>
      </c>
      <c r="X123" s="25">
        <f>+-11909-W123</f>
        <v>-10911</v>
      </c>
      <c r="Y123" s="25">
        <f>+-13045-SUM(W123:X123)</f>
        <v>-1136</v>
      </c>
      <c r="AA123" s="25">
        <v>-2810</v>
      </c>
      <c r="AE123" s="25">
        <v>835</v>
      </c>
      <c r="AF123" s="25">
        <f>4511-AE123</f>
        <v>3676</v>
      </c>
      <c r="BA123" s="25">
        <v>-10592</v>
      </c>
      <c r="BB123" s="25">
        <v>3643</v>
      </c>
      <c r="BC123" s="25">
        <v>-4599</v>
      </c>
      <c r="BD123" s="25">
        <v>-16202</v>
      </c>
      <c r="BE123" s="25">
        <v>-13080</v>
      </c>
    </row>
    <row r="124" spans="1:57">
      <c r="B124" s="9" t="s">
        <v>55</v>
      </c>
      <c r="O124" s="25">
        <v>707</v>
      </c>
      <c r="P124" s="25">
        <f>1670-O124</f>
        <v>963</v>
      </c>
      <c r="Q124" s="25">
        <f>29333-SUM(O124:P124)</f>
        <v>27663</v>
      </c>
      <c r="R124" s="25">
        <f t="shared" si="195"/>
        <v>-26323</v>
      </c>
      <c r="S124" s="25">
        <v>2180</v>
      </c>
      <c r="T124" s="25">
        <f>2467-S124</f>
        <v>287</v>
      </c>
      <c r="U124" s="25">
        <f>21882-SUM(S124:T124)</f>
        <v>19415</v>
      </c>
      <c r="V124" s="25">
        <f t="shared" si="196"/>
        <v>-23569</v>
      </c>
      <c r="W124" s="25">
        <v>10394</v>
      </c>
      <c r="X124" s="25">
        <f>12353-W124</f>
        <v>1959</v>
      </c>
      <c r="Y124" s="25">
        <f>22891-SUM(W124:X124)</f>
        <v>10538</v>
      </c>
      <c r="AA124" s="25">
        <v>39659</v>
      </c>
      <c r="AE124" s="25">
        <v>26146</v>
      </c>
      <c r="AF124" s="25">
        <f>18331-AE124</f>
        <v>-7815</v>
      </c>
      <c r="BA124" s="25">
        <v>-2630</v>
      </c>
      <c r="BB124" s="25">
        <v>3010</v>
      </c>
      <c r="BC124" s="25">
        <v>-1687</v>
      </c>
      <c r="BD124" s="25">
        <v>-14026</v>
      </c>
      <c r="BE124" s="25">
        <v>-11216</v>
      </c>
    </row>
    <row r="125" spans="1:57">
      <c r="B125" s="9" t="s">
        <v>56</v>
      </c>
      <c r="O125" s="25">
        <v>25967</v>
      </c>
      <c r="P125" s="25">
        <f>22598-O125</f>
        <v>-3369</v>
      </c>
      <c r="Q125" s="25">
        <f>614-SUM(O125:P125)</f>
        <v>-21984</v>
      </c>
      <c r="R125" s="25">
        <f t="shared" si="195"/>
        <v>-1008</v>
      </c>
      <c r="S125" s="25">
        <v>32175</v>
      </c>
      <c r="T125" s="25">
        <f>37286-S125</f>
        <v>5111</v>
      </c>
      <c r="U125" s="25">
        <f>+-1996-SUM(S125:T125)</f>
        <v>-39282</v>
      </c>
      <c r="V125" s="25">
        <f t="shared" si="196"/>
        <v>-4396</v>
      </c>
      <c r="W125" s="25">
        <v>2970</v>
      </c>
      <c r="X125" s="25">
        <f>3320-W125</f>
        <v>350</v>
      </c>
      <c r="Y125" s="25">
        <f>+-1056-SUM(W125:X125)</f>
        <v>-4376</v>
      </c>
      <c r="AA125" s="25">
        <v>1086</v>
      </c>
      <c r="AE125" s="25">
        <v>1331</v>
      </c>
      <c r="AF125" s="25">
        <f>3763-AE125</f>
        <v>2432</v>
      </c>
      <c r="BA125" s="25">
        <v>-4530</v>
      </c>
      <c r="BB125" s="25">
        <v>-394</v>
      </c>
      <c r="BC125" s="25">
        <v>-6392</v>
      </c>
      <c r="BD125" s="25">
        <v>-3011</v>
      </c>
      <c r="BE125" s="25">
        <v>-3649</v>
      </c>
    </row>
    <row r="126" spans="1:57">
      <c r="B126" s="9" t="s">
        <v>84</v>
      </c>
      <c r="O126" s="25">
        <v>2734</v>
      </c>
      <c r="P126" s="25">
        <f>2029-O126</f>
        <v>-705</v>
      </c>
      <c r="Q126" s="25">
        <f>+-6015-SUM(O126:P126)</f>
        <v>-8044</v>
      </c>
      <c r="R126" s="25">
        <f t="shared" si="195"/>
        <v>-5427</v>
      </c>
      <c r="S126" s="25">
        <v>2148</v>
      </c>
      <c r="T126" s="25">
        <f>1309-S126</f>
        <v>-839</v>
      </c>
      <c r="U126" s="25">
        <f>+-19343-SUM(S126:T126)</f>
        <v>-20652</v>
      </c>
      <c r="V126" s="25">
        <f t="shared" si="196"/>
        <v>-7483</v>
      </c>
      <c r="W126" s="25">
        <v>5920</v>
      </c>
      <c r="X126" s="25">
        <f>948-W126</f>
        <v>-4972</v>
      </c>
      <c r="Y126" s="25">
        <f>+-3169-SUM(W126:X126)</f>
        <v>-4117</v>
      </c>
      <c r="AA126" s="25">
        <v>-14569</v>
      </c>
      <c r="AE126" s="25">
        <v>16291</v>
      </c>
      <c r="AF126" s="25">
        <f>20348-AE126</f>
        <v>4057</v>
      </c>
      <c r="BA126" s="25">
        <v>-23066</v>
      </c>
      <c r="BB126" s="25">
        <v>-11442</v>
      </c>
      <c r="BC126" s="25">
        <v>-26826</v>
      </c>
      <c r="BD126" s="25">
        <v>-14660</v>
      </c>
      <c r="BE126" s="25">
        <v>-39211</v>
      </c>
    </row>
    <row r="127" spans="1:57">
      <c r="B127" s="9" t="s">
        <v>85</v>
      </c>
      <c r="O127" s="25">
        <v>-4158</v>
      </c>
      <c r="P127" s="25">
        <f>+-6250-O127</f>
        <v>-2092</v>
      </c>
      <c r="Q127" s="25">
        <f>136052-SUM(O127:P127)</f>
        <v>142302</v>
      </c>
      <c r="R127" s="25">
        <f t="shared" si="195"/>
        <v>48486</v>
      </c>
      <c r="S127" s="25">
        <v>-8756</v>
      </c>
      <c r="T127" s="25">
        <f>+-18186-S127</f>
        <v>-9430</v>
      </c>
      <c r="U127" s="25">
        <f>151628-SUM(S127:T127)</f>
        <v>169814</v>
      </c>
      <c r="V127" s="25">
        <f t="shared" si="196"/>
        <v>72209</v>
      </c>
      <c r="W127" s="25">
        <v>55125</v>
      </c>
      <c r="X127" s="25">
        <f>112505-W127</f>
        <v>57380</v>
      </c>
      <c r="Y127" s="25">
        <f>171464-SUM(W127:X127)</f>
        <v>58959</v>
      </c>
      <c r="AA127" s="25">
        <v>59135</v>
      </c>
      <c r="AE127" s="25">
        <v>64797</v>
      </c>
      <c r="AF127" s="25">
        <f>135881-AE127</f>
        <v>71084</v>
      </c>
      <c r="BA127" s="25">
        <v>163952</v>
      </c>
      <c r="BB127" s="25">
        <v>184538</v>
      </c>
      <c r="BC127" s="25">
        <v>223837</v>
      </c>
      <c r="BD127" s="25">
        <v>234273</v>
      </c>
      <c r="BE127" s="25">
        <v>254241</v>
      </c>
    </row>
    <row r="128" spans="1:57">
      <c r="B128" s="9" t="s">
        <v>64</v>
      </c>
      <c r="O128" s="25">
        <v>-5133</v>
      </c>
      <c r="P128" s="25">
        <f>+-8574-O128</f>
        <v>-3441</v>
      </c>
      <c r="Q128" s="25">
        <f>+-21754-SUM(O128:P128)</f>
        <v>-13180</v>
      </c>
      <c r="R128" s="25">
        <f t="shared" si="195"/>
        <v>-4823</v>
      </c>
      <c r="S128" s="25">
        <v>-186</v>
      </c>
      <c r="T128" s="25">
        <f>117-S128</f>
        <v>303</v>
      </c>
      <c r="U128" s="25">
        <f>1901-SUM(S128:T128)</f>
        <v>1784</v>
      </c>
      <c r="V128" s="25">
        <f t="shared" si="196"/>
        <v>2092</v>
      </c>
      <c r="W128" s="25">
        <v>-1132</v>
      </c>
      <c r="X128" s="25">
        <f>+-3014-W128</f>
        <v>-1882</v>
      </c>
      <c r="Y128" s="25">
        <f>+-1537-SUM(W128:X128)</f>
        <v>1477</v>
      </c>
      <c r="AA128" s="25">
        <v>3277</v>
      </c>
      <c r="AE128" s="25">
        <v>1561</v>
      </c>
      <c r="AF128" s="25">
        <f>1769-AE128</f>
        <v>208</v>
      </c>
      <c r="BA128" s="25">
        <v>2818</v>
      </c>
      <c r="BB128" s="25">
        <v>-26577</v>
      </c>
      <c r="BC128" s="25">
        <v>3993</v>
      </c>
      <c r="BD128" s="25">
        <v>-346</v>
      </c>
      <c r="BE128" s="25">
        <v>4204</v>
      </c>
    </row>
    <row r="129" spans="1:66">
      <c r="B129" s="9" t="s">
        <v>67</v>
      </c>
      <c r="O129" s="25">
        <v>20245</v>
      </c>
      <c r="P129" s="25">
        <f>40530-O129</f>
        <v>20285</v>
      </c>
      <c r="Q129" s="25">
        <f>5776-SUM(O129:P129)</f>
        <v>-34754</v>
      </c>
      <c r="R129" s="25">
        <f t="shared" si="195"/>
        <v>-9635</v>
      </c>
      <c r="S129" s="25">
        <v>19446</v>
      </c>
      <c r="T129" s="25">
        <f>12525-S129</f>
        <v>-6921</v>
      </c>
      <c r="U129" s="25">
        <f>28712-SUM(S129:T129)</f>
        <v>16187</v>
      </c>
      <c r="V129" s="25">
        <f t="shared" si="196"/>
        <v>-7272</v>
      </c>
      <c r="W129" s="25">
        <v>15702</v>
      </c>
      <c r="X129" s="25">
        <f>+-2972-W129</f>
        <v>-18674</v>
      </c>
      <c r="Y129" s="25">
        <f>10774-SUM(W129:X129)</f>
        <v>13746</v>
      </c>
      <c r="AA129" s="25">
        <v>-2732</v>
      </c>
      <c r="AE129" s="25">
        <v>12588</v>
      </c>
      <c r="AF129" s="25">
        <f>7802-AE129</f>
        <v>-4786</v>
      </c>
      <c r="BA129" s="25">
        <v>-973</v>
      </c>
      <c r="BB129" s="25">
        <v>-3859</v>
      </c>
      <c r="BC129" s="25">
        <v>21440</v>
      </c>
      <c r="BD129" s="25">
        <v>18208</v>
      </c>
      <c r="BE129" s="25">
        <v>5313</v>
      </c>
      <c r="BN129" s="36"/>
    </row>
    <row r="130" spans="1:66">
      <c r="B130" s="9" t="s">
        <v>86</v>
      </c>
      <c r="O130" s="25">
        <v>5839</v>
      </c>
      <c r="P130" s="25">
        <f>3264-O130</f>
        <v>-2575</v>
      </c>
      <c r="Q130" s="25">
        <f>68514-SUM(O130:P130)</f>
        <v>65250</v>
      </c>
      <c r="R130" s="25">
        <f t="shared" si="195"/>
        <v>8169</v>
      </c>
      <c r="S130" s="25">
        <v>18188</v>
      </c>
      <c r="T130" s="25">
        <f>21068-S130</f>
        <v>2880</v>
      </c>
      <c r="U130" s="25">
        <f>+-13193-SUM(S130:T130)</f>
        <v>-34261</v>
      </c>
      <c r="V130" s="25">
        <f t="shared" si="196"/>
        <v>-31362</v>
      </c>
      <c r="W130" s="25">
        <v>10438</v>
      </c>
      <c r="X130" s="25">
        <f>+-0.583-W130</f>
        <v>-10438.583000000001</v>
      </c>
      <c r="Y130" s="25">
        <f>-32861-SUM(W130:X130)</f>
        <v>-32860.417000000001</v>
      </c>
      <c r="AA130" s="25">
        <v>-53428</v>
      </c>
      <c r="AE130" s="25">
        <v>-85289</v>
      </c>
      <c r="AF130" s="25">
        <f>+-4438-AE130</f>
        <v>80851</v>
      </c>
      <c r="BA130" s="25">
        <v>11759</v>
      </c>
      <c r="BB130" s="25">
        <v>76683</v>
      </c>
      <c r="BC130" s="25">
        <v>-44555</v>
      </c>
      <c r="BD130" s="25">
        <v>9864</v>
      </c>
      <c r="BE130" s="25">
        <v>57048</v>
      </c>
    </row>
    <row r="131" spans="1:66">
      <c r="B131" s="9" t="s">
        <v>87</v>
      </c>
      <c r="O131" s="25">
        <v>-9389</v>
      </c>
      <c r="P131" s="25">
        <f>+-8120-O131</f>
        <v>1269</v>
      </c>
      <c r="Q131" s="25">
        <f>1965-SUM(O131:P131)</f>
        <v>10085</v>
      </c>
      <c r="R131" s="25">
        <f t="shared" si="195"/>
        <v>3631</v>
      </c>
      <c r="S131" s="25">
        <v>-17869</v>
      </c>
      <c r="T131" s="25">
        <f>+-20102-S131</f>
        <v>-2233</v>
      </c>
      <c r="U131" s="25">
        <f>+-7407-SUM(S131:T131)</f>
        <v>12695</v>
      </c>
      <c r="V131" s="25">
        <f t="shared" si="196"/>
        <v>18404</v>
      </c>
      <c r="W131" s="25">
        <v>-31151</v>
      </c>
      <c r="X131" s="25">
        <f>+-22293-W131</f>
        <v>8858</v>
      </c>
      <c r="Y131" s="25">
        <f>+-16562-SUM(W131:X131)</f>
        <v>5731</v>
      </c>
      <c r="AA131" s="25">
        <v>17009</v>
      </c>
      <c r="AE131" s="25">
        <v>25322</v>
      </c>
      <c r="AF131" s="25">
        <f>17056-AE131</f>
        <v>-8266</v>
      </c>
      <c r="BA131" s="25">
        <v>36543</v>
      </c>
      <c r="BB131" s="25">
        <v>5596</v>
      </c>
      <c r="BC131" s="25">
        <v>10997</v>
      </c>
      <c r="BD131" s="25">
        <v>-27964</v>
      </c>
      <c r="BE131" s="25">
        <v>3188</v>
      </c>
    </row>
    <row r="132" spans="1:66">
      <c r="B132" s="9" t="s">
        <v>70</v>
      </c>
      <c r="O132" s="25">
        <v>-15924</v>
      </c>
      <c r="P132" s="25">
        <f>+-4027-O132</f>
        <v>11897</v>
      </c>
      <c r="Q132" s="25">
        <f>+-593-SUM(O132:P132)</f>
        <v>3434</v>
      </c>
      <c r="R132" s="25">
        <f t="shared" si="195"/>
        <v>37551</v>
      </c>
      <c r="S132" s="25">
        <v>-15606</v>
      </c>
      <c r="T132" s="25">
        <f>+-11487-S132</f>
        <v>4119</v>
      </c>
      <c r="U132" s="25">
        <f>+-2978-SUM(S132:T132)</f>
        <v>8509</v>
      </c>
      <c r="V132" s="25">
        <f t="shared" si="196"/>
        <v>37365</v>
      </c>
      <c r="W132" s="25">
        <v>-21604</v>
      </c>
      <c r="X132" s="25">
        <f>+-20062-W132</f>
        <v>1542</v>
      </c>
      <c r="Y132" s="25">
        <f>-18141-SUM(W132:X132)</f>
        <v>1921</v>
      </c>
      <c r="AA132" s="25">
        <v>-22653</v>
      </c>
      <c r="AE132" s="25">
        <v>-19358</v>
      </c>
      <c r="AF132" s="25">
        <f>+-22260-AE132</f>
        <v>-2902</v>
      </c>
      <c r="BA132" s="25">
        <v>30400</v>
      </c>
      <c r="BB132" s="25">
        <v>36958</v>
      </c>
      <c r="BC132" s="25">
        <v>34387</v>
      </c>
      <c r="BD132" s="25">
        <v>33374</v>
      </c>
      <c r="BE132" s="25">
        <v>35685</v>
      </c>
    </row>
    <row r="133" spans="1:66">
      <c r="B133" s="9" t="s">
        <v>88</v>
      </c>
      <c r="O133" s="25">
        <v>-29179</v>
      </c>
      <c r="P133" s="25">
        <f>+-70119-O133</f>
        <v>-40940</v>
      </c>
      <c r="Q133" s="25">
        <f>+-32677-SUM(O133:P133)</f>
        <v>37442</v>
      </c>
      <c r="R133" s="25">
        <f t="shared" si="195"/>
        <v>-222574</v>
      </c>
      <c r="S133" s="25">
        <v>38640</v>
      </c>
      <c r="T133" s="25">
        <f>+-1851-S133</f>
        <v>-40491</v>
      </c>
      <c r="U133" s="25">
        <f>+-35850-SUM(S133:T133)</f>
        <v>-33999</v>
      </c>
      <c r="V133" s="25">
        <f t="shared" si="196"/>
        <v>229229</v>
      </c>
      <c r="W133" s="25">
        <v>43367</v>
      </c>
      <c r="X133" s="25">
        <f>+-3832-W133</f>
        <v>-47199</v>
      </c>
      <c r="Y133" s="25">
        <f>+-18070-SUM(W133:X133)</f>
        <v>-14238</v>
      </c>
      <c r="AA133" s="25">
        <v>85400</v>
      </c>
      <c r="AE133" s="25">
        <v>97960</v>
      </c>
      <c r="AF133" s="25">
        <f>+-18565-AE133</f>
        <v>-116525</v>
      </c>
      <c r="BA133" s="25">
        <v>-32083</v>
      </c>
      <c r="BB133" s="25">
        <v>-255251</v>
      </c>
      <c r="BC133" s="25">
        <v>193379</v>
      </c>
      <c r="BD133" s="25">
        <v>46262</v>
      </c>
      <c r="BE133" s="25">
        <v>-5237</v>
      </c>
    </row>
    <row r="134" spans="1:66">
      <c r="B134" s="9" t="s">
        <v>89</v>
      </c>
      <c r="O134" s="25">
        <v>-40918</v>
      </c>
      <c r="P134" s="25">
        <f>+-69468-O134</f>
        <v>-28550</v>
      </c>
      <c r="Q134" s="25">
        <f>+-115069-SUM(O134:P134)</f>
        <v>-45601</v>
      </c>
      <c r="R134" s="25">
        <f t="shared" si="195"/>
        <v>-50085</v>
      </c>
      <c r="S134" s="25">
        <v>-50902</v>
      </c>
      <c r="T134" s="25">
        <f>+-101818-S134</f>
        <v>-50916</v>
      </c>
      <c r="U134" s="25">
        <f>+-141540-SUM(R134:T134)</f>
        <v>10363</v>
      </c>
      <c r="V134" s="25">
        <f t="shared" si="196"/>
        <v>-115709</v>
      </c>
      <c r="W134" s="25">
        <v>-49596</v>
      </c>
      <c r="X134" s="25">
        <f>+-100024-W134</f>
        <v>-50428</v>
      </c>
      <c r="Y134" s="25">
        <f>+-153200-SUM(W134:X134)</f>
        <v>-53176</v>
      </c>
      <c r="AA134" s="25">
        <v>-51584</v>
      </c>
      <c r="AE134" s="25">
        <v>-51537</v>
      </c>
      <c r="AF134" s="25">
        <f>+-101348-AE134</f>
        <v>-49811</v>
      </c>
      <c r="BA134" s="25">
        <v>-151557</v>
      </c>
      <c r="BB134" s="25">
        <v>-165154</v>
      </c>
      <c r="BC134" s="25">
        <v>-207164</v>
      </c>
      <c r="BD134" s="25">
        <v>-207186</v>
      </c>
      <c r="BE134" s="25">
        <v>-214477</v>
      </c>
    </row>
    <row r="135" spans="1:66">
      <c r="B135" s="9" t="s">
        <v>90</v>
      </c>
      <c r="O135" s="25">
        <v>104</v>
      </c>
      <c r="P135" s="25">
        <f>587-O135</f>
        <v>483</v>
      </c>
      <c r="Q135" s="25">
        <f>1351-SUM(O135:P135)</f>
        <v>764</v>
      </c>
      <c r="R135" s="25">
        <f t="shared" si="195"/>
        <v>431</v>
      </c>
      <c r="S135" s="25">
        <v>453</v>
      </c>
      <c r="T135" s="25">
        <f>955-S135</f>
        <v>502</v>
      </c>
      <c r="U135" s="25">
        <f>474-SUM(S135:T135)</f>
        <v>-481</v>
      </c>
      <c r="V135" s="25">
        <f t="shared" si="196"/>
        <v>-4458</v>
      </c>
      <c r="W135" s="25">
        <v>595</v>
      </c>
      <c r="X135" s="25">
        <f>0.958-W135</f>
        <v>-594.04200000000003</v>
      </c>
      <c r="Y135" s="25">
        <f>2968-SUM(W135:X135)</f>
        <v>2967.0419999999999</v>
      </c>
      <c r="AA135" s="25">
        <v>767</v>
      </c>
      <c r="AE135" s="25">
        <v>1147</v>
      </c>
      <c r="AF135" s="25">
        <f>2020-AE135</f>
        <v>873</v>
      </c>
      <c r="BA135" s="25">
        <v>1862</v>
      </c>
      <c r="BB135" s="25">
        <v>1782</v>
      </c>
      <c r="BC135" s="25">
        <v>-3984</v>
      </c>
      <c r="BD135" s="25">
        <v>3853</v>
      </c>
      <c r="BE135" s="25">
        <v>9431</v>
      </c>
    </row>
    <row r="136" spans="1:66" s="36" customFormat="1">
      <c r="A136" s="40"/>
      <c r="B136" s="15" t="s">
        <v>40</v>
      </c>
      <c r="O136" s="36">
        <f>+SUM(O117:O135)</f>
        <v>182071</v>
      </c>
      <c r="P136" s="36">
        <f>SUM(P117:P135)</f>
        <v>122862</v>
      </c>
      <c r="Q136" s="36">
        <f>+SUM(Q117:Q135)</f>
        <v>243890</v>
      </c>
      <c r="R136" s="36">
        <f t="shared" si="195"/>
        <v>115024</v>
      </c>
      <c r="S136" s="36">
        <f>+SUM(S117:S135)</f>
        <v>305973</v>
      </c>
      <c r="T136" s="36">
        <f>+SUM(T117:T135)</f>
        <v>306154</v>
      </c>
      <c r="U136" s="36">
        <f>+SUM(U117:U135)</f>
        <v>281619</v>
      </c>
      <c r="V136" s="36">
        <f>+BC136-SUM(S136:U136)</f>
        <v>388335</v>
      </c>
      <c r="W136" s="36">
        <f>+SUM(W117:W135)</f>
        <v>282892</v>
      </c>
      <c r="X136" s="36">
        <f>+SUM(X117:X135)</f>
        <v>287296.49900000001</v>
      </c>
      <c r="Y136" s="36">
        <f>+SUM(Y117:Y135)</f>
        <v>351408.50099999999</v>
      </c>
      <c r="Z136" s="36">
        <f>1323179-SUM(W136:Y136)</f>
        <v>401582</v>
      </c>
      <c r="AA136" s="36">
        <f>SUM(AA117:AA135)</f>
        <v>455036</v>
      </c>
      <c r="AB136" s="36">
        <f>1037546-AA136</f>
        <v>582510</v>
      </c>
      <c r="AC136" s="36">
        <f>1518018-SUM(AA136:AB136)</f>
        <v>480472</v>
      </c>
      <c r="AD136" s="36">
        <f>1783477-SUM(AA136:AC136)</f>
        <v>265459</v>
      </c>
      <c r="AE136" s="36">
        <f>+SUM(AE117:AE135)</f>
        <v>569234</v>
      </c>
      <c r="AF136" s="36">
        <f>+SUM(AF117:AF135)</f>
        <v>562578</v>
      </c>
      <c r="BA136" s="36">
        <f>+SUM(BA117:BA135)</f>
        <v>721632</v>
      </c>
      <c r="BB136" s="36">
        <f>+SUM(BB117:BB135)</f>
        <v>663847</v>
      </c>
      <c r="BC136" s="36">
        <f>+SUM(BC117:BC135)</f>
        <v>1282081</v>
      </c>
      <c r="BD136" s="36">
        <f>+SUM(BD117:BD135)</f>
        <v>1323179</v>
      </c>
      <c r="BE136" s="36">
        <f>+SUM(BE117:BE135)</f>
        <v>1783477</v>
      </c>
    </row>
    <row r="138" spans="1:66">
      <c r="B138" s="9" t="s">
        <v>41</v>
      </c>
      <c r="O138" s="25">
        <v>-77653</v>
      </c>
      <c r="P138" s="25">
        <f>+-165455-O138</f>
        <v>-87802</v>
      </c>
      <c r="Q138" s="25">
        <f>+-246758-SUM(O138:P138)</f>
        <v>-81303</v>
      </c>
      <c r="R138" s="25">
        <f t="shared" si="195"/>
        <v>-126594</v>
      </c>
      <c r="S138" s="25">
        <v>-86619</v>
      </c>
      <c r="T138" s="25">
        <f>+-212123-S138</f>
        <v>-125504</v>
      </c>
      <c r="U138" s="25">
        <f>+-320569-SUM(S138:T138)</f>
        <v>-108446</v>
      </c>
      <c r="V138" s="25">
        <f t="shared" si="196"/>
        <v>-121906</v>
      </c>
      <c r="W138" s="25">
        <v>-96162</v>
      </c>
      <c r="X138" s="25">
        <f>+-196495-W138</f>
        <v>-100333</v>
      </c>
      <c r="Y138" s="25">
        <f>+-335518-SUM(W138:X138)</f>
        <v>-139023</v>
      </c>
      <c r="Z138" s="25">
        <f>+-479164-SUM(W138:Y138)</f>
        <v>-143646</v>
      </c>
      <c r="AA138" s="25">
        <v>-120369</v>
      </c>
      <c r="AB138" s="25">
        <f>+-257601-AA138</f>
        <v>-137232</v>
      </c>
      <c r="AC138" s="25">
        <f>+-388801-SUM(AA138:AB138)</f>
        <v>-131200</v>
      </c>
      <c r="AD138" s="25">
        <f>+-560731-SUM(AA138:AC138)</f>
        <v>-171930</v>
      </c>
      <c r="AE138" s="25">
        <v>-132703</v>
      </c>
      <c r="AF138" s="25">
        <f>+-273193-AE138</f>
        <v>-140490</v>
      </c>
      <c r="BA138" s="25">
        <v>-333912</v>
      </c>
      <c r="BB138" s="25">
        <v>-373352</v>
      </c>
      <c r="BC138" s="25">
        <v>-442475</v>
      </c>
      <c r="BD138" s="25">
        <v>-479164</v>
      </c>
      <c r="BE138" s="25">
        <v>-560731</v>
      </c>
    </row>
    <row r="139" spans="1:66">
      <c r="B139" s="9" t="s">
        <v>91</v>
      </c>
      <c r="O139" s="25">
        <v>-80746</v>
      </c>
      <c r="P139" s="25">
        <f>+-101104-O139</f>
        <v>-20358</v>
      </c>
      <c r="Q139" s="25">
        <f>+-325069-SUM(O139:P139)</f>
        <v>-223965</v>
      </c>
      <c r="R139" s="25">
        <f t="shared" si="195"/>
        <v>-143349</v>
      </c>
      <c r="S139" s="25">
        <v>-90477</v>
      </c>
      <c r="T139" s="25">
        <f>+-190920-S139</f>
        <v>-100443</v>
      </c>
      <c r="U139" s="25">
        <f>+-288899-SUM(S139:T139)</f>
        <v>-97979</v>
      </c>
      <c r="V139" s="25">
        <f t="shared" si="196"/>
        <v>-140451</v>
      </c>
      <c r="W139" s="25">
        <v>-118827</v>
      </c>
      <c r="X139" s="25">
        <f>195242-W139</f>
        <v>314069</v>
      </c>
      <c r="Y139" s="25">
        <f>+-513813-SUM(W139:X139)</f>
        <v>-709055</v>
      </c>
      <c r="AA139" s="25">
        <v>-214819</v>
      </c>
      <c r="AE139" s="25">
        <v>-366798</v>
      </c>
      <c r="AF139" s="25">
        <f>+-738434-AE139</f>
        <v>-371636</v>
      </c>
      <c r="BA139" s="25">
        <v>-448754</v>
      </c>
      <c r="BB139" s="25">
        <v>-468418</v>
      </c>
      <c r="BC139" s="25">
        <v>-429350</v>
      </c>
      <c r="BD139" s="25">
        <v>-614416</v>
      </c>
      <c r="BE139" s="25">
        <v>-1115131</v>
      </c>
    </row>
    <row r="140" spans="1:66">
      <c r="B140" s="9" t="s">
        <v>92</v>
      </c>
      <c r="O140" s="25">
        <v>99037</v>
      </c>
      <c r="P140" s="25">
        <f>198578-O140</f>
        <v>99541</v>
      </c>
      <c r="Q140" s="25">
        <f>318505-SUM(O140:P140)</f>
        <v>119927</v>
      </c>
      <c r="R140" s="25">
        <f t="shared" si="195"/>
        <v>100573</v>
      </c>
      <c r="S140" s="25">
        <v>60593</v>
      </c>
      <c r="T140" s="25">
        <f>162045-S140</f>
        <v>101452</v>
      </c>
      <c r="U140" s="25">
        <f>243441-SUM(S140:T140)</f>
        <v>81396</v>
      </c>
      <c r="V140" s="25">
        <f t="shared" si="196"/>
        <v>102307</v>
      </c>
      <c r="W140" s="25">
        <v>81923</v>
      </c>
      <c r="X140" s="25">
        <f>142540-W140</f>
        <v>60617</v>
      </c>
      <c r="Y140" s="25">
        <f>202997-SUM(W140:X140)</f>
        <v>60457</v>
      </c>
      <c r="AA140" s="25">
        <v>99639</v>
      </c>
      <c r="AE140" s="25">
        <v>198462</v>
      </c>
      <c r="AF140" s="25">
        <f>374373-AE140</f>
        <v>175911</v>
      </c>
      <c r="BA140" s="25">
        <v>476723</v>
      </c>
      <c r="BB140" s="25">
        <v>419078</v>
      </c>
      <c r="BC140" s="25">
        <v>345748</v>
      </c>
      <c r="BD140" s="25">
        <v>263548</v>
      </c>
      <c r="BE140" s="25">
        <v>729853</v>
      </c>
    </row>
    <row r="141" spans="1:66">
      <c r="B141" s="9" t="s">
        <v>93</v>
      </c>
      <c r="O141" s="25">
        <v>0</v>
      </c>
      <c r="P141" s="25">
        <f>0-O141</f>
        <v>0</v>
      </c>
      <c r="Q141" s="25">
        <f>0-SUM(O141:P141)</f>
        <v>0</v>
      </c>
      <c r="R141" s="25">
        <f t="shared" si="195"/>
        <v>0</v>
      </c>
      <c r="S141" s="25">
        <v>0</v>
      </c>
      <c r="T141" s="25">
        <f>2885-S141</f>
        <v>2885</v>
      </c>
      <c r="U141" s="25">
        <f>2885-SUM(S141:T141)</f>
        <v>0</v>
      </c>
      <c r="V141" s="25">
        <f t="shared" si="196"/>
        <v>1150</v>
      </c>
      <c r="W141" s="25">
        <v>0</v>
      </c>
      <c r="X141" s="25">
        <v>0</v>
      </c>
      <c r="Y141" s="25">
        <v>0</v>
      </c>
      <c r="BA141" s="25">
        <v>13969</v>
      </c>
      <c r="BB141" s="25">
        <v>0</v>
      </c>
      <c r="BC141" s="25">
        <v>4035</v>
      </c>
      <c r="BD141" s="25">
        <v>0</v>
      </c>
      <c r="BE141" s="25">
        <v>0</v>
      </c>
    </row>
    <row r="142" spans="1:66">
      <c r="B142" s="9" t="s">
        <v>94</v>
      </c>
      <c r="O142" s="25">
        <v>0</v>
      </c>
      <c r="P142" s="25">
        <f>+-7525-O142</f>
        <v>-7525</v>
      </c>
      <c r="Q142" s="25">
        <f>+-10025-SUM(O142:P142)</f>
        <v>-2500</v>
      </c>
      <c r="R142" s="25">
        <f t="shared" si="195"/>
        <v>0</v>
      </c>
      <c r="S142" s="25">
        <v>0</v>
      </c>
      <c r="T142" s="25">
        <f>0-S142</f>
        <v>0</v>
      </c>
      <c r="U142" s="25">
        <f>0-SUM(S142:T142)</f>
        <v>0</v>
      </c>
      <c r="V142" s="25">
        <f t="shared" si="196"/>
        <v>0</v>
      </c>
      <c r="W142" s="25">
        <v>0</v>
      </c>
      <c r="X142" s="25">
        <v>0</v>
      </c>
      <c r="Y142" s="25">
        <v>0</v>
      </c>
      <c r="BA142" s="25">
        <v>0</v>
      </c>
      <c r="BB142" s="25">
        <v>-10025</v>
      </c>
      <c r="BC142" s="25">
        <v>0</v>
      </c>
      <c r="BD142" s="25">
        <v>0</v>
      </c>
      <c r="BE142" s="25">
        <v>0</v>
      </c>
    </row>
    <row r="143" spans="1:66" s="36" customFormat="1">
      <c r="A143" s="40"/>
      <c r="B143" s="15" t="s">
        <v>95</v>
      </c>
      <c r="O143" s="36">
        <f>+SUM(O138:O142)</f>
        <v>-59362</v>
      </c>
      <c r="P143" s="36">
        <f>+SUM(P138:P142)</f>
        <v>-16144</v>
      </c>
      <c r="Q143" s="36">
        <f>+SUM(Q138:Q142)</f>
        <v>-187841</v>
      </c>
      <c r="R143" s="36">
        <f t="shared" si="195"/>
        <v>-169370</v>
      </c>
      <c r="S143" s="36">
        <f>SUM(S138:S142)</f>
        <v>-116503</v>
      </c>
      <c r="T143" s="36">
        <f>+SUM(T138:T142)</f>
        <v>-121610</v>
      </c>
      <c r="U143" s="36">
        <f>+SUM(U138:U142)</f>
        <v>-125029</v>
      </c>
      <c r="V143" s="36">
        <f t="shared" si="196"/>
        <v>-158900</v>
      </c>
      <c r="W143" s="36">
        <f>+SUM(W138:W142)</f>
        <v>-133066</v>
      </c>
      <c r="X143" s="36">
        <f>+SUM(X138:X142)</f>
        <v>274353</v>
      </c>
      <c r="Y143" s="36">
        <f>+SUM(Y138:Y142)</f>
        <v>-787621</v>
      </c>
      <c r="AA143" s="36">
        <f>+SUM(AA138:AA142)</f>
        <v>-235549</v>
      </c>
      <c r="AE143" s="36">
        <f>+SUM(AE138:AE142)</f>
        <v>-301039</v>
      </c>
      <c r="AF143" s="36">
        <f>+SUM(AF138:AF142)</f>
        <v>-336215</v>
      </c>
      <c r="BA143" s="36">
        <f>+SUM(BA138:BA142)</f>
        <v>-291974</v>
      </c>
      <c r="BB143" s="36">
        <f>+SUM(BB138:BB142)</f>
        <v>-432717</v>
      </c>
      <c r="BC143" s="36">
        <f>+SUM(BC138:BC142)</f>
        <v>-522042</v>
      </c>
      <c r="BD143" s="36">
        <f>+SUM(BD138:BD142)</f>
        <v>-830032</v>
      </c>
      <c r="BE143" s="36">
        <f>+SUM(BE138:BE142)</f>
        <v>-946009</v>
      </c>
    </row>
    <row r="145" spans="1:57">
      <c r="B145" s="9" t="s">
        <v>96</v>
      </c>
      <c r="O145" s="25">
        <v>-54401</v>
      </c>
      <c r="P145" s="25">
        <f>+-54401-O145</f>
        <v>0</v>
      </c>
      <c r="Q145" s="25">
        <f>+-54401-SUM(O145:P145)</f>
        <v>0</v>
      </c>
      <c r="R145" s="25">
        <f t="shared" si="195"/>
        <v>0</v>
      </c>
      <c r="S145" s="25">
        <f>+-57229</f>
        <v>-57229</v>
      </c>
      <c r="T145" s="25">
        <f>+-203151-S145</f>
        <v>-145922</v>
      </c>
      <c r="U145" s="25">
        <f>+-300733-SUM(S145:T145)</f>
        <v>-97582</v>
      </c>
      <c r="V145" s="25">
        <f t="shared" si="196"/>
        <v>-165729</v>
      </c>
      <c r="W145" s="25">
        <v>-263308</v>
      </c>
      <c r="X145" s="25">
        <f>+-521910-W145</f>
        <v>-258602</v>
      </c>
      <c r="Y145" s="25">
        <f>+-629775-SUM(W145:X145)</f>
        <v>-107865</v>
      </c>
      <c r="AA145" s="25">
        <v>-126709</v>
      </c>
      <c r="AE145" s="25">
        <v>-27005</v>
      </c>
      <c r="AF145" s="25">
        <f>+-172368-AE145</f>
        <v>-145363</v>
      </c>
      <c r="BA145" s="25">
        <v>-190617</v>
      </c>
      <c r="BB145" s="25">
        <v>-54401</v>
      </c>
      <c r="BC145" s="25">
        <v>-466462</v>
      </c>
      <c r="BD145" s="25">
        <v>-830140</v>
      </c>
      <c r="BE145" s="25">
        <v>-592349</v>
      </c>
    </row>
    <row r="146" spans="1:57">
      <c r="B146" s="9" t="s">
        <v>97</v>
      </c>
      <c r="O146" s="25">
        <v>-47630</v>
      </c>
      <c r="P146" s="25">
        <f>+-47947-O146</f>
        <v>-317</v>
      </c>
      <c r="Q146" s="25">
        <f>+-47976-SUM(O146:P146)</f>
        <v>-29</v>
      </c>
      <c r="R146" s="25">
        <f t="shared" si="195"/>
        <v>-579</v>
      </c>
      <c r="S146" s="25">
        <v>-44810</v>
      </c>
      <c r="T146" s="25">
        <f>+-58860-S146</f>
        <v>-14050</v>
      </c>
      <c r="U146" s="25">
        <f>+-63492-SUM(S146:T146)</f>
        <v>-4632</v>
      </c>
      <c r="V146" s="25">
        <f t="shared" si="196"/>
        <v>-16378</v>
      </c>
      <c r="W146" s="25">
        <v>-85811</v>
      </c>
      <c r="X146" s="25">
        <f>+-91505-W146</f>
        <v>-5694</v>
      </c>
      <c r="Y146" s="25">
        <f>+-92374-SUM(W146:X146)</f>
        <v>-869</v>
      </c>
      <c r="AA146" s="25">
        <v>-67185</v>
      </c>
      <c r="AE146" s="25">
        <v>-72654</v>
      </c>
      <c r="AF146" s="25">
        <f>+-73011-AE146</f>
        <v>-357</v>
      </c>
      <c r="BA146" s="25">
        <v>-10420</v>
      </c>
      <c r="BB146" s="25">
        <v>-48555</v>
      </c>
      <c r="BC146" s="25">
        <v>-79870</v>
      </c>
      <c r="BD146" s="25">
        <v>-98970</v>
      </c>
      <c r="BE146" s="25">
        <v>-69146</v>
      </c>
    </row>
    <row r="147" spans="1:57">
      <c r="B147" s="9" t="s">
        <v>98</v>
      </c>
      <c r="O147" s="25">
        <v>-69</v>
      </c>
      <c r="P147" s="25">
        <f>+-1855-O147</f>
        <v>-1786</v>
      </c>
      <c r="Q147" s="25">
        <f>+-1865-SUM(O147:P147)</f>
        <v>-10</v>
      </c>
      <c r="R147" s="25">
        <f t="shared" si="195"/>
        <v>-30</v>
      </c>
      <c r="S147" s="25">
        <v>-221</v>
      </c>
      <c r="T147" s="25">
        <f>+-2208-S147</f>
        <v>-1987</v>
      </c>
      <c r="U147" s="25">
        <f>+-2342-SUM(S147:T147)</f>
        <v>-134</v>
      </c>
      <c r="V147" s="25">
        <f t="shared" si="196"/>
        <v>68</v>
      </c>
      <c r="W147" s="25">
        <v>-359</v>
      </c>
      <c r="X147" s="25">
        <f>+-0.588-W147</f>
        <v>358.41199999999998</v>
      </c>
      <c r="Y147" s="25">
        <f>+-586-SUM(W147:X147)</f>
        <v>-585.41200000000003</v>
      </c>
      <c r="AA147" s="25">
        <v>11</v>
      </c>
      <c r="AE147" s="25">
        <v>-415</v>
      </c>
      <c r="AF147" s="25">
        <f>+-29-AE147</f>
        <v>386</v>
      </c>
      <c r="BA147" s="25">
        <v>-698</v>
      </c>
      <c r="BB147" s="25">
        <v>-1895</v>
      </c>
      <c r="BC147" s="25">
        <v>-2274</v>
      </c>
      <c r="BD147" s="25">
        <v>-294</v>
      </c>
      <c r="BE147" s="25">
        <v>843</v>
      </c>
    </row>
    <row r="148" spans="1:57" s="36" customFormat="1">
      <c r="A148" s="40"/>
      <c r="B148" s="15" t="s">
        <v>99</v>
      </c>
      <c r="O148" s="36">
        <f>+SUM(O145:O147)</f>
        <v>-102100</v>
      </c>
      <c r="P148" s="36">
        <f>+SUM(P145:P147)</f>
        <v>-2103</v>
      </c>
      <c r="Q148" s="36">
        <f>+SUM(Q145:Q147)</f>
        <v>-39</v>
      </c>
      <c r="R148" s="36">
        <f t="shared" si="195"/>
        <v>-609</v>
      </c>
      <c r="S148" s="36">
        <f>+SUM(S145:S147)</f>
        <v>-102260</v>
      </c>
      <c r="T148" s="36">
        <f>+SUM(T145:T147)</f>
        <v>-161959</v>
      </c>
      <c r="U148" s="36">
        <f>+SUM(U145:U147)</f>
        <v>-102348</v>
      </c>
      <c r="V148" s="36">
        <f t="shared" si="196"/>
        <v>-182039</v>
      </c>
      <c r="W148" s="36">
        <f t="shared" ref="W148:AF148" si="197">+SUM(W145:W147)</f>
        <v>-349478</v>
      </c>
      <c r="X148" s="36">
        <f t="shared" si="197"/>
        <v>-263937.58799999999</v>
      </c>
      <c r="Y148" s="36">
        <f t="shared" si="197"/>
        <v>-109319.412</v>
      </c>
      <c r="Z148" s="36">
        <f t="shared" si="197"/>
        <v>0</v>
      </c>
      <c r="AA148" s="36">
        <f t="shared" si="197"/>
        <v>-193883</v>
      </c>
      <c r="AB148" s="36">
        <f t="shared" si="197"/>
        <v>0</v>
      </c>
      <c r="AC148" s="36">
        <f t="shared" si="197"/>
        <v>0</v>
      </c>
      <c r="AD148" s="36">
        <f t="shared" si="197"/>
        <v>0</v>
      </c>
      <c r="AE148" s="36">
        <f t="shared" si="197"/>
        <v>-100074</v>
      </c>
      <c r="AF148" s="36">
        <f t="shared" si="197"/>
        <v>-145334</v>
      </c>
      <c r="BA148" s="36">
        <f>+SUM(BA145:BA147)</f>
        <v>-201735</v>
      </c>
      <c r="BB148" s="36">
        <f>+SUM(BB145:BB147)</f>
        <v>-104851</v>
      </c>
      <c r="BC148" s="36">
        <f>+SUM(BC145:BC147)</f>
        <v>-548606</v>
      </c>
      <c r="BD148" s="36">
        <f>+SUM(BD145:BD147)</f>
        <v>-929404</v>
      </c>
      <c r="BE148" s="36">
        <f>+SUM(BE145:BE147)</f>
        <v>-660652</v>
      </c>
    </row>
    <row r="149" spans="1:57">
      <c r="B149" s="9" t="s">
        <v>100</v>
      </c>
      <c r="O149" s="25">
        <v>-819</v>
      </c>
      <c r="P149" s="25">
        <f>+-104-O149</f>
        <v>715</v>
      </c>
      <c r="Q149" s="25">
        <f>377-SUM(O149:P149)</f>
        <v>481</v>
      </c>
      <c r="R149" s="25">
        <f t="shared" si="195"/>
        <v>699</v>
      </c>
      <c r="S149" s="25">
        <v>-407</v>
      </c>
      <c r="T149" s="25">
        <f>+-216-S149</f>
        <v>191</v>
      </c>
      <c r="U149" s="25">
        <f>+-788-SUM(S149:T149)</f>
        <v>-572</v>
      </c>
      <c r="V149" s="25">
        <f t="shared" si="196"/>
        <v>-251</v>
      </c>
      <c r="W149" s="25">
        <v>147</v>
      </c>
      <c r="X149" s="25">
        <f>+-0.49-W149</f>
        <v>-147.49</v>
      </c>
      <c r="Y149" s="25">
        <f>+-1170-SUM(W149:X149)</f>
        <v>-1169.51</v>
      </c>
      <c r="AA149" s="25">
        <v>290</v>
      </c>
      <c r="AE149" s="25">
        <v>-752</v>
      </c>
      <c r="AF149" s="25">
        <f>+-1121-AE149</f>
        <v>-369</v>
      </c>
      <c r="BA149" s="25">
        <v>406</v>
      </c>
      <c r="BB149" s="25">
        <v>1076</v>
      </c>
      <c r="BC149" s="25">
        <v>-1039</v>
      </c>
      <c r="BD149" s="25">
        <v>-1007</v>
      </c>
      <c r="BE149" s="25">
        <v>381</v>
      </c>
    </row>
    <row r="150" spans="1:57" s="36" customFormat="1">
      <c r="A150" s="40"/>
      <c r="B150" s="15" t="s">
        <v>101</v>
      </c>
      <c r="O150" s="36">
        <f t="shared" ref="O150:T150" si="198">+O136+O143+O148+O149</f>
        <v>19790</v>
      </c>
      <c r="P150" s="36">
        <f t="shared" si="198"/>
        <v>105330</v>
      </c>
      <c r="Q150" s="36">
        <f t="shared" si="198"/>
        <v>56491</v>
      </c>
      <c r="R150" s="36">
        <f t="shared" si="195"/>
        <v>-54256</v>
      </c>
      <c r="S150" s="36">
        <f t="shared" si="198"/>
        <v>86803</v>
      </c>
      <c r="T150" s="36">
        <f t="shared" si="198"/>
        <v>22776</v>
      </c>
      <c r="U150" s="36">
        <f>+U136+U143+U148+U149</f>
        <v>53670</v>
      </c>
      <c r="V150" s="36">
        <f t="shared" si="196"/>
        <v>47145</v>
      </c>
      <c r="W150" s="36">
        <f>+W136+W143+W148+W149</f>
        <v>-199505</v>
      </c>
      <c r="X150" s="36">
        <f>+X136+X143+X148+X149</f>
        <v>297564.42100000009</v>
      </c>
      <c r="Y150" s="36">
        <f>+Y136+Y143+Y148+Y149</f>
        <v>-546701.42099999997</v>
      </c>
      <c r="Z150" s="36">
        <f t="shared" ref="Z150:AD150" si="199">+Z136+Z143+Z148+Z149</f>
        <v>401582</v>
      </c>
      <c r="AA150" s="36">
        <f t="shared" si="199"/>
        <v>25894</v>
      </c>
      <c r="AB150" s="36">
        <f t="shared" si="199"/>
        <v>582510</v>
      </c>
      <c r="AC150" s="36">
        <f t="shared" si="199"/>
        <v>480472</v>
      </c>
      <c r="AD150" s="36">
        <f t="shared" si="199"/>
        <v>265459</v>
      </c>
      <c r="AE150" s="36">
        <f>+AE136+AE143+AE148+AE149</f>
        <v>167369</v>
      </c>
      <c r="AF150" s="36">
        <f>+AF136+AF143+AF148+AF149</f>
        <v>80660</v>
      </c>
      <c r="BA150" s="36">
        <f t="shared" ref="BA150:BB150" si="200">+BA136+BA143+BA148+BA149</f>
        <v>228329</v>
      </c>
      <c r="BB150" s="36">
        <f t="shared" si="200"/>
        <v>127355</v>
      </c>
      <c r="BC150" s="36">
        <f>+BC136+BC143+BC148+BC149</f>
        <v>210394</v>
      </c>
      <c r="BD150" s="36">
        <f>+BD136+BD143+BD148+BD149</f>
        <v>-437264</v>
      </c>
      <c r="BE150" s="36">
        <f>+BE136+BE143+BE148+BE149</f>
        <v>177197</v>
      </c>
    </row>
    <row r="151" spans="1:57">
      <c r="B151" s="9" t="s">
        <v>102</v>
      </c>
      <c r="O151" s="25">
        <f>+N56+N65</f>
        <v>508481</v>
      </c>
      <c r="P151" s="25">
        <f>+N56+N65</f>
        <v>508481</v>
      </c>
      <c r="Q151" s="25">
        <f>+N56+N65</f>
        <v>508481</v>
      </c>
      <c r="R151" s="25">
        <f>+O56+O65</f>
        <v>528271</v>
      </c>
      <c r="S151" s="25">
        <f>+R56+R65</f>
        <v>635836</v>
      </c>
      <c r="T151" s="25">
        <f>+R56+R65</f>
        <v>635836</v>
      </c>
      <c r="U151" s="25">
        <f>+R56+R65</f>
        <v>635836</v>
      </c>
      <c r="V151" s="25">
        <f>+S56+S65</f>
        <v>722639</v>
      </c>
      <c r="W151" s="25">
        <f>+$V$56+$V$65</f>
        <v>846230</v>
      </c>
      <c r="Y151" s="25">
        <f>+$V$56+$V$65</f>
        <v>846230</v>
      </c>
      <c r="AA151" s="25">
        <v>408966</v>
      </c>
      <c r="AB151" s="25">
        <f>+AA152</f>
        <v>434860</v>
      </c>
      <c r="AE151" s="25">
        <v>586163</v>
      </c>
      <c r="AF151" s="25">
        <f>+AE152</f>
        <v>753532</v>
      </c>
      <c r="BA151" s="25">
        <v>280152</v>
      </c>
      <c r="BB151" s="25">
        <v>508481</v>
      </c>
      <c r="BC151" s="25">
        <v>635836</v>
      </c>
      <c r="BD151" s="25">
        <v>846230</v>
      </c>
      <c r="BE151" s="25">
        <v>408966</v>
      </c>
    </row>
    <row r="152" spans="1:57">
      <c r="B152" s="9" t="s">
        <v>103</v>
      </c>
      <c r="O152" s="25">
        <f t="shared" ref="O152:T152" si="201">+O150+O151</f>
        <v>528271</v>
      </c>
      <c r="P152" s="25">
        <f t="shared" si="201"/>
        <v>613811</v>
      </c>
      <c r="Q152" s="25">
        <f t="shared" si="201"/>
        <v>564972</v>
      </c>
      <c r="R152" s="25">
        <f t="shared" ref="R152" si="202">+R150+R151</f>
        <v>474015</v>
      </c>
      <c r="S152" s="25">
        <f t="shared" si="201"/>
        <v>722639</v>
      </c>
      <c r="T152" s="25">
        <f t="shared" si="201"/>
        <v>658612</v>
      </c>
      <c r="U152" s="25">
        <f>+U150+U151</f>
        <v>689506</v>
      </c>
      <c r="V152" s="25">
        <f>+V150+V151</f>
        <v>769784</v>
      </c>
      <c r="W152" s="25">
        <f>+W150+W151</f>
        <v>646725</v>
      </c>
      <c r="Y152" s="25">
        <f>+SUM(Y150:Y151)</f>
        <v>299528.57900000003</v>
      </c>
      <c r="AA152" s="25">
        <f>+SUM(AA150:AA151)</f>
        <v>434860</v>
      </c>
      <c r="AB152" s="25">
        <f>+SUM(AB150:AB151)</f>
        <v>1017370</v>
      </c>
      <c r="AE152" s="25">
        <f>+SUM(AE150:AE151)</f>
        <v>753532</v>
      </c>
      <c r="AF152" s="25">
        <f>+SUM(AF150:AF151)</f>
        <v>834192</v>
      </c>
      <c r="BA152" s="25">
        <f>+BA150+BA151</f>
        <v>508481</v>
      </c>
      <c r="BB152" s="25">
        <f>+BB150+BB151</f>
        <v>635836</v>
      </c>
      <c r="BC152" s="25">
        <f>+BC150+BC151</f>
        <v>846230</v>
      </c>
      <c r="BD152" s="25">
        <f>+BD150+BD151</f>
        <v>408966</v>
      </c>
      <c r="BE152" s="25">
        <f>+BE150+BE151</f>
        <v>586163</v>
      </c>
    </row>
    <row r="154" spans="1:57" s="36" customFormat="1">
      <c r="A154" s="40"/>
      <c r="B154" s="15" t="s">
        <v>179</v>
      </c>
      <c r="O154" s="36">
        <f>+O136+O138</f>
        <v>104418</v>
      </c>
      <c r="P154" s="36">
        <f>+P136+P138</f>
        <v>35060</v>
      </c>
      <c r="Q154" s="36">
        <f t="shared" ref="Q154:AF154" si="203">+Q136+Q138</f>
        <v>162587</v>
      </c>
      <c r="R154" s="36">
        <f t="shared" si="203"/>
        <v>-11570</v>
      </c>
      <c r="S154" s="36">
        <f t="shared" si="203"/>
        <v>219354</v>
      </c>
      <c r="T154" s="36">
        <f t="shared" si="203"/>
        <v>180650</v>
      </c>
      <c r="U154" s="36">
        <f t="shared" si="203"/>
        <v>173173</v>
      </c>
      <c r="V154" s="36">
        <f t="shared" si="203"/>
        <v>266429</v>
      </c>
      <c r="W154" s="36">
        <f t="shared" si="203"/>
        <v>186730</v>
      </c>
      <c r="X154" s="36">
        <f t="shared" si="203"/>
        <v>186963.49900000001</v>
      </c>
      <c r="Y154" s="36">
        <f t="shared" si="203"/>
        <v>212385.50099999999</v>
      </c>
      <c r="Z154" s="36">
        <f t="shared" si="203"/>
        <v>257936</v>
      </c>
      <c r="AA154" s="36">
        <f t="shared" si="203"/>
        <v>334667</v>
      </c>
      <c r="AB154" s="36">
        <f t="shared" si="203"/>
        <v>445278</v>
      </c>
      <c r="AC154" s="36">
        <f t="shared" si="203"/>
        <v>349272</v>
      </c>
      <c r="AD154" s="36">
        <f t="shared" si="203"/>
        <v>93529</v>
      </c>
      <c r="AE154" s="36">
        <f t="shared" si="203"/>
        <v>436531</v>
      </c>
      <c r="AF154" s="36">
        <f t="shared" si="203"/>
        <v>422088</v>
      </c>
      <c r="BA154" s="36">
        <f t="shared" ref="BA154:BC154" si="204">+BA136+BA138</f>
        <v>387720</v>
      </c>
      <c r="BB154" s="36">
        <f t="shared" si="204"/>
        <v>290495</v>
      </c>
      <c r="BC154" s="36">
        <f t="shared" si="204"/>
        <v>839606</v>
      </c>
      <c r="BD154" s="36">
        <f t="shared" ref="BD154:BE154" si="205">+BD136+BD138</f>
        <v>844015</v>
      </c>
      <c r="BE154" s="36">
        <f t="shared" si="205"/>
        <v>1222746</v>
      </c>
    </row>
    <row r="155" spans="1:57">
      <c r="B155" s="9" t="s">
        <v>104</v>
      </c>
      <c r="O155" s="25">
        <f t="shared" ref="O155:Y155" si="206">+O30</f>
        <v>85724</v>
      </c>
      <c r="P155" s="25">
        <f t="shared" si="206"/>
        <v>13561</v>
      </c>
      <c r="Q155" s="25">
        <f t="shared" si="206"/>
        <v>88235</v>
      </c>
      <c r="R155" s="25">
        <f t="shared" si="206"/>
        <v>198523</v>
      </c>
      <c r="S155" s="25">
        <f t="shared" si="206"/>
        <v>132769</v>
      </c>
      <c r="T155" s="25">
        <f t="shared" si="206"/>
        <v>192240</v>
      </c>
      <c r="U155" s="25">
        <f t="shared" si="206"/>
        <v>209092</v>
      </c>
      <c r="V155" s="25">
        <f t="shared" si="206"/>
        <v>138174</v>
      </c>
      <c r="W155" s="25">
        <f t="shared" si="206"/>
        <v>162604</v>
      </c>
      <c r="X155" s="25">
        <f t="shared" si="206"/>
        <v>264623</v>
      </c>
      <c r="Y155" s="25">
        <f t="shared" si="206"/>
        <v>263501</v>
      </c>
      <c r="Z155" s="25">
        <f t="shared" ref="Z155:AD155" si="207">+Z30</f>
        <v>229512</v>
      </c>
      <c r="AA155" s="25">
        <f t="shared" si="207"/>
        <v>300005</v>
      </c>
      <c r="AB155" s="25">
        <f t="shared" si="207"/>
        <v>358030</v>
      </c>
      <c r="AC155" s="25">
        <f t="shared" si="207"/>
        <v>320458</v>
      </c>
      <c r="AD155" s="25">
        <f t="shared" si="207"/>
        <v>288614</v>
      </c>
      <c r="AE155" s="25">
        <f t="shared" ref="AE155:AF155" si="208">+AE30</f>
        <v>364766</v>
      </c>
      <c r="AF155" s="25">
        <f t="shared" si="208"/>
        <v>461433</v>
      </c>
      <c r="BA155" s="25">
        <f t="shared" ref="BA155:BB155" si="209">+BA30</f>
        <v>373702</v>
      </c>
      <c r="BB155" s="25">
        <f t="shared" si="209"/>
        <v>386043</v>
      </c>
      <c r="BC155" s="25">
        <f>+BC30</f>
        <v>672275</v>
      </c>
      <c r="BD155" s="25">
        <f>+BD30</f>
        <v>920240</v>
      </c>
      <c r="BE155" s="25">
        <f>+BE30</f>
        <v>1267107</v>
      </c>
    </row>
    <row r="157" spans="1:57" s="36" customFormat="1">
      <c r="A157" s="40"/>
      <c r="B157" s="15" t="s">
        <v>105</v>
      </c>
      <c r="R157" s="36">
        <f t="shared" ref="R157:T157" si="210">+SUM(O154:R154)</f>
        <v>290495</v>
      </c>
      <c r="S157" s="36">
        <f t="shared" si="210"/>
        <v>405431</v>
      </c>
      <c r="T157" s="36">
        <f t="shared" si="210"/>
        <v>551021</v>
      </c>
      <c r="U157" s="36">
        <f>+SUM(R154:U154)</f>
        <v>561607</v>
      </c>
      <c r="V157" s="36">
        <f t="shared" ref="V157:W157" si="211">+SUM(S154:V154)</f>
        <v>839606</v>
      </c>
      <c r="W157" s="36">
        <f t="shared" si="211"/>
        <v>806982</v>
      </c>
      <c r="X157" s="36">
        <f t="shared" ref="X157:X158" si="212">+SUM(U154:X154)</f>
        <v>813295.49900000007</v>
      </c>
      <c r="Y157" s="36">
        <f t="shared" ref="Y157:Y158" si="213">+SUM(V154:Y154)</f>
        <v>852508</v>
      </c>
      <c r="Z157" s="36">
        <f t="shared" ref="Z157:Z158" si="214">+SUM(W154:Z154)</f>
        <v>844015</v>
      </c>
      <c r="AA157" s="36">
        <f t="shared" ref="AA157:AA158" si="215">+SUM(X154:AA154)</f>
        <v>991952</v>
      </c>
      <c r="AB157" s="36">
        <f t="shared" ref="AB157:AB158" si="216">+SUM(Y154:AB154)</f>
        <v>1250266.5009999999</v>
      </c>
      <c r="AC157" s="36">
        <f t="shared" ref="AC157:AC158" si="217">+SUM(Z154:AC154)</f>
        <v>1387153</v>
      </c>
      <c r="AD157" s="36">
        <f t="shared" ref="AD157:AF158" si="218">+SUM(AA154:AD154)</f>
        <v>1222746</v>
      </c>
      <c r="AE157" s="36">
        <f t="shared" si="218"/>
        <v>1324610</v>
      </c>
      <c r="AF157" s="36">
        <f t="shared" si="218"/>
        <v>1301420</v>
      </c>
      <c r="BB157" s="36">
        <f>+R157</f>
        <v>290495</v>
      </c>
      <c r="BC157" s="36">
        <f>+V157</f>
        <v>839606</v>
      </c>
      <c r="BD157" s="36">
        <f>+Z157</f>
        <v>844015</v>
      </c>
      <c r="BE157" s="36">
        <f>+AD157</f>
        <v>1222746</v>
      </c>
    </row>
    <row r="158" spans="1:57">
      <c r="B158" s="9" t="s">
        <v>106</v>
      </c>
      <c r="R158" s="25">
        <f t="shared" ref="R158:T158" si="219">+SUM(O155:R155)</f>
        <v>386043</v>
      </c>
      <c r="S158" s="25">
        <f t="shared" si="219"/>
        <v>433088</v>
      </c>
      <c r="T158" s="25">
        <f t="shared" si="219"/>
        <v>611767</v>
      </c>
      <c r="U158" s="25">
        <f>+SUM(R155:U155)</f>
        <v>732624</v>
      </c>
      <c r="V158" s="25">
        <f t="shared" ref="V158:W158" si="220">+SUM(S155:V155)</f>
        <v>672275</v>
      </c>
      <c r="W158" s="25">
        <f t="shared" si="220"/>
        <v>702110</v>
      </c>
      <c r="X158" s="25">
        <f t="shared" si="212"/>
        <v>774493</v>
      </c>
      <c r="Y158" s="25">
        <f t="shared" si="213"/>
        <v>828902</v>
      </c>
      <c r="Z158" s="25">
        <f t="shared" si="214"/>
        <v>920240</v>
      </c>
      <c r="AA158" s="25">
        <f t="shared" si="215"/>
        <v>1057641</v>
      </c>
      <c r="AB158" s="25">
        <f t="shared" si="216"/>
        <v>1151048</v>
      </c>
      <c r="AC158" s="25">
        <f t="shared" si="217"/>
        <v>1208005</v>
      </c>
      <c r="AD158" s="25">
        <f t="shared" si="218"/>
        <v>1267107</v>
      </c>
      <c r="AE158" s="25">
        <f t="shared" si="218"/>
        <v>1331868</v>
      </c>
      <c r="AF158" s="25">
        <f t="shared" si="218"/>
        <v>1435271</v>
      </c>
    </row>
    <row r="160" spans="1:57" s="36" customFormat="1">
      <c r="A160" s="40"/>
      <c r="B160" s="15" t="s">
        <v>107</v>
      </c>
      <c r="R160" s="36">
        <f t="shared" ref="R160:T160" si="221">+R157-R158</f>
        <v>-95548</v>
      </c>
      <c r="S160" s="36">
        <f t="shared" si="221"/>
        <v>-27657</v>
      </c>
      <c r="T160" s="36">
        <f t="shared" si="221"/>
        <v>-60746</v>
      </c>
      <c r="U160" s="36">
        <f>+U157-U158</f>
        <v>-171017</v>
      </c>
      <c r="V160" s="36">
        <f t="shared" ref="V160:Y160" si="222">+V157-V158</f>
        <v>167331</v>
      </c>
      <c r="W160" s="36">
        <f t="shared" si="222"/>
        <v>104872</v>
      </c>
      <c r="X160" s="36">
        <f t="shared" si="222"/>
        <v>38802.499000000069</v>
      </c>
      <c r="Y160" s="36">
        <f t="shared" si="222"/>
        <v>23606</v>
      </c>
      <c r="Z160" s="36">
        <f t="shared" ref="Z160:AD160" si="223">+Z157-Z158</f>
        <v>-76225</v>
      </c>
      <c r="AA160" s="36">
        <f t="shared" si="223"/>
        <v>-65689</v>
      </c>
      <c r="AB160" s="36">
        <f t="shared" si="223"/>
        <v>99218.500999999931</v>
      </c>
      <c r="AC160" s="36">
        <f t="shared" si="223"/>
        <v>179148</v>
      </c>
      <c r="AD160" s="36">
        <f t="shared" si="223"/>
        <v>-44361</v>
      </c>
      <c r="AE160" s="36">
        <f t="shared" ref="AE160:AF160" si="224">+AE157-AE158</f>
        <v>-7258</v>
      </c>
      <c r="AF160" s="36">
        <f t="shared" si="224"/>
        <v>-133851</v>
      </c>
    </row>
    <row r="163" spans="2:68">
      <c r="B163" s="9" t="s">
        <v>158</v>
      </c>
      <c r="W163" s="25">
        <v>280766000</v>
      </c>
    </row>
    <row r="164" spans="2:68">
      <c r="B164" s="15" t="s">
        <v>126</v>
      </c>
      <c r="U164" s="25">
        <v>54451</v>
      </c>
    </row>
    <row r="165" spans="2:68">
      <c r="B165" s="9" t="s">
        <v>13</v>
      </c>
      <c r="U165" s="25">
        <v>1812.75</v>
      </c>
    </row>
    <row r="166" spans="2:68">
      <c r="B166" s="9" t="s">
        <v>127</v>
      </c>
    </row>
    <row r="170" spans="2:68">
      <c r="B170" s="8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</row>
    <row r="171" spans="2:68">
      <c r="B171" s="11" t="s">
        <v>192</v>
      </c>
      <c r="BF171" s="82">
        <v>7000</v>
      </c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</row>
    <row r="172" spans="2:68">
      <c r="B172" s="11" t="s">
        <v>39</v>
      </c>
      <c r="BF172" s="82">
        <v>3437</v>
      </c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</row>
    <row r="173" spans="2:68">
      <c r="B173" s="11" t="s">
        <v>191</v>
      </c>
      <c r="BF173" s="84">
        <v>300</v>
      </c>
      <c r="BG173" s="84">
        <v>301</v>
      </c>
      <c r="BH173" s="84">
        <v>302</v>
      </c>
      <c r="BI173" s="84">
        <v>303</v>
      </c>
      <c r="BJ173" s="84">
        <v>304</v>
      </c>
      <c r="BK173" s="84">
        <v>305</v>
      </c>
      <c r="BL173" s="84">
        <v>306</v>
      </c>
      <c r="BM173" s="84">
        <v>307</v>
      </c>
      <c r="BN173" s="84">
        <v>308</v>
      </c>
      <c r="BO173" s="84">
        <v>309</v>
      </c>
      <c r="BP173" s="84">
        <v>310</v>
      </c>
    </row>
    <row r="174" spans="2:68">
      <c r="B174" s="8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</row>
    <row r="175" spans="2:68">
      <c r="B175" s="11" t="s">
        <v>190</v>
      </c>
      <c r="BF175" s="85">
        <f t="shared" ref="BF175:BP175" si="225">($BF$171-$BF$172)/BF173</f>
        <v>11.876666666666667</v>
      </c>
      <c r="BG175" s="85">
        <f t="shared" si="225"/>
        <v>11.837209302325581</v>
      </c>
      <c r="BH175" s="85">
        <f t="shared" si="225"/>
        <v>11.798013245033113</v>
      </c>
      <c r="BI175" s="85">
        <f t="shared" si="225"/>
        <v>11.759075907590759</v>
      </c>
      <c r="BJ175" s="85">
        <f t="shared" si="225"/>
        <v>11.720394736842104</v>
      </c>
      <c r="BK175" s="85">
        <f t="shared" si="225"/>
        <v>11.681967213114755</v>
      </c>
      <c r="BL175" s="85">
        <f t="shared" si="225"/>
        <v>11.643790849673202</v>
      </c>
      <c r="BM175" s="85">
        <f t="shared" si="225"/>
        <v>11.60586319218241</v>
      </c>
      <c r="BN175" s="85">
        <f t="shared" si="225"/>
        <v>11.568181818181818</v>
      </c>
      <c r="BO175" s="85">
        <f t="shared" si="225"/>
        <v>11.53074433656958</v>
      </c>
      <c r="BP175" s="85">
        <f t="shared" si="225"/>
        <v>11.493548387096775</v>
      </c>
    </row>
    <row r="176" spans="2:68">
      <c r="B176" s="11" t="s">
        <v>189</v>
      </c>
      <c r="BF176" s="85"/>
      <c r="BG176" s="85">
        <f t="shared" ref="BG176:BP176" si="226">+BF175-BG175</f>
        <v>3.9457364341085821E-2</v>
      </c>
      <c r="BH176" s="85">
        <f t="shared" si="226"/>
        <v>3.9196057292468112E-2</v>
      </c>
      <c r="BI176" s="85">
        <f t="shared" si="226"/>
        <v>3.8937337442353837E-2</v>
      </c>
      <c r="BJ176" s="85">
        <f t="shared" si="226"/>
        <v>3.8681170748654736E-2</v>
      </c>
      <c r="BK176" s="85">
        <f t="shared" si="226"/>
        <v>3.8427523727349922E-2</v>
      </c>
      <c r="BL176" s="85">
        <f t="shared" si="226"/>
        <v>3.8176363441552397E-2</v>
      </c>
      <c r="BM176" s="85">
        <f t="shared" si="226"/>
        <v>3.7927657490792299E-2</v>
      </c>
      <c r="BN176" s="85">
        <f t="shared" si="226"/>
        <v>3.7681374000591461E-2</v>
      </c>
      <c r="BO176" s="85">
        <f t="shared" si="226"/>
        <v>3.7437481612238699E-2</v>
      </c>
      <c r="BP176" s="85">
        <f t="shared" si="226"/>
        <v>3.7195949472804912E-2</v>
      </c>
    </row>
    <row r="177" spans="2:13">
      <c r="B177" s="8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</row>
    <row r="178" spans="2:13">
      <c r="B178" s="8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</row>
    <row r="179" spans="2:13">
      <c r="B179" s="8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</row>
  </sheetData>
  <conditionalFormatting sqref="BS44">
    <cfRule type="cellIs" dxfId="0" priority="1" operator="greaterThan">
      <formula>0</formula>
    </cfRule>
  </conditionalFormatting>
  <hyperlinks>
    <hyperlink ref="A1" location="Main!A1" display="Main " xr:uid="{6EE904AE-D8DA-B549-AA4D-F92A8482A325}"/>
  </hyperlinks>
  <pageMargins left="0.7" right="0.7" top="0.75" bottom="0.75" header="0.3" footer="0.3"/>
  <ignoredErrors>
    <ignoredError sqref="AZ17:BB17 B91:E94 B95:E95 B90:E90 B96:E96 B97:E97 BC27:BC30 BC18:BC24 BC26 BC33 BE28 BC31 BC32 BE33 Z15:Z16 AA32:AE38 AA17:AB31 AE17:AE31 AF17" formulaRange="1"/>
    <ignoredError sqref="R26:R28 R30 N17:N24 R17 V28 BL28:BN28 P136:Q136 O108 J26:J30 F26:F30 R136:R150 V136:V148 V150 BF28:BK28 N26:N31 AC15:AD16" formula="1"/>
    <ignoredError sqref="Z17:Z24 Z26:Z31 AC17:AD31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A1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baseColWidth="10" defaultRowHeight="14"/>
  <cols>
    <col min="1" max="1" width="4.33203125" style="2" customWidth="1"/>
    <col min="2" max="2" width="11.83203125" style="4" bestFit="1" customWidth="1"/>
    <col min="3" max="3" width="13.6640625" style="2" bestFit="1" customWidth="1"/>
    <col min="4" max="16384" width="10.83203125" style="2"/>
  </cols>
  <sheetData>
    <row r="1" spans="1:3">
      <c r="A1" s="1" t="s">
        <v>212</v>
      </c>
    </row>
    <row r="2" spans="1:3">
      <c r="B2" s="4" t="s">
        <v>150</v>
      </c>
      <c r="C2" s="3">
        <v>600000000</v>
      </c>
    </row>
    <row r="4" spans="1:3">
      <c r="B4" s="4" t="s">
        <v>151</v>
      </c>
      <c r="C4" s="5">
        <v>1.75E-3</v>
      </c>
    </row>
    <row r="5" spans="1:3">
      <c r="B5" s="4" t="s">
        <v>152</v>
      </c>
      <c r="C5" s="6">
        <v>1.375E-2</v>
      </c>
    </row>
    <row r="6" spans="1:3">
      <c r="B6" s="4" t="s">
        <v>153</v>
      </c>
      <c r="C6" s="6">
        <v>1.06E-2</v>
      </c>
    </row>
    <row r="7" spans="1:3">
      <c r="C7" s="3">
        <f>+C2*(SUM(C5:C6))</f>
        <v>14610000</v>
      </c>
    </row>
    <row r="8" spans="1:3">
      <c r="C8" s="3">
        <f>+C2*C4</f>
        <v>1050000</v>
      </c>
    </row>
  </sheetData>
  <hyperlinks>
    <hyperlink ref="A1" location="Main!A1" display="Main" xr:uid="{84C29B4F-4CEB-794C-8379-BA32AE99E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2024-09-23T00:14:31Z</dcterms:modified>
</cp:coreProperties>
</file>