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jameelbrannon/Library/CloudStorage/Dropbox/Models/"/>
    </mc:Choice>
  </mc:AlternateContent>
  <xr:revisionPtr revIDLastSave="0" documentId="13_ncr:1_{B8B79C57-C59C-F04A-A438-50194601EC0A}" xr6:coauthVersionLast="47" xr6:coauthVersionMax="47" xr10:uidLastSave="{00000000-0000-0000-0000-000000000000}"/>
  <bookViews>
    <workbookView xWindow="10820" yWindow="500" windowWidth="33380" windowHeight="26300" activeTab="1" xr2:uid="{CF88BFFC-1CD0-7E40-88AF-393BDC9444C2}"/>
  </bookViews>
  <sheets>
    <sheet name="Model" sheetId="1" r:id="rId1"/>
    <sheet name="Main" sheetId="2" r:id="rId2"/>
    <sheet name="Chart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0" i="1" l="1"/>
  <c r="Q90" i="1"/>
  <c r="P90" i="1"/>
  <c r="O90" i="1"/>
  <c r="N90" i="1"/>
  <c r="S90" i="1"/>
  <c r="R89" i="1"/>
  <c r="Q89" i="1"/>
  <c r="P89" i="1"/>
  <c r="O89" i="1"/>
  <c r="N89" i="1"/>
  <c r="R88" i="1"/>
  <c r="Q88" i="1"/>
  <c r="P88" i="1"/>
  <c r="O88" i="1"/>
  <c r="N88" i="1"/>
  <c r="S89" i="1"/>
  <c r="S88" i="1"/>
  <c r="L86" i="1"/>
  <c r="K86" i="1"/>
  <c r="K85" i="1"/>
  <c r="L84" i="1"/>
  <c r="L83" i="1"/>
  <c r="M83" i="1" s="1"/>
  <c r="P84" i="1"/>
  <c r="P83" i="1"/>
  <c r="M84" i="1"/>
  <c r="N84" i="1" s="1"/>
  <c r="Q84" i="1"/>
  <c r="Q83" i="1"/>
  <c r="R83" i="1" s="1"/>
  <c r="R84" i="1"/>
  <c r="S86" i="1"/>
  <c r="R86" i="1"/>
  <c r="Q86" i="1"/>
  <c r="P86" i="1"/>
  <c r="O86" i="1"/>
  <c r="N86" i="1"/>
  <c r="M86" i="1"/>
  <c r="O85" i="1"/>
  <c r="S85" i="1"/>
  <c r="R78" i="1"/>
  <c r="Q78" i="1"/>
  <c r="P78" i="1"/>
  <c r="O78" i="1"/>
  <c r="O79" i="1" s="1"/>
  <c r="N78" i="1"/>
  <c r="N79" i="1" s="1"/>
  <c r="R79" i="1"/>
  <c r="Q79" i="1"/>
  <c r="P79" i="1"/>
  <c r="S79" i="1"/>
  <c r="S78" i="1"/>
  <c r="R77" i="1"/>
  <c r="Q77" i="1"/>
  <c r="P77" i="1"/>
  <c r="O77" i="1"/>
  <c r="N77" i="1"/>
  <c r="S77" i="1"/>
  <c r="R76" i="1"/>
  <c r="Q76" i="1"/>
  <c r="P76" i="1"/>
  <c r="O76" i="1"/>
  <c r="N76" i="1"/>
  <c r="S76" i="1"/>
  <c r="N83" i="1" l="1"/>
  <c r="L85" i="1"/>
  <c r="N85" i="1"/>
  <c r="P85" i="1"/>
  <c r="Q85" i="1"/>
  <c r="M85" i="1"/>
  <c r="R85" i="1"/>
  <c r="S74" i="1" l="1"/>
  <c r="R74" i="1"/>
  <c r="Q74" i="1"/>
  <c r="P74" i="1"/>
  <c r="O74" i="1"/>
  <c r="N74" i="1"/>
  <c r="S73" i="1"/>
  <c r="R73" i="1"/>
  <c r="Q73" i="1"/>
  <c r="P73" i="1"/>
  <c r="O73" i="1"/>
  <c r="N73" i="1"/>
  <c r="N75" i="1"/>
  <c r="O75" i="1"/>
  <c r="R72" i="1"/>
  <c r="Q72" i="1"/>
  <c r="Q75" i="1" s="1"/>
  <c r="P72" i="1"/>
  <c r="O72" i="1"/>
  <c r="N72" i="1"/>
  <c r="S72" i="1"/>
  <c r="S75" i="1" s="1"/>
  <c r="O67" i="1"/>
  <c r="O69" i="1" s="1"/>
  <c r="O58" i="1"/>
  <c r="P67" i="1"/>
  <c r="P69" i="1" s="1"/>
  <c r="P58" i="1"/>
  <c r="N67" i="1"/>
  <c r="N69" i="1" s="1"/>
  <c r="N58" i="1"/>
  <c r="Q67" i="1"/>
  <c r="Q69" i="1" s="1"/>
  <c r="Q58" i="1"/>
  <c r="Q48" i="1"/>
  <c r="P48" i="1"/>
  <c r="O48" i="1"/>
  <c r="N48" i="1"/>
  <c r="M48" i="1"/>
  <c r="L48" i="1"/>
  <c r="K48" i="1"/>
  <c r="J48" i="1"/>
  <c r="I48" i="1"/>
  <c r="H48" i="1"/>
  <c r="G48" i="1"/>
  <c r="F48" i="1"/>
  <c r="E48" i="1"/>
  <c r="D48" i="1"/>
  <c r="C48" i="1"/>
  <c r="R67" i="1"/>
  <c r="R69" i="1" s="1"/>
  <c r="R58" i="1"/>
  <c r="R48" i="1"/>
  <c r="AT31" i="1"/>
  <c r="AT29" i="1"/>
  <c r="S48" i="1"/>
  <c r="AG48" i="1" s="1"/>
  <c r="S67" i="1"/>
  <c r="S69" i="1" s="1"/>
  <c r="S58" i="1"/>
  <c r="U9" i="1"/>
  <c r="U8" i="1"/>
  <c r="U28" i="1" s="1"/>
  <c r="U10" i="1"/>
  <c r="U30" i="1" s="1"/>
  <c r="T10" i="1"/>
  <c r="T30" i="1" s="1"/>
  <c r="U11" i="1"/>
  <c r="U31" i="1" s="1"/>
  <c r="U7" i="1"/>
  <c r="U27" i="1" s="1"/>
  <c r="T8" i="1"/>
  <c r="T9" i="1"/>
  <c r="T29" i="1" s="1"/>
  <c r="T11" i="1"/>
  <c r="T31" i="1" s="1"/>
  <c r="S5" i="1"/>
  <c r="T19" i="1"/>
  <c r="U19" i="1" s="1"/>
  <c r="T23" i="1"/>
  <c r="U23" i="1" s="1"/>
  <c r="V23" i="1" s="1"/>
  <c r="T7" i="1"/>
  <c r="AC36" i="1"/>
  <c r="AC35" i="1"/>
  <c r="AC34" i="1"/>
  <c r="AC33" i="1"/>
  <c r="AC31" i="1"/>
  <c r="AC30" i="1"/>
  <c r="AC29" i="1"/>
  <c r="AC28" i="1"/>
  <c r="AC27" i="1"/>
  <c r="AD36" i="1"/>
  <c r="AD35" i="1"/>
  <c r="AD34" i="1"/>
  <c r="AD33" i="1"/>
  <c r="AD31" i="1"/>
  <c r="AD30" i="1"/>
  <c r="AD29" i="1"/>
  <c r="AD28" i="1"/>
  <c r="AD27" i="1"/>
  <c r="AE31" i="1"/>
  <c r="AE30" i="1"/>
  <c r="AE29" i="1"/>
  <c r="AE28" i="1"/>
  <c r="AE27" i="1"/>
  <c r="AB12" i="1"/>
  <c r="C18" i="2" s="1"/>
  <c r="AC12" i="1"/>
  <c r="AC15" i="1" s="1"/>
  <c r="AC18" i="1" s="1"/>
  <c r="AC20" i="1" s="1"/>
  <c r="AC22" i="1" s="1"/>
  <c r="AC24" i="1" s="1"/>
  <c r="AF31" i="1"/>
  <c r="AF30" i="1"/>
  <c r="AF29" i="1"/>
  <c r="AF28" i="1"/>
  <c r="AF27" i="1"/>
  <c r="AG31" i="1"/>
  <c r="AG30" i="1"/>
  <c r="AG29" i="1"/>
  <c r="AG28" i="1"/>
  <c r="AG27" i="1"/>
  <c r="S29" i="1"/>
  <c r="Q29" i="1"/>
  <c r="P29" i="1"/>
  <c r="R36" i="1"/>
  <c r="Q36" i="1"/>
  <c r="P36" i="1"/>
  <c r="O36" i="1"/>
  <c r="N36" i="1"/>
  <c r="M36" i="1"/>
  <c r="L36" i="1"/>
  <c r="K36" i="1"/>
  <c r="R35" i="1"/>
  <c r="Q35" i="1"/>
  <c r="P35" i="1"/>
  <c r="O35" i="1"/>
  <c r="N35" i="1"/>
  <c r="M35" i="1"/>
  <c r="L35" i="1"/>
  <c r="K35" i="1"/>
  <c r="R34" i="1"/>
  <c r="Q34" i="1"/>
  <c r="P34" i="1"/>
  <c r="O34" i="1"/>
  <c r="N34" i="1"/>
  <c r="M34" i="1"/>
  <c r="L34" i="1"/>
  <c r="K34" i="1"/>
  <c r="R33" i="1"/>
  <c r="Q33" i="1"/>
  <c r="P33" i="1"/>
  <c r="O33" i="1"/>
  <c r="N33" i="1"/>
  <c r="M33" i="1"/>
  <c r="L33" i="1"/>
  <c r="K33" i="1"/>
  <c r="Q31" i="1"/>
  <c r="P31" i="1"/>
  <c r="O31" i="1"/>
  <c r="M31" i="1"/>
  <c r="L31" i="1"/>
  <c r="K31" i="1"/>
  <c r="Q30" i="1"/>
  <c r="P30" i="1"/>
  <c r="O30" i="1"/>
  <c r="M30" i="1"/>
  <c r="L30" i="1"/>
  <c r="K30" i="1"/>
  <c r="O29" i="1"/>
  <c r="M29" i="1"/>
  <c r="L29" i="1"/>
  <c r="K29" i="1"/>
  <c r="Q28" i="1"/>
  <c r="P28" i="1"/>
  <c r="O28" i="1"/>
  <c r="M28" i="1"/>
  <c r="L28" i="1"/>
  <c r="K28" i="1"/>
  <c r="Q27" i="1"/>
  <c r="P27" i="1"/>
  <c r="O27" i="1"/>
  <c r="M27" i="1"/>
  <c r="L27" i="1"/>
  <c r="K27" i="1"/>
  <c r="S36" i="1"/>
  <c r="S35" i="1"/>
  <c r="S34" i="1"/>
  <c r="S33" i="1"/>
  <c r="S31" i="1"/>
  <c r="S30" i="1"/>
  <c r="S28" i="1"/>
  <c r="S27" i="1"/>
  <c r="AE21" i="1"/>
  <c r="AE19" i="1"/>
  <c r="AE17" i="1"/>
  <c r="AE36" i="1" s="1"/>
  <c r="AE16" i="1"/>
  <c r="AE35" i="1" s="1"/>
  <c r="AE14" i="1"/>
  <c r="AE34" i="1" s="1"/>
  <c r="AE13" i="1"/>
  <c r="AE33" i="1" s="1"/>
  <c r="AF21" i="1"/>
  <c r="AF19" i="1"/>
  <c r="AF17" i="1"/>
  <c r="AF16" i="1"/>
  <c r="AF43" i="1" s="1"/>
  <c r="AF14" i="1"/>
  <c r="AF13" i="1"/>
  <c r="AG21" i="1"/>
  <c r="AG19" i="1"/>
  <c r="AG17" i="1"/>
  <c r="AG16" i="1"/>
  <c r="AG14" i="1"/>
  <c r="AG13" i="1"/>
  <c r="V3" i="1"/>
  <c r="V2" i="1" s="1"/>
  <c r="U3" i="1"/>
  <c r="U2" i="1" s="1"/>
  <c r="T3" i="1"/>
  <c r="T2" i="1" s="1"/>
  <c r="J11" i="1"/>
  <c r="J10" i="1"/>
  <c r="J9" i="1"/>
  <c r="J8" i="1"/>
  <c r="J7" i="1"/>
  <c r="AD12" i="1"/>
  <c r="AD38" i="1" s="1"/>
  <c r="N11" i="1"/>
  <c r="N10" i="1"/>
  <c r="N9" i="1"/>
  <c r="N8" i="1"/>
  <c r="N7" i="1"/>
  <c r="R11" i="1"/>
  <c r="R10" i="1"/>
  <c r="R9" i="1"/>
  <c r="V9" i="1" s="1"/>
  <c r="R8" i="1"/>
  <c r="V8" i="1" s="1"/>
  <c r="R7" i="1"/>
  <c r="V7" i="1" s="1"/>
  <c r="AE12" i="1"/>
  <c r="F15" i="2" s="1"/>
  <c r="AF12" i="1"/>
  <c r="G18" i="2" s="1"/>
  <c r="AG12" i="1"/>
  <c r="H16" i="2" s="1"/>
  <c r="Q12" i="1"/>
  <c r="Q15" i="1" s="1"/>
  <c r="Q18" i="1" s="1"/>
  <c r="Q20" i="1" s="1"/>
  <c r="Q22" i="1" s="1"/>
  <c r="Q24" i="1" s="1"/>
  <c r="P12" i="1"/>
  <c r="P15" i="1" s="1"/>
  <c r="P18" i="1" s="1"/>
  <c r="P20" i="1" s="1"/>
  <c r="P22" i="1" s="1"/>
  <c r="P24" i="1" s="1"/>
  <c r="O12" i="1"/>
  <c r="O15" i="1" s="1"/>
  <c r="O18" i="1" s="1"/>
  <c r="O20" i="1" s="1"/>
  <c r="O22" i="1" s="1"/>
  <c r="O24" i="1" s="1"/>
  <c r="M12" i="1"/>
  <c r="M15" i="1" s="1"/>
  <c r="M18" i="1" s="1"/>
  <c r="M20" i="1" s="1"/>
  <c r="M22" i="1" s="1"/>
  <c r="M24" i="1" s="1"/>
  <c r="L12" i="1"/>
  <c r="L15" i="1" s="1"/>
  <c r="L18" i="1" s="1"/>
  <c r="L20" i="1" s="1"/>
  <c r="L22" i="1" s="1"/>
  <c r="L24" i="1" s="1"/>
  <c r="K12" i="1"/>
  <c r="K38" i="1" s="1"/>
  <c r="I12" i="1"/>
  <c r="I15" i="1" s="1"/>
  <c r="I18" i="1" s="1"/>
  <c r="I20" i="1" s="1"/>
  <c r="I22" i="1" s="1"/>
  <c r="I24" i="1" s="1"/>
  <c r="H12" i="1"/>
  <c r="H15" i="1" s="1"/>
  <c r="H18" i="1" s="1"/>
  <c r="H20" i="1" s="1"/>
  <c r="H22" i="1" s="1"/>
  <c r="H24" i="1" s="1"/>
  <c r="G12" i="1"/>
  <c r="G15" i="1" s="1"/>
  <c r="G18" i="1" s="1"/>
  <c r="G20" i="1" s="1"/>
  <c r="G22" i="1" s="1"/>
  <c r="G24" i="1" s="1"/>
  <c r="F12" i="1"/>
  <c r="F15" i="1" s="1"/>
  <c r="F18" i="1" s="1"/>
  <c r="F20" i="1" s="1"/>
  <c r="F22" i="1" s="1"/>
  <c r="F24" i="1" s="1"/>
  <c r="E12" i="1"/>
  <c r="E15" i="1" s="1"/>
  <c r="E18" i="1" s="1"/>
  <c r="E20" i="1" s="1"/>
  <c r="E22" i="1" s="1"/>
  <c r="E24" i="1" s="1"/>
  <c r="D12" i="1"/>
  <c r="D15" i="1" s="1"/>
  <c r="D18" i="1" s="1"/>
  <c r="D20" i="1" s="1"/>
  <c r="D22" i="1" s="1"/>
  <c r="D24" i="1" s="1"/>
  <c r="C12" i="1"/>
  <c r="C15" i="1" s="1"/>
  <c r="C18" i="1" s="1"/>
  <c r="C20" i="1" s="1"/>
  <c r="C22" i="1" s="1"/>
  <c r="C24" i="1" s="1"/>
  <c r="S12" i="1"/>
  <c r="S15" i="1" s="1"/>
  <c r="S18" i="1" s="1"/>
  <c r="S20" i="1" s="1"/>
  <c r="S22" i="1" s="1"/>
  <c r="S24" i="1" s="1"/>
  <c r="Z4" i="1"/>
  <c r="AA4" i="1" s="1"/>
  <c r="AB4" i="1" s="1"/>
  <c r="AC4" i="1" s="1"/>
  <c r="AD4" i="1" s="1"/>
  <c r="AE4" i="1" s="1"/>
  <c r="AF4" i="1" s="1"/>
  <c r="AG4" i="1" s="1"/>
  <c r="AH4" i="1" s="1"/>
  <c r="AI4" i="1" s="1"/>
  <c r="AJ4" i="1" s="1"/>
  <c r="AK4" i="1" s="1"/>
  <c r="AL4" i="1" s="1"/>
  <c r="AM4" i="1" s="1"/>
  <c r="AN4" i="1" s="1"/>
  <c r="AO4" i="1" s="1"/>
  <c r="AP4" i="1" s="1"/>
  <c r="AQ4" i="1" s="1"/>
  <c r="S2" i="1"/>
  <c r="R2" i="1"/>
  <c r="Q2" i="1"/>
  <c r="P2" i="1"/>
  <c r="O2" i="1"/>
  <c r="N2" i="1"/>
  <c r="M2" i="1"/>
  <c r="L2" i="1"/>
  <c r="K2" i="1"/>
  <c r="J2" i="1"/>
  <c r="I2" i="1"/>
  <c r="H2" i="1"/>
  <c r="G2" i="1"/>
  <c r="C4" i="2"/>
  <c r="I7" i="2"/>
  <c r="I6" i="2"/>
  <c r="I5" i="2"/>
  <c r="I8" i="2" s="1"/>
  <c r="AT34" i="1" s="1"/>
  <c r="R75" i="1" l="1"/>
  <c r="P75" i="1"/>
  <c r="AG43" i="1"/>
  <c r="AG44" i="1"/>
  <c r="AF41" i="1"/>
  <c r="AC42" i="1"/>
  <c r="AF42" i="1"/>
  <c r="AD42" i="1"/>
  <c r="AF44" i="1"/>
  <c r="AC44" i="1"/>
  <c r="AG38" i="1"/>
  <c r="AD44" i="1"/>
  <c r="AE41" i="1"/>
  <c r="AE43" i="1"/>
  <c r="AE44" i="1"/>
  <c r="AE42" i="1"/>
  <c r="AC41" i="1"/>
  <c r="AC43" i="1"/>
  <c r="AG41" i="1"/>
  <c r="AG42" i="1"/>
  <c r="AD41" i="1"/>
  <c r="AD43" i="1"/>
  <c r="AF38" i="1"/>
  <c r="AE38" i="1"/>
  <c r="AH19" i="1"/>
  <c r="AB38" i="1"/>
  <c r="AC39" i="1"/>
  <c r="AC38" i="1"/>
  <c r="M38" i="1"/>
  <c r="AD32" i="1"/>
  <c r="I17" i="2"/>
  <c r="AH8" i="1"/>
  <c r="AI8" i="1" s="1"/>
  <c r="AJ8" i="1" s="1"/>
  <c r="AJ28" i="1" s="1"/>
  <c r="G15" i="2"/>
  <c r="I15" i="2"/>
  <c r="N27" i="1"/>
  <c r="AG34" i="1"/>
  <c r="AH7" i="1"/>
  <c r="AI7" i="1" s="1"/>
  <c r="AJ7" i="1" s="1"/>
  <c r="AK7" i="1" s="1"/>
  <c r="AL7" i="1" s="1"/>
  <c r="AM7" i="1" s="1"/>
  <c r="AN7" i="1" s="1"/>
  <c r="AO7" i="1" s="1"/>
  <c r="AP7" i="1" s="1"/>
  <c r="AQ7" i="1" s="1"/>
  <c r="R30" i="1"/>
  <c r="M39" i="1"/>
  <c r="T28" i="1"/>
  <c r="N30" i="1"/>
  <c r="V10" i="1"/>
  <c r="AH10" i="1" s="1"/>
  <c r="AI10" i="1" s="1"/>
  <c r="AJ10" i="1" s="1"/>
  <c r="AK10" i="1" s="1"/>
  <c r="AL10" i="1" s="1"/>
  <c r="AM10" i="1" s="1"/>
  <c r="AN10" i="1" s="1"/>
  <c r="AO10" i="1" s="1"/>
  <c r="AP10" i="1" s="1"/>
  <c r="AQ10" i="1" s="1"/>
  <c r="R31" i="1"/>
  <c r="N31" i="1"/>
  <c r="V19" i="1"/>
  <c r="AH9" i="1"/>
  <c r="G14" i="2"/>
  <c r="V27" i="1"/>
  <c r="T27" i="1"/>
  <c r="U12" i="1"/>
  <c r="U16" i="1" s="1"/>
  <c r="U35" i="1" s="1"/>
  <c r="S38" i="1"/>
  <c r="V11" i="1"/>
  <c r="AH11" i="1" s="1"/>
  <c r="I18" i="2"/>
  <c r="AF33" i="1"/>
  <c r="F14" i="2"/>
  <c r="L38" i="1"/>
  <c r="V29" i="1"/>
  <c r="U29" i="1"/>
  <c r="V28" i="1"/>
  <c r="AF34" i="1"/>
  <c r="C14" i="2"/>
  <c r="AG36" i="1"/>
  <c r="F17" i="2"/>
  <c r="O39" i="1"/>
  <c r="AG33" i="1"/>
  <c r="AF35" i="1"/>
  <c r="AF36" i="1"/>
  <c r="AG35" i="1"/>
  <c r="F16" i="2"/>
  <c r="G17" i="2"/>
  <c r="P39" i="1"/>
  <c r="D18" i="2"/>
  <c r="E17" i="2"/>
  <c r="H18" i="2"/>
  <c r="AC32" i="1"/>
  <c r="AB15" i="1"/>
  <c r="AB18" i="1" s="1"/>
  <c r="T12" i="1"/>
  <c r="E14" i="2"/>
  <c r="H15" i="2"/>
  <c r="S39" i="1"/>
  <c r="G39" i="1"/>
  <c r="H17" i="2"/>
  <c r="H39" i="1"/>
  <c r="R29" i="1"/>
  <c r="D14" i="2"/>
  <c r="C16" i="2"/>
  <c r="Q39" i="1"/>
  <c r="O32" i="1"/>
  <c r="N29" i="1"/>
  <c r="AF32" i="1"/>
  <c r="D15" i="2"/>
  <c r="I14" i="2"/>
  <c r="G16" i="2"/>
  <c r="E18" i="2"/>
  <c r="C17" i="2"/>
  <c r="AD15" i="1"/>
  <c r="AD18" i="1" s="1"/>
  <c r="G38" i="1"/>
  <c r="O38" i="1"/>
  <c r="AG32" i="1"/>
  <c r="E16" i="2"/>
  <c r="C15" i="2"/>
  <c r="N28" i="1"/>
  <c r="H14" i="2"/>
  <c r="AE32" i="1"/>
  <c r="I39" i="1"/>
  <c r="R27" i="1"/>
  <c r="D16" i="2"/>
  <c r="E15" i="2"/>
  <c r="F18" i="2"/>
  <c r="H38" i="1"/>
  <c r="P38" i="1"/>
  <c r="R28" i="1"/>
  <c r="D17" i="2"/>
  <c r="I16" i="2"/>
  <c r="I38" i="1"/>
  <c r="Q38" i="1"/>
  <c r="L39" i="1"/>
  <c r="K32" i="1"/>
  <c r="L32" i="1"/>
  <c r="M32" i="1"/>
  <c r="S32" i="1"/>
  <c r="Q32" i="1"/>
  <c r="P32" i="1"/>
  <c r="J12" i="1"/>
  <c r="N12" i="1"/>
  <c r="N38" i="1" s="1"/>
  <c r="R12" i="1"/>
  <c r="K15" i="1"/>
  <c r="AI9" i="1" l="1"/>
  <c r="AJ9" i="1" s="1"/>
  <c r="AK9" i="1" s="1"/>
  <c r="AL9" i="1" s="1"/>
  <c r="AM9" i="1" s="1"/>
  <c r="AN9" i="1" s="1"/>
  <c r="AO9" i="1" s="1"/>
  <c r="AP9" i="1" s="1"/>
  <c r="AQ9" i="1" s="1"/>
  <c r="AB20" i="1"/>
  <c r="AB22" i="1" s="1"/>
  <c r="AB24" i="1" s="1"/>
  <c r="AB39" i="1"/>
  <c r="AI11" i="1"/>
  <c r="AJ11" i="1" s="1"/>
  <c r="AK11" i="1" s="1"/>
  <c r="AL11" i="1" s="1"/>
  <c r="AM11" i="1" s="1"/>
  <c r="AN11" i="1" s="1"/>
  <c r="AO11" i="1" s="1"/>
  <c r="AP11" i="1" s="1"/>
  <c r="AQ11" i="1" s="1"/>
  <c r="AD20" i="1"/>
  <c r="AD22" i="1" s="1"/>
  <c r="AD24" i="1" s="1"/>
  <c r="AD39" i="1"/>
  <c r="AH28" i="1"/>
  <c r="AI28" i="1"/>
  <c r="AH27" i="1"/>
  <c r="AK8" i="1"/>
  <c r="AL8" i="1" s="1"/>
  <c r="V12" i="1"/>
  <c r="V17" i="1" s="1"/>
  <c r="V36" i="1" s="1"/>
  <c r="AH30" i="1"/>
  <c r="V31" i="1"/>
  <c r="V30" i="1"/>
  <c r="U17" i="1"/>
  <c r="U36" i="1" s="1"/>
  <c r="U32" i="1"/>
  <c r="AI29" i="1"/>
  <c r="AH29" i="1"/>
  <c r="AH31" i="1"/>
  <c r="AI27" i="1"/>
  <c r="J15" i="1"/>
  <c r="J18" i="1" s="1"/>
  <c r="AE18" i="1" s="1"/>
  <c r="AE39" i="1" s="1"/>
  <c r="J38" i="1"/>
  <c r="T32" i="1"/>
  <c r="T13" i="1"/>
  <c r="T14" i="1"/>
  <c r="T17" i="1"/>
  <c r="T16" i="1"/>
  <c r="R38" i="1"/>
  <c r="N15" i="1"/>
  <c r="N18" i="1" s="1"/>
  <c r="N32" i="1"/>
  <c r="K18" i="1"/>
  <c r="K39" i="1" s="1"/>
  <c r="R15" i="1"/>
  <c r="R32" i="1"/>
  <c r="AK29" i="1" l="1"/>
  <c r="AJ29" i="1"/>
  <c r="AI31" i="1"/>
  <c r="AI12" i="1"/>
  <c r="AK30" i="1"/>
  <c r="AJ31" i="1"/>
  <c r="V16" i="1"/>
  <c r="V35" i="1" s="1"/>
  <c r="AI30" i="1"/>
  <c r="AJ30" i="1"/>
  <c r="AK28" i="1"/>
  <c r="AK31" i="1"/>
  <c r="V32" i="1"/>
  <c r="AH12" i="1"/>
  <c r="AJ12" i="1"/>
  <c r="AL29" i="1"/>
  <c r="AM8" i="1"/>
  <c r="AL28" i="1"/>
  <c r="AL30" i="1"/>
  <c r="AL31" i="1"/>
  <c r="T33" i="1"/>
  <c r="T34" i="1"/>
  <c r="U13" i="1"/>
  <c r="AE15" i="1"/>
  <c r="AJ27" i="1"/>
  <c r="T35" i="1"/>
  <c r="T36" i="1"/>
  <c r="AH17" i="1"/>
  <c r="U14" i="1"/>
  <c r="T15" i="1"/>
  <c r="T38" i="1"/>
  <c r="N20" i="1"/>
  <c r="N22" i="1" s="1"/>
  <c r="N24" i="1" s="1"/>
  <c r="N39" i="1"/>
  <c r="AF15" i="1"/>
  <c r="J20" i="1"/>
  <c r="J39" i="1"/>
  <c r="R18" i="1"/>
  <c r="R39" i="1" s="1"/>
  <c r="AG15" i="1"/>
  <c r="K20" i="1"/>
  <c r="AF18" i="1"/>
  <c r="AF39" i="1" s="1"/>
  <c r="AJ13" i="1" l="1"/>
  <c r="AJ16" i="1"/>
  <c r="AI13" i="1"/>
  <c r="AI41" i="1" s="1"/>
  <c r="AI16" i="1"/>
  <c r="AH44" i="1"/>
  <c r="AH16" i="1"/>
  <c r="AH43" i="1" s="1"/>
  <c r="AH32" i="1"/>
  <c r="AI17" i="1"/>
  <c r="AI32" i="1"/>
  <c r="AK12" i="1"/>
  <c r="AJ32" i="1"/>
  <c r="AM31" i="1"/>
  <c r="AM30" i="1"/>
  <c r="AM28" i="1"/>
  <c r="AN8" i="1"/>
  <c r="AM29" i="1"/>
  <c r="U34" i="1"/>
  <c r="V14" i="1"/>
  <c r="V34" i="1" s="1"/>
  <c r="T18" i="1"/>
  <c r="T20" i="1" s="1"/>
  <c r="AH36" i="1"/>
  <c r="U15" i="1"/>
  <c r="U18" i="1" s="1"/>
  <c r="U33" i="1"/>
  <c r="U38" i="1"/>
  <c r="V13" i="1"/>
  <c r="AK27" i="1"/>
  <c r="J22" i="1"/>
  <c r="AE20" i="1"/>
  <c r="K22" i="1"/>
  <c r="AF20" i="1"/>
  <c r="R20" i="1"/>
  <c r="AG18" i="1"/>
  <c r="AG39" i="1" s="1"/>
  <c r="AI35" i="1" l="1"/>
  <c r="AK13" i="1"/>
  <c r="AK16" i="1"/>
  <c r="AJ17" i="1"/>
  <c r="AI44" i="1"/>
  <c r="AI43" i="1"/>
  <c r="AH35" i="1"/>
  <c r="AI36" i="1"/>
  <c r="T39" i="1"/>
  <c r="AH14" i="1"/>
  <c r="AH42" i="1" s="1"/>
  <c r="AK32" i="1"/>
  <c r="AK17" i="1"/>
  <c r="AL12" i="1"/>
  <c r="AN28" i="1"/>
  <c r="AO8" i="1"/>
  <c r="AN30" i="1"/>
  <c r="AN29" i="1"/>
  <c r="AN31" i="1"/>
  <c r="AL27" i="1"/>
  <c r="V38" i="1"/>
  <c r="V15" i="1"/>
  <c r="V33" i="1"/>
  <c r="U20" i="1"/>
  <c r="U39" i="1"/>
  <c r="AH13" i="1"/>
  <c r="T21" i="1"/>
  <c r="J24" i="1"/>
  <c r="AE24" i="1" s="1"/>
  <c r="AE22" i="1"/>
  <c r="R22" i="1"/>
  <c r="AG20" i="1"/>
  <c r="K24" i="1"/>
  <c r="AF24" i="1" s="1"/>
  <c r="AF22" i="1"/>
  <c r="AH41" i="1" l="1"/>
  <c r="AH38" i="1"/>
  <c r="AL13" i="1"/>
  <c r="AL16" i="1"/>
  <c r="AK36" i="1"/>
  <c r="AK44" i="1"/>
  <c r="AJ35" i="1"/>
  <c r="AJ43" i="1"/>
  <c r="AJ36" i="1"/>
  <c r="AJ44" i="1"/>
  <c r="AI14" i="1"/>
  <c r="AH34" i="1"/>
  <c r="AI33" i="1"/>
  <c r="AM12" i="1"/>
  <c r="AL32" i="1"/>
  <c r="AL17" i="1"/>
  <c r="AO29" i="1"/>
  <c r="AO30" i="1"/>
  <c r="AO31" i="1"/>
  <c r="AP8" i="1"/>
  <c r="AO28" i="1"/>
  <c r="V18" i="1"/>
  <c r="AH15" i="1"/>
  <c r="AM27" i="1"/>
  <c r="T22" i="1"/>
  <c r="U21" i="1"/>
  <c r="U22" i="1" s="1"/>
  <c r="U24" i="1" s="1"/>
  <c r="AH33" i="1"/>
  <c r="AE23" i="1"/>
  <c r="AF23" i="1"/>
  <c r="R24" i="1"/>
  <c r="AG24" i="1" s="1"/>
  <c r="AG22" i="1"/>
  <c r="AG23" i="1" s="1"/>
  <c r="AM13" i="1" l="1"/>
  <c r="AM16" i="1"/>
  <c r="AI34" i="1"/>
  <c r="AI42" i="1"/>
  <c r="AI15" i="1"/>
  <c r="AI18" i="1" s="1"/>
  <c r="AI39" i="1" s="1"/>
  <c r="AJ14" i="1"/>
  <c r="AJ42" i="1" s="1"/>
  <c r="AK35" i="1"/>
  <c r="AK43" i="1"/>
  <c r="AI38" i="1"/>
  <c r="AL36" i="1"/>
  <c r="AL44" i="1"/>
  <c r="AJ33" i="1"/>
  <c r="AJ41" i="1"/>
  <c r="AK41" i="1"/>
  <c r="AK33" i="1"/>
  <c r="AL41" i="1"/>
  <c r="AN12" i="1"/>
  <c r="AM32" i="1"/>
  <c r="AM17" i="1"/>
  <c r="AQ31" i="1"/>
  <c r="AP31" i="1"/>
  <c r="AQ30" i="1"/>
  <c r="AP30" i="1"/>
  <c r="AQ8" i="1"/>
  <c r="AQ28" i="1" s="1"/>
  <c r="AP28" i="1"/>
  <c r="AQ29" i="1"/>
  <c r="AP29" i="1"/>
  <c r="AN27" i="1"/>
  <c r="T24" i="1"/>
  <c r="V20" i="1"/>
  <c r="V39" i="1"/>
  <c r="AH18" i="1"/>
  <c r="AH39" i="1" s="1"/>
  <c r="AN13" i="1" l="1"/>
  <c r="AN16" i="1"/>
  <c r="AJ38" i="1"/>
  <c r="AK14" i="1"/>
  <c r="AL14" i="1" s="1"/>
  <c r="AJ15" i="1"/>
  <c r="AJ18" i="1" s="1"/>
  <c r="AJ39" i="1" s="1"/>
  <c r="AJ34" i="1"/>
  <c r="AK38" i="1"/>
  <c r="AK42" i="1"/>
  <c r="AL35" i="1"/>
  <c r="AL43" i="1"/>
  <c r="AM36" i="1"/>
  <c r="AM44" i="1"/>
  <c r="AK15" i="1"/>
  <c r="AK18" i="1" s="1"/>
  <c r="AK39" i="1" s="1"/>
  <c r="AL33" i="1"/>
  <c r="AM41" i="1"/>
  <c r="AK34" i="1"/>
  <c r="AN32" i="1"/>
  <c r="AN17" i="1"/>
  <c r="AO12" i="1"/>
  <c r="V21" i="1"/>
  <c r="AH20" i="1"/>
  <c r="AO27" i="1"/>
  <c r="AO13" i="1" l="1"/>
  <c r="AO16" i="1"/>
  <c r="AM35" i="1"/>
  <c r="AM43" i="1"/>
  <c r="AN36" i="1"/>
  <c r="AN44" i="1"/>
  <c r="AN35" i="1"/>
  <c r="AN43" i="1"/>
  <c r="AL15" i="1"/>
  <c r="AL18" i="1" s="1"/>
  <c r="AL39" i="1" s="1"/>
  <c r="AL42" i="1"/>
  <c r="AL38" i="1"/>
  <c r="AM33" i="1"/>
  <c r="AN41" i="1"/>
  <c r="AO32" i="1"/>
  <c r="AO17" i="1"/>
  <c r="AL34" i="1"/>
  <c r="AM14" i="1"/>
  <c r="AQ12" i="1"/>
  <c r="AP12" i="1"/>
  <c r="AP27" i="1"/>
  <c r="V22" i="1"/>
  <c r="AH21" i="1"/>
  <c r="AP13" i="1" l="1"/>
  <c r="AP16" i="1"/>
  <c r="AQ13" i="1"/>
  <c r="AQ16" i="1"/>
  <c r="AO35" i="1"/>
  <c r="AO43" i="1"/>
  <c r="AO36" i="1"/>
  <c r="AO44" i="1"/>
  <c r="AM38" i="1"/>
  <c r="AM42" i="1"/>
  <c r="AO33" i="1"/>
  <c r="AO41" i="1"/>
  <c r="AN33" i="1"/>
  <c r="AM15" i="1"/>
  <c r="AM18" i="1" s="1"/>
  <c r="AM39" i="1" s="1"/>
  <c r="AQ27" i="1"/>
  <c r="AM34" i="1"/>
  <c r="AN14" i="1"/>
  <c r="AP32" i="1"/>
  <c r="AP17" i="1"/>
  <c r="AQ32" i="1"/>
  <c r="V24" i="1"/>
  <c r="AH24" i="1" s="1"/>
  <c r="AH22" i="1"/>
  <c r="AP35" i="1" l="1"/>
  <c r="AP43" i="1"/>
  <c r="AP36" i="1"/>
  <c r="AP44" i="1"/>
  <c r="AN15" i="1"/>
  <c r="AN18" i="1" s="1"/>
  <c r="AN39" i="1" s="1"/>
  <c r="AN42" i="1"/>
  <c r="AP33" i="1"/>
  <c r="AP41" i="1"/>
  <c r="AQ17" i="1"/>
  <c r="AH23" i="1"/>
  <c r="AI23" i="1" s="1"/>
  <c r="AJ23" i="1" s="1"/>
  <c r="AK23" i="1" s="1"/>
  <c r="AL23" i="1" s="1"/>
  <c r="AM23" i="1" s="1"/>
  <c r="AN23" i="1" s="1"/>
  <c r="AO23" i="1" s="1"/>
  <c r="AP23" i="1" s="1"/>
  <c r="AQ23" i="1" s="1"/>
  <c r="AH48" i="1"/>
  <c r="AI19" i="1" s="1"/>
  <c r="AI20" i="1" s="1"/>
  <c r="AN38" i="1"/>
  <c r="AN34" i="1"/>
  <c r="AO14" i="1"/>
  <c r="AO42" i="1" s="1"/>
  <c r="AQ41" i="1"/>
  <c r="AQ35" i="1" l="1"/>
  <c r="AQ43" i="1"/>
  <c r="AQ36" i="1"/>
  <c r="AQ44" i="1"/>
  <c r="AI21" i="1"/>
  <c r="AI22" i="1" s="1"/>
  <c r="AQ33" i="1"/>
  <c r="AO38" i="1"/>
  <c r="AO15" i="1"/>
  <c r="AO18" i="1" s="1"/>
  <c r="AO39" i="1" s="1"/>
  <c r="AO34" i="1"/>
  <c r="AP14" i="1"/>
  <c r="AP42" i="1" s="1"/>
  <c r="AI24" i="1" l="1"/>
  <c r="AI48" i="1"/>
  <c r="AP38" i="1"/>
  <c r="AP15" i="1"/>
  <c r="AP18" i="1" s="1"/>
  <c r="AP39" i="1" s="1"/>
  <c r="AP34" i="1"/>
  <c r="AQ14" i="1"/>
  <c r="AQ42" i="1" s="1"/>
  <c r="AJ19" i="1" l="1"/>
  <c r="AJ20" i="1" s="1"/>
  <c r="AJ21" i="1" s="1"/>
  <c r="AJ22" i="1" s="1"/>
  <c r="AJ24" i="1" s="1"/>
  <c r="AQ15" i="1"/>
  <c r="AQ18" i="1" s="1"/>
  <c r="AQ39" i="1" s="1"/>
  <c r="AQ38" i="1"/>
  <c r="AQ34" i="1"/>
  <c r="AJ48" i="1" l="1"/>
  <c r="AK19" i="1" s="1"/>
  <c r="AK20" i="1" s="1"/>
  <c r="AK21" i="1" s="1"/>
  <c r="AK22" i="1" s="1"/>
  <c r="AK24" i="1" s="1"/>
  <c r="AK48" i="1" l="1"/>
  <c r="AL19" i="1" s="1"/>
  <c r="AL20" i="1" s="1"/>
  <c r="AL21" i="1" l="1"/>
  <c r="AL22" i="1" s="1"/>
  <c r="AL24" i="1" l="1"/>
  <c r="AL48" i="1"/>
  <c r="AM19" i="1" s="1"/>
  <c r="AM20" i="1" l="1"/>
  <c r="AM21" i="1" l="1"/>
  <c r="AM22" i="1" s="1"/>
  <c r="AM24" i="1" l="1"/>
  <c r="AM48" i="1"/>
  <c r="AN19" i="1" s="1"/>
  <c r="AN20" i="1" l="1"/>
  <c r="AN21" i="1" l="1"/>
  <c r="AN22" i="1" s="1"/>
  <c r="AN24" i="1" l="1"/>
  <c r="AN48" i="1"/>
  <c r="AO19" i="1" s="1"/>
  <c r="AO20" i="1" l="1"/>
  <c r="AO21" i="1" l="1"/>
  <c r="AO22" i="1" s="1"/>
  <c r="AO24" i="1" l="1"/>
  <c r="AO48" i="1"/>
  <c r="AP19" i="1" s="1"/>
  <c r="AP20" i="1" l="1"/>
  <c r="AP21" i="1" l="1"/>
  <c r="AP22" i="1" s="1"/>
  <c r="AP24" i="1" l="1"/>
  <c r="AP48" i="1"/>
  <c r="AQ19" i="1" s="1"/>
  <c r="AQ20" i="1" l="1"/>
  <c r="AQ21" i="1" s="1"/>
  <c r="AQ22" i="1" s="1"/>
  <c r="AQ24" i="1" l="1"/>
  <c r="AR22" i="1"/>
  <c r="AS22" i="1" s="1"/>
  <c r="AT22" i="1" s="1"/>
  <c r="AU22" i="1" s="1"/>
  <c r="AV22" i="1" s="1"/>
  <c r="AW22" i="1" s="1"/>
  <c r="AX22" i="1" s="1"/>
  <c r="AY22" i="1" s="1"/>
  <c r="AZ22" i="1" s="1"/>
  <c r="BA22" i="1" s="1"/>
  <c r="BB22" i="1" s="1"/>
  <c r="BC22" i="1" s="1"/>
  <c r="BD22" i="1" s="1"/>
  <c r="BE22" i="1" s="1"/>
  <c r="BF22" i="1" s="1"/>
  <c r="BG22" i="1" s="1"/>
  <c r="BH22" i="1" s="1"/>
  <c r="BI22" i="1" s="1"/>
  <c r="BJ22" i="1" s="1"/>
  <c r="BK22" i="1" s="1"/>
  <c r="BL22" i="1" s="1"/>
  <c r="BM22" i="1" s="1"/>
  <c r="BN22" i="1" s="1"/>
  <c r="BO22" i="1" s="1"/>
  <c r="BP22" i="1" s="1"/>
  <c r="BQ22" i="1" s="1"/>
  <c r="BR22" i="1" s="1"/>
  <c r="BS22" i="1" s="1"/>
  <c r="BT22" i="1" s="1"/>
  <c r="BU22" i="1" s="1"/>
  <c r="BV22" i="1" s="1"/>
  <c r="BW22" i="1" s="1"/>
  <c r="BX22" i="1" s="1"/>
  <c r="BY22" i="1" s="1"/>
  <c r="BZ22" i="1" s="1"/>
  <c r="CA22" i="1" s="1"/>
  <c r="CB22" i="1" s="1"/>
  <c r="CC22" i="1" s="1"/>
  <c r="CD22" i="1" s="1"/>
  <c r="CE22" i="1" s="1"/>
  <c r="CF22" i="1" s="1"/>
  <c r="CG22" i="1" s="1"/>
  <c r="CH22" i="1" s="1"/>
  <c r="CI22" i="1" s="1"/>
  <c r="CJ22" i="1" s="1"/>
  <c r="CK22" i="1" s="1"/>
  <c r="CL22" i="1" s="1"/>
  <c r="CM22" i="1" s="1"/>
  <c r="CN22" i="1" s="1"/>
  <c r="CO22" i="1" s="1"/>
  <c r="CP22" i="1" s="1"/>
  <c r="CQ22" i="1" s="1"/>
  <c r="CR22" i="1" s="1"/>
  <c r="CS22" i="1" s="1"/>
  <c r="CT22" i="1" s="1"/>
  <c r="CU22" i="1" s="1"/>
  <c r="CV22" i="1" s="1"/>
  <c r="CW22" i="1" s="1"/>
  <c r="CX22" i="1" s="1"/>
  <c r="CY22" i="1" s="1"/>
  <c r="CZ22" i="1" s="1"/>
  <c r="DA22" i="1" s="1"/>
  <c r="DB22" i="1" s="1"/>
  <c r="DC22" i="1" s="1"/>
  <c r="DD22" i="1" s="1"/>
  <c r="DE22" i="1" s="1"/>
  <c r="DF22" i="1" s="1"/>
  <c r="DG22" i="1" s="1"/>
  <c r="DH22" i="1" s="1"/>
  <c r="DI22" i="1" s="1"/>
  <c r="DJ22" i="1" s="1"/>
  <c r="DK22" i="1" s="1"/>
  <c r="DL22" i="1" s="1"/>
  <c r="DM22" i="1" s="1"/>
  <c r="DN22" i="1" s="1"/>
  <c r="DO22" i="1" s="1"/>
  <c r="DP22" i="1" s="1"/>
  <c r="DQ22" i="1" s="1"/>
  <c r="DR22" i="1" s="1"/>
  <c r="DS22" i="1" s="1"/>
  <c r="DT22" i="1" s="1"/>
  <c r="DU22" i="1" s="1"/>
  <c r="DV22" i="1" s="1"/>
  <c r="DW22" i="1" s="1"/>
  <c r="DX22" i="1" s="1"/>
  <c r="DY22" i="1" s="1"/>
  <c r="DZ22" i="1" s="1"/>
  <c r="EA22" i="1" s="1"/>
  <c r="EB22" i="1" s="1"/>
  <c r="EC22" i="1" s="1"/>
  <c r="ED22" i="1" s="1"/>
  <c r="EE22" i="1" s="1"/>
  <c r="EF22" i="1" s="1"/>
  <c r="EG22" i="1" s="1"/>
  <c r="EH22" i="1" s="1"/>
  <c r="EI22" i="1" s="1"/>
  <c r="EJ22" i="1" s="1"/>
  <c r="EK22" i="1" s="1"/>
  <c r="EL22" i="1" s="1"/>
  <c r="EM22" i="1" s="1"/>
  <c r="EN22" i="1" s="1"/>
  <c r="EO22" i="1" s="1"/>
  <c r="EP22" i="1" s="1"/>
  <c r="EQ22" i="1" s="1"/>
  <c r="ER22" i="1" s="1"/>
  <c r="ES22" i="1" s="1"/>
  <c r="ET22" i="1" s="1"/>
  <c r="EU22" i="1" s="1"/>
  <c r="EV22" i="1" s="1"/>
  <c r="EW22" i="1" s="1"/>
  <c r="EX22" i="1" s="1"/>
  <c r="EY22" i="1" s="1"/>
  <c r="EZ22" i="1" s="1"/>
  <c r="FA22" i="1" s="1"/>
  <c r="FB22" i="1" s="1"/>
  <c r="FC22" i="1" s="1"/>
  <c r="FD22" i="1" s="1"/>
  <c r="FE22" i="1" s="1"/>
  <c r="FF22" i="1" s="1"/>
  <c r="FG22" i="1" s="1"/>
  <c r="FH22" i="1" s="1"/>
  <c r="FI22" i="1" s="1"/>
  <c r="FJ22" i="1" s="1"/>
  <c r="AT28" i="1" s="1"/>
  <c r="AT30" i="1" s="1"/>
  <c r="AT32" i="1" s="1"/>
  <c r="AQ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tc={085F0C90-D928-D04A-980F-C4D5863A7567}</author>
    <author>jameel</author>
  </authors>
  <commentList>
    <comment ref="T7" authorId="0" shapeId="0" xr:uid="{085F0C90-D928-D04A-980F-C4D5863A7567}">
      <text>
        <t>[Threaded comment]
Your version of Excel allows you to read this threaded comment; however, any edits to it will get removed if the file is opened in a newer version of Excel. Learn more: https://go.microsoft.com/fwlink/?linkid=870924
Comment:
    guidance</t>
      </text>
    </comment>
    <comment ref="B76" authorId="1" shapeId="0" xr:uid="{1F999596-3B6B-5B49-9FE4-2BE3A5855EDC}">
      <text>
        <r>
          <rPr>
            <b/>
            <sz val="10"/>
            <color rgb="FF000000"/>
            <rFont val="Tahoma"/>
            <family val="2"/>
          </rPr>
          <t>jameel:</t>
        </r>
        <r>
          <rPr>
            <sz val="10"/>
            <color rgb="FF000000"/>
            <rFont val="Tahoma"/>
            <family val="2"/>
          </rPr>
          <t xml:space="preserve">
</t>
        </r>
        <r>
          <rPr>
            <sz val="10"/>
            <color rgb="FF000000"/>
            <rFont val="Tahoma"/>
            <family val="2"/>
          </rPr>
          <t>how long it takes company to collect payment after sale</t>
        </r>
      </text>
    </comment>
    <comment ref="B78" authorId="1" shapeId="0" xr:uid="{3711B1B1-9FD3-B24E-9071-7C134291A8FA}">
      <text>
        <r>
          <rPr>
            <b/>
            <sz val="10"/>
            <color rgb="FF000000"/>
            <rFont val="Tahoma"/>
            <family val="2"/>
          </rPr>
          <t>jameel:</t>
        </r>
        <r>
          <rPr>
            <sz val="10"/>
            <color rgb="FF000000"/>
            <rFont val="Tahoma"/>
            <family val="2"/>
          </rPr>
          <t xml:space="preserve">
</t>
        </r>
        <r>
          <rPr>
            <sz val="10"/>
            <color rgb="FF000000"/>
            <rFont val="Tahoma"/>
            <family val="2"/>
          </rPr>
          <t>how many times AAPL turned(sold) all of its inventory</t>
        </r>
      </text>
    </comment>
    <comment ref="B79" authorId="1" shapeId="0" xr:uid="{B88B9247-6BBE-EE4B-A6A6-38B1FEBC0456}">
      <text>
        <r>
          <rPr>
            <b/>
            <sz val="10"/>
            <color rgb="FF000000"/>
            <rFont val="Tahoma"/>
            <family val="2"/>
          </rPr>
          <t>jameel:</t>
        </r>
        <r>
          <rPr>
            <sz val="10"/>
            <color rgb="FF000000"/>
            <rFont val="Tahoma"/>
            <family val="2"/>
          </rPr>
          <t xml:space="preserve">
</t>
        </r>
        <r>
          <rPr>
            <sz val="10"/>
            <color rgb="FF000000"/>
            <rFont val="Tahoma"/>
            <family val="2"/>
          </rPr>
          <t>Numer of days it takes to sell through inventory on average</t>
        </r>
      </text>
    </comment>
  </commentList>
</comments>
</file>

<file path=xl/sharedStrings.xml><?xml version="1.0" encoding="utf-8"?>
<sst xmlns="http://schemas.openxmlformats.org/spreadsheetml/2006/main" count="125" uniqueCount="96">
  <si>
    <t>Q120</t>
  </si>
  <si>
    <t>Q220</t>
  </si>
  <si>
    <t>Q320</t>
  </si>
  <si>
    <t>Q420</t>
  </si>
  <si>
    <t>Q121</t>
  </si>
  <si>
    <t>Q221</t>
  </si>
  <si>
    <t>Q321</t>
  </si>
  <si>
    <t>Q421</t>
  </si>
  <si>
    <t>Q122</t>
  </si>
  <si>
    <t>Q222</t>
  </si>
  <si>
    <t>Q322</t>
  </si>
  <si>
    <t>Q422</t>
  </si>
  <si>
    <t>Q123</t>
  </si>
  <si>
    <t>Q223</t>
  </si>
  <si>
    <t>Q323</t>
  </si>
  <si>
    <t>Q423</t>
  </si>
  <si>
    <t>Price</t>
  </si>
  <si>
    <t>Shares</t>
  </si>
  <si>
    <t>MC</t>
  </si>
  <si>
    <t>Cash</t>
  </si>
  <si>
    <t>Debt</t>
  </si>
  <si>
    <t>EV</t>
  </si>
  <si>
    <t>Q124</t>
  </si>
  <si>
    <t>Founded</t>
  </si>
  <si>
    <t>Founders</t>
  </si>
  <si>
    <t>Years alive</t>
  </si>
  <si>
    <t>Steve Jobs</t>
  </si>
  <si>
    <t>Steve Wozniak</t>
  </si>
  <si>
    <t>Ronald Wayne</t>
  </si>
  <si>
    <t>Products</t>
  </si>
  <si>
    <t>Services</t>
  </si>
  <si>
    <t>Net Sales</t>
  </si>
  <si>
    <t xml:space="preserve">Gross Profit </t>
  </si>
  <si>
    <t>R&amp;D</t>
  </si>
  <si>
    <t>SG&amp;A</t>
  </si>
  <si>
    <t>EBT</t>
  </si>
  <si>
    <t>EBIT</t>
  </si>
  <si>
    <t>Other income</t>
  </si>
  <si>
    <t>Taxes</t>
  </si>
  <si>
    <t>Net Income</t>
  </si>
  <si>
    <t>Growth Y/Y</t>
  </si>
  <si>
    <t>Eps</t>
  </si>
  <si>
    <t>$m</t>
  </si>
  <si>
    <t>iPhone</t>
  </si>
  <si>
    <t>Mac</t>
  </si>
  <si>
    <t>iPad</t>
  </si>
  <si>
    <t>Wearables/Home</t>
  </si>
  <si>
    <t>Q224</t>
  </si>
  <si>
    <t>Q324</t>
  </si>
  <si>
    <t>Q424</t>
  </si>
  <si>
    <t>iMac</t>
  </si>
  <si>
    <t>$M</t>
  </si>
  <si>
    <t>Margins</t>
  </si>
  <si>
    <t>GM</t>
  </si>
  <si>
    <t>OM</t>
  </si>
  <si>
    <t>Active devices</t>
  </si>
  <si>
    <t xml:space="preserve">Cash </t>
  </si>
  <si>
    <t>Securities</t>
  </si>
  <si>
    <t>A/R</t>
  </si>
  <si>
    <t>Vendor recievables</t>
  </si>
  <si>
    <t>Inventories</t>
  </si>
  <si>
    <t>OCA</t>
  </si>
  <si>
    <t>PPE</t>
  </si>
  <si>
    <t xml:space="preserve">Total Assets </t>
  </si>
  <si>
    <t>Total Liabilities</t>
  </si>
  <si>
    <t>A/P</t>
  </si>
  <si>
    <t>OCL</t>
  </si>
  <si>
    <t>Deferred revenue</t>
  </si>
  <si>
    <t>Commercial paper</t>
  </si>
  <si>
    <t>Term Debt (short)</t>
  </si>
  <si>
    <t>Term Debt (long)</t>
  </si>
  <si>
    <t>ONCL</t>
  </si>
  <si>
    <t>Equity</t>
  </si>
  <si>
    <t>Total Liabilities + Equity</t>
  </si>
  <si>
    <t xml:space="preserve">Net Cash </t>
  </si>
  <si>
    <t>ROIC</t>
  </si>
  <si>
    <t xml:space="preserve">Terminal </t>
  </si>
  <si>
    <t>Discount</t>
  </si>
  <si>
    <t>NPV</t>
  </si>
  <si>
    <t>Estimate</t>
  </si>
  <si>
    <t>Current</t>
  </si>
  <si>
    <t>Upside</t>
  </si>
  <si>
    <t>Total Debt</t>
  </si>
  <si>
    <t xml:space="preserve">Net cash </t>
  </si>
  <si>
    <t>Net cash Per Share</t>
  </si>
  <si>
    <t>Inventory Turnover</t>
  </si>
  <si>
    <t>DSO</t>
  </si>
  <si>
    <t>DPO</t>
  </si>
  <si>
    <t>Days Inventory</t>
  </si>
  <si>
    <t>CFFO</t>
  </si>
  <si>
    <t>Capex</t>
  </si>
  <si>
    <t xml:space="preserve">Free Cash Flow </t>
  </si>
  <si>
    <t>4Q FCF</t>
  </si>
  <si>
    <t>4Q NI</t>
  </si>
  <si>
    <t>EV/24E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</si>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</sst>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m/d;@"/>
    <numFmt numFmtId="165" formatCode="0.0%"/>
    <numFmt numFmtId="166" formatCode="#,##0.0"/>
    <numFmt numFmtId="167" formatCode="0.0"/>
    <numFmt numFmtId="168" formatCode="0\x"/>
  </numFmts>
  <fonts count="8">
    <font>
      <sz val="10"/>
      <color theme="1"/>
      <name val="ArialMT"/>
      <family val="2"/>
    </font>
    <font>
      <b/>
      <sz val="10"/>
      <color theme="1"/>
      <name val="ArialMT"/>
    </font>
    <font>
      <b/>
      <u/>
      <sz val="10"/>
      <color theme="1"/>
      <name val="ArialMT"/>
    </font>
    <font>
      <u/>
      <sz val="10"/>
      <color theme="10"/>
      <name val="ArialMT"/>
      <family val="2"/>
    </font>
    <font>
      <sz val="10"/>
      <color theme="1"/>
      <name val="ArialMT"/>
    </font>
    <font>
      <u/>
      <sz val="10"/>
      <color theme="1"/>
      <name val="ArialMT"/>
      <family val="2"/>
    </font>
    <font>
      <sz val="10"/>
      <color rgb="FF000000"/>
      <name val="Tahoma"/>
      <family val="2"/>
    </font>
    <font>
      <b/>
      <sz val="10"/>
      <color rgb="FF000000"/>
      <name val="Tahoma"/>
      <family val="2"/>
    </font>
  </fonts>
  <fills count="3">
    <fill>
      <patternFill patternType="none"/>
    </fill>
    <fill>
      <patternFill patternType="gray125"/>
    </fill>
    <fill>
      <patternFill patternType="solid">
        <fgColor theme="1"/>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3" fontId="0" fillId="0" borderId="0" xfId="0" applyNumberFormat="1"/>
    <xf numFmtId="1" fontId="0" fillId="0" borderId="0" xfId="0" applyNumberFormat="1"/>
    <xf numFmtId="14" fontId="0" fillId="0" borderId="0" xfId="0" applyNumberFormat="1"/>
    <xf numFmtId="9" fontId="0" fillId="0" borderId="0" xfId="0" applyNumberFormat="1"/>
    <xf numFmtId="3" fontId="1" fillId="0" borderId="0" xfId="0" applyNumberFormat="1" applyFont="1"/>
    <xf numFmtId="3" fontId="2" fillId="0" borderId="0" xfId="0" applyNumberFormat="1" applyFont="1"/>
    <xf numFmtId="164" fontId="0" fillId="0" borderId="0" xfId="0" applyNumberFormat="1" applyAlignment="1">
      <alignment horizontal="center"/>
    </xf>
    <xf numFmtId="0" fontId="4" fillId="0" borderId="0" xfId="1" applyFont="1"/>
    <xf numFmtId="1" fontId="4" fillId="0" borderId="0" xfId="1" applyNumberFormat="1" applyFont="1"/>
    <xf numFmtId="1" fontId="0" fillId="0" borderId="0" xfId="0" applyNumberFormat="1" applyAlignment="1">
      <alignment horizontal="center"/>
    </xf>
    <xf numFmtId="0" fontId="0" fillId="2" borderId="0" xfId="0" applyFill="1"/>
    <xf numFmtId="2" fontId="0" fillId="0" borderId="0" xfId="0" applyNumberFormat="1"/>
    <xf numFmtId="3" fontId="0" fillId="0" borderId="1" xfId="0" applyNumberFormat="1" applyBorder="1"/>
    <xf numFmtId="3" fontId="0" fillId="0" borderId="3" xfId="0" applyNumberFormat="1" applyBorder="1"/>
    <xf numFmtId="3" fontId="0" fillId="0" borderId="6" xfId="0" applyNumberFormat="1" applyBorder="1"/>
    <xf numFmtId="1" fontId="0" fillId="0" borderId="7" xfId="0" applyNumberFormat="1" applyBorder="1"/>
    <xf numFmtId="1" fontId="0" fillId="0" borderId="7" xfId="0" applyNumberFormat="1" applyBorder="1" applyAlignment="1">
      <alignment horizontal="center"/>
    </xf>
    <xf numFmtId="3" fontId="0" fillId="0" borderId="8" xfId="0" applyNumberFormat="1" applyBorder="1" applyAlignment="1">
      <alignment horizontal="center"/>
    </xf>
    <xf numFmtId="9" fontId="0" fillId="0" borderId="2" xfId="0" applyNumberFormat="1" applyBorder="1"/>
    <xf numFmtId="9" fontId="0" fillId="0" borderId="4" xfId="0" applyNumberFormat="1" applyBorder="1"/>
    <xf numFmtId="9" fontId="0" fillId="0" borderId="5" xfId="0" applyNumberFormat="1" applyBorder="1"/>
    <xf numFmtId="3" fontId="5" fillId="0" borderId="0" xfId="0" applyNumberFormat="1" applyFont="1"/>
    <xf numFmtId="0" fontId="1" fillId="0" borderId="0" xfId="0" applyFont="1"/>
    <xf numFmtId="8"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3" fontId="0" fillId="0" borderId="0" xfId="0" applyNumberFormat="1" applyAlignment="1">
      <alignment horizontal="left"/>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Model!$B$7</c:f>
              <c:strCache>
                <c:ptCount val="1"/>
                <c:pt idx="0">
                  <c:v>iPhone</c:v>
                </c:pt>
              </c:strCache>
            </c:strRef>
          </c:tx>
          <c:spPr>
            <a:ln w="28575" cap="rnd">
              <a:solidFill>
                <a:schemeClr val="accent1"/>
              </a:solidFill>
              <a:round/>
            </a:ln>
            <a:effectLst/>
          </c:spPr>
          <c:marker>
            <c:symbol val="none"/>
          </c:marker>
          <c:cat>
            <c:strRef>
              <c:f>Model!$C$4:$S$4</c:f>
              <c:strCache>
                <c:ptCount val="17"/>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strCache>
            </c:strRef>
          </c:cat>
          <c:val>
            <c:numRef>
              <c:f>Model!$C$7:$S$7</c:f>
              <c:numCache>
                <c:formatCode>#,##0</c:formatCode>
                <c:ptCount val="17"/>
                <c:pt idx="4">
                  <c:v>65957</c:v>
                </c:pt>
                <c:pt idx="5">
                  <c:v>47938</c:v>
                </c:pt>
                <c:pt idx="6">
                  <c:v>39570</c:v>
                </c:pt>
                <c:pt idx="7">
                  <c:v>38508</c:v>
                </c:pt>
                <c:pt idx="8">
                  <c:v>71628</c:v>
                </c:pt>
                <c:pt idx="9">
                  <c:v>50570</c:v>
                </c:pt>
                <c:pt idx="10">
                  <c:v>40665</c:v>
                </c:pt>
                <c:pt idx="11">
                  <c:v>42626</c:v>
                </c:pt>
                <c:pt idx="12">
                  <c:v>65775</c:v>
                </c:pt>
                <c:pt idx="13">
                  <c:v>51334</c:v>
                </c:pt>
                <c:pt idx="14">
                  <c:v>39669</c:v>
                </c:pt>
                <c:pt idx="15">
                  <c:v>43805</c:v>
                </c:pt>
                <c:pt idx="16">
                  <c:v>69702</c:v>
                </c:pt>
              </c:numCache>
            </c:numRef>
          </c:val>
          <c:smooth val="0"/>
          <c:extLst>
            <c:ext xmlns:c16="http://schemas.microsoft.com/office/drawing/2014/chart" uri="{C3380CC4-5D6E-409C-BE32-E72D297353CC}">
              <c16:uniqueId val="{00000000-7AE2-5F4A-9CE4-EA71BD1C395B}"/>
            </c:ext>
          </c:extLst>
        </c:ser>
        <c:dLbls>
          <c:showLegendKey val="0"/>
          <c:showVal val="0"/>
          <c:showCatName val="0"/>
          <c:showSerName val="0"/>
          <c:showPercent val="0"/>
          <c:showBubbleSize val="0"/>
        </c:dLbls>
        <c:smooth val="0"/>
        <c:axId val="2092704991"/>
        <c:axId val="2092770767"/>
      </c:lineChart>
      <c:catAx>
        <c:axId val="209270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2770767"/>
        <c:crosses val="autoZero"/>
        <c:auto val="1"/>
        <c:lblAlgn val="ctr"/>
        <c:lblOffset val="100"/>
        <c:noMultiLvlLbl val="0"/>
      </c:catAx>
      <c:valAx>
        <c:axId val="20927707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270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Model!$B$8</c:f>
              <c:strCache>
                <c:ptCount val="1"/>
                <c:pt idx="0">
                  <c:v>Mac</c:v>
                </c:pt>
              </c:strCache>
            </c:strRef>
          </c:tx>
          <c:spPr>
            <a:ln w="28575" cap="rnd">
              <a:solidFill>
                <a:schemeClr val="accent1"/>
              </a:solidFill>
              <a:round/>
            </a:ln>
            <a:effectLst/>
          </c:spPr>
          <c:marker>
            <c:symbol val="none"/>
          </c:marker>
          <c:cat>
            <c:strRef>
              <c:f>Model!$C$4:$S$4</c:f>
              <c:strCache>
                <c:ptCount val="17"/>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strCache>
            </c:strRef>
          </c:cat>
          <c:val>
            <c:numRef>
              <c:f>Model!$C$8:$S$8</c:f>
              <c:numCache>
                <c:formatCode>#,##0</c:formatCode>
                <c:ptCount val="17"/>
                <c:pt idx="4">
                  <c:v>8675</c:v>
                </c:pt>
                <c:pt idx="5">
                  <c:v>9102</c:v>
                </c:pt>
                <c:pt idx="6">
                  <c:v>8235</c:v>
                </c:pt>
                <c:pt idx="7">
                  <c:v>9178</c:v>
                </c:pt>
                <c:pt idx="8">
                  <c:v>10852</c:v>
                </c:pt>
                <c:pt idx="9">
                  <c:v>10435</c:v>
                </c:pt>
                <c:pt idx="10">
                  <c:v>7382</c:v>
                </c:pt>
                <c:pt idx="11">
                  <c:v>11508</c:v>
                </c:pt>
                <c:pt idx="12">
                  <c:v>7735</c:v>
                </c:pt>
                <c:pt idx="13">
                  <c:v>7168</c:v>
                </c:pt>
                <c:pt idx="14">
                  <c:v>6840</c:v>
                </c:pt>
                <c:pt idx="15">
                  <c:v>7614</c:v>
                </c:pt>
                <c:pt idx="16">
                  <c:v>7780</c:v>
                </c:pt>
              </c:numCache>
            </c:numRef>
          </c:val>
          <c:smooth val="0"/>
          <c:extLst>
            <c:ext xmlns:c16="http://schemas.microsoft.com/office/drawing/2014/chart" uri="{C3380CC4-5D6E-409C-BE32-E72D297353CC}">
              <c16:uniqueId val="{00000000-EE03-A447-B012-3439C8E0CB3E}"/>
            </c:ext>
          </c:extLst>
        </c:ser>
        <c:dLbls>
          <c:showLegendKey val="0"/>
          <c:showVal val="0"/>
          <c:showCatName val="0"/>
          <c:showSerName val="0"/>
          <c:showPercent val="0"/>
          <c:showBubbleSize val="0"/>
        </c:dLbls>
        <c:smooth val="0"/>
        <c:axId val="2092704991"/>
        <c:axId val="2092770767"/>
      </c:lineChart>
      <c:catAx>
        <c:axId val="209270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2770767"/>
        <c:crosses val="autoZero"/>
        <c:auto val="1"/>
        <c:lblAlgn val="ctr"/>
        <c:lblOffset val="100"/>
        <c:noMultiLvlLbl val="0"/>
      </c:catAx>
      <c:valAx>
        <c:axId val="20927707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270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Model!$B$9</c:f>
              <c:strCache>
                <c:ptCount val="1"/>
                <c:pt idx="0">
                  <c:v>iPad</c:v>
                </c:pt>
              </c:strCache>
            </c:strRef>
          </c:tx>
          <c:spPr>
            <a:ln w="28575" cap="rnd">
              <a:solidFill>
                <a:schemeClr val="accent1"/>
              </a:solidFill>
              <a:round/>
            </a:ln>
            <a:effectLst/>
          </c:spPr>
          <c:marker>
            <c:symbol val="none"/>
          </c:marker>
          <c:cat>
            <c:strRef>
              <c:f>Model!$C$4:$S$4</c:f>
              <c:strCache>
                <c:ptCount val="17"/>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strCache>
            </c:strRef>
          </c:cat>
          <c:val>
            <c:numRef>
              <c:f>Model!$C$9:$S$9</c:f>
              <c:numCache>
                <c:formatCode>#,##0</c:formatCode>
                <c:ptCount val="17"/>
                <c:pt idx="4">
                  <c:v>8435</c:v>
                </c:pt>
                <c:pt idx="5">
                  <c:v>7807</c:v>
                </c:pt>
                <c:pt idx="6">
                  <c:v>7368</c:v>
                </c:pt>
                <c:pt idx="7">
                  <c:v>8252</c:v>
                </c:pt>
                <c:pt idx="8">
                  <c:v>7248</c:v>
                </c:pt>
                <c:pt idx="9">
                  <c:v>7646</c:v>
                </c:pt>
                <c:pt idx="10">
                  <c:v>7224</c:v>
                </c:pt>
                <c:pt idx="11">
                  <c:v>7174</c:v>
                </c:pt>
                <c:pt idx="12">
                  <c:v>9396</c:v>
                </c:pt>
                <c:pt idx="13">
                  <c:v>6670</c:v>
                </c:pt>
                <c:pt idx="14">
                  <c:v>5791</c:v>
                </c:pt>
                <c:pt idx="15">
                  <c:v>6443</c:v>
                </c:pt>
                <c:pt idx="16">
                  <c:v>7023</c:v>
                </c:pt>
              </c:numCache>
            </c:numRef>
          </c:val>
          <c:smooth val="0"/>
          <c:extLst>
            <c:ext xmlns:c16="http://schemas.microsoft.com/office/drawing/2014/chart" uri="{C3380CC4-5D6E-409C-BE32-E72D297353CC}">
              <c16:uniqueId val="{00000000-24A3-C743-A871-462C4F20C853}"/>
            </c:ext>
          </c:extLst>
        </c:ser>
        <c:dLbls>
          <c:showLegendKey val="0"/>
          <c:showVal val="0"/>
          <c:showCatName val="0"/>
          <c:showSerName val="0"/>
          <c:showPercent val="0"/>
          <c:showBubbleSize val="0"/>
        </c:dLbls>
        <c:smooth val="0"/>
        <c:axId val="2092704991"/>
        <c:axId val="2092770767"/>
      </c:lineChart>
      <c:catAx>
        <c:axId val="209270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2770767"/>
        <c:crosses val="autoZero"/>
        <c:auto val="1"/>
        <c:lblAlgn val="ctr"/>
        <c:lblOffset val="100"/>
        <c:noMultiLvlLbl val="0"/>
      </c:catAx>
      <c:valAx>
        <c:axId val="20927707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270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Model!$B$10</c:f>
              <c:strCache>
                <c:ptCount val="1"/>
                <c:pt idx="0">
                  <c:v>Wearables/Home</c:v>
                </c:pt>
              </c:strCache>
            </c:strRef>
          </c:tx>
          <c:spPr>
            <a:ln w="28575" cap="rnd">
              <a:solidFill>
                <a:schemeClr val="accent1"/>
              </a:solidFill>
              <a:round/>
            </a:ln>
            <a:effectLst/>
          </c:spPr>
          <c:marker>
            <c:symbol val="none"/>
          </c:marker>
          <c:cat>
            <c:strRef>
              <c:f>Model!$C$4:$S$4</c:f>
              <c:strCache>
                <c:ptCount val="17"/>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strCache>
            </c:strRef>
          </c:cat>
          <c:val>
            <c:numRef>
              <c:f>Model!$C$10:$S$10</c:f>
              <c:numCache>
                <c:formatCode>#,##0</c:formatCode>
                <c:ptCount val="17"/>
                <c:pt idx="4">
                  <c:v>12971</c:v>
                </c:pt>
                <c:pt idx="5">
                  <c:v>7836</c:v>
                </c:pt>
                <c:pt idx="6">
                  <c:v>8775</c:v>
                </c:pt>
                <c:pt idx="7">
                  <c:v>8785</c:v>
                </c:pt>
                <c:pt idx="8">
                  <c:v>14701</c:v>
                </c:pt>
                <c:pt idx="9">
                  <c:v>8806</c:v>
                </c:pt>
                <c:pt idx="10">
                  <c:v>8084</c:v>
                </c:pt>
                <c:pt idx="11">
                  <c:v>9650</c:v>
                </c:pt>
                <c:pt idx="12">
                  <c:v>13482</c:v>
                </c:pt>
                <c:pt idx="13">
                  <c:v>8757</c:v>
                </c:pt>
                <c:pt idx="14">
                  <c:v>8284</c:v>
                </c:pt>
                <c:pt idx="15">
                  <c:v>9322</c:v>
                </c:pt>
                <c:pt idx="16">
                  <c:v>11953</c:v>
                </c:pt>
              </c:numCache>
            </c:numRef>
          </c:val>
          <c:smooth val="0"/>
          <c:extLst>
            <c:ext xmlns:c16="http://schemas.microsoft.com/office/drawing/2014/chart" uri="{C3380CC4-5D6E-409C-BE32-E72D297353CC}">
              <c16:uniqueId val="{00000000-90AB-2143-9F03-BCD3BA333372}"/>
            </c:ext>
          </c:extLst>
        </c:ser>
        <c:dLbls>
          <c:showLegendKey val="0"/>
          <c:showVal val="0"/>
          <c:showCatName val="0"/>
          <c:showSerName val="0"/>
          <c:showPercent val="0"/>
          <c:showBubbleSize val="0"/>
        </c:dLbls>
        <c:smooth val="0"/>
        <c:axId val="2092704991"/>
        <c:axId val="2092770767"/>
      </c:lineChart>
      <c:catAx>
        <c:axId val="209270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2770767"/>
        <c:crosses val="autoZero"/>
        <c:auto val="1"/>
        <c:lblAlgn val="ctr"/>
        <c:lblOffset val="100"/>
        <c:noMultiLvlLbl val="0"/>
      </c:catAx>
      <c:valAx>
        <c:axId val="20927707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270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582706</xdr:colOff>
      <xdr:row>0</xdr:row>
      <xdr:rowOff>7471</xdr:rowOff>
    </xdr:from>
    <xdr:to>
      <xdr:col>19</xdr:col>
      <xdr:colOff>56194</xdr:colOff>
      <xdr:row>126</xdr:row>
      <xdr:rowOff>78672</xdr:rowOff>
    </xdr:to>
    <xdr:cxnSp macro="">
      <xdr:nvCxnSpPr>
        <xdr:cNvPr id="5" name="Straight Connector 4">
          <a:extLst>
            <a:ext uri="{FF2B5EF4-FFF2-40B4-BE49-F238E27FC236}">
              <a16:creationId xmlns:a16="http://schemas.microsoft.com/office/drawing/2014/main" id="{D64830DA-4EAF-8ABF-02B6-07676FCBE2C8}"/>
            </a:ext>
          </a:extLst>
        </xdr:cNvPr>
        <xdr:cNvCxnSpPr/>
      </xdr:nvCxnSpPr>
      <xdr:spPr>
        <a:xfrm>
          <a:off x="10731467" y="7471"/>
          <a:ext cx="80391" cy="21312794"/>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0</xdr:colOff>
      <xdr:row>0</xdr:row>
      <xdr:rowOff>0</xdr:rowOff>
    </xdr:from>
    <xdr:to>
      <xdr:col>33</xdr:col>
      <xdr:colOff>5752</xdr:colOff>
      <xdr:row>90</xdr:row>
      <xdr:rowOff>78673</xdr:rowOff>
    </xdr:to>
    <xdr:cxnSp macro="">
      <xdr:nvCxnSpPr>
        <xdr:cNvPr id="6" name="Straight Connector 5">
          <a:extLst>
            <a:ext uri="{FF2B5EF4-FFF2-40B4-BE49-F238E27FC236}">
              <a16:creationId xmlns:a16="http://schemas.microsoft.com/office/drawing/2014/main" id="{7462CBED-59AB-FA45-8369-06F762464618}"/>
            </a:ext>
          </a:extLst>
        </xdr:cNvPr>
        <xdr:cNvCxnSpPr/>
      </xdr:nvCxnSpPr>
      <xdr:spPr>
        <a:xfrm flipH="1">
          <a:off x="18038496" y="0"/>
          <a:ext cx="5752" cy="15082655"/>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7471</xdr:colOff>
      <xdr:row>0</xdr:row>
      <xdr:rowOff>156882</xdr:rowOff>
    </xdr:from>
    <xdr:to>
      <xdr:col>17</xdr:col>
      <xdr:colOff>14941</xdr:colOff>
      <xdr:row>34</xdr:row>
      <xdr:rowOff>74706</xdr:rowOff>
    </xdr:to>
    <xdr:sp macro="" textlink="">
      <xdr:nvSpPr>
        <xdr:cNvPr id="2" name="TextBox 1">
          <a:extLst>
            <a:ext uri="{FF2B5EF4-FFF2-40B4-BE49-F238E27FC236}">
              <a16:creationId xmlns:a16="http://schemas.microsoft.com/office/drawing/2014/main" id="{8262FB6C-59ED-5157-AC69-0636DBFB5924}"/>
            </a:ext>
          </a:extLst>
        </xdr:cNvPr>
        <xdr:cNvSpPr txBox="1"/>
      </xdr:nvSpPr>
      <xdr:spPr>
        <a:xfrm>
          <a:off x="5827059" y="156882"/>
          <a:ext cx="4982882" cy="550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Date:</a:t>
          </a:r>
          <a:r>
            <a:rPr lang="en-US" sz="1100"/>
            <a:t> 2.7.24</a:t>
          </a:r>
        </a:p>
        <a:p>
          <a:endParaRPr lang="en-US" sz="1100"/>
        </a:p>
        <a:p>
          <a:pPr algn="l"/>
          <a:r>
            <a:rPr lang="en-US" sz="1100"/>
            <a:t>AAPL is one of the largest companies in the</a:t>
          </a:r>
          <a:r>
            <a:rPr lang="en-US" sz="1100" baseline="0"/>
            <a:t> world to date.  The company got its start by selling hardware paired with software (iphones, ipods, imacs,etc) and to this day, the flagship product (iPhone) is earning the company $200B/annum with ana dditional $182B comapny from other "innovations".  I am noticing a drastic slowdown in sales and a steady reliance on margin improvements to increase bottom line.  How efficient can the company get? TSMC is manufacturing its chips, and many other companies help out to manufacture parts of the iphone (glass/speaker/etc).  As the company stands today, it would take ~27 years (EV/24E)  to make your money back.  The company seems overpriced and I can't think of any catalyst that isn't yet baked into the current trading price of $189.  The newest idea is the VR headset and I just can't imagine mainstream adoption with a pricetag that high, similar to the iMac that not many people have. Additionally, the services category is now the 2nd highest category as % of net sales -- this is mostly the app store.  The most likely way to increase services is to raise prices as I can't imagine with 2.2b activer iphones that they'll keep selling many more, majority of new iphone sales (i'm speculating) will come from refreshes --- this is a similar problem INTC faced as while ago --- PC refresh Vs PC Upsells.   For AAPL, refreshes will be the focus as iPhone innovation seems to have reached it's peak. </a:t>
          </a:r>
        </a:p>
        <a:p>
          <a:pPr algn="l"/>
          <a:endParaRPr lang="en-US" sz="1100" baseline="0"/>
        </a:p>
        <a:p>
          <a:pPr algn="l"/>
          <a:endParaRPr lang="en-US" sz="1100" baseline="0"/>
        </a:p>
        <a:p>
          <a:pPr algn="l"/>
          <a:r>
            <a:rPr lang="en-US" sz="1100" baseline="0"/>
            <a:t>Recommendation: Fairly valued -- i'm not buying today, but ndefinitely not a discounted price. No apparent catalyst (is iPhone going to buy some company? cut R&amp;D spend and discontinue iPads and watches?).  Unkowns are the unknowns for now. </a:t>
          </a:r>
          <a:endParaRPr lang="en-US" sz="1100"/>
        </a:p>
        <a:p>
          <a:endParaRPr lang="en-US" sz="110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814974</xdr:colOff>
      <xdr:row>0</xdr:row>
      <xdr:rowOff>142621</xdr:rowOff>
    </xdr:from>
    <xdr:to>
      <xdr:col>8</xdr:col>
      <xdr:colOff>518697</xdr:colOff>
      <xdr:row>17</xdr:row>
      <xdr:rowOff>54332</xdr:rowOff>
    </xdr:to>
    <xdr:graphicFrame macro="">
      <xdr:nvGraphicFramePr>
        <xdr:cNvPr id="3" name="Chart 2">
          <a:extLst>
            <a:ext uri="{FF2B5EF4-FFF2-40B4-BE49-F238E27FC236}">
              <a16:creationId xmlns:a16="http://schemas.microsoft.com/office/drawing/2014/main" id="{EF6F30BC-B02B-F74B-9B41-659AF33F4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47540</xdr:rowOff>
    </xdr:from>
    <xdr:to>
      <xdr:col>8</xdr:col>
      <xdr:colOff>532279</xdr:colOff>
      <xdr:row>34</xdr:row>
      <xdr:rowOff>122246</xdr:rowOff>
    </xdr:to>
    <xdr:graphicFrame macro="">
      <xdr:nvGraphicFramePr>
        <xdr:cNvPr id="5" name="Chart 4">
          <a:extLst>
            <a:ext uri="{FF2B5EF4-FFF2-40B4-BE49-F238E27FC236}">
              <a16:creationId xmlns:a16="http://schemas.microsoft.com/office/drawing/2014/main" id="{56E934B4-A814-F44E-83F9-822E7359F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36</xdr:row>
      <xdr:rowOff>163285</xdr:rowOff>
    </xdr:from>
    <xdr:to>
      <xdr:col>8</xdr:col>
      <xdr:colOff>532279</xdr:colOff>
      <xdr:row>53</xdr:row>
      <xdr:rowOff>74705</xdr:rowOff>
    </xdr:to>
    <xdr:graphicFrame macro="">
      <xdr:nvGraphicFramePr>
        <xdr:cNvPr id="6" name="Chart 5">
          <a:extLst>
            <a:ext uri="{FF2B5EF4-FFF2-40B4-BE49-F238E27FC236}">
              <a16:creationId xmlns:a16="http://schemas.microsoft.com/office/drawing/2014/main" id="{2D0202FB-A125-404C-9D1A-96858F01E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xdr:row>
      <xdr:rowOff>0</xdr:rowOff>
    </xdr:from>
    <xdr:to>
      <xdr:col>16</xdr:col>
      <xdr:colOff>532279</xdr:colOff>
      <xdr:row>17</xdr:row>
      <xdr:rowOff>74706</xdr:rowOff>
    </xdr:to>
    <xdr:graphicFrame macro="">
      <xdr:nvGraphicFramePr>
        <xdr:cNvPr id="7" name="Chart 6">
          <a:extLst>
            <a:ext uri="{FF2B5EF4-FFF2-40B4-BE49-F238E27FC236}">
              <a16:creationId xmlns:a16="http://schemas.microsoft.com/office/drawing/2014/main" id="{D3BF8991-417F-044F-99D1-988E5FB52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meel" id="{37483420-6CC7-1640-8A79-D61A0C875018}" userId="jameel" providerId="Non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7" dT="2024-02-07T03:42:46.46" personId="{37483420-6CC7-1640-8A79-D61A0C875018}" id="{085F0C90-D928-D04A-980F-C4D5863A7567}">
    <text>guidance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7EBEC-8120-D240-A80B-6561CC74A937}">
  <dimension ref="A1:FJ92"/>
  <sheetViews>
    <sheetView zoomScale="113" zoomScaleNormal="113" workbookViewId="0">
      <pane xSplit="2" ySplit="4" topLeftCell="AD5" activePane="bottomRight" state="frozen"/>
      <selection pane="topRight" activeCell="B1" sqref="B1"/>
      <selection pane="bottomLeft" activeCell="A2" sqref="A2"/>
      <selection pane="bottomRight" activeCell="AG8" sqref="AG8:AG11"/>
    </sheetView>
  </sheetViews>
  <sheetFormatPr baseColWidth="10" defaultRowHeight="13"/>
  <cols>
    <col min="1" max="1" width="3.5" style="1" bestFit="1" customWidth="1"/>
    <col min="2" max="2" width="21" style="1" bestFit="1" customWidth="1"/>
    <col min="3" max="6" width="5.5" style="1" bestFit="1" customWidth="1"/>
    <col min="7" max="7" width="7.6640625" style="1" bestFit="1" customWidth="1"/>
    <col min="8" max="10" width="6.6640625" style="1" bestFit="1" customWidth="1"/>
    <col min="11" max="11" width="7.6640625" style="1" bestFit="1" customWidth="1"/>
    <col min="12" max="13" width="6.6640625" style="1" bestFit="1" customWidth="1"/>
    <col min="14" max="18" width="7.6640625" style="1" bestFit="1" customWidth="1"/>
    <col min="19" max="19" width="8" style="1" bestFit="1" customWidth="1"/>
    <col min="20" max="20" width="7.1640625" bestFit="1" customWidth="1"/>
    <col min="21" max="22" width="6.6640625" style="1" bestFit="1" customWidth="1"/>
    <col min="23" max="23" width="7.83203125" style="1" customWidth="1"/>
    <col min="24" max="24" width="10.83203125" style="1"/>
    <col min="25" max="27" width="5.1640625" style="1" bestFit="1" customWidth="1"/>
    <col min="28" max="40" width="7.6640625" style="1" bestFit="1" customWidth="1"/>
    <col min="41" max="43" width="9.1640625" style="1" bestFit="1" customWidth="1"/>
    <col min="44" max="44" width="7.6640625" style="1" bestFit="1" customWidth="1"/>
    <col min="45" max="45" width="8.1640625" style="1" bestFit="1" customWidth="1"/>
    <col min="46" max="46" width="13.1640625" style="1" bestFit="1" customWidth="1"/>
    <col min="47" max="166" width="7.6640625" style="1" bestFit="1" customWidth="1"/>
    <col min="167" max="16384" width="10.83203125" style="1"/>
  </cols>
  <sheetData>
    <row r="1" spans="1:43" customFormat="1">
      <c r="A1" s="8" t="s">
        <v>42</v>
      </c>
    </row>
    <row r="2" spans="1:43" s="2" customFormat="1">
      <c r="A2" s="9"/>
      <c r="G2" s="10">
        <f>YEAR(G3)</f>
        <v>2020</v>
      </c>
      <c r="H2" s="10">
        <f t="shared" ref="H2:V2" si="0">YEAR(H3)</f>
        <v>2021</v>
      </c>
      <c r="I2" s="10">
        <f t="shared" si="0"/>
        <v>2021</v>
      </c>
      <c r="J2" s="10">
        <f t="shared" si="0"/>
        <v>2021</v>
      </c>
      <c r="K2" s="10">
        <f t="shared" si="0"/>
        <v>2021</v>
      </c>
      <c r="L2" s="10">
        <f t="shared" si="0"/>
        <v>2022</v>
      </c>
      <c r="M2" s="10">
        <f t="shared" si="0"/>
        <v>2022</v>
      </c>
      <c r="N2" s="10">
        <f t="shared" si="0"/>
        <v>2022</v>
      </c>
      <c r="O2" s="10">
        <f t="shared" si="0"/>
        <v>2022</v>
      </c>
      <c r="P2" s="10">
        <f t="shared" si="0"/>
        <v>2023</v>
      </c>
      <c r="Q2" s="10">
        <f t="shared" si="0"/>
        <v>2023</v>
      </c>
      <c r="R2" s="10">
        <f t="shared" si="0"/>
        <v>2023</v>
      </c>
      <c r="S2" s="10">
        <f t="shared" si="0"/>
        <v>2023</v>
      </c>
      <c r="T2" s="10">
        <f t="shared" si="0"/>
        <v>2024</v>
      </c>
      <c r="U2" s="10">
        <f t="shared" si="0"/>
        <v>2024</v>
      </c>
      <c r="V2" s="10">
        <f t="shared" si="0"/>
        <v>2024</v>
      </c>
      <c r="W2" s="10"/>
    </row>
    <row r="3" spans="1:43" s="7" customFormat="1">
      <c r="G3" s="7">
        <v>44191</v>
      </c>
      <c r="H3" s="7">
        <v>44282</v>
      </c>
      <c r="I3" s="7">
        <v>44373</v>
      </c>
      <c r="J3" s="7">
        <v>44464</v>
      </c>
      <c r="K3" s="7">
        <v>44555</v>
      </c>
      <c r="L3" s="7">
        <v>44646</v>
      </c>
      <c r="M3" s="7">
        <v>44737</v>
      </c>
      <c r="N3" s="7">
        <v>44828</v>
      </c>
      <c r="O3" s="7">
        <v>44926</v>
      </c>
      <c r="P3" s="7">
        <v>45017</v>
      </c>
      <c r="Q3" s="7">
        <v>45108</v>
      </c>
      <c r="R3" s="7">
        <v>45199</v>
      </c>
      <c r="S3" s="7">
        <v>45290</v>
      </c>
      <c r="T3" s="7">
        <f>+P3+365</f>
        <v>45382</v>
      </c>
      <c r="U3" s="7">
        <f>+Q3+365</f>
        <v>45473</v>
      </c>
      <c r="V3" s="7">
        <f>+R3+365</f>
        <v>45564</v>
      </c>
    </row>
    <row r="4" spans="1:43">
      <c r="C4" s="1" t="s">
        <v>0</v>
      </c>
      <c r="D4" s="1" t="s">
        <v>1</v>
      </c>
      <c r="E4" s="1" t="s">
        <v>2</v>
      </c>
      <c r="F4" s="1" t="s">
        <v>3</v>
      </c>
      <c r="G4" s="1" t="s">
        <v>4</v>
      </c>
      <c r="H4" s="1" t="s">
        <v>5</v>
      </c>
      <c r="I4" s="1" t="s">
        <v>6</v>
      </c>
      <c r="J4" s="1" t="s">
        <v>7</v>
      </c>
      <c r="K4" s="1" t="s">
        <v>8</v>
      </c>
      <c r="L4" s="1" t="s">
        <v>9</v>
      </c>
      <c r="M4" s="1" t="s">
        <v>10</v>
      </c>
      <c r="N4" s="1" t="s">
        <v>11</v>
      </c>
      <c r="O4" s="1" t="s">
        <v>12</v>
      </c>
      <c r="P4" s="1" t="s">
        <v>13</v>
      </c>
      <c r="Q4" s="1" t="s">
        <v>14</v>
      </c>
      <c r="R4" s="1" t="s">
        <v>15</v>
      </c>
      <c r="S4" s="1" t="s">
        <v>22</v>
      </c>
      <c r="T4" s="1" t="s">
        <v>47</v>
      </c>
      <c r="U4" s="1" t="s">
        <v>48</v>
      </c>
      <c r="V4" s="1" t="s">
        <v>49</v>
      </c>
      <c r="Y4" s="2">
        <v>2015</v>
      </c>
      <c r="Z4" s="2">
        <f>+Y4+1</f>
        <v>2016</v>
      </c>
      <c r="AA4" s="2">
        <f t="shared" ref="AA4:AQ4" si="1">+Z4+1</f>
        <v>2017</v>
      </c>
      <c r="AB4" s="2">
        <f t="shared" si="1"/>
        <v>2018</v>
      </c>
      <c r="AC4" s="2">
        <f t="shared" si="1"/>
        <v>2019</v>
      </c>
      <c r="AD4" s="2">
        <f t="shared" si="1"/>
        <v>2020</v>
      </c>
      <c r="AE4" s="2">
        <f t="shared" si="1"/>
        <v>2021</v>
      </c>
      <c r="AF4" s="2">
        <f t="shared" si="1"/>
        <v>2022</v>
      </c>
      <c r="AG4" s="2">
        <f t="shared" si="1"/>
        <v>2023</v>
      </c>
      <c r="AH4" s="2">
        <f t="shared" si="1"/>
        <v>2024</v>
      </c>
      <c r="AI4" s="2">
        <f t="shared" si="1"/>
        <v>2025</v>
      </c>
      <c r="AJ4" s="2">
        <f t="shared" si="1"/>
        <v>2026</v>
      </c>
      <c r="AK4" s="2">
        <f t="shared" si="1"/>
        <v>2027</v>
      </c>
      <c r="AL4" s="2">
        <f t="shared" si="1"/>
        <v>2028</v>
      </c>
      <c r="AM4" s="2">
        <f t="shared" si="1"/>
        <v>2029</v>
      </c>
      <c r="AN4" s="2">
        <f t="shared" si="1"/>
        <v>2030</v>
      </c>
      <c r="AO4" s="2">
        <f t="shared" si="1"/>
        <v>2031</v>
      </c>
      <c r="AP4" s="2">
        <f t="shared" si="1"/>
        <v>2032</v>
      </c>
      <c r="AQ4" s="2">
        <f t="shared" si="1"/>
        <v>2033</v>
      </c>
    </row>
    <row r="5" spans="1:43">
      <c r="B5" s="1" t="s">
        <v>55</v>
      </c>
      <c r="S5" s="1">
        <f>2.2*1000</f>
        <v>2200</v>
      </c>
      <c r="T5" s="1"/>
      <c r="Y5" s="2"/>
      <c r="Z5" s="2"/>
      <c r="AA5" s="2"/>
      <c r="AB5" s="2"/>
      <c r="AC5" s="2"/>
      <c r="AD5" s="2"/>
      <c r="AE5" s="2"/>
      <c r="AF5" s="2"/>
      <c r="AG5" s="2"/>
      <c r="AH5" s="2"/>
      <c r="AI5" s="2"/>
      <c r="AJ5" s="2"/>
      <c r="AK5" s="2"/>
      <c r="AL5" s="2"/>
    </row>
    <row r="6" spans="1:43">
      <c r="T6" s="1"/>
      <c r="Y6" s="2"/>
      <c r="Z6" s="2"/>
      <c r="AA6" s="2"/>
      <c r="AB6" s="2"/>
      <c r="AC6" s="2"/>
      <c r="AD6" s="2"/>
      <c r="AE6" s="2"/>
      <c r="AF6" s="2"/>
      <c r="AG6" s="2"/>
      <c r="AH6" s="2"/>
      <c r="AI6" s="2"/>
      <c r="AJ6" s="2"/>
      <c r="AK6" s="2"/>
      <c r="AL6" s="2"/>
    </row>
    <row r="7" spans="1:43">
      <c r="B7" s="1" t="s">
        <v>43</v>
      </c>
      <c r="G7" s="1">
        <v>65957</v>
      </c>
      <c r="H7" s="1">
        <v>47938</v>
      </c>
      <c r="I7" s="1">
        <v>39570</v>
      </c>
      <c r="J7" s="1">
        <f>+AE7-SUM(G7:I7)</f>
        <v>38508</v>
      </c>
      <c r="K7" s="1">
        <v>71628</v>
      </c>
      <c r="L7" s="1">
        <v>50570</v>
      </c>
      <c r="M7" s="1">
        <v>40665</v>
      </c>
      <c r="N7" s="1">
        <f>+AF7-SUM(K7:M7)</f>
        <v>42626</v>
      </c>
      <c r="O7" s="1">
        <v>65775</v>
      </c>
      <c r="P7" s="1">
        <v>51334</v>
      </c>
      <c r="Q7" s="1">
        <v>39669</v>
      </c>
      <c r="R7" s="1">
        <f>+AG7-SUM(O7:Q7)</f>
        <v>43805</v>
      </c>
      <c r="S7" s="1">
        <v>69702</v>
      </c>
      <c r="T7" s="1">
        <f>+P7</f>
        <v>51334</v>
      </c>
      <c r="U7" s="1">
        <f>+Q7*1.02</f>
        <v>40462.379999999997</v>
      </c>
      <c r="V7" s="1">
        <f>+R7*1.02</f>
        <v>44681.1</v>
      </c>
      <c r="AB7" s="1">
        <v>164888</v>
      </c>
      <c r="AC7" s="1">
        <v>142381</v>
      </c>
      <c r="AD7" s="1">
        <v>137781</v>
      </c>
      <c r="AE7" s="1">
        <v>191973</v>
      </c>
      <c r="AF7" s="1">
        <v>205489</v>
      </c>
      <c r="AG7" s="1">
        <v>200583</v>
      </c>
      <c r="AH7" s="1">
        <f>SUM(S7:V7)</f>
        <v>206179.48</v>
      </c>
      <c r="AI7" s="1">
        <f>+AH7*1.02</f>
        <v>210303.06960000002</v>
      </c>
      <c r="AJ7" s="1">
        <f t="shared" ref="AJ7:AQ7" si="2">+AI7*1.02</f>
        <v>214509.13099200002</v>
      </c>
      <c r="AK7" s="1">
        <f t="shared" si="2"/>
        <v>218799.31361184001</v>
      </c>
      <c r="AL7" s="1">
        <f t="shared" si="2"/>
        <v>223175.29988407681</v>
      </c>
      <c r="AM7" s="1">
        <f t="shared" si="2"/>
        <v>227638.80588175837</v>
      </c>
      <c r="AN7" s="1">
        <f t="shared" si="2"/>
        <v>232191.58199939353</v>
      </c>
      <c r="AO7" s="1">
        <f t="shared" si="2"/>
        <v>236835.41363938141</v>
      </c>
      <c r="AP7" s="1">
        <f t="shared" si="2"/>
        <v>241572.12191216904</v>
      </c>
      <c r="AQ7" s="1">
        <f t="shared" si="2"/>
        <v>246403.56435041243</v>
      </c>
    </row>
    <row r="8" spans="1:43">
      <c r="B8" s="1" t="s">
        <v>44</v>
      </c>
      <c r="G8" s="1">
        <v>8675</v>
      </c>
      <c r="H8" s="1">
        <v>9102</v>
      </c>
      <c r="I8" s="1">
        <v>8235</v>
      </c>
      <c r="J8" s="1">
        <f>+AE8-SUM(G8:I8)</f>
        <v>9178</v>
      </c>
      <c r="K8" s="1">
        <v>10852</v>
      </c>
      <c r="L8" s="1">
        <v>10435</v>
      </c>
      <c r="M8" s="1">
        <v>7382</v>
      </c>
      <c r="N8" s="1">
        <f>+AF8-SUM(K8:M8)</f>
        <v>11508</v>
      </c>
      <c r="O8" s="1">
        <v>7735</v>
      </c>
      <c r="P8" s="1">
        <v>7168</v>
      </c>
      <c r="Q8" s="1">
        <v>6840</v>
      </c>
      <c r="R8" s="1">
        <f>+AG8-SUM(O8:Q8)</f>
        <v>7614</v>
      </c>
      <c r="S8" s="1">
        <v>7780</v>
      </c>
      <c r="T8" s="1">
        <f>+P8*0.95</f>
        <v>6809.5999999999995</v>
      </c>
      <c r="U8" s="1">
        <f>+Q8*0.98</f>
        <v>6703.2</v>
      </c>
      <c r="V8" s="1">
        <f>+R8*0.98</f>
        <v>7461.72</v>
      </c>
      <c r="AB8" s="1">
        <v>25198</v>
      </c>
      <c r="AC8" s="1">
        <v>25740</v>
      </c>
      <c r="AD8" s="1">
        <v>28622</v>
      </c>
      <c r="AE8" s="1">
        <v>35190</v>
      </c>
      <c r="AF8" s="1">
        <v>40177</v>
      </c>
      <c r="AG8" s="1">
        <v>29357</v>
      </c>
      <c r="AH8" s="1">
        <f t="shared" ref="AH8:AH24" si="3">SUM(S8:V8)</f>
        <v>28754.52</v>
      </c>
      <c r="AI8" s="1">
        <f>+AH8*1.01</f>
        <v>29042.065200000001</v>
      </c>
      <c r="AJ8" s="1">
        <f t="shared" ref="AJ8:AQ8" si="4">+AI8*1.01</f>
        <v>29332.485852000002</v>
      </c>
      <c r="AK8" s="1">
        <f t="shared" si="4"/>
        <v>29625.810710520003</v>
      </c>
      <c r="AL8" s="1">
        <f t="shared" si="4"/>
        <v>29922.068817625204</v>
      </c>
      <c r="AM8" s="1">
        <f t="shared" si="4"/>
        <v>30221.289505801458</v>
      </c>
      <c r="AN8" s="1">
        <f t="shared" si="4"/>
        <v>30523.502400859474</v>
      </c>
      <c r="AO8" s="1">
        <f t="shared" si="4"/>
        <v>30828.737424868068</v>
      </c>
      <c r="AP8" s="1">
        <f t="shared" si="4"/>
        <v>31137.024799116749</v>
      </c>
      <c r="AQ8" s="1">
        <f t="shared" si="4"/>
        <v>31448.395047107915</v>
      </c>
    </row>
    <row r="9" spans="1:43">
      <c r="B9" s="1" t="s">
        <v>45</v>
      </c>
      <c r="G9" s="1">
        <v>8435</v>
      </c>
      <c r="H9" s="1">
        <v>7807</v>
      </c>
      <c r="I9" s="1">
        <v>7368</v>
      </c>
      <c r="J9" s="1">
        <f>+AE9-SUM(G9:I9)</f>
        <v>8252</v>
      </c>
      <c r="K9" s="1">
        <v>7248</v>
      </c>
      <c r="L9" s="1">
        <v>7646</v>
      </c>
      <c r="M9" s="1">
        <v>7224</v>
      </c>
      <c r="N9" s="1">
        <f>+AF9-SUM(K9:M9)</f>
        <v>7174</v>
      </c>
      <c r="O9" s="1">
        <v>9396</v>
      </c>
      <c r="P9" s="1">
        <v>6670</v>
      </c>
      <c r="Q9" s="1">
        <v>5791</v>
      </c>
      <c r="R9" s="1">
        <f>+AG9-SUM(O9:Q9)</f>
        <v>6443</v>
      </c>
      <c r="S9" s="1">
        <v>7023</v>
      </c>
      <c r="T9" s="1">
        <f>+P9*0.9</f>
        <v>6003</v>
      </c>
      <c r="U9" s="1">
        <f>+Q9*0.95</f>
        <v>5501.45</v>
      </c>
      <c r="V9" s="1">
        <f>+R9*0.95</f>
        <v>6120.8499999999995</v>
      </c>
      <c r="AB9" s="1">
        <v>18380</v>
      </c>
      <c r="AC9" s="1">
        <v>21280</v>
      </c>
      <c r="AD9" s="1">
        <v>23724</v>
      </c>
      <c r="AE9" s="1">
        <v>31862</v>
      </c>
      <c r="AF9" s="1">
        <v>29292</v>
      </c>
      <c r="AG9" s="1">
        <v>28300</v>
      </c>
      <c r="AH9" s="1">
        <f t="shared" si="3"/>
        <v>24648.3</v>
      </c>
      <c r="AI9" s="1">
        <f>+AH9*0.99</f>
        <v>24401.816999999999</v>
      </c>
      <c r="AJ9" s="1">
        <f t="shared" ref="AJ9:AQ9" si="5">+AI9*0.99</f>
        <v>24157.79883</v>
      </c>
      <c r="AK9" s="1">
        <f t="shared" si="5"/>
        <v>23916.2208417</v>
      </c>
      <c r="AL9" s="1">
        <f t="shared" si="5"/>
        <v>23677.058633282999</v>
      </c>
      <c r="AM9" s="1">
        <f t="shared" si="5"/>
        <v>23440.288046950169</v>
      </c>
      <c r="AN9" s="1">
        <f t="shared" si="5"/>
        <v>23205.885166480668</v>
      </c>
      <c r="AO9" s="1">
        <f t="shared" si="5"/>
        <v>22973.826314815862</v>
      </c>
      <c r="AP9" s="1">
        <f t="shared" si="5"/>
        <v>22744.088051667703</v>
      </c>
      <c r="AQ9" s="1">
        <f t="shared" si="5"/>
        <v>22516.647171151024</v>
      </c>
    </row>
    <row r="10" spans="1:43">
      <c r="B10" s="1" t="s">
        <v>46</v>
      </c>
      <c r="G10" s="1">
        <v>12971</v>
      </c>
      <c r="H10" s="1">
        <v>7836</v>
      </c>
      <c r="I10" s="1">
        <v>8775</v>
      </c>
      <c r="J10" s="1">
        <f>+AE10-SUM(G10:I10)</f>
        <v>8785</v>
      </c>
      <c r="K10" s="1">
        <v>14701</v>
      </c>
      <c r="L10" s="1">
        <v>8806</v>
      </c>
      <c r="M10" s="1">
        <v>8084</v>
      </c>
      <c r="N10" s="1">
        <f>+AF10-SUM(K10:M10)</f>
        <v>9650</v>
      </c>
      <c r="O10" s="1">
        <v>13482</v>
      </c>
      <c r="P10" s="1">
        <v>8757</v>
      </c>
      <c r="Q10" s="1">
        <v>8284</v>
      </c>
      <c r="R10" s="1">
        <f>+AG10-SUM(O10:Q10)</f>
        <v>9322</v>
      </c>
      <c r="S10" s="1">
        <v>11953</v>
      </c>
      <c r="T10" s="1">
        <f>+P10*0.9</f>
        <v>7881.3</v>
      </c>
      <c r="U10" s="1">
        <f>+Q10*0.95</f>
        <v>7869.7999999999993</v>
      </c>
      <c r="V10" s="1">
        <f>+R10*0.95</f>
        <v>8855.9</v>
      </c>
      <c r="AB10" s="1">
        <v>17381</v>
      </c>
      <c r="AC10" s="1">
        <v>24482</v>
      </c>
      <c r="AD10" s="1">
        <v>30620</v>
      </c>
      <c r="AE10" s="1">
        <v>38367</v>
      </c>
      <c r="AF10" s="1">
        <v>41241</v>
      </c>
      <c r="AG10" s="1">
        <v>39845</v>
      </c>
      <c r="AH10" s="1">
        <f t="shared" si="3"/>
        <v>36560</v>
      </c>
      <c r="AI10" s="1">
        <f>+AH10*1.02</f>
        <v>37291.199999999997</v>
      </c>
      <c r="AJ10" s="1">
        <f t="shared" ref="AJ10:AQ10" si="6">+AI10*1.02</f>
        <v>38037.023999999998</v>
      </c>
      <c r="AK10" s="1">
        <f t="shared" si="6"/>
        <v>38797.764479999998</v>
      </c>
      <c r="AL10" s="1">
        <f t="shared" si="6"/>
        <v>39573.7197696</v>
      </c>
      <c r="AM10" s="1">
        <f t="shared" si="6"/>
        <v>40365.194164992005</v>
      </c>
      <c r="AN10" s="1">
        <f t="shared" si="6"/>
        <v>41172.498048291847</v>
      </c>
      <c r="AO10" s="1">
        <f t="shared" si="6"/>
        <v>41995.948009257685</v>
      </c>
      <c r="AP10" s="1">
        <f t="shared" si="6"/>
        <v>42835.866969442839</v>
      </c>
      <c r="AQ10" s="1">
        <f t="shared" si="6"/>
        <v>43692.584308831698</v>
      </c>
    </row>
    <row r="11" spans="1:43">
      <c r="B11" s="1" t="s">
        <v>30</v>
      </c>
      <c r="G11" s="1">
        <v>15761</v>
      </c>
      <c r="H11" s="1">
        <v>16901</v>
      </c>
      <c r="I11" s="1">
        <v>17486</v>
      </c>
      <c r="J11" s="1">
        <f>+AE11-SUM(G11:I11)</f>
        <v>18277</v>
      </c>
      <c r="K11" s="1">
        <v>19516</v>
      </c>
      <c r="L11" s="1">
        <v>19821</v>
      </c>
      <c r="M11" s="1">
        <v>19604</v>
      </c>
      <c r="N11" s="1">
        <f>+AF11-SUM(K11:M11)</f>
        <v>19188</v>
      </c>
      <c r="O11" s="1">
        <v>20766</v>
      </c>
      <c r="P11" s="1">
        <v>20907</v>
      </c>
      <c r="Q11" s="1">
        <v>21213</v>
      </c>
      <c r="R11" s="1">
        <f>+AG11-SUM(O11:Q11)</f>
        <v>22314</v>
      </c>
      <c r="S11" s="1">
        <v>23117</v>
      </c>
      <c r="T11" s="1">
        <f>+P11*1.11</f>
        <v>23206.77</v>
      </c>
      <c r="U11" s="1">
        <f>+Q11*1.1</f>
        <v>23334.300000000003</v>
      </c>
      <c r="V11" s="1">
        <f>+R11*1.1</f>
        <v>24545.4</v>
      </c>
      <c r="AB11" s="1">
        <v>39748</v>
      </c>
      <c r="AC11" s="1">
        <v>46291</v>
      </c>
      <c r="AD11" s="1">
        <v>53768</v>
      </c>
      <c r="AE11" s="1">
        <v>68425</v>
      </c>
      <c r="AF11" s="1">
        <v>78129</v>
      </c>
      <c r="AG11" s="1">
        <v>85200</v>
      </c>
      <c r="AH11" s="1">
        <f t="shared" si="3"/>
        <v>94203.47</v>
      </c>
      <c r="AI11" s="1">
        <f>+AH11*1.1</f>
        <v>103623.81700000001</v>
      </c>
      <c r="AJ11" s="1">
        <f>+AI11*1.09</f>
        <v>112949.96053000003</v>
      </c>
      <c r="AK11" s="1">
        <f>+AJ11*1.08</f>
        <v>121985.95737240004</v>
      </c>
      <c r="AL11" s="1">
        <f>+AK11*1.07</f>
        <v>130524.97438846805</v>
      </c>
      <c r="AM11" s="1">
        <f t="shared" ref="AM11:AQ11" si="7">+AL11*1.07</f>
        <v>139661.72259566083</v>
      </c>
      <c r="AN11" s="1">
        <f t="shared" si="7"/>
        <v>149438.04317735709</v>
      </c>
      <c r="AO11" s="1">
        <f t="shared" si="7"/>
        <v>159898.7061997721</v>
      </c>
      <c r="AP11" s="1">
        <f t="shared" si="7"/>
        <v>171091.61563375616</v>
      </c>
      <c r="AQ11" s="1">
        <f t="shared" si="7"/>
        <v>183068.0287281191</v>
      </c>
    </row>
    <row r="12" spans="1:43">
      <c r="B12" s="1" t="s">
        <v>31</v>
      </c>
      <c r="C12" s="1">
        <f t="shared" ref="C12:R12" si="8">SUM(C7:C11)</f>
        <v>0</v>
      </c>
      <c r="D12" s="1">
        <f t="shared" si="8"/>
        <v>0</v>
      </c>
      <c r="E12" s="1">
        <f t="shared" si="8"/>
        <v>0</v>
      </c>
      <c r="F12" s="1">
        <f t="shared" si="8"/>
        <v>0</v>
      </c>
      <c r="G12" s="1">
        <f t="shared" si="8"/>
        <v>111799</v>
      </c>
      <c r="H12" s="1">
        <f t="shared" si="8"/>
        <v>89584</v>
      </c>
      <c r="I12" s="1">
        <f t="shared" si="8"/>
        <v>81434</v>
      </c>
      <c r="J12" s="1">
        <f t="shared" si="8"/>
        <v>83000</v>
      </c>
      <c r="K12" s="1">
        <f t="shared" si="8"/>
        <v>123945</v>
      </c>
      <c r="L12" s="1">
        <f t="shared" si="8"/>
        <v>97278</v>
      </c>
      <c r="M12" s="1">
        <f t="shared" si="8"/>
        <v>82959</v>
      </c>
      <c r="N12" s="1">
        <f t="shared" si="8"/>
        <v>90146</v>
      </c>
      <c r="O12" s="1">
        <f t="shared" si="8"/>
        <v>117154</v>
      </c>
      <c r="P12" s="1">
        <f t="shared" si="8"/>
        <v>94836</v>
      </c>
      <c r="Q12" s="1">
        <f t="shared" si="8"/>
        <v>81797</v>
      </c>
      <c r="R12" s="1">
        <f t="shared" si="8"/>
        <v>89498</v>
      </c>
      <c r="S12" s="1">
        <f>SUM(S7:S11)</f>
        <v>119575</v>
      </c>
      <c r="T12" s="1">
        <f>SUM(T7:T11)</f>
        <v>95234.67</v>
      </c>
      <c r="U12" s="1">
        <f t="shared" ref="U12:V12" si="9">SUM(U7:U11)</f>
        <v>83871.12999999999</v>
      </c>
      <c r="V12" s="1">
        <f t="shared" si="9"/>
        <v>91664.97</v>
      </c>
      <c r="AB12" s="1">
        <f t="shared" ref="AB12:AG12" si="10">+SUM(AB7:AB11)</f>
        <v>265595</v>
      </c>
      <c r="AC12" s="1">
        <f t="shared" si="10"/>
        <v>260174</v>
      </c>
      <c r="AD12" s="1">
        <f t="shared" si="10"/>
        <v>274515</v>
      </c>
      <c r="AE12" s="1">
        <f t="shared" si="10"/>
        <v>365817</v>
      </c>
      <c r="AF12" s="1">
        <f t="shared" si="10"/>
        <v>394328</v>
      </c>
      <c r="AG12" s="1">
        <f t="shared" si="10"/>
        <v>383285</v>
      </c>
      <c r="AH12" s="1">
        <f t="shared" si="3"/>
        <v>390345.77</v>
      </c>
      <c r="AI12" s="1">
        <f>SUM(AI7:AI11)</f>
        <v>404661.96880000003</v>
      </c>
      <c r="AJ12" s="1">
        <f t="shared" ref="AJ12:AQ12" si="11">SUM(AJ7:AJ11)</f>
        <v>418986.40020400006</v>
      </c>
      <c r="AK12" s="1">
        <f t="shared" si="11"/>
        <v>433125.06701646006</v>
      </c>
      <c r="AL12" s="1">
        <f t="shared" si="11"/>
        <v>446873.12149305304</v>
      </c>
      <c r="AM12" s="1">
        <f t="shared" si="11"/>
        <v>461327.30019516282</v>
      </c>
      <c r="AN12" s="1">
        <f t="shared" si="11"/>
        <v>476531.51079238264</v>
      </c>
      <c r="AO12" s="1">
        <f t="shared" si="11"/>
        <v>492532.6315880951</v>
      </c>
      <c r="AP12" s="1">
        <f t="shared" si="11"/>
        <v>509380.71736615256</v>
      </c>
      <c r="AQ12" s="1">
        <f t="shared" si="11"/>
        <v>527129.21960562211</v>
      </c>
    </row>
    <row r="13" spans="1:43">
      <c r="B13" s="1" t="s">
        <v>29</v>
      </c>
      <c r="G13" s="1">
        <v>62130</v>
      </c>
      <c r="H13" s="1">
        <v>46447</v>
      </c>
      <c r="I13" s="1">
        <v>40899</v>
      </c>
      <c r="J13" s="1">
        <v>42790</v>
      </c>
      <c r="K13" s="1">
        <v>64309</v>
      </c>
      <c r="L13" s="1">
        <v>49290</v>
      </c>
      <c r="M13" s="1">
        <v>41485</v>
      </c>
      <c r="N13" s="1">
        <v>46387</v>
      </c>
      <c r="O13" s="1">
        <v>60765</v>
      </c>
      <c r="P13" s="1">
        <v>46795</v>
      </c>
      <c r="Q13" s="1">
        <v>39136</v>
      </c>
      <c r="R13" s="1">
        <v>42586</v>
      </c>
      <c r="S13" s="1">
        <v>58440</v>
      </c>
      <c r="T13" s="1">
        <f>+T$12*(S13/S$12)</f>
        <v>46544.12807693916</v>
      </c>
      <c r="U13" s="1">
        <f>+U$12*(T13/T$12)</f>
        <v>40990.414695379463</v>
      </c>
      <c r="V13" s="1">
        <f>+V$12*(U13/U$12)</f>
        <v>44799.505304620536</v>
      </c>
      <c r="AB13" s="1">
        <v>148164</v>
      </c>
      <c r="AC13" s="1">
        <v>144996</v>
      </c>
      <c r="AD13" s="1">
        <v>151286</v>
      </c>
      <c r="AE13" s="1">
        <f>SUM(G13:J13)</f>
        <v>192266</v>
      </c>
      <c r="AF13" s="1">
        <f>SUM(K13:N13)</f>
        <v>201471</v>
      </c>
      <c r="AG13" s="1">
        <f>SUM(O13:R13)</f>
        <v>189282</v>
      </c>
      <c r="AH13" s="1">
        <f t="shared" si="3"/>
        <v>190774.04807693916</v>
      </c>
      <c r="AI13" s="1">
        <f>+AI12*0.488</f>
        <v>197475.0407744</v>
      </c>
      <c r="AJ13" s="1">
        <f>+AJ12*0.487</f>
        <v>204046.37689934802</v>
      </c>
      <c r="AK13" s="1">
        <f>+AK12*0.486</f>
        <v>210498.78256999957</v>
      </c>
      <c r="AL13" s="1">
        <f>+AL12*0.485</f>
        <v>216733.46392413072</v>
      </c>
      <c r="AM13" s="1">
        <f>+AM12*0.484</f>
        <v>223282.41329445879</v>
      </c>
      <c r="AN13" s="1">
        <f>+AN12*0.483</f>
        <v>230164.71971272081</v>
      </c>
      <c r="AO13" s="1">
        <f>+AO12*0.482</f>
        <v>237400.72842546183</v>
      </c>
      <c r="AP13" s="1">
        <f>+AP12*0.481</f>
        <v>245012.12505311938</v>
      </c>
      <c r="AQ13" s="1">
        <f>+AQ12*0.48</f>
        <v>253022.02541069861</v>
      </c>
    </row>
    <row r="14" spans="1:43">
      <c r="B14" s="1" t="s">
        <v>30</v>
      </c>
      <c r="G14" s="1">
        <v>4981</v>
      </c>
      <c r="H14" s="1">
        <v>5058</v>
      </c>
      <c r="I14" s="1">
        <v>5280</v>
      </c>
      <c r="J14" s="1">
        <v>5396</v>
      </c>
      <c r="K14" s="1">
        <v>5393</v>
      </c>
      <c r="L14" s="1">
        <v>5429</v>
      </c>
      <c r="M14" s="1">
        <v>5589</v>
      </c>
      <c r="N14" s="1">
        <v>5664</v>
      </c>
      <c r="O14" s="1">
        <v>6057</v>
      </c>
      <c r="P14" s="1">
        <v>6065</v>
      </c>
      <c r="Q14" s="1">
        <v>6248</v>
      </c>
      <c r="R14" s="1">
        <v>6485</v>
      </c>
      <c r="S14" s="1">
        <v>6280</v>
      </c>
      <c r="T14" s="1">
        <f t="shared" ref="T14:U14" si="12">+T$12*(S14/S$12)</f>
        <v>5001.6619494041397</v>
      </c>
      <c r="U14" s="1">
        <f t="shared" si="12"/>
        <v>4404.8563361906754</v>
      </c>
      <c r="V14" s="1">
        <f t="shared" ref="V14" si="13">+V$12*(U14/U$12)</f>
        <v>4814.1836638093255</v>
      </c>
      <c r="AB14" s="1">
        <v>15592</v>
      </c>
      <c r="AC14" s="1">
        <v>16786</v>
      </c>
      <c r="AD14" s="1">
        <v>18273</v>
      </c>
      <c r="AE14" s="1">
        <f t="shared" ref="AE14:AE24" si="14">SUM(G14:J14)</f>
        <v>20715</v>
      </c>
      <c r="AF14" s="1">
        <f t="shared" ref="AF14:AF24" si="15">SUM(K14:N14)</f>
        <v>22075</v>
      </c>
      <c r="AG14" s="1">
        <f t="shared" ref="AG14:AG24" si="16">SUM(O14:R14)</f>
        <v>24855</v>
      </c>
      <c r="AH14" s="1">
        <f t="shared" si="3"/>
        <v>20500.701949404141</v>
      </c>
      <c r="AI14" s="1">
        <f>+AI$12*(AH14/AH$12)</f>
        <v>21252.579252051015</v>
      </c>
      <c r="AJ14" s="1">
        <f t="shared" ref="AJ14:AQ14" si="17">+AJ$12*(AI14/AI$12)</f>
        <v>22004.888925620908</v>
      </c>
      <c r="AK14" s="1">
        <f t="shared" si="17"/>
        <v>22747.44236557281</v>
      </c>
      <c r="AL14" s="1">
        <f t="shared" si="17"/>
        <v>23469.481103712085</v>
      </c>
      <c r="AM14" s="1">
        <f t="shared" si="17"/>
        <v>24228.605019658138</v>
      </c>
      <c r="AN14" s="1">
        <f t="shared" si="17"/>
        <v>25027.120115209385</v>
      </c>
      <c r="AO14" s="1">
        <f t="shared" si="17"/>
        <v>25867.488407888242</v>
      </c>
      <c r="AP14" s="1">
        <f t="shared" si="17"/>
        <v>26752.338741872776</v>
      </c>
      <c r="AQ14" s="1">
        <f t="shared" si="17"/>
        <v>27684.478353529634</v>
      </c>
    </row>
    <row r="15" spans="1:43">
      <c r="B15" s="1" t="s">
        <v>32</v>
      </c>
      <c r="C15" s="1">
        <f t="shared" ref="C15:R15" si="18">+C12-SUM(C13:C14)</f>
        <v>0</v>
      </c>
      <c r="D15" s="1">
        <f t="shared" si="18"/>
        <v>0</v>
      </c>
      <c r="E15" s="1">
        <f t="shared" si="18"/>
        <v>0</v>
      </c>
      <c r="F15" s="1">
        <f t="shared" si="18"/>
        <v>0</v>
      </c>
      <c r="G15" s="1">
        <f t="shared" si="18"/>
        <v>44688</v>
      </c>
      <c r="H15" s="1">
        <f t="shared" si="18"/>
        <v>38079</v>
      </c>
      <c r="I15" s="1">
        <f t="shared" si="18"/>
        <v>35255</v>
      </c>
      <c r="J15" s="1">
        <f t="shared" si="18"/>
        <v>34814</v>
      </c>
      <c r="K15" s="1">
        <f>+K12-SUM(K13:K14)</f>
        <v>54243</v>
      </c>
      <c r="L15" s="1">
        <f t="shared" si="18"/>
        <v>42559</v>
      </c>
      <c r="M15" s="1">
        <f t="shared" si="18"/>
        <v>35885</v>
      </c>
      <c r="N15" s="1">
        <f t="shared" si="18"/>
        <v>38095</v>
      </c>
      <c r="O15" s="1">
        <f>+O12-SUM(O13:O14)</f>
        <v>50332</v>
      </c>
      <c r="P15" s="1">
        <f t="shared" si="18"/>
        <v>41976</v>
      </c>
      <c r="Q15" s="1">
        <f t="shared" si="18"/>
        <v>36413</v>
      </c>
      <c r="R15" s="1">
        <f t="shared" si="18"/>
        <v>40427</v>
      </c>
      <c r="S15" s="1">
        <f>+S12-SUM(S13:S14)</f>
        <v>54855</v>
      </c>
      <c r="T15" s="1">
        <f>+T12-SUM(T13:T14)</f>
        <v>43688.879973656702</v>
      </c>
      <c r="U15" s="1">
        <f>+U12-SUM(U13:U14)</f>
        <v>38475.858968429849</v>
      </c>
      <c r="V15" s="1">
        <f>+V12-SUM(V13:V14)</f>
        <v>42051.281031570143</v>
      </c>
      <c r="AB15" s="1">
        <f>+AB12-SUM(AB13:AB14)</f>
        <v>101839</v>
      </c>
      <c r="AC15" s="1">
        <f>+AC12-SUM(AC13:AC14)</f>
        <v>98392</v>
      </c>
      <c r="AD15" s="1">
        <f>+AD12-SUM(AD13:AD14)</f>
        <v>104956</v>
      </c>
      <c r="AE15" s="1">
        <f t="shared" si="14"/>
        <v>152836</v>
      </c>
      <c r="AF15" s="1">
        <f t="shared" si="15"/>
        <v>170782</v>
      </c>
      <c r="AG15" s="1">
        <f t="shared" si="16"/>
        <v>169148</v>
      </c>
      <c r="AH15" s="1">
        <f t="shared" si="3"/>
        <v>179071.01997365669</v>
      </c>
      <c r="AI15" s="1">
        <f>+AI12-SUM(AI13:AI14)</f>
        <v>185934.34877354902</v>
      </c>
      <c r="AJ15" s="1">
        <f t="shared" ref="AJ15:AQ15" si="19">+AJ12-SUM(AJ13:AJ14)</f>
        <v>192935.13437903114</v>
      </c>
      <c r="AK15" s="1">
        <f t="shared" si="19"/>
        <v>199878.84208088767</v>
      </c>
      <c r="AL15" s="1">
        <f t="shared" si="19"/>
        <v>206670.17646521024</v>
      </c>
      <c r="AM15" s="1">
        <f t="shared" si="19"/>
        <v>213816.2818810459</v>
      </c>
      <c r="AN15" s="1">
        <f t="shared" si="19"/>
        <v>221339.67096445244</v>
      </c>
      <c r="AO15" s="1">
        <f t="shared" si="19"/>
        <v>229264.41475474503</v>
      </c>
      <c r="AP15" s="1">
        <f t="shared" si="19"/>
        <v>237616.25357116043</v>
      </c>
      <c r="AQ15" s="1">
        <f t="shared" si="19"/>
        <v>246422.71584139386</v>
      </c>
    </row>
    <row r="16" spans="1:43">
      <c r="B16" s="1" t="s">
        <v>33</v>
      </c>
      <c r="G16" s="1">
        <v>5163</v>
      </c>
      <c r="H16" s="1">
        <v>5262</v>
      </c>
      <c r="I16" s="1">
        <v>5717</v>
      </c>
      <c r="J16" s="1">
        <v>5772</v>
      </c>
      <c r="K16" s="1">
        <v>6306</v>
      </c>
      <c r="L16" s="1">
        <v>6387</v>
      </c>
      <c r="M16" s="1">
        <v>6797</v>
      </c>
      <c r="N16" s="1">
        <v>6761</v>
      </c>
      <c r="O16" s="1">
        <v>7709</v>
      </c>
      <c r="P16" s="1">
        <v>7457</v>
      </c>
      <c r="Q16" s="1">
        <v>7442</v>
      </c>
      <c r="R16" s="1">
        <v>7307</v>
      </c>
      <c r="S16" s="1">
        <v>7696</v>
      </c>
      <c r="T16" s="1">
        <f t="shared" ref="T16:V17" si="20">+T$12*(P16/P$12)</f>
        <v>7488.3476126154619</v>
      </c>
      <c r="U16" s="1">
        <f t="shared" si="20"/>
        <v>7630.7071097962016</v>
      </c>
      <c r="V16" s="1">
        <f t="shared" si="20"/>
        <v>7483.9207109656081</v>
      </c>
      <c r="AB16" s="1">
        <v>14236</v>
      </c>
      <c r="AC16" s="1">
        <v>16217</v>
      </c>
      <c r="AD16" s="1">
        <v>18752</v>
      </c>
      <c r="AE16" s="1">
        <f t="shared" si="14"/>
        <v>21914</v>
      </c>
      <c r="AF16" s="1">
        <f t="shared" si="15"/>
        <v>26251</v>
      </c>
      <c r="AG16" s="1">
        <f t="shared" si="16"/>
        <v>29915</v>
      </c>
      <c r="AH16" s="1">
        <f t="shared" si="3"/>
        <v>30298.975433377273</v>
      </c>
      <c r="AI16" s="1">
        <f>+AI12*0.077</f>
        <v>31158.971597600001</v>
      </c>
      <c r="AJ16" s="1">
        <f>+AJ12*0.076</f>
        <v>31842.966415504005</v>
      </c>
      <c r="AK16" s="1">
        <f>+AK12*0.075</f>
        <v>32484.380026234503</v>
      </c>
      <c r="AL16" s="1">
        <f>+AL12*0.074</f>
        <v>33068.610990485926</v>
      </c>
      <c r="AM16" s="1">
        <f>+AM12*0.073</f>
        <v>33676.892914246884</v>
      </c>
      <c r="AN16" s="1">
        <f>+AN12*0.072</f>
        <v>34310.268777051548</v>
      </c>
      <c r="AO16" s="1">
        <f>+AO12*0.071</f>
        <v>34969.81684275475</v>
      </c>
      <c r="AP16" s="1">
        <f>+AP12*0.07</f>
        <v>35656.650215630681</v>
      </c>
      <c r="AQ16" s="1">
        <f>+AQ12*0.069</f>
        <v>36371.916152787926</v>
      </c>
    </row>
    <row r="17" spans="2:166">
      <c r="B17" s="1" t="s">
        <v>34</v>
      </c>
      <c r="G17" s="1">
        <v>5631</v>
      </c>
      <c r="H17" s="1">
        <v>5314</v>
      </c>
      <c r="I17" s="1">
        <v>5412</v>
      </c>
      <c r="J17" s="1">
        <v>5616</v>
      </c>
      <c r="K17" s="1">
        <v>6449</v>
      </c>
      <c r="L17" s="1">
        <v>6193</v>
      </c>
      <c r="M17" s="1">
        <v>6012</v>
      </c>
      <c r="N17" s="1">
        <v>6440</v>
      </c>
      <c r="O17" s="1">
        <v>6607</v>
      </c>
      <c r="P17" s="1">
        <v>6201</v>
      </c>
      <c r="Q17" s="1">
        <v>5973</v>
      </c>
      <c r="R17" s="1">
        <v>6151</v>
      </c>
      <c r="S17" s="1">
        <v>6786</v>
      </c>
      <c r="T17" s="1">
        <f t="shared" si="20"/>
        <v>6227.0676606984689</v>
      </c>
      <c r="U17" s="1">
        <f t="shared" si="20"/>
        <v>6124.457614460187</v>
      </c>
      <c r="V17" s="1">
        <f t="shared" si="20"/>
        <v>6299.9310651634678</v>
      </c>
      <c r="AB17" s="1">
        <v>16705</v>
      </c>
      <c r="AC17" s="1">
        <v>18245</v>
      </c>
      <c r="AD17" s="1">
        <v>19916</v>
      </c>
      <c r="AE17" s="1">
        <f t="shared" si="14"/>
        <v>21973</v>
      </c>
      <c r="AF17" s="1">
        <f t="shared" si="15"/>
        <v>25094</v>
      </c>
      <c r="AG17" s="1">
        <f t="shared" si="16"/>
        <v>24932</v>
      </c>
      <c r="AH17" s="1">
        <f t="shared" si="3"/>
        <v>25437.456340322125</v>
      </c>
      <c r="AI17" s="1">
        <f>+AI$12*(AH17/AH$12)</f>
        <v>26370.392495706546</v>
      </c>
      <c r="AJ17" s="1">
        <f t="shared" ref="AJ17:AQ17" si="21">+AJ$12*(AI17/AI$12)</f>
        <v>27303.86514084163</v>
      </c>
      <c r="AK17" s="1">
        <f t="shared" si="21"/>
        <v>28225.232163090423</v>
      </c>
      <c r="AL17" s="1">
        <f t="shared" si="21"/>
        <v>29121.144357842026</v>
      </c>
      <c r="AM17" s="1">
        <f t="shared" si="21"/>
        <v>30063.07217652988</v>
      </c>
      <c r="AN17" s="1">
        <f t="shared" si="21"/>
        <v>31053.876927035675</v>
      </c>
      <c r="AO17" s="1">
        <f t="shared" si="21"/>
        <v>32096.613502962078</v>
      </c>
      <c r="AP17" s="1">
        <f t="shared" si="21"/>
        <v>33194.543797934508</v>
      </c>
      <c r="AQ17" s="1">
        <f t="shared" si="21"/>
        <v>34351.151056218914</v>
      </c>
    </row>
    <row r="18" spans="2:166">
      <c r="B18" s="1" t="s">
        <v>36</v>
      </c>
      <c r="C18" s="1">
        <f t="shared" ref="C18:R18" si="22">+C15-SUM(C16:C17)</f>
        <v>0</v>
      </c>
      <c r="D18" s="1">
        <f t="shared" si="22"/>
        <v>0</v>
      </c>
      <c r="E18" s="1">
        <f t="shared" si="22"/>
        <v>0</v>
      </c>
      <c r="F18" s="1">
        <f t="shared" si="22"/>
        <v>0</v>
      </c>
      <c r="G18" s="1">
        <f t="shared" si="22"/>
        <v>33894</v>
      </c>
      <c r="H18" s="1">
        <f t="shared" si="22"/>
        <v>27503</v>
      </c>
      <c r="I18" s="1">
        <f t="shared" si="22"/>
        <v>24126</v>
      </c>
      <c r="J18" s="1">
        <f t="shared" si="22"/>
        <v>23426</v>
      </c>
      <c r="K18" s="1">
        <f>+K15-SUM(K16:K17)</f>
        <v>41488</v>
      </c>
      <c r="L18" s="1">
        <f t="shared" si="22"/>
        <v>29979</v>
      </c>
      <c r="M18" s="1">
        <f t="shared" si="22"/>
        <v>23076</v>
      </c>
      <c r="N18" s="1">
        <f t="shared" si="22"/>
        <v>24894</v>
      </c>
      <c r="O18" s="1">
        <f>+O15-SUM(O16:O17)</f>
        <v>36016</v>
      </c>
      <c r="P18" s="1">
        <f t="shared" si="22"/>
        <v>28318</v>
      </c>
      <c r="Q18" s="1">
        <f t="shared" si="22"/>
        <v>22998</v>
      </c>
      <c r="R18" s="1">
        <f t="shared" si="22"/>
        <v>26969</v>
      </c>
      <c r="S18" s="1">
        <f>+S15-SUM(S16:S17)</f>
        <v>40373</v>
      </c>
      <c r="T18" s="1">
        <f>+T15-SUM(T16:T17)</f>
        <v>29973.464700342771</v>
      </c>
      <c r="U18" s="1">
        <f>+U15-SUM(U16:U17)</f>
        <v>24720.694244173461</v>
      </c>
      <c r="V18" s="1">
        <f>+V15-SUM(V16:V17)</f>
        <v>28267.429255441068</v>
      </c>
      <c r="AB18" s="1">
        <f>+AB15-SUM(AB16:AB17)</f>
        <v>70898</v>
      </c>
      <c r="AC18" s="1">
        <f>+AC15-SUM(AC16:AC17)</f>
        <v>63930</v>
      </c>
      <c r="AD18" s="1">
        <f>+AD15-SUM(AD16:AD17)</f>
        <v>66288</v>
      </c>
      <c r="AE18" s="1">
        <f t="shared" si="14"/>
        <v>108949</v>
      </c>
      <c r="AF18" s="1">
        <f t="shared" si="15"/>
        <v>119437</v>
      </c>
      <c r="AG18" s="1">
        <f t="shared" si="16"/>
        <v>114301</v>
      </c>
      <c r="AH18" s="1">
        <f t="shared" si="3"/>
        <v>123334.58819995729</v>
      </c>
      <c r="AI18" s="1">
        <f>+AI15-SUM(AI16:AI17)</f>
        <v>128404.98468024247</v>
      </c>
      <c r="AJ18" s="1">
        <f t="shared" ref="AJ18:AQ18" si="23">+AJ15-SUM(AJ16:AJ17)</f>
        <v>133788.30282268551</v>
      </c>
      <c r="AK18" s="1">
        <f t="shared" si="23"/>
        <v>139169.22989156275</v>
      </c>
      <c r="AL18" s="1">
        <f t="shared" si="23"/>
        <v>144480.42111688229</v>
      </c>
      <c r="AM18" s="1">
        <f t="shared" si="23"/>
        <v>150076.31679026913</v>
      </c>
      <c r="AN18" s="1">
        <f t="shared" si="23"/>
        <v>155975.52526036522</v>
      </c>
      <c r="AO18" s="1">
        <f t="shared" si="23"/>
        <v>162197.9844090282</v>
      </c>
      <c r="AP18" s="1">
        <f t="shared" si="23"/>
        <v>168765.05955759523</v>
      </c>
      <c r="AQ18" s="1">
        <f t="shared" si="23"/>
        <v>175699.64863238702</v>
      </c>
    </row>
    <row r="19" spans="2:166">
      <c r="B19" s="1" t="s">
        <v>37</v>
      </c>
      <c r="G19" s="1">
        <v>45</v>
      </c>
      <c r="H19" s="1">
        <v>508</v>
      </c>
      <c r="I19" s="1">
        <v>243</v>
      </c>
      <c r="J19" s="1">
        <v>-538</v>
      </c>
      <c r="K19" s="1">
        <v>-247</v>
      </c>
      <c r="L19" s="1">
        <v>160</v>
      </c>
      <c r="M19" s="1">
        <v>-10</v>
      </c>
      <c r="N19" s="1">
        <v>-237</v>
      </c>
      <c r="O19" s="1">
        <v>-393</v>
      </c>
      <c r="P19" s="1">
        <v>64</v>
      </c>
      <c r="Q19" s="1">
        <v>265</v>
      </c>
      <c r="R19" s="1">
        <v>29</v>
      </c>
      <c r="S19" s="1">
        <v>-50</v>
      </c>
      <c r="T19" s="1">
        <f>+S19</f>
        <v>-50</v>
      </c>
      <c r="U19" s="1">
        <f>+T19</f>
        <v>-50</v>
      </c>
      <c r="V19" s="1">
        <f>+U19</f>
        <v>-50</v>
      </c>
      <c r="AB19" s="1">
        <v>2005</v>
      </c>
      <c r="AC19" s="1">
        <v>1807</v>
      </c>
      <c r="AD19" s="1">
        <v>803</v>
      </c>
      <c r="AE19" s="1">
        <f t="shared" si="14"/>
        <v>258</v>
      </c>
      <c r="AF19" s="1">
        <f t="shared" si="15"/>
        <v>-334</v>
      </c>
      <c r="AG19" s="1">
        <f t="shared" si="16"/>
        <v>-35</v>
      </c>
      <c r="AH19" s="1">
        <f>+AG48*$AT$25</f>
        <v>645.35</v>
      </c>
      <c r="AI19" s="1">
        <f t="shared" ref="AI19:AQ19" si="24">+AH48*$AT$25</f>
        <v>1681.0449367333163</v>
      </c>
      <c r="AJ19" s="1">
        <f t="shared" si="24"/>
        <v>2775.2090069883448</v>
      </c>
      <c r="AK19" s="1">
        <f t="shared" si="24"/>
        <v>3923.8557017320936</v>
      </c>
      <c r="AL19" s="1">
        <f t="shared" si="24"/>
        <v>5127.4231671940352</v>
      </c>
      <c r="AM19" s="1">
        <f t="shared" si="24"/>
        <v>6385.7867926035369</v>
      </c>
      <c r="AN19" s="1">
        <f t="shared" si="24"/>
        <v>7701.8021449128164</v>
      </c>
      <c r="AO19" s="1">
        <f t="shared" si="24"/>
        <v>9078.5053257965337</v>
      </c>
      <c r="AP19" s="1">
        <f t="shared" si="24"/>
        <v>10519.125672954809</v>
      </c>
      <c r="AQ19" s="1">
        <f t="shared" si="24"/>
        <v>12027.099391745411</v>
      </c>
    </row>
    <row r="20" spans="2:166">
      <c r="B20" s="1" t="s">
        <v>35</v>
      </c>
      <c r="C20" s="1">
        <f t="shared" ref="C20:R20" si="25">+SUM(C18:C19)</f>
        <v>0</v>
      </c>
      <c r="D20" s="1">
        <f t="shared" si="25"/>
        <v>0</v>
      </c>
      <c r="E20" s="1">
        <f t="shared" si="25"/>
        <v>0</v>
      </c>
      <c r="F20" s="1">
        <f t="shared" si="25"/>
        <v>0</v>
      </c>
      <c r="G20" s="1">
        <f t="shared" si="25"/>
        <v>33939</v>
      </c>
      <c r="H20" s="1">
        <f t="shared" si="25"/>
        <v>28011</v>
      </c>
      <c r="I20" s="1">
        <f t="shared" si="25"/>
        <v>24369</v>
      </c>
      <c r="J20" s="1">
        <f t="shared" si="25"/>
        <v>22888</v>
      </c>
      <c r="K20" s="1">
        <f>+SUM(K18:K19)</f>
        <v>41241</v>
      </c>
      <c r="L20" s="1">
        <f t="shared" si="25"/>
        <v>30139</v>
      </c>
      <c r="M20" s="1">
        <f t="shared" si="25"/>
        <v>23066</v>
      </c>
      <c r="N20" s="1">
        <f t="shared" si="25"/>
        <v>24657</v>
      </c>
      <c r="O20" s="1">
        <f>+SUM(O18:O19)</f>
        <v>35623</v>
      </c>
      <c r="P20" s="1">
        <f t="shared" si="25"/>
        <v>28382</v>
      </c>
      <c r="Q20" s="1">
        <f t="shared" si="25"/>
        <v>23263</v>
      </c>
      <c r="R20" s="1">
        <f t="shared" si="25"/>
        <v>26998</v>
      </c>
      <c r="S20" s="1">
        <f>+SUM(S18:S19)</f>
        <v>40323</v>
      </c>
      <c r="T20" s="1">
        <f>+SUM(T18:T19)</f>
        <v>29923.464700342771</v>
      </c>
      <c r="U20" s="1">
        <f>+SUM(U18:U19)</f>
        <v>24670.694244173461</v>
      </c>
      <c r="V20" s="1">
        <f>+SUM(V18:V19)</f>
        <v>28217.429255441068</v>
      </c>
      <c r="AB20" s="1">
        <f>+SUM(AB18:AB19)</f>
        <v>72903</v>
      </c>
      <c r="AC20" s="1">
        <f>+SUM(AC18:AC19)</f>
        <v>65737</v>
      </c>
      <c r="AD20" s="1">
        <f>+SUM(AD18:AD19)</f>
        <v>67091</v>
      </c>
      <c r="AE20" s="1">
        <f t="shared" si="14"/>
        <v>109207</v>
      </c>
      <c r="AF20" s="1">
        <f t="shared" si="15"/>
        <v>119103</v>
      </c>
      <c r="AG20" s="1">
        <f t="shared" si="16"/>
        <v>114266</v>
      </c>
      <c r="AH20" s="1">
        <f t="shared" si="3"/>
        <v>123134.58819995729</v>
      </c>
      <c r="AI20" s="1">
        <f>+SUM(AI18:AI19)</f>
        <v>130086.02961697579</v>
      </c>
      <c r="AJ20" s="1">
        <f t="shared" ref="AJ20:AQ20" si="26">+SUM(AJ18:AJ19)</f>
        <v>136563.51182967387</v>
      </c>
      <c r="AK20" s="1">
        <f t="shared" si="26"/>
        <v>143093.08559329485</v>
      </c>
      <c r="AL20" s="1">
        <f t="shared" si="26"/>
        <v>149607.84428407633</v>
      </c>
      <c r="AM20" s="1">
        <f t="shared" si="26"/>
        <v>156462.10358287266</v>
      </c>
      <c r="AN20" s="1">
        <f t="shared" si="26"/>
        <v>163677.32740527805</v>
      </c>
      <c r="AO20" s="1">
        <f t="shared" si="26"/>
        <v>171276.48973482475</v>
      </c>
      <c r="AP20" s="1">
        <f t="shared" si="26"/>
        <v>179284.18523055004</v>
      </c>
      <c r="AQ20" s="1">
        <f t="shared" si="26"/>
        <v>187726.74802413242</v>
      </c>
    </row>
    <row r="21" spans="2:166">
      <c r="B21" s="1" t="s">
        <v>38</v>
      </c>
      <c r="G21" s="1">
        <v>4824</v>
      </c>
      <c r="H21" s="1">
        <v>4381</v>
      </c>
      <c r="I21" s="1">
        <v>2625</v>
      </c>
      <c r="J21" s="1">
        <v>2697</v>
      </c>
      <c r="K21" s="1">
        <v>6611</v>
      </c>
      <c r="L21" s="1">
        <v>5129</v>
      </c>
      <c r="M21" s="1">
        <v>3624</v>
      </c>
      <c r="N21" s="1">
        <v>3936</v>
      </c>
      <c r="O21" s="1">
        <v>5625</v>
      </c>
      <c r="P21" s="1">
        <v>4222</v>
      </c>
      <c r="Q21" s="1">
        <v>2852</v>
      </c>
      <c r="R21" s="1">
        <v>4042</v>
      </c>
      <c r="S21" s="1">
        <v>6407</v>
      </c>
      <c r="T21" s="1">
        <f>+T20*(S21/S20)</f>
        <v>4754.5975828955216</v>
      </c>
      <c r="U21" s="1">
        <f>+U20*(T21/T20)</f>
        <v>3919.9746552195857</v>
      </c>
      <c r="V21" s="1">
        <f>+V20*(U21/U20)</f>
        <v>4483.5222885105504</v>
      </c>
      <c r="AB21" s="1">
        <v>13372</v>
      </c>
      <c r="AC21" s="1">
        <v>10481</v>
      </c>
      <c r="AD21" s="1">
        <v>9680</v>
      </c>
      <c r="AE21" s="1">
        <f t="shared" si="14"/>
        <v>14527</v>
      </c>
      <c r="AF21" s="1">
        <f t="shared" si="15"/>
        <v>19300</v>
      </c>
      <c r="AG21" s="1">
        <f t="shared" si="16"/>
        <v>16741</v>
      </c>
      <c r="AH21" s="1">
        <f t="shared" si="3"/>
        <v>19565.094526625657</v>
      </c>
      <c r="AI21" s="1">
        <f>+AI20*(AH21/AH20)</f>
        <v>20669.622591472951</v>
      </c>
      <c r="AJ21" s="1">
        <f>+AJ20*(AI21/AI20)</f>
        <v>21698.84235529897</v>
      </c>
      <c r="AK21" s="1">
        <f t="shared" ref="AK21:AQ21" si="27">+AK20*(AJ21/AJ20)</f>
        <v>22736.339047100664</v>
      </c>
      <c r="AL21" s="1">
        <f>+AL20*(AK21/AK20)</f>
        <v>23771.48174312618</v>
      </c>
      <c r="AM21" s="1">
        <f>+AM20*(AL21/AL20)</f>
        <v>24860.568351944676</v>
      </c>
      <c r="AN21" s="1">
        <f>+AN20*(AM21/AM20)</f>
        <v>26007.009316906391</v>
      </c>
      <c r="AO21" s="1">
        <f>+AO20*(AN21/AN20)</f>
        <v>27214.455018997152</v>
      </c>
      <c r="AP21" s="1">
        <f>+AP20*(AO21/AO20)</f>
        <v>28486.813351490069</v>
      </c>
      <c r="AQ21" s="1">
        <f t="shared" si="27"/>
        <v>29828.26859585389</v>
      </c>
    </row>
    <row r="22" spans="2:166">
      <c r="B22" s="1" t="s">
        <v>39</v>
      </c>
      <c r="C22" s="1">
        <f t="shared" ref="C22:R22" si="28">+C20-C21</f>
        <v>0</v>
      </c>
      <c r="D22" s="1">
        <f t="shared" si="28"/>
        <v>0</v>
      </c>
      <c r="E22" s="1">
        <f t="shared" si="28"/>
        <v>0</v>
      </c>
      <c r="F22" s="1">
        <f t="shared" si="28"/>
        <v>0</v>
      </c>
      <c r="G22" s="1">
        <f t="shared" si="28"/>
        <v>29115</v>
      </c>
      <c r="H22" s="1">
        <f t="shared" si="28"/>
        <v>23630</v>
      </c>
      <c r="I22" s="1">
        <f t="shared" si="28"/>
        <v>21744</v>
      </c>
      <c r="J22" s="1">
        <f t="shared" si="28"/>
        <v>20191</v>
      </c>
      <c r="K22" s="1">
        <f>+K20-K21</f>
        <v>34630</v>
      </c>
      <c r="L22" s="1">
        <f t="shared" si="28"/>
        <v>25010</v>
      </c>
      <c r="M22" s="1">
        <f t="shared" si="28"/>
        <v>19442</v>
      </c>
      <c r="N22" s="1">
        <f t="shared" si="28"/>
        <v>20721</v>
      </c>
      <c r="O22" s="1">
        <f>+O20-O21</f>
        <v>29998</v>
      </c>
      <c r="P22" s="1">
        <f t="shared" si="28"/>
        <v>24160</v>
      </c>
      <c r="Q22" s="1">
        <f t="shared" si="28"/>
        <v>20411</v>
      </c>
      <c r="R22" s="1">
        <f t="shared" si="28"/>
        <v>22956</v>
      </c>
      <c r="S22" s="1">
        <f>+S20-S21</f>
        <v>33916</v>
      </c>
      <c r="T22" s="1">
        <f>+T20-T21</f>
        <v>25168.867117447247</v>
      </c>
      <c r="U22" s="1">
        <f>+U20-U21</f>
        <v>20750.719588953874</v>
      </c>
      <c r="V22" s="1">
        <f>+V20-V21</f>
        <v>23733.906966930517</v>
      </c>
      <c r="AB22" s="1">
        <f>+AB20-AB21</f>
        <v>59531</v>
      </c>
      <c r="AC22" s="1">
        <f>+AC20-AC21</f>
        <v>55256</v>
      </c>
      <c r="AD22" s="1">
        <f>+AD20-AD21</f>
        <v>57411</v>
      </c>
      <c r="AE22" s="1">
        <f t="shared" si="14"/>
        <v>94680</v>
      </c>
      <c r="AF22" s="1">
        <f t="shared" si="15"/>
        <v>99803</v>
      </c>
      <c r="AG22" s="1">
        <f t="shared" si="16"/>
        <v>97525</v>
      </c>
      <c r="AH22" s="1">
        <f t="shared" si="3"/>
        <v>103569.49367333164</v>
      </c>
      <c r="AI22" s="1">
        <f>+AI20-AI21</f>
        <v>109416.40702550285</v>
      </c>
      <c r="AJ22" s="1">
        <f t="shared" ref="AJ22:AP22" si="29">+AJ20-AJ21</f>
        <v>114864.6694743749</v>
      </c>
      <c r="AK22" s="1">
        <f t="shared" si="29"/>
        <v>120356.74654619419</v>
      </c>
      <c r="AL22" s="1">
        <f t="shared" si="29"/>
        <v>125836.36254095015</v>
      </c>
      <c r="AM22" s="1">
        <f t="shared" si="29"/>
        <v>131601.53523092798</v>
      </c>
      <c r="AN22" s="1">
        <f t="shared" si="29"/>
        <v>137670.31808837166</v>
      </c>
      <c r="AO22" s="1">
        <f t="shared" si="29"/>
        <v>144062.03471582758</v>
      </c>
      <c r="AP22" s="1">
        <f t="shared" si="29"/>
        <v>150797.37187905997</v>
      </c>
      <c r="AQ22" s="1">
        <f>+AQ20-AQ21</f>
        <v>157898.47942827854</v>
      </c>
      <c r="AR22" s="1">
        <f>+AQ22*(1+$AT$26)</f>
        <v>159477.46422256134</v>
      </c>
      <c r="AS22" s="1">
        <f t="shared" ref="AS22:DD22" si="30">+AR22*(1+$AT$26)</f>
        <v>161072.23886478695</v>
      </c>
      <c r="AT22" s="1">
        <f t="shared" si="30"/>
        <v>162682.96125343483</v>
      </c>
      <c r="AU22" s="1">
        <f t="shared" si="30"/>
        <v>164309.79086596917</v>
      </c>
      <c r="AV22" s="1">
        <f t="shared" si="30"/>
        <v>165952.88877462887</v>
      </c>
      <c r="AW22" s="1">
        <f t="shared" si="30"/>
        <v>167612.41766237517</v>
      </c>
      <c r="AX22" s="1">
        <f t="shared" si="30"/>
        <v>169288.54183899894</v>
      </c>
      <c r="AY22" s="1">
        <f t="shared" si="30"/>
        <v>170981.42725738892</v>
      </c>
      <c r="AZ22" s="1">
        <f t="shared" si="30"/>
        <v>172691.2415299628</v>
      </c>
      <c r="BA22" s="1">
        <f t="shared" si="30"/>
        <v>174418.15394526243</v>
      </c>
      <c r="BB22" s="1">
        <f t="shared" si="30"/>
        <v>176162.33548471506</v>
      </c>
      <c r="BC22" s="1">
        <f t="shared" si="30"/>
        <v>177923.95883956223</v>
      </c>
      <c r="BD22" s="1">
        <f t="shared" si="30"/>
        <v>179703.19842795786</v>
      </c>
      <c r="BE22" s="1">
        <f t="shared" si="30"/>
        <v>181500.23041223743</v>
      </c>
      <c r="BF22" s="1">
        <f t="shared" si="30"/>
        <v>183315.23271635981</v>
      </c>
      <c r="BG22" s="1">
        <f t="shared" si="30"/>
        <v>185148.38504352342</v>
      </c>
      <c r="BH22" s="1">
        <f t="shared" si="30"/>
        <v>186999.86889395866</v>
      </c>
      <c r="BI22" s="1">
        <f t="shared" si="30"/>
        <v>188869.86758289824</v>
      </c>
      <c r="BJ22" s="1">
        <f t="shared" si="30"/>
        <v>190758.56625872722</v>
      </c>
      <c r="BK22" s="1">
        <f t="shared" si="30"/>
        <v>192666.15192131451</v>
      </c>
      <c r="BL22" s="1">
        <f t="shared" si="30"/>
        <v>194592.81344052765</v>
      </c>
      <c r="BM22" s="1">
        <f t="shared" si="30"/>
        <v>196538.74157493294</v>
      </c>
      <c r="BN22" s="1">
        <f t="shared" si="30"/>
        <v>198504.12899068228</v>
      </c>
      <c r="BO22" s="1">
        <f t="shared" si="30"/>
        <v>200489.17028058911</v>
      </c>
      <c r="BP22" s="1">
        <f t="shared" si="30"/>
        <v>202494.06198339499</v>
      </c>
      <c r="BQ22" s="1">
        <f t="shared" si="30"/>
        <v>204519.00260322893</v>
      </c>
      <c r="BR22" s="1">
        <f t="shared" si="30"/>
        <v>206564.19262926123</v>
      </c>
      <c r="BS22" s="1">
        <f t="shared" si="30"/>
        <v>208629.83455555385</v>
      </c>
      <c r="BT22" s="1">
        <f t="shared" si="30"/>
        <v>210716.13290110941</v>
      </c>
      <c r="BU22" s="1">
        <f t="shared" si="30"/>
        <v>212823.29423012049</v>
      </c>
      <c r="BV22" s="1">
        <f t="shared" si="30"/>
        <v>214951.52717242169</v>
      </c>
      <c r="BW22" s="1">
        <f t="shared" si="30"/>
        <v>217101.04244414592</v>
      </c>
      <c r="BX22" s="1">
        <f t="shared" si="30"/>
        <v>219272.05286858737</v>
      </c>
      <c r="BY22" s="1">
        <f t="shared" si="30"/>
        <v>221464.77339727324</v>
      </c>
      <c r="BZ22" s="1">
        <f t="shared" si="30"/>
        <v>223679.42113124597</v>
      </c>
      <c r="CA22" s="1">
        <f t="shared" si="30"/>
        <v>225916.21534255843</v>
      </c>
      <c r="CB22" s="1">
        <f t="shared" si="30"/>
        <v>228175.37749598402</v>
      </c>
      <c r="CC22" s="1">
        <f t="shared" si="30"/>
        <v>230457.13127094388</v>
      </c>
      <c r="CD22" s="1">
        <f t="shared" si="30"/>
        <v>232761.70258365333</v>
      </c>
      <c r="CE22" s="1">
        <f t="shared" si="30"/>
        <v>235089.31960948987</v>
      </c>
      <c r="CF22" s="1">
        <f t="shared" si="30"/>
        <v>237440.21280558477</v>
      </c>
      <c r="CG22" s="1">
        <f t="shared" si="30"/>
        <v>239814.61493364061</v>
      </c>
      <c r="CH22" s="1">
        <f t="shared" si="30"/>
        <v>242212.76108297703</v>
      </c>
      <c r="CI22" s="1">
        <f t="shared" si="30"/>
        <v>244634.8886938068</v>
      </c>
      <c r="CJ22" s="1">
        <f t="shared" si="30"/>
        <v>247081.23758074487</v>
      </c>
      <c r="CK22" s="1">
        <f t="shared" si="30"/>
        <v>249552.04995655234</v>
      </c>
      <c r="CL22" s="1">
        <f t="shared" si="30"/>
        <v>252047.57045611786</v>
      </c>
      <c r="CM22" s="1">
        <f t="shared" si="30"/>
        <v>254568.04616067905</v>
      </c>
      <c r="CN22" s="1">
        <f t="shared" si="30"/>
        <v>257113.72662228585</v>
      </c>
      <c r="CO22" s="1">
        <f t="shared" si="30"/>
        <v>259684.8638885087</v>
      </c>
      <c r="CP22" s="1">
        <f t="shared" si="30"/>
        <v>262281.71252739377</v>
      </c>
      <c r="CQ22" s="1">
        <f t="shared" si="30"/>
        <v>264904.5296526677</v>
      </c>
      <c r="CR22" s="1">
        <f t="shared" si="30"/>
        <v>267553.57494919439</v>
      </c>
      <c r="CS22" s="1">
        <f t="shared" si="30"/>
        <v>270229.11069868633</v>
      </c>
      <c r="CT22" s="1">
        <f t="shared" si="30"/>
        <v>272931.4018056732</v>
      </c>
      <c r="CU22" s="1">
        <f t="shared" si="30"/>
        <v>275660.71582372993</v>
      </c>
      <c r="CV22" s="1">
        <f t="shared" si="30"/>
        <v>278417.32298196724</v>
      </c>
      <c r="CW22" s="1">
        <f t="shared" si="30"/>
        <v>281201.49621178693</v>
      </c>
      <c r="CX22" s="1">
        <f t="shared" si="30"/>
        <v>284013.51117390482</v>
      </c>
      <c r="CY22" s="1">
        <f t="shared" si="30"/>
        <v>286853.64628564386</v>
      </c>
      <c r="CZ22" s="1">
        <f t="shared" si="30"/>
        <v>289722.18274850032</v>
      </c>
      <c r="DA22" s="1">
        <f t="shared" si="30"/>
        <v>292619.40457598533</v>
      </c>
      <c r="DB22" s="1">
        <f t="shared" si="30"/>
        <v>295545.59862174519</v>
      </c>
      <c r="DC22" s="1">
        <f t="shared" si="30"/>
        <v>298501.05460796267</v>
      </c>
      <c r="DD22" s="1">
        <f t="shared" si="30"/>
        <v>301486.06515404227</v>
      </c>
      <c r="DE22" s="1">
        <f t="shared" ref="DE22:FJ22" si="31">+DD22*(1+$AT$26)</f>
        <v>304500.92580558272</v>
      </c>
      <c r="DF22" s="1">
        <f t="shared" si="31"/>
        <v>307545.93506363855</v>
      </c>
      <c r="DG22" s="1">
        <f t="shared" si="31"/>
        <v>310621.39441427495</v>
      </c>
      <c r="DH22" s="1">
        <f t="shared" si="31"/>
        <v>313727.6083584177</v>
      </c>
      <c r="DI22" s="1">
        <f t="shared" si="31"/>
        <v>316864.88444200187</v>
      </c>
      <c r="DJ22" s="1">
        <f t="shared" si="31"/>
        <v>320033.53328642191</v>
      </c>
      <c r="DK22" s="1">
        <f t="shared" si="31"/>
        <v>323233.86861928611</v>
      </c>
      <c r="DL22" s="1">
        <f t="shared" si="31"/>
        <v>326466.20730547898</v>
      </c>
      <c r="DM22" s="1">
        <f t="shared" si="31"/>
        <v>329730.8693785338</v>
      </c>
      <c r="DN22" s="1">
        <f t="shared" si="31"/>
        <v>333028.17807231913</v>
      </c>
      <c r="DO22" s="1">
        <f t="shared" si="31"/>
        <v>336358.45985304232</v>
      </c>
      <c r="DP22" s="1">
        <f t="shared" si="31"/>
        <v>339722.04445157276</v>
      </c>
      <c r="DQ22" s="1">
        <f t="shared" si="31"/>
        <v>343119.26489608851</v>
      </c>
      <c r="DR22" s="1">
        <f t="shared" si="31"/>
        <v>346550.45754504937</v>
      </c>
      <c r="DS22" s="1">
        <f t="shared" si="31"/>
        <v>350015.96212049987</v>
      </c>
      <c r="DT22" s="1">
        <f t="shared" si="31"/>
        <v>353516.12174170488</v>
      </c>
      <c r="DU22" s="1">
        <f t="shared" si="31"/>
        <v>357051.28295912192</v>
      </c>
      <c r="DV22" s="1">
        <f t="shared" si="31"/>
        <v>360621.79578871315</v>
      </c>
      <c r="DW22" s="1">
        <f t="shared" si="31"/>
        <v>364228.01374660031</v>
      </c>
      <c r="DX22" s="1">
        <f t="shared" si="31"/>
        <v>367870.29388406634</v>
      </c>
      <c r="DY22" s="1">
        <f t="shared" si="31"/>
        <v>371548.99682290701</v>
      </c>
      <c r="DZ22" s="1">
        <f t="shared" si="31"/>
        <v>375264.48679113609</v>
      </c>
      <c r="EA22" s="1">
        <f t="shared" si="31"/>
        <v>379017.13165904745</v>
      </c>
      <c r="EB22" s="1">
        <f t="shared" si="31"/>
        <v>382807.3029756379</v>
      </c>
      <c r="EC22" s="1">
        <f t="shared" si="31"/>
        <v>386635.37600539427</v>
      </c>
      <c r="ED22" s="1">
        <f t="shared" si="31"/>
        <v>390501.7297654482</v>
      </c>
      <c r="EE22" s="1">
        <f t="shared" si="31"/>
        <v>394406.74706310267</v>
      </c>
      <c r="EF22" s="1">
        <f t="shared" si="31"/>
        <v>398350.8145337337</v>
      </c>
      <c r="EG22" s="1">
        <f t="shared" si="31"/>
        <v>402334.32267907105</v>
      </c>
      <c r="EH22" s="1">
        <f t="shared" si="31"/>
        <v>406357.66590586177</v>
      </c>
      <c r="EI22" s="1">
        <f t="shared" si="31"/>
        <v>410421.24256492039</v>
      </c>
      <c r="EJ22" s="1">
        <f t="shared" si="31"/>
        <v>414525.45499056962</v>
      </c>
      <c r="EK22" s="1">
        <f t="shared" si="31"/>
        <v>418670.70954047533</v>
      </c>
      <c r="EL22" s="1">
        <f t="shared" si="31"/>
        <v>422857.41663588007</v>
      </c>
      <c r="EM22" s="1">
        <f t="shared" si="31"/>
        <v>427085.99080223887</v>
      </c>
      <c r="EN22" s="1">
        <f t="shared" si="31"/>
        <v>431356.85071026126</v>
      </c>
      <c r="EO22" s="1">
        <f t="shared" si="31"/>
        <v>435670.41921736387</v>
      </c>
      <c r="EP22" s="1">
        <f t="shared" si="31"/>
        <v>440027.12340953754</v>
      </c>
      <c r="EQ22" s="1">
        <f t="shared" si="31"/>
        <v>444427.39464363293</v>
      </c>
      <c r="ER22" s="1">
        <f t="shared" si="31"/>
        <v>448871.66859006928</v>
      </c>
      <c r="ES22" s="1">
        <f t="shared" si="31"/>
        <v>453360.38527596998</v>
      </c>
      <c r="ET22" s="1">
        <f t="shared" si="31"/>
        <v>457893.98912872968</v>
      </c>
      <c r="EU22" s="1">
        <f t="shared" si="31"/>
        <v>462472.92902001698</v>
      </c>
      <c r="EV22" s="1">
        <f t="shared" si="31"/>
        <v>467097.65831021714</v>
      </c>
      <c r="EW22" s="1">
        <f t="shared" si="31"/>
        <v>471768.63489331934</v>
      </c>
      <c r="EX22" s="1">
        <f t="shared" si="31"/>
        <v>476486.32124225254</v>
      </c>
      <c r="EY22" s="1">
        <f t="shared" si="31"/>
        <v>481251.18445467507</v>
      </c>
      <c r="EZ22" s="1">
        <f t="shared" si="31"/>
        <v>486063.69629922183</v>
      </c>
      <c r="FA22" s="1">
        <f t="shared" si="31"/>
        <v>490924.33326221403</v>
      </c>
      <c r="FB22" s="1">
        <f t="shared" si="31"/>
        <v>495833.57659483619</v>
      </c>
      <c r="FC22" s="1">
        <f t="shared" si="31"/>
        <v>500791.91236078454</v>
      </c>
      <c r="FD22" s="1">
        <f t="shared" si="31"/>
        <v>505799.8314843924</v>
      </c>
      <c r="FE22" s="1">
        <f t="shared" si="31"/>
        <v>510857.82979923632</v>
      </c>
      <c r="FF22" s="1">
        <f t="shared" si="31"/>
        <v>515966.40809722868</v>
      </c>
      <c r="FG22" s="1">
        <f t="shared" si="31"/>
        <v>521126.07217820099</v>
      </c>
      <c r="FH22" s="1">
        <f t="shared" si="31"/>
        <v>526337.33289998304</v>
      </c>
      <c r="FI22" s="1">
        <f t="shared" si="31"/>
        <v>531600.70622898289</v>
      </c>
      <c r="FJ22" s="1">
        <f t="shared" si="31"/>
        <v>536916.71329127275</v>
      </c>
    </row>
    <row r="23" spans="2:166">
      <c r="B23" s="1" t="s">
        <v>17</v>
      </c>
      <c r="G23" s="1">
        <v>17113.687999999998</v>
      </c>
      <c r="H23" s="1">
        <v>16929.156999999999</v>
      </c>
      <c r="I23" s="1">
        <v>16781.735000000001</v>
      </c>
      <c r="J23" s="1">
        <v>16635.097000000002</v>
      </c>
      <c r="K23" s="1">
        <v>16519.291000000001</v>
      </c>
      <c r="L23" s="1">
        <v>16403.315999999999</v>
      </c>
      <c r="M23" s="1">
        <v>16262.203</v>
      </c>
      <c r="N23" s="1">
        <v>16118.465</v>
      </c>
      <c r="O23" s="1">
        <v>15955.718000000001</v>
      </c>
      <c r="P23" s="1">
        <v>15847.05</v>
      </c>
      <c r="Q23" s="1">
        <v>15775.021000000001</v>
      </c>
      <c r="R23" s="1">
        <v>15672.4</v>
      </c>
      <c r="S23" s="1">
        <v>15576.641</v>
      </c>
      <c r="T23" s="1">
        <f>+S23</f>
        <v>15576.641</v>
      </c>
      <c r="U23" s="1">
        <f>+T23</f>
        <v>15576.641</v>
      </c>
      <c r="V23" s="1">
        <f>+U23</f>
        <v>15576.641</v>
      </c>
      <c r="AB23" s="1">
        <v>20000.435000000001</v>
      </c>
      <c r="AC23" s="1">
        <v>18595.651000000002</v>
      </c>
      <c r="AD23" s="1">
        <v>17528.214</v>
      </c>
      <c r="AE23" s="1">
        <f>+AE22/AE24</f>
        <v>16887.420947999806</v>
      </c>
      <c r="AF23" s="1">
        <f>+AF22/AF24</f>
        <v>16355.501173635725</v>
      </c>
      <c r="AG23" s="1">
        <f>+AG22/AG24</f>
        <v>15823.570670294874</v>
      </c>
      <c r="AH23" s="1">
        <f>+AH22/AH24</f>
        <v>15576.641</v>
      </c>
      <c r="AI23" s="1">
        <f>+AH23</f>
        <v>15576.641</v>
      </c>
      <c r="AJ23" s="1">
        <f t="shared" ref="AJ23:AQ23" si="32">+AI23</f>
        <v>15576.641</v>
      </c>
      <c r="AK23" s="1">
        <f t="shared" si="32"/>
        <v>15576.641</v>
      </c>
      <c r="AL23" s="1">
        <f t="shared" si="32"/>
        <v>15576.641</v>
      </c>
      <c r="AM23" s="1">
        <f t="shared" si="32"/>
        <v>15576.641</v>
      </c>
      <c r="AN23" s="1">
        <f t="shared" si="32"/>
        <v>15576.641</v>
      </c>
      <c r="AO23" s="1">
        <f t="shared" si="32"/>
        <v>15576.641</v>
      </c>
      <c r="AP23" s="1">
        <f t="shared" si="32"/>
        <v>15576.641</v>
      </c>
      <c r="AQ23" s="1">
        <f t="shared" si="32"/>
        <v>15576.641</v>
      </c>
    </row>
    <row r="24" spans="2:166" s="12" customFormat="1">
      <c r="B24" s="12" t="s">
        <v>41</v>
      </c>
      <c r="C24" s="12">
        <f t="shared" ref="C24:R24" si="33">+IFERROR(C22/C23,0)</f>
        <v>0</v>
      </c>
      <c r="D24" s="12">
        <f t="shared" si="33"/>
        <v>0</v>
      </c>
      <c r="E24" s="12">
        <f t="shared" si="33"/>
        <v>0</v>
      </c>
      <c r="F24" s="12">
        <f t="shared" si="33"/>
        <v>0</v>
      </c>
      <c r="G24" s="12">
        <f t="shared" si="33"/>
        <v>1.7012697672179138</v>
      </c>
      <c r="H24" s="12">
        <f t="shared" si="33"/>
        <v>1.3958166966021994</v>
      </c>
      <c r="I24" s="12">
        <f t="shared" si="33"/>
        <v>1.2956943963183782</v>
      </c>
      <c r="J24" s="12">
        <f t="shared" si="33"/>
        <v>1.2137590781706893</v>
      </c>
      <c r="K24" s="12">
        <f t="shared" si="33"/>
        <v>2.0963369432743812</v>
      </c>
      <c r="L24" s="12">
        <f t="shared" si="33"/>
        <v>1.5246917147727936</v>
      </c>
      <c r="M24" s="12">
        <f t="shared" si="33"/>
        <v>1.1955329791418789</v>
      </c>
      <c r="N24" s="12">
        <f t="shared" si="33"/>
        <v>1.2855442500262897</v>
      </c>
      <c r="O24" s="12">
        <f t="shared" si="33"/>
        <v>1.8800783518485347</v>
      </c>
      <c r="P24" s="12">
        <f t="shared" si="33"/>
        <v>1.5245739743359175</v>
      </c>
      <c r="Q24" s="12">
        <f t="shared" si="33"/>
        <v>1.2938810033913741</v>
      </c>
      <c r="R24" s="12">
        <f t="shared" si="33"/>
        <v>1.4647405630279984</v>
      </c>
      <c r="S24" s="12">
        <f>+IFERROR(S22/S23,0)</f>
        <v>2.1773628858750742</v>
      </c>
      <c r="T24" s="12">
        <f>+IFERROR(T22/T23,0)</f>
        <v>1.6158083836847268</v>
      </c>
      <c r="U24" s="12">
        <f>+IFERROR(U22/U23,0)</f>
        <v>1.3321690850391863</v>
      </c>
      <c r="V24" s="12">
        <f>+IFERROR(V22/V23,0)</f>
        <v>1.5236858169184562</v>
      </c>
      <c r="AB24" s="12">
        <f>+IFERROR(AB22/AB23,0)</f>
        <v>2.9764852614455632</v>
      </c>
      <c r="AC24" s="12">
        <f>+IFERROR(AC22/AC23,0)</f>
        <v>2.9714474637107351</v>
      </c>
      <c r="AD24" s="12">
        <f>+IFERROR(AD22/AD23,0)</f>
        <v>3.2753479618630856</v>
      </c>
      <c r="AE24" s="12">
        <f t="shared" si="14"/>
        <v>5.6065399383091803</v>
      </c>
      <c r="AF24" s="12">
        <f t="shared" si="15"/>
        <v>6.1021058872153429</v>
      </c>
      <c r="AG24" s="12">
        <f t="shared" si="16"/>
        <v>6.1632738926038249</v>
      </c>
      <c r="AH24" s="12">
        <f t="shared" si="3"/>
        <v>6.6490261715174439</v>
      </c>
      <c r="AI24" s="12">
        <f>+AI22/AI23</f>
        <v>7.0243903692396099</v>
      </c>
      <c r="AJ24" s="12">
        <f t="shared" ref="AJ24:AQ24" si="34">+AJ22/AJ23</f>
        <v>7.374161699841121</v>
      </c>
      <c r="AK24" s="12">
        <f t="shared" si="34"/>
        <v>7.7267458719883315</v>
      </c>
      <c r="AL24" s="12">
        <f t="shared" si="34"/>
        <v>8.0785300592695286</v>
      </c>
      <c r="AM24" s="12">
        <f t="shared" si="34"/>
        <v>8.4486466132799745</v>
      </c>
      <c r="AN24" s="12">
        <f t="shared" si="34"/>
        <v>8.8382545433493434</v>
      </c>
      <c r="AO24" s="12">
        <f t="shared" si="34"/>
        <v>9.248594399513193</v>
      </c>
      <c r="AP24" s="12">
        <f t="shared" si="34"/>
        <v>9.680994245104575</v>
      </c>
      <c r="AQ24" s="12">
        <f t="shared" si="34"/>
        <v>10.136876071566299</v>
      </c>
    </row>
    <row r="25" spans="2:166">
      <c r="AS25" s="1" t="s">
        <v>75</v>
      </c>
      <c r="AT25" s="4">
        <v>0.01</v>
      </c>
    </row>
    <row r="26" spans="2:166">
      <c r="B26" s="6" t="s">
        <v>40</v>
      </c>
      <c r="AS26" s="1" t="s">
        <v>76</v>
      </c>
      <c r="AT26" s="4">
        <v>0.01</v>
      </c>
    </row>
    <row r="27" spans="2:166" s="4" customFormat="1">
      <c r="B27" s="1" t="s">
        <v>43</v>
      </c>
      <c r="K27" s="4">
        <f t="shared" ref="K27:R34" si="35">+K7/G7-1</f>
        <v>8.5980259866276443E-2</v>
      </c>
      <c r="L27" s="4">
        <f t="shared" si="35"/>
        <v>5.4904251324627618E-2</v>
      </c>
      <c r="M27" s="4">
        <f t="shared" si="35"/>
        <v>2.7672479150871787E-2</v>
      </c>
      <c r="N27" s="4">
        <f t="shared" si="35"/>
        <v>0.10693881790796711</v>
      </c>
      <c r="O27" s="4">
        <f t="shared" si="35"/>
        <v>-8.1713854917071505E-2</v>
      </c>
      <c r="P27" s="4">
        <f t="shared" si="35"/>
        <v>1.510777140597197E-2</v>
      </c>
      <c r="Q27" s="4">
        <f t="shared" si="35"/>
        <v>-2.4492807082257428E-2</v>
      </c>
      <c r="R27" s="4">
        <f t="shared" si="35"/>
        <v>2.7659175151315996E-2</v>
      </c>
      <c r="S27" s="4">
        <f>+S7/O7-1</f>
        <v>5.9703534777651113E-2</v>
      </c>
      <c r="T27" s="4">
        <f>+T7/P7-1</f>
        <v>0</v>
      </c>
      <c r="U27" s="4">
        <f>+U7/Q7-1</f>
        <v>2.0000000000000018E-2</v>
      </c>
      <c r="V27" s="4">
        <f>+V7/R7-1</f>
        <v>2.0000000000000018E-2</v>
      </c>
      <c r="AC27" s="4">
        <f t="shared" ref="AC27:AH27" si="36">+AC7/AB7-1</f>
        <v>-0.13649871427878313</v>
      </c>
      <c r="AD27" s="4">
        <f t="shared" si="36"/>
        <v>-3.2307681502447672E-2</v>
      </c>
      <c r="AE27" s="4">
        <f t="shared" si="36"/>
        <v>0.39331983364905176</v>
      </c>
      <c r="AF27" s="4">
        <f t="shared" si="36"/>
        <v>7.0405734139696641E-2</v>
      </c>
      <c r="AG27" s="4">
        <f t="shared" si="36"/>
        <v>-2.3874757286278081E-2</v>
      </c>
      <c r="AH27" s="4">
        <f t="shared" si="36"/>
        <v>2.7901068385655758E-2</v>
      </c>
      <c r="AI27" s="4">
        <f t="shared" ref="AI27:AQ27" si="37">+AI7/AH7-1</f>
        <v>2.0000000000000018E-2</v>
      </c>
      <c r="AJ27" s="4">
        <f t="shared" si="37"/>
        <v>2.0000000000000018E-2</v>
      </c>
      <c r="AK27" s="4">
        <f t="shared" si="37"/>
        <v>2.0000000000000018E-2</v>
      </c>
      <c r="AL27" s="4">
        <f t="shared" si="37"/>
        <v>2.0000000000000018E-2</v>
      </c>
      <c r="AM27" s="4">
        <f t="shared" si="37"/>
        <v>2.0000000000000018E-2</v>
      </c>
      <c r="AN27" s="4">
        <f t="shared" si="37"/>
        <v>2.0000000000000018E-2</v>
      </c>
      <c r="AO27" s="4">
        <f t="shared" si="37"/>
        <v>2.0000000000000018E-2</v>
      </c>
      <c r="AP27" s="4">
        <f t="shared" si="37"/>
        <v>2.0000000000000018E-2</v>
      </c>
      <c r="AQ27" s="4">
        <f t="shared" si="37"/>
        <v>2.0000000000000018E-2</v>
      </c>
      <c r="AS27" s="4" t="s">
        <v>77</v>
      </c>
      <c r="AT27" s="4">
        <v>0.06</v>
      </c>
    </row>
    <row r="28" spans="2:166" s="4" customFormat="1">
      <c r="B28" s="1" t="s">
        <v>44</v>
      </c>
      <c r="K28" s="4">
        <f t="shared" si="35"/>
        <v>0.2509510086455331</v>
      </c>
      <c r="L28" s="4">
        <f t="shared" si="35"/>
        <v>0.14645132937815863</v>
      </c>
      <c r="M28" s="4">
        <f t="shared" si="35"/>
        <v>-0.10358227079538551</v>
      </c>
      <c r="N28" s="4">
        <f t="shared" si="35"/>
        <v>0.25386794508607546</v>
      </c>
      <c r="O28" s="4">
        <f t="shared" si="35"/>
        <v>-0.28722816070770363</v>
      </c>
      <c r="P28" s="4">
        <f t="shared" si="35"/>
        <v>-0.31308097747963581</v>
      </c>
      <c r="Q28" s="4">
        <f t="shared" si="35"/>
        <v>-7.3421836900568915E-2</v>
      </c>
      <c r="R28" s="4">
        <f t="shared" si="35"/>
        <v>-0.33837330552659017</v>
      </c>
      <c r="S28" s="4">
        <f t="shared" ref="S28:V34" si="38">+S8/O8-1</f>
        <v>5.8177117000646206E-3</v>
      </c>
      <c r="T28" s="4">
        <f t="shared" si="38"/>
        <v>-5.0000000000000044E-2</v>
      </c>
      <c r="U28" s="4">
        <f t="shared" si="38"/>
        <v>-2.0000000000000018E-2</v>
      </c>
      <c r="V28" s="4">
        <f t="shared" si="38"/>
        <v>-2.0000000000000018E-2</v>
      </c>
      <c r="AC28" s="4">
        <f t="shared" ref="AC28" si="39">+AC8/AB8-1</f>
        <v>2.1509643622509733E-2</v>
      </c>
      <c r="AD28" s="4">
        <f t="shared" ref="AD28" si="40">+AD8/AC8-1</f>
        <v>0.11196581196581201</v>
      </c>
      <c r="AE28" s="4">
        <f t="shared" ref="AE28" si="41">+AE8/AD8-1</f>
        <v>0.22947383131856625</v>
      </c>
      <c r="AF28" s="4">
        <f t="shared" ref="AF28:AG34" si="42">+AF8/AE8-1</f>
        <v>0.14171639670360903</v>
      </c>
      <c r="AG28" s="4">
        <f t="shared" si="42"/>
        <v>-0.26930831072504169</v>
      </c>
      <c r="AH28" s="4">
        <f t="shared" ref="AH28:AQ28" si="43">+AH8/AG8-1</f>
        <v>-2.0522532956364747E-2</v>
      </c>
      <c r="AI28" s="4">
        <f t="shared" si="43"/>
        <v>1.0000000000000009E-2</v>
      </c>
      <c r="AJ28" s="4">
        <f t="shared" si="43"/>
        <v>1.0000000000000009E-2</v>
      </c>
      <c r="AK28" s="4">
        <f t="shared" si="43"/>
        <v>1.0000000000000009E-2</v>
      </c>
      <c r="AL28" s="4">
        <f t="shared" si="43"/>
        <v>1.0000000000000009E-2</v>
      </c>
      <c r="AM28" s="4">
        <f t="shared" si="43"/>
        <v>1.0000000000000009E-2</v>
      </c>
      <c r="AN28" s="4">
        <f t="shared" si="43"/>
        <v>1.0000000000000009E-2</v>
      </c>
      <c r="AO28" s="4">
        <f t="shared" si="43"/>
        <v>1.0000000000000009E-2</v>
      </c>
      <c r="AP28" s="4">
        <f t="shared" si="43"/>
        <v>1.0000000000000009E-2</v>
      </c>
      <c r="AQ28" s="4">
        <f t="shared" si="43"/>
        <v>1.0000000000000009E-2</v>
      </c>
      <c r="AS28" s="4" t="s">
        <v>78</v>
      </c>
      <c r="AT28" s="24">
        <f>NPV(AT27,AH22:FJ22)+S48</f>
        <v>2773931.0259862351</v>
      </c>
    </row>
    <row r="29" spans="2:166" s="4" customFormat="1">
      <c r="B29" s="1" t="s">
        <v>45</v>
      </c>
      <c r="K29" s="4">
        <f t="shared" si="35"/>
        <v>-0.14072317723770011</v>
      </c>
      <c r="L29" s="4">
        <f t="shared" si="35"/>
        <v>-2.0622518252849997E-2</v>
      </c>
      <c r="M29" s="4">
        <f t="shared" si="35"/>
        <v>-1.9543973941368087E-2</v>
      </c>
      <c r="N29" s="4">
        <f t="shared" si="35"/>
        <v>-0.13063499757634511</v>
      </c>
      <c r="O29" s="4">
        <f t="shared" si="35"/>
        <v>0.29635761589403975</v>
      </c>
      <c r="P29" s="4">
        <f t="shared" ref="P29:V29" si="44">+P9/L9-1</f>
        <v>-0.12764844363065653</v>
      </c>
      <c r="Q29" s="4">
        <f t="shared" si="44"/>
        <v>-0.19836655592469543</v>
      </c>
      <c r="R29" s="4">
        <f t="shared" si="44"/>
        <v>-0.1018957345971564</v>
      </c>
      <c r="S29" s="4">
        <f t="shared" si="44"/>
        <v>-0.25255427841634737</v>
      </c>
      <c r="T29" s="4">
        <f t="shared" si="44"/>
        <v>-9.9999999999999978E-2</v>
      </c>
      <c r="U29" s="4">
        <f t="shared" si="44"/>
        <v>-5.0000000000000044E-2</v>
      </c>
      <c r="V29" s="4">
        <f t="shared" si="44"/>
        <v>-5.0000000000000044E-2</v>
      </c>
      <c r="AC29" s="4">
        <f t="shared" ref="AC29" si="45">+AC9/AB9-1</f>
        <v>0.15778019586507064</v>
      </c>
      <c r="AD29" s="4">
        <f t="shared" ref="AD29" si="46">+AD9/AC9-1</f>
        <v>0.11484962406015042</v>
      </c>
      <c r="AE29" s="4">
        <f t="shared" ref="AE29" si="47">+AE9/AD9-1</f>
        <v>0.34302815714044854</v>
      </c>
      <c r="AF29" s="4">
        <f t="shared" si="42"/>
        <v>-8.0660347749670458E-2</v>
      </c>
      <c r="AG29" s="4">
        <f t="shared" si="42"/>
        <v>-3.3865901952751631E-2</v>
      </c>
      <c r="AH29" s="4">
        <f t="shared" ref="AH29:AQ29" si="48">+AH9/AG9-1</f>
        <v>-0.12903533568904602</v>
      </c>
      <c r="AI29" s="4">
        <f t="shared" si="48"/>
        <v>-1.0000000000000009E-2</v>
      </c>
      <c r="AJ29" s="4">
        <f t="shared" si="48"/>
        <v>-1.0000000000000009E-2</v>
      </c>
      <c r="AK29" s="4">
        <f t="shared" si="48"/>
        <v>-1.0000000000000009E-2</v>
      </c>
      <c r="AL29" s="4">
        <f t="shared" si="48"/>
        <v>-1.0000000000000009E-2</v>
      </c>
      <c r="AM29" s="4">
        <f t="shared" si="48"/>
        <v>-1.0000000000000009E-2</v>
      </c>
      <c r="AN29" s="4">
        <f t="shared" si="48"/>
        <v>-1.0000000000000009E-2</v>
      </c>
      <c r="AO29" s="4">
        <f t="shared" si="48"/>
        <v>-1.0000000000000009E-2</v>
      </c>
      <c r="AP29" s="4">
        <f t="shared" si="48"/>
        <v>-1.0000000000000009E-2</v>
      </c>
      <c r="AQ29" s="4">
        <f t="shared" si="48"/>
        <v>-1.000000000000012E-2</v>
      </c>
      <c r="AS29" s="4" t="s">
        <v>17</v>
      </c>
      <c r="AT29" s="1">
        <f>+Main!I4</f>
        <v>15441.880999999999</v>
      </c>
    </row>
    <row r="30" spans="2:166" s="4" customFormat="1">
      <c r="B30" s="1" t="s">
        <v>46</v>
      </c>
      <c r="K30" s="4">
        <f t="shared" si="35"/>
        <v>0.13337445069771037</v>
      </c>
      <c r="L30" s="4">
        <f t="shared" si="35"/>
        <v>0.12378764675855036</v>
      </c>
      <c r="M30" s="4">
        <f t="shared" si="35"/>
        <v>-7.8746438746438718E-2</v>
      </c>
      <c r="N30" s="4">
        <f t="shared" si="35"/>
        <v>9.8463289698349499E-2</v>
      </c>
      <c r="O30" s="4">
        <f t="shared" si="35"/>
        <v>-8.2919529283722149E-2</v>
      </c>
      <c r="P30" s="4">
        <f t="shared" si="35"/>
        <v>-5.56438791732905E-3</v>
      </c>
      <c r="Q30" s="4">
        <f t="shared" si="35"/>
        <v>2.474022761009409E-2</v>
      </c>
      <c r="R30" s="4">
        <f t="shared" si="35"/>
        <v>-3.3989637305699483E-2</v>
      </c>
      <c r="S30" s="4">
        <f t="shared" si="38"/>
        <v>-0.11341047322355735</v>
      </c>
      <c r="T30" s="4">
        <f t="shared" si="38"/>
        <v>-9.9999999999999978E-2</v>
      </c>
      <c r="U30" s="4">
        <f t="shared" si="38"/>
        <v>-5.0000000000000044E-2</v>
      </c>
      <c r="V30" s="4">
        <f t="shared" si="38"/>
        <v>-5.0000000000000044E-2</v>
      </c>
      <c r="AC30" s="4">
        <f t="shared" ref="AC30" si="49">+AC10/AB10-1</f>
        <v>0.40854956561762834</v>
      </c>
      <c r="AD30" s="4">
        <f t="shared" ref="AD30" si="50">+AD10/AC10-1</f>
        <v>0.25071481088146386</v>
      </c>
      <c r="AE30" s="4">
        <f t="shared" ref="AE30" si="51">+AE10/AD10-1</f>
        <v>0.2530045721750489</v>
      </c>
      <c r="AF30" s="4">
        <f t="shared" si="42"/>
        <v>7.4908124169208001E-2</v>
      </c>
      <c r="AG30" s="4">
        <f t="shared" si="42"/>
        <v>-3.3849809655439933E-2</v>
      </c>
      <c r="AH30" s="4">
        <f t="shared" ref="AH30:AQ30" si="52">+AH10/AG10-1</f>
        <v>-8.244447233027985E-2</v>
      </c>
      <c r="AI30" s="4">
        <f t="shared" si="52"/>
        <v>2.0000000000000018E-2</v>
      </c>
      <c r="AJ30" s="4">
        <f t="shared" si="52"/>
        <v>2.0000000000000018E-2</v>
      </c>
      <c r="AK30" s="4">
        <f t="shared" si="52"/>
        <v>2.0000000000000018E-2</v>
      </c>
      <c r="AL30" s="4">
        <f t="shared" si="52"/>
        <v>2.0000000000000018E-2</v>
      </c>
      <c r="AM30" s="4">
        <f t="shared" si="52"/>
        <v>2.0000000000000018E-2</v>
      </c>
      <c r="AN30" s="4">
        <f t="shared" si="52"/>
        <v>2.0000000000000018E-2</v>
      </c>
      <c r="AO30" s="4">
        <f t="shared" si="52"/>
        <v>2.0000000000000018E-2</v>
      </c>
      <c r="AP30" s="4">
        <f t="shared" si="52"/>
        <v>2.0000000000000018E-2</v>
      </c>
      <c r="AQ30" s="4">
        <f t="shared" si="52"/>
        <v>2.0000000000000018E-2</v>
      </c>
      <c r="AS30" s="4" t="s">
        <v>79</v>
      </c>
      <c r="AT30" s="1">
        <f>+AT28/AT29</f>
        <v>179.63686068984958</v>
      </c>
    </row>
    <row r="31" spans="2:166">
      <c r="B31" s="1" t="s">
        <v>30</v>
      </c>
      <c r="K31" s="4">
        <f t="shared" si="35"/>
        <v>0.23824630416851722</v>
      </c>
      <c r="L31" s="4">
        <f t="shared" si="35"/>
        <v>0.17277084196201398</v>
      </c>
      <c r="M31" s="4">
        <f t="shared" si="35"/>
        <v>0.12112547180601618</v>
      </c>
      <c r="N31" s="4">
        <f t="shared" si="35"/>
        <v>4.984406631285232E-2</v>
      </c>
      <c r="O31" s="4">
        <f t="shared" si="35"/>
        <v>6.4050010248001721E-2</v>
      </c>
      <c r="P31" s="4">
        <f t="shared" si="35"/>
        <v>5.4790373845921003E-2</v>
      </c>
      <c r="Q31" s="4">
        <f t="shared" si="35"/>
        <v>8.2075086716996593E-2</v>
      </c>
      <c r="R31" s="4">
        <f t="shared" si="35"/>
        <v>0.16291432145090678</v>
      </c>
      <c r="S31" s="4">
        <f t="shared" si="38"/>
        <v>0.11321390734855052</v>
      </c>
      <c r="T31" s="4">
        <f t="shared" si="38"/>
        <v>0.1100000000000001</v>
      </c>
      <c r="U31" s="4">
        <f t="shared" si="38"/>
        <v>0.10000000000000009</v>
      </c>
      <c r="V31" s="4">
        <f t="shared" si="38"/>
        <v>0.10000000000000009</v>
      </c>
      <c r="W31" s="4"/>
      <c r="AC31" s="4">
        <f t="shared" ref="AC31" si="53">+AC11/AB11-1</f>
        <v>0.16461205595250084</v>
      </c>
      <c r="AD31" s="4">
        <f t="shared" ref="AD31" si="54">+AD11/AC11-1</f>
        <v>0.16152167807997242</v>
      </c>
      <c r="AE31" s="4">
        <f t="shared" ref="AE31" si="55">+AE11/AD11-1</f>
        <v>0.27259708376729663</v>
      </c>
      <c r="AF31" s="4">
        <f t="shared" si="42"/>
        <v>0.14181951041286078</v>
      </c>
      <c r="AG31" s="4">
        <f t="shared" si="42"/>
        <v>9.0504166186691215E-2</v>
      </c>
      <c r="AH31" s="4">
        <f t="shared" ref="AH31:AQ31" si="56">+AH11/AG11-1</f>
        <v>0.10567453051643194</v>
      </c>
      <c r="AI31" s="4">
        <f t="shared" si="56"/>
        <v>0.10000000000000009</v>
      </c>
      <c r="AJ31" s="4">
        <f t="shared" si="56"/>
        <v>9.000000000000008E-2</v>
      </c>
      <c r="AK31" s="4">
        <f t="shared" si="56"/>
        <v>8.0000000000000071E-2</v>
      </c>
      <c r="AL31" s="4">
        <f t="shared" si="56"/>
        <v>7.0000000000000062E-2</v>
      </c>
      <c r="AM31" s="4">
        <f t="shared" si="56"/>
        <v>7.0000000000000062E-2</v>
      </c>
      <c r="AN31" s="4">
        <f t="shared" si="56"/>
        <v>7.0000000000000062E-2</v>
      </c>
      <c r="AO31" s="4">
        <f t="shared" si="56"/>
        <v>7.0000000000000062E-2</v>
      </c>
      <c r="AP31" s="4">
        <f t="shared" si="56"/>
        <v>7.0000000000000062E-2</v>
      </c>
      <c r="AQ31" s="4">
        <f t="shared" si="56"/>
        <v>7.0000000000000062E-2</v>
      </c>
      <c r="AS31" s="1" t="s">
        <v>80</v>
      </c>
      <c r="AT31" s="1">
        <f>+Main!I3</f>
        <v>182.63</v>
      </c>
    </row>
    <row r="32" spans="2:166">
      <c r="B32" s="1" t="s">
        <v>31</v>
      </c>
      <c r="K32" s="4">
        <f t="shared" si="35"/>
        <v>0.10864140108587739</v>
      </c>
      <c r="L32" s="4">
        <f t="shared" si="35"/>
        <v>8.5885872477228009E-2</v>
      </c>
      <c r="M32" s="4">
        <f t="shared" si="35"/>
        <v>1.8726821720657316E-2</v>
      </c>
      <c r="N32" s="4">
        <f t="shared" si="35"/>
        <v>8.6096385542168585E-2</v>
      </c>
      <c r="O32" s="4">
        <f t="shared" si="35"/>
        <v>-5.4790431239662762E-2</v>
      </c>
      <c r="P32" s="4">
        <f t="shared" si="35"/>
        <v>-2.5103312156911084E-2</v>
      </c>
      <c r="Q32" s="4">
        <f t="shared" si="35"/>
        <v>-1.4006919080509661E-2</v>
      </c>
      <c r="R32" s="4">
        <f t="shared" si="35"/>
        <v>-7.1883389168682088E-3</v>
      </c>
      <c r="S32" s="4">
        <f t="shared" si="38"/>
        <v>2.0665107465387411E-2</v>
      </c>
      <c r="T32" s="4">
        <f t="shared" si="38"/>
        <v>4.2037833734025476E-3</v>
      </c>
      <c r="U32" s="4">
        <f t="shared" si="38"/>
        <v>2.5357042434319021E-2</v>
      </c>
      <c r="V32" s="4">
        <f t="shared" si="38"/>
        <v>2.4212496368633873E-2</v>
      </c>
      <c r="AC32" s="4">
        <f t="shared" ref="AC32" si="57">+AC12/AB12-1</f>
        <v>-2.04107758052674E-2</v>
      </c>
      <c r="AD32" s="4">
        <f t="shared" ref="AD32" si="58">+AD12/AC12-1</f>
        <v>5.5120803769784787E-2</v>
      </c>
      <c r="AE32" s="4">
        <f t="shared" ref="AE32" si="59">+AE12/AD12-1</f>
        <v>0.33259384733074704</v>
      </c>
      <c r="AF32" s="4">
        <f t="shared" si="42"/>
        <v>7.7937876041846099E-2</v>
      </c>
      <c r="AG32" s="4">
        <f t="shared" si="42"/>
        <v>-2.800460530319937E-2</v>
      </c>
      <c r="AH32" s="4">
        <f t="shared" ref="AH32:AQ32" si="60">+AH12/AG12-1</f>
        <v>1.8421722738954038E-2</v>
      </c>
      <c r="AI32" s="4">
        <f t="shared" si="60"/>
        <v>3.6675685764444133E-2</v>
      </c>
      <c r="AJ32" s="4">
        <f t="shared" si="60"/>
        <v>3.5398511618174089E-2</v>
      </c>
      <c r="AK32" s="4">
        <f t="shared" si="60"/>
        <v>3.3744930159012476E-2</v>
      </c>
      <c r="AL32" s="4">
        <f t="shared" si="60"/>
        <v>3.1741535005801236E-2</v>
      </c>
      <c r="AM32" s="4">
        <f t="shared" si="60"/>
        <v>3.2345151245205317E-2</v>
      </c>
      <c r="AN32" s="4">
        <f t="shared" si="60"/>
        <v>3.2957534901549845E-2</v>
      </c>
      <c r="AO32" s="4">
        <f t="shared" si="60"/>
        <v>3.3578305806274189E-2</v>
      </c>
      <c r="AP32" s="4">
        <f t="shared" si="60"/>
        <v>3.4207044767233796E-2</v>
      </c>
      <c r="AQ32" s="4">
        <f t="shared" si="60"/>
        <v>3.4843294287309368E-2</v>
      </c>
      <c r="AS32" s="1" t="s">
        <v>81</v>
      </c>
      <c r="AT32" s="4">
        <f>+AT30/AT31-1</f>
        <v>-1.6389088923782547E-2</v>
      </c>
    </row>
    <row r="33" spans="2:46">
      <c r="B33" s="1" t="s">
        <v>29</v>
      </c>
      <c r="K33" s="4">
        <f t="shared" si="35"/>
        <v>3.5071624014163749E-2</v>
      </c>
      <c r="L33" s="4">
        <f t="shared" si="35"/>
        <v>6.120955067065692E-2</v>
      </c>
      <c r="M33" s="4">
        <f t="shared" si="35"/>
        <v>1.4327978679185227E-2</v>
      </c>
      <c r="N33" s="4">
        <f t="shared" si="35"/>
        <v>8.4061696658097596E-2</v>
      </c>
      <c r="O33" s="4">
        <f t="shared" si="35"/>
        <v>-5.5108927210810288E-2</v>
      </c>
      <c r="P33" s="4">
        <f t="shared" si="35"/>
        <v>-5.0618786772164692E-2</v>
      </c>
      <c r="Q33" s="4">
        <f t="shared" si="35"/>
        <v>-5.662287573821867E-2</v>
      </c>
      <c r="R33" s="4">
        <f t="shared" si="35"/>
        <v>-8.1941061073145471E-2</v>
      </c>
      <c r="S33" s="4">
        <f t="shared" si="38"/>
        <v>-3.8262157491977256E-2</v>
      </c>
      <c r="T33" s="4">
        <f t="shared" si="38"/>
        <v>-5.3610839418920531E-3</v>
      </c>
      <c r="U33" s="4">
        <f t="shared" si="38"/>
        <v>4.7383858733121897E-2</v>
      </c>
      <c r="V33" s="4">
        <f t="shared" si="38"/>
        <v>5.1977300160159112E-2</v>
      </c>
      <c r="AC33" s="4">
        <f t="shared" ref="AC33" si="61">+AC13/AB13-1</f>
        <v>-2.1381712156799182E-2</v>
      </c>
      <c r="AD33" s="4">
        <f t="shared" ref="AD33" si="62">+AD13/AC13-1</f>
        <v>4.3380507048470296E-2</v>
      </c>
      <c r="AE33" s="4">
        <f t="shared" ref="AE33" si="63">+AE13/AD13-1</f>
        <v>0.27087767539626939</v>
      </c>
      <c r="AF33" s="4">
        <f t="shared" si="42"/>
        <v>4.7876379599097074E-2</v>
      </c>
      <c r="AG33" s="4">
        <f t="shared" si="42"/>
        <v>-6.0500022335720827E-2</v>
      </c>
      <c r="AH33" s="4">
        <f t="shared" ref="AH33:AQ33" si="64">+AH13/AG13-1</f>
        <v>7.8826728211829344E-3</v>
      </c>
      <c r="AI33" s="4">
        <f t="shared" si="64"/>
        <v>3.5125284413728641E-2</v>
      </c>
      <c r="AJ33" s="4">
        <f t="shared" si="64"/>
        <v>3.327679335666156E-2</v>
      </c>
      <c r="AK33" s="4">
        <f t="shared" si="64"/>
        <v>3.1622250630965132E-2</v>
      </c>
      <c r="AL33" s="4">
        <f t="shared" si="64"/>
        <v>2.9618610036653559E-2</v>
      </c>
      <c r="AM33" s="4">
        <f t="shared" si="64"/>
        <v>3.0216604541606795E-2</v>
      </c>
      <c r="AN33" s="4">
        <f t="shared" si="64"/>
        <v>3.0823325118695344E-2</v>
      </c>
      <c r="AO33" s="4">
        <f t="shared" si="64"/>
        <v>3.14383921296566E-2</v>
      </c>
      <c r="AP33" s="4">
        <f t="shared" si="64"/>
        <v>3.2061386998007313E-2</v>
      </c>
      <c r="AQ33" s="4">
        <f t="shared" si="64"/>
        <v>3.2691852927044573E-2</v>
      </c>
    </row>
    <row r="34" spans="2:46">
      <c r="B34" s="1" t="s">
        <v>30</v>
      </c>
      <c r="K34" s="4">
        <f t="shared" si="35"/>
        <v>8.2714314394699784E-2</v>
      </c>
      <c r="L34" s="4">
        <f t="shared" si="35"/>
        <v>7.3349149861605456E-2</v>
      </c>
      <c r="M34" s="4">
        <f t="shared" si="35"/>
        <v>5.8522727272727337E-2</v>
      </c>
      <c r="N34" s="4">
        <f t="shared" si="35"/>
        <v>4.9666419570051801E-2</v>
      </c>
      <c r="O34" s="4">
        <f t="shared" si="35"/>
        <v>0.12312256628963469</v>
      </c>
      <c r="P34" s="4">
        <f t="shared" si="35"/>
        <v>0.1171486461595137</v>
      </c>
      <c r="Q34" s="4">
        <f t="shared" si="35"/>
        <v>0.11791018071211301</v>
      </c>
      <c r="R34" s="4">
        <f t="shared" si="35"/>
        <v>0.14495056497175152</v>
      </c>
      <c r="S34" s="4">
        <f t="shared" si="38"/>
        <v>3.6816906059105259E-2</v>
      </c>
      <c r="T34" s="4">
        <f t="shared" si="38"/>
        <v>-0.17532366868851779</v>
      </c>
      <c r="U34" s="4">
        <f t="shared" si="38"/>
        <v>-0.29499738537281128</v>
      </c>
      <c r="V34" s="4">
        <f t="shared" si="38"/>
        <v>-0.25764322840257126</v>
      </c>
      <c r="AC34" s="4">
        <f t="shared" ref="AC34" si="65">+AC14/AB14-1</f>
        <v>7.6577732170343804E-2</v>
      </c>
      <c r="AD34" s="4">
        <f t="shared" ref="AD34" si="66">+AD14/AC14-1</f>
        <v>8.8585726200405057E-2</v>
      </c>
      <c r="AE34" s="4">
        <f t="shared" ref="AE34" si="67">+AE14/AD14-1</f>
        <v>0.13363979642094903</v>
      </c>
      <c r="AF34" s="4">
        <f t="shared" si="42"/>
        <v>6.5652908520395847E-2</v>
      </c>
      <c r="AG34" s="4">
        <f t="shared" si="42"/>
        <v>0.12593431483578699</v>
      </c>
      <c r="AH34" s="4">
        <f>+AH14/AG14-1</f>
        <v>-0.17518801249631299</v>
      </c>
      <c r="AI34" s="4">
        <f>+AI14/AH14-1</f>
        <v>3.6675685764444133E-2</v>
      </c>
      <c r="AJ34" s="4">
        <f t="shared" ref="AJ34:AQ34" si="68">+AJ14/AI14-1</f>
        <v>3.5398511618174089E-2</v>
      </c>
      <c r="AK34" s="4">
        <f t="shared" si="68"/>
        <v>3.3744930159012254E-2</v>
      </c>
      <c r="AL34" s="4">
        <f t="shared" si="68"/>
        <v>3.1741535005801236E-2</v>
      </c>
      <c r="AM34" s="4">
        <f t="shared" si="68"/>
        <v>3.2345151245205095E-2</v>
      </c>
      <c r="AN34" s="4">
        <f t="shared" si="68"/>
        <v>3.2957534901549845E-2</v>
      </c>
      <c r="AO34" s="4">
        <f t="shared" si="68"/>
        <v>3.3578305806274189E-2</v>
      </c>
      <c r="AP34" s="4">
        <f t="shared" si="68"/>
        <v>3.4207044767233796E-2</v>
      </c>
      <c r="AQ34" s="4">
        <f t="shared" si="68"/>
        <v>3.4843294287309146E-2</v>
      </c>
      <c r="AS34" s="1" t="s">
        <v>94</v>
      </c>
      <c r="AT34" s="28">
        <f>+Main!I8/Model!AH22</f>
        <v>26.500677271696745</v>
      </c>
    </row>
    <row r="35" spans="2:46">
      <c r="B35" s="1" t="s">
        <v>33</v>
      </c>
      <c r="K35" s="4">
        <f t="shared" ref="K35:V36" si="69">+K16/G16-1</f>
        <v>0.22138291690877399</v>
      </c>
      <c r="L35" s="4">
        <f t="shared" si="69"/>
        <v>0.2137970353477765</v>
      </c>
      <c r="M35" s="4">
        <f t="shared" si="69"/>
        <v>0.1889102676228791</v>
      </c>
      <c r="N35" s="4">
        <f t="shared" si="69"/>
        <v>0.17134442134442129</v>
      </c>
      <c r="O35" s="4">
        <f t="shared" si="69"/>
        <v>0.22248652077386621</v>
      </c>
      <c r="P35" s="4">
        <f t="shared" si="69"/>
        <v>0.1675277908251136</v>
      </c>
      <c r="Q35" s="4">
        <f t="shared" si="69"/>
        <v>9.4894806532293652E-2</v>
      </c>
      <c r="R35" s="4">
        <f t="shared" si="69"/>
        <v>8.0757284425380771E-2</v>
      </c>
      <c r="S35" s="4">
        <f t="shared" si="69"/>
        <v>-1.6863406408094139E-3</v>
      </c>
      <c r="T35" s="4">
        <f t="shared" si="69"/>
        <v>4.2037833734023256E-3</v>
      </c>
      <c r="U35" s="4">
        <f t="shared" si="69"/>
        <v>2.5357042434319021E-2</v>
      </c>
      <c r="V35" s="4">
        <f t="shared" si="69"/>
        <v>2.4212496368633873E-2</v>
      </c>
      <c r="AC35" s="4">
        <f t="shared" ref="AC35:AH36" si="70">+AC16/AB16-1</f>
        <v>0.13915425681371163</v>
      </c>
      <c r="AD35" s="4">
        <f t="shared" si="70"/>
        <v>0.15631744465684161</v>
      </c>
      <c r="AE35" s="4">
        <f t="shared" si="70"/>
        <v>0.16862201365187723</v>
      </c>
      <c r="AF35" s="4">
        <f t="shared" si="70"/>
        <v>0.19791001186456136</v>
      </c>
      <c r="AG35" s="4">
        <f t="shared" si="70"/>
        <v>0.1395756352138966</v>
      </c>
      <c r="AH35" s="4">
        <f t="shared" si="70"/>
        <v>1.2835548499992466E-2</v>
      </c>
      <c r="AI35" s="4">
        <f t="shared" ref="AI35:AQ35" si="71">+AI16/AH16-1</f>
        <v>2.8383671458255266E-2</v>
      </c>
      <c r="AJ35" s="4">
        <f t="shared" si="71"/>
        <v>2.1951777701055164E-2</v>
      </c>
      <c r="AK35" s="4">
        <f t="shared" si="71"/>
        <v>2.0143023183235798E-2</v>
      </c>
      <c r="AL35" s="4">
        <f t="shared" si="71"/>
        <v>1.7984981205724004E-2</v>
      </c>
      <c r="AM35" s="4">
        <f t="shared" si="71"/>
        <v>1.83945410932429E-2</v>
      </c>
      <c r="AN35" s="4">
        <f t="shared" si="71"/>
        <v>1.8807431683720344E-2</v>
      </c>
      <c r="AO35" s="4">
        <f t="shared" si="71"/>
        <v>1.9223051558964865E-2</v>
      </c>
      <c r="AP35" s="4">
        <f t="shared" si="71"/>
        <v>1.9640748362061755E-2</v>
      </c>
      <c r="AQ35" s="4">
        <f t="shared" si="71"/>
        <v>2.0059818654633244E-2</v>
      </c>
    </row>
    <row r="36" spans="2:46">
      <c r="B36" s="1" t="s">
        <v>34</v>
      </c>
      <c r="K36" s="4">
        <f t="shared" si="69"/>
        <v>0.14526727046705745</v>
      </c>
      <c r="L36" s="4">
        <f t="shared" si="69"/>
        <v>0.16541211893112528</v>
      </c>
      <c r="M36" s="4">
        <f t="shared" si="69"/>
        <v>0.11086474501108645</v>
      </c>
      <c r="N36" s="4">
        <f t="shared" si="69"/>
        <v>0.14672364672364679</v>
      </c>
      <c r="O36" s="4">
        <f t="shared" si="69"/>
        <v>2.4499922468599777E-2</v>
      </c>
      <c r="P36" s="4">
        <f t="shared" si="69"/>
        <v>1.2917810431132271E-3</v>
      </c>
      <c r="Q36" s="4">
        <f t="shared" si="69"/>
        <v>-6.4870259481037973E-3</v>
      </c>
      <c r="R36" s="4">
        <f t="shared" si="69"/>
        <v>-4.4875776397515499E-2</v>
      </c>
      <c r="S36" s="4">
        <f t="shared" si="69"/>
        <v>2.7092477675193072E-2</v>
      </c>
      <c r="T36" s="4">
        <f t="shared" si="69"/>
        <v>4.2037833734025476E-3</v>
      </c>
      <c r="U36" s="4">
        <f t="shared" si="69"/>
        <v>2.5357042434319021E-2</v>
      </c>
      <c r="V36" s="4">
        <f t="shared" si="69"/>
        <v>2.4212496368634095E-2</v>
      </c>
      <c r="AC36" s="4">
        <f t="shared" si="70"/>
        <v>9.2187967674348892E-2</v>
      </c>
      <c r="AD36" s="4">
        <f t="shared" si="70"/>
        <v>9.1586736092080123E-2</v>
      </c>
      <c r="AE36" s="4">
        <f t="shared" si="70"/>
        <v>0.10328379192608961</v>
      </c>
      <c r="AF36" s="4">
        <f t="shared" si="70"/>
        <v>0.14203795567287125</v>
      </c>
      <c r="AG36" s="4">
        <f t="shared" si="70"/>
        <v>-6.4557264684784732E-3</v>
      </c>
      <c r="AH36" s="4">
        <f t="shared" si="70"/>
        <v>2.0273397253414371E-2</v>
      </c>
      <c r="AI36" s="4">
        <f t="shared" ref="AI36:AQ36" si="72">+AI17/AH17-1</f>
        <v>3.6675685764444133E-2</v>
      </c>
      <c r="AJ36" s="4">
        <f t="shared" si="72"/>
        <v>3.5398511618174311E-2</v>
      </c>
      <c r="AK36" s="4">
        <f t="shared" si="72"/>
        <v>3.3744930159012254E-2</v>
      </c>
      <c r="AL36" s="4">
        <f t="shared" si="72"/>
        <v>3.1741535005801236E-2</v>
      </c>
      <c r="AM36" s="4">
        <f t="shared" si="72"/>
        <v>3.2345151245205317E-2</v>
      </c>
      <c r="AN36" s="4">
        <f t="shared" si="72"/>
        <v>3.2957534901549845E-2</v>
      </c>
      <c r="AO36" s="4">
        <f t="shared" si="72"/>
        <v>3.3578305806274189E-2</v>
      </c>
      <c r="AP36" s="4">
        <f t="shared" si="72"/>
        <v>3.4207044767234018E-2</v>
      </c>
      <c r="AQ36" s="4">
        <f t="shared" si="72"/>
        <v>3.4843294287309146E-2</v>
      </c>
    </row>
    <row r="37" spans="2:46">
      <c r="B37" s="22" t="s">
        <v>52</v>
      </c>
    </row>
    <row r="38" spans="2:46">
      <c r="B38" s="1" t="s">
        <v>53</v>
      </c>
      <c r="G38" s="4">
        <f t="shared" ref="G38:R38" si="73">(G12-SUM(G13:G14))/G12</f>
        <v>0.39971734988685048</v>
      </c>
      <c r="H38" s="4">
        <f t="shared" si="73"/>
        <v>0.42506474370423292</v>
      </c>
      <c r="I38" s="4">
        <f t="shared" si="73"/>
        <v>0.43292727853230839</v>
      </c>
      <c r="J38" s="4">
        <f t="shared" si="73"/>
        <v>0.41944578313253011</v>
      </c>
      <c r="K38" s="4">
        <f t="shared" si="73"/>
        <v>0.43763766186615033</v>
      </c>
      <c r="L38" s="4">
        <f t="shared" si="73"/>
        <v>0.43749871502292398</v>
      </c>
      <c r="M38" s="4">
        <f t="shared" si="73"/>
        <v>0.43256307332537758</v>
      </c>
      <c r="N38" s="4">
        <f t="shared" si="73"/>
        <v>0.4225922392563175</v>
      </c>
      <c r="O38" s="4">
        <f t="shared" si="73"/>
        <v>0.42962254809908323</v>
      </c>
      <c r="P38" s="4">
        <f t="shared" si="73"/>
        <v>0.44261672782487665</v>
      </c>
      <c r="Q38" s="4">
        <f t="shared" si="73"/>
        <v>0.44516302553883397</v>
      </c>
      <c r="R38" s="4">
        <f t="shared" si="73"/>
        <v>0.45170841806520817</v>
      </c>
      <c r="S38" s="4">
        <f>(S12-SUM(S13:S14))/S12</f>
        <v>0.45874973865774621</v>
      </c>
      <c r="T38" s="4">
        <f>(T12-SUM(T13:T14))/T12</f>
        <v>0.45874973865774621</v>
      </c>
      <c r="U38" s="4">
        <f>(U12-SUM(U13:U14))/U12</f>
        <v>0.45874973865774615</v>
      </c>
      <c r="V38" s="4">
        <f>(V12-SUM(V13:V14))/V12</f>
        <v>0.45874973865774615</v>
      </c>
      <c r="AB38" s="4">
        <f>(AB12-SUM(AB13:AB14))/AB12</f>
        <v>0.38343718820007905</v>
      </c>
      <c r="AC38" s="4">
        <f t="shared" ref="AC38:AQ38" si="74">(AC12-SUM(AC13:AC14))/AC12</f>
        <v>0.37817768109034722</v>
      </c>
      <c r="AD38" s="4">
        <f t="shared" si="74"/>
        <v>0.38233247727810865</v>
      </c>
      <c r="AE38" s="4">
        <f t="shared" si="74"/>
        <v>0.41779359625167778</v>
      </c>
      <c r="AF38" s="4">
        <f t="shared" si="74"/>
        <v>0.43309630561360085</v>
      </c>
      <c r="AG38" s="4">
        <f>(AG12-SUM(AG13:AG14))/AG12</f>
        <v>0.44131129577207562</v>
      </c>
      <c r="AH38" s="4">
        <f>(AH12-SUM(AH13:AH14))/AH12</f>
        <v>0.45874973865774621</v>
      </c>
      <c r="AI38" s="4">
        <f t="shared" si="74"/>
        <v>0.45948066067321769</v>
      </c>
      <c r="AJ38" s="4">
        <f t="shared" si="74"/>
        <v>0.46048066067321769</v>
      </c>
      <c r="AK38" s="4">
        <f t="shared" si="74"/>
        <v>0.46148066067321769</v>
      </c>
      <c r="AL38" s="4">
        <f t="shared" si="74"/>
        <v>0.46248066067321769</v>
      </c>
      <c r="AM38" s="4">
        <f t="shared" si="74"/>
        <v>0.46348066067321769</v>
      </c>
      <c r="AN38" s="4">
        <f t="shared" si="74"/>
        <v>0.46448066067321764</v>
      </c>
      <c r="AO38" s="4">
        <f t="shared" si="74"/>
        <v>0.46548066067321769</v>
      </c>
      <c r="AP38" s="4">
        <f t="shared" si="74"/>
        <v>0.4664806606732177</v>
      </c>
      <c r="AQ38" s="4">
        <f t="shared" si="74"/>
        <v>0.46748066067321764</v>
      </c>
    </row>
    <row r="39" spans="2:46">
      <c r="B39" s="1" t="s">
        <v>54</v>
      </c>
      <c r="G39" s="4">
        <f t="shared" ref="G39:R39" si="75">+G18/G12</f>
        <v>0.30316908022433114</v>
      </c>
      <c r="H39" s="4">
        <f t="shared" si="75"/>
        <v>0.30700794784782998</v>
      </c>
      <c r="I39" s="4">
        <f t="shared" si="75"/>
        <v>0.29626445956234498</v>
      </c>
      <c r="J39" s="4">
        <f t="shared" si="75"/>
        <v>0.28224096385542169</v>
      </c>
      <c r="K39" s="4">
        <f t="shared" si="75"/>
        <v>0.33472911371979508</v>
      </c>
      <c r="L39" s="4">
        <f t="shared" si="75"/>
        <v>0.30817862209338187</v>
      </c>
      <c r="M39" s="4">
        <f t="shared" si="75"/>
        <v>0.27816150146457891</v>
      </c>
      <c r="N39" s="4">
        <f t="shared" si="75"/>
        <v>0.27615202005635303</v>
      </c>
      <c r="O39" s="4">
        <f t="shared" si="75"/>
        <v>0.30742441572630896</v>
      </c>
      <c r="P39" s="4">
        <f t="shared" si="75"/>
        <v>0.29859968788223878</v>
      </c>
      <c r="Q39" s="4">
        <f t="shared" si="75"/>
        <v>0.28115945572576012</v>
      </c>
      <c r="R39" s="4">
        <f t="shared" si="75"/>
        <v>0.30133634271156895</v>
      </c>
      <c r="S39" s="4">
        <f>+S18/S12</f>
        <v>0.33763746602550698</v>
      </c>
      <c r="T39" s="4">
        <f>+T18/T12</f>
        <v>0.31473269871510839</v>
      </c>
      <c r="U39" s="4">
        <f>+U18/U12</f>
        <v>0.29474616884467236</v>
      </c>
      <c r="V39" s="4">
        <f>+V18/V12</f>
        <v>0.30837766330410699</v>
      </c>
      <c r="AB39" s="4">
        <f>+AB18/AB12</f>
        <v>0.26694026619477024</v>
      </c>
      <c r="AC39" s="4">
        <f t="shared" ref="AC39:AQ39" si="76">+AC18/AC12</f>
        <v>0.24572017188496928</v>
      </c>
      <c r="AD39" s="4">
        <f t="shared" si="76"/>
        <v>0.24147314354406862</v>
      </c>
      <c r="AE39" s="4">
        <f t="shared" si="76"/>
        <v>0.29782377527561593</v>
      </c>
      <c r="AF39" s="4">
        <f t="shared" si="76"/>
        <v>0.30288744395528594</v>
      </c>
      <c r="AG39" s="4">
        <f t="shared" si="76"/>
        <v>0.29821412265024722</v>
      </c>
      <c r="AH39" s="4">
        <f t="shared" si="76"/>
        <v>0.31596240481857224</v>
      </c>
      <c r="AI39" s="4">
        <f t="shared" si="76"/>
        <v>0.3173141895716553</v>
      </c>
      <c r="AJ39" s="4">
        <f t="shared" si="76"/>
        <v>0.3193141895716553</v>
      </c>
      <c r="AK39" s="4">
        <f t="shared" si="76"/>
        <v>0.32131418957165531</v>
      </c>
      <c r="AL39" s="4">
        <f t="shared" si="76"/>
        <v>0.32331418957165531</v>
      </c>
      <c r="AM39" s="4">
        <f t="shared" si="76"/>
        <v>0.32531418957165531</v>
      </c>
      <c r="AN39" s="4">
        <f t="shared" si="76"/>
        <v>0.32731418957165526</v>
      </c>
      <c r="AO39" s="4">
        <f t="shared" si="76"/>
        <v>0.32931418957165526</v>
      </c>
      <c r="AP39" s="4">
        <f t="shared" si="76"/>
        <v>0.33131418957165532</v>
      </c>
      <c r="AQ39" s="4">
        <f t="shared" si="76"/>
        <v>0.33331418957165526</v>
      </c>
    </row>
    <row r="41" spans="2:46">
      <c r="B41" s="1" t="s">
        <v>29</v>
      </c>
      <c r="AC41" s="25">
        <f t="shared" ref="AC41:AF42" si="77">+AC13/AC$12</f>
        <v>0.55730395812033484</v>
      </c>
      <c r="AD41" s="25">
        <f t="shared" si="77"/>
        <v>0.55110285412454696</v>
      </c>
      <c r="AE41" s="25">
        <f t="shared" si="77"/>
        <v>0.5255797297555882</v>
      </c>
      <c r="AF41" s="25">
        <f t="shared" si="77"/>
        <v>0.5109223793390274</v>
      </c>
      <c r="AG41" s="25">
        <f>+AG13/AG$12</f>
        <v>0.4938413973935844</v>
      </c>
      <c r="AH41" s="25">
        <f t="shared" ref="AH41:AQ41" si="78">+AH13/AH$12</f>
        <v>0.48873092201547141</v>
      </c>
      <c r="AI41" s="25">
        <f t="shared" si="78"/>
        <v>0.48799999999999993</v>
      </c>
      <c r="AJ41" s="25">
        <f t="shared" si="78"/>
        <v>0.48699999999999999</v>
      </c>
      <c r="AK41" s="25">
        <f t="shared" si="78"/>
        <v>0.48599999999999999</v>
      </c>
      <c r="AL41" s="25">
        <f t="shared" si="78"/>
        <v>0.48499999999999999</v>
      </c>
      <c r="AM41" s="25">
        <f t="shared" si="78"/>
        <v>0.48399999999999999</v>
      </c>
      <c r="AN41" s="25">
        <f t="shared" si="78"/>
        <v>0.48299999999999998</v>
      </c>
      <c r="AO41" s="25">
        <f t="shared" si="78"/>
        <v>0.48199999999999998</v>
      </c>
      <c r="AP41" s="25">
        <f t="shared" si="78"/>
        <v>0.48099999999999998</v>
      </c>
      <c r="AQ41" s="25">
        <f t="shared" si="78"/>
        <v>0.48</v>
      </c>
    </row>
    <row r="42" spans="2:46">
      <c r="B42" s="1" t="s">
        <v>30</v>
      </c>
      <c r="AC42" s="25">
        <f t="shared" si="77"/>
        <v>6.4518360789317913E-2</v>
      </c>
      <c r="AD42" s="25">
        <f t="shared" si="77"/>
        <v>6.6564668597344404E-2</v>
      </c>
      <c r="AE42" s="25">
        <f t="shared" si="77"/>
        <v>5.6626673992734071E-2</v>
      </c>
      <c r="AF42" s="25">
        <f t="shared" si="77"/>
        <v>5.5981315047371728E-2</v>
      </c>
      <c r="AG42" s="25">
        <f t="shared" ref="AG42:AQ42" si="79">+AG14/AG$12</f>
        <v>6.4847306834339979E-2</v>
      </c>
      <c r="AH42" s="25">
        <f t="shared" si="79"/>
        <v>5.2519339326782356E-2</v>
      </c>
      <c r="AI42" s="25">
        <f t="shared" si="79"/>
        <v>5.2519339326782349E-2</v>
      </c>
      <c r="AJ42" s="25">
        <f t="shared" si="79"/>
        <v>5.2519339326782349E-2</v>
      </c>
      <c r="AK42" s="25">
        <f t="shared" si="79"/>
        <v>5.2519339326782342E-2</v>
      </c>
      <c r="AL42" s="25">
        <f t="shared" si="79"/>
        <v>5.2519339326782342E-2</v>
      </c>
      <c r="AM42" s="25">
        <f t="shared" si="79"/>
        <v>5.2519339326782342E-2</v>
      </c>
      <c r="AN42" s="25">
        <f t="shared" si="79"/>
        <v>5.2519339326782342E-2</v>
      </c>
      <c r="AO42" s="25">
        <f t="shared" si="79"/>
        <v>5.2519339326782342E-2</v>
      </c>
      <c r="AP42" s="25">
        <f t="shared" si="79"/>
        <v>5.2519339326782342E-2</v>
      </c>
      <c r="AQ42" s="25">
        <f t="shared" si="79"/>
        <v>5.2519339326782342E-2</v>
      </c>
    </row>
    <row r="43" spans="2:46">
      <c r="B43" s="1" t="s">
        <v>33</v>
      </c>
      <c r="AC43" s="25">
        <f t="shared" ref="AC43:AF43" si="80">+AC16/AC$12</f>
        <v>6.233136285716482E-2</v>
      </c>
      <c r="AD43" s="25">
        <f t="shared" si="80"/>
        <v>6.8309564140393061E-2</v>
      </c>
      <c r="AE43" s="25">
        <f t="shared" si="80"/>
        <v>5.9904269074427925E-2</v>
      </c>
      <c r="AF43" s="25">
        <f t="shared" si="80"/>
        <v>6.657148363798665E-2</v>
      </c>
      <c r="AG43" s="25">
        <f>+AG16/AG$12</f>
        <v>7.8048971392045086E-2</v>
      </c>
      <c r="AH43" s="25">
        <f t="shared" ref="AH43:AQ43" si="81">+AH16/AH$12</f>
        <v>7.7620862737611512E-2</v>
      </c>
      <c r="AI43" s="25">
        <f t="shared" si="81"/>
        <v>7.6999999999999999E-2</v>
      </c>
      <c r="AJ43" s="25">
        <f t="shared" si="81"/>
        <v>7.5999999999999998E-2</v>
      </c>
      <c r="AK43" s="25">
        <f t="shared" si="81"/>
        <v>7.4999999999999997E-2</v>
      </c>
      <c r="AL43" s="25">
        <f t="shared" si="81"/>
        <v>7.3999999999999996E-2</v>
      </c>
      <c r="AM43" s="25">
        <f t="shared" si="81"/>
        <v>7.2999999999999995E-2</v>
      </c>
      <c r="AN43" s="25">
        <f t="shared" si="81"/>
        <v>7.1999999999999995E-2</v>
      </c>
      <c r="AO43" s="25">
        <f t="shared" si="81"/>
        <v>7.0999999999999994E-2</v>
      </c>
      <c r="AP43" s="25">
        <f t="shared" si="81"/>
        <v>7.0000000000000007E-2</v>
      </c>
      <c r="AQ43" s="25">
        <f t="shared" si="81"/>
        <v>6.9000000000000006E-2</v>
      </c>
    </row>
    <row r="44" spans="2:46">
      <c r="B44" s="1" t="s">
        <v>34</v>
      </c>
      <c r="AC44" s="25">
        <f t="shared" ref="AC44:AF44" si="82">+AC17/AC$12</f>
        <v>7.0126146348213125E-2</v>
      </c>
      <c r="AD44" s="25">
        <f t="shared" si="82"/>
        <v>7.2549769593646979E-2</v>
      </c>
      <c r="AE44" s="25">
        <f t="shared" si="82"/>
        <v>6.006555190163388E-2</v>
      </c>
      <c r="AF44" s="25">
        <f t="shared" si="82"/>
        <v>6.3637378020328261E-2</v>
      </c>
      <c r="AG44" s="25">
        <f>+AG17/AG$12</f>
        <v>6.5048201729783317E-2</v>
      </c>
      <c r="AH44" s="25">
        <f t="shared" ref="AH44:AQ44" si="83">+AH17/AH$12</f>
        <v>6.5166471101562401E-2</v>
      </c>
      <c r="AI44" s="25">
        <f t="shared" si="83"/>
        <v>6.5166471101562401E-2</v>
      </c>
      <c r="AJ44" s="25">
        <f t="shared" si="83"/>
        <v>6.5166471101562401E-2</v>
      </c>
      <c r="AK44" s="25">
        <f t="shared" si="83"/>
        <v>6.5166471101562401E-2</v>
      </c>
      <c r="AL44" s="25">
        <f t="shared" si="83"/>
        <v>6.5166471101562401E-2</v>
      </c>
      <c r="AM44" s="25">
        <f t="shared" si="83"/>
        <v>6.5166471101562401E-2</v>
      </c>
      <c r="AN44" s="25">
        <f t="shared" si="83"/>
        <v>6.5166471101562401E-2</v>
      </c>
      <c r="AO44" s="25">
        <f t="shared" si="83"/>
        <v>6.5166471101562401E-2</v>
      </c>
      <c r="AP44" s="25">
        <f t="shared" si="83"/>
        <v>6.5166471101562401E-2</v>
      </c>
      <c r="AQ44" s="25">
        <f t="shared" si="83"/>
        <v>6.5166471101562401E-2</v>
      </c>
    </row>
    <row r="48" spans="2:46" s="5" customFormat="1">
      <c r="B48" s="5" t="s">
        <v>74</v>
      </c>
      <c r="C48" s="5">
        <f t="shared" ref="C48:Q48" si="84">+SUM(C49:C50,C55)-SUM(C63:C65)</f>
        <v>0</v>
      </c>
      <c r="D48" s="5">
        <f t="shared" si="84"/>
        <v>0</v>
      </c>
      <c r="E48" s="5">
        <f t="shared" si="84"/>
        <v>0</v>
      </c>
      <c r="F48" s="5">
        <f t="shared" si="84"/>
        <v>0</v>
      </c>
      <c r="G48" s="5">
        <f t="shared" si="84"/>
        <v>0</v>
      </c>
      <c r="H48" s="5">
        <f t="shared" si="84"/>
        <v>0</v>
      </c>
      <c r="I48" s="5">
        <f t="shared" si="84"/>
        <v>0</v>
      </c>
      <c r="J48" s="5">
        <f t="shared" si="84"/>
        <v>0</v>
      </c>
      <c r="K48" s="5">
        <f t="shared" si="84"/>
        <v>0</v>
      </c>
      <c r="L48" s="5">
        <f t="shared" si="84"/>
        <v>0</v>
      </c>
      <c r="M48" s="5">
        <f t="shared" si="84"/>
        <v>0</v>
      </c>
      <c r="N48" s="5">
        <f t="shared" si="84"/>
        <v>49040</v>
      </c>
      <c r="O48" s="5">
        <f t="shared" si="84"/>
        <v>54340</v>
      </c>
      <c r="P48" s="5">
        <f t="shared" si="84"/>
        <v>56718</v>
      </c>
      <c r="Q48" s="5">
        <f t="shared" si="84"/>
        <v>57263</v>
      </c>
      <c r="R48" s="5">
        <f>+SUM(R49:R50,R55)-SUM(R63:R65)</f>
        <v>51011</v>
      </c>
      <c r="S48" s="5">
        <f>+SUM(S49:S50,S55)-SUM(S63:S65)</f>
        <v>64535</v>
      </c>
      <c r="T48" s="23"/>
      <c r="AG48" s="5">
        <f>+S48</f>
        <v>64535</v>
      </c>
      <c r="AH48" s="5">
        <f t="shared" ref="AH48:AQ48" si="85">+AG48+AH22</f>
        <v>168104.49367333163</v>
      </c>
      <c r="AI48" s="5">
        <f t="shared" si="85"/>
        <v>277520.90069883445</v>
      </c>
      <c r="AJ48" s="5">
        <f t="shared" si="85"/>
        <v>392385.57017320936</v>
      </c>
      <c r="AK48" s="5">
        <f t="shared" si="85"/>
        <v>512742.31671940355</v>
      </c>
      <c r="AL48" s="5">
        <f t="shared" si="85"/>
        <v>638578.67926035367</v>
      </c>
      <c r="AM48" s="5">
        <f t="shared" si="85"/>
        <v>770180.21449128166</v>
      </c>
      <c r="AN48" s="5">
        <f t="shared" si="85"/>
        <v>907850.53257965331</v>
      </c>
      <c r="AO48" s="5">
        <f t="shared" si="85"/>
        <v>1051912.567295481</v>
      </c>
      <c r="AP48" s="5">
        <f t="shared" si="85"/>
        <v>1202709.939174541</v>
      </c>
      <c r="AQ48" s="5">
        <f t="shared" si="85"/>
        <v>1360608.4186028196</v>
      </c>
    </row>
    <row r="49" spans="2:20">
      <c r="B49" s="1" t="s">
        <v>56</v>
      </c>
      <c r="N49" s="1">
        <v>23646</v>
      </c>
      <c r="O49" s="1">
        <v>20535</v>
      </c>
      <c r="P49" s="1">
        <v>24687</v>
      </c>
      <c r="Q49" s="1">
        <v>28408</v>
      </c>
      <c r="R49" s="1">
        <v>29965</v>
      </c>
      <c r="S49" s="1">
        <v>40760</v>
      </c>
    </row>
    <row r="50" spans="2:20">
      <c r="B50" s="1" t="s">
        <v>57</v>
      </c>
      <c r="N50" s="1">
        <v>24658</v>
      </c>
      <c r="O50" s="1">
        <v>30820</v>
      </c>
      <c r="P50" s="1">
        <v>31185</v>
      </c>
      <c r="Q50" s="1">
        <v>34074</v>
      </c>
      <c r="R50" s="1">
        <v>31590</v>
      </c>
      <c r="S50" s="1">
        <v>32340</v>
      </c>
    </row>
    <row r="51" spans="2:20">
      <c r="B51" s="1" t="s">
        <v>58</v>
      </c>
      <c r="N51" s="1">
        <v>28184</v>
      </c>
      <c r="O51" s="1">
        <v>23752</v>
      </c>
      <c r="P51" s="1">
        <v>17936</v>
      </c>
      <c r="Q51" s="1">
        <v>19549</v>
      </c>
      <c r="R51" s="1">
        <v>29508</v>
      </c>
      <c r="S51" s="1">
        <v>23194</v>
      </c>
    </row>
    <row r="52" spans="2:20">
      <c r="B52" s="1" t="s">
        <v>59</v>
      </c>
      <c r="N52" s="1">
        <v>4946</v>
      </c>
      <c r="O52" s="1">
        <v>6820</v>
      </c>
      <c r="P52" s="1">
        <v>7482</v>
      </c>
      <c r="Q52" s="1">
        <v>7351</v>
      </c>
      <c r="R52" s="1">
        <v>31477</v>
      </c>
      <c r="S52" s="1">
        <v>26908</v>
      </c>
    </row>
    <row r="53" spans="2:20">
      <c r="B53" s="1" t="s">
        <v>60</v>
      </c>
      <c r="N53" s="1">
        <v>32748</v>
      </c>
      <c r="O53" s="1">
        <v>30428</v>
      </c>
      <c r="P53" s="1">
        <v>17963</v>
      </c>
      <c r="Q53" s="1">
        <v>19637</v>
      </c>
      <c r="R53" s="1">
        <v>6331</v>
      </c>
      <c r="S53" s="1">
        <v>6511</v>
      </c>
    </row>
    <row r="54" spans="2:20">
      <c r="B54" s="1" t="s">
        <v>61</v>
      </c>
      <c r="N54" s="1">
        <v>21223</v>
      </c>
      <c r="O54" s="1">
        <v>16422</v>
      </c>
      <c r="P54" s="1">
        <v>13660</v>
      </c>
      <c r="Q54" s="1">
        <v>13640</v>
      </c>
      <c r="R54" s="1">
        <v>14695</v>
      </c>
      <c r="S54" s="1">
        <v>13979</v>
      </c>
    </row>
    <row r="55" spans="2:20">
      <c r="B55" s="1" t="s">
        <v>57</v>
      </c>
      <c r="N55" s="1">
        <v>120805</v>
      </c>
      <c r="O55" s="1">
        <v>114095</v>
      </c>
      <c r="P55" s="1">
        <v>110461</v>
      </c>
      <c r="Q55" s="1">
        <v>104061</v>
      </c>
      <c r="R55" s="1">
        <v>100544</v>
      </c>
      <c r="S55" s="1">
        <v>99475</v>
      </c>
    </row>
    <row r="56" spans="2:20">
      <c r="B56" s="1" t="s">
        <v>62</v>
      </c>
      <c r="N56" s="1">
        <v>42117</v>
      </c>
      <c r="O56" s="1">
        <v>42951</v>
      </c>
      <c r="P56" s="1">
        <v>43398</v>
      </c>
      <c r="Q56" s="1">
        <v>43550</v>
      </c>
      <c r="R56" s="1">
        <v>43715</v>
      </c>
      <c r="S56" s="1">
        <v>43666</v>
      </c>
    </row>
    <row r="57" spans="2:20">
      <c r="B57" s="1" t="s">
        <v>61</v>
      </c>
      <c r="N57" s="1">
        <v>54428</v>
      </c>
      <c r="O57" s="1">
        <v>60924</v>
      </c>
      <c r="P57" s="1">
        <v>65388</v>
      </c>
      <c r="Q57" s="1">
        <v>64768</v>
      </c>
      <c r="R57" s="1">
        <v>64758</v>
      </c>
      <c r="S57" s="1">
        <v>66681</v>
      </c>
    </row>
    <row r="58" spans="2:20" s="5" customFormat="1">
      <c r="B58" s="5" t="s">
        <v>63</v>
      </c>
      <c r="N58" s="5">
        <f t="shared" ref="N58:S58" si="86">SUM(N49:N57)</f>
        <v>352755</v>
      </c>
      <c r="O58" s="5">
        <f t="shared" si="86"/>
        <v>346747</v>
      </c>
      <c r="P58" s="5">
        <f t="shared" si="86"/>
        <v>332160</v>
      </c>
      <c r="Q58" s="5">
        <f t="shared" si="86"/>
        <v>335038</v>
      </c>
      <c r="R58" s="5">
        <f t="shared" si="86"/>
        <v>352583</v>
      </c>
      <c r="S58" s="5">
        <f t="shared" si="86"/>
        <v>353514</v>
      </c>
      <c r="T58" s="23"/>
    </row>
    <row r="60" spans="2:20">
      <c r="B60" s="1" t="s">
        <v>65</v>
      </c>
      <c r="N60" s="1">
        <v>64115</v>
      </c>
      <c r="O60" s="1">
        <v>57918</v>
      </c>
      <c r="P60" s="1">
        <v>42945</v>
      </c>
      <c r="Q60" s="1">
        <v>46699</v>
      </c>
      <c r="R60" s="1">
        <v>62611</v>
      </c>
      <c r="S60" s="1">
        <v>58146</v>
      </c>
    </row>
    <row r="61" spans="2:20">
      <c r="B61" s="1" t="s">
        <v>66</v>
      </c>
      <c r="N61" s="1">
        <v>60845</v>
      </c>
      <c r="O61" s="1">
        <v>59893</v>
      </c>
      <c r="P61" s="1">
        <v>56425</v>
      </c>
      <c r="Q61" s="1">
        <v>58897</v>
      </c>
      <c r="R61" s="1">
        <v>58829</v>
      </c>
      <c r="S61" s="1">
        <v>54611</v>
      </c>
    </row>
    <row r="62" spans="2:20">
      <c r="B62" s="1" t="s">
        <v>67</v>
      </c>
      <c r="N62" s="1">
        <v>7912</v>
      </c>
      <c r="O62" s="1">
        <v>7992</v>
      </c>
      <c r="P62" s="1">
        <v>8131</v>
      </c>
      <c r="Q62" s="1">
        <v>8158</v>
      </c>
      <c r="R62" s="1">
        <v>8061</v>
      </c>
      <c r="S62" s="1">
        <v>8264</v>
      </c>
    </row>
    <row r="63" spans="2:20">
      <c r="B63" s="1" t="s">
        <v>68</v>
      </c>
      <c r="N63" s="1">
        <v>9982</v>
      </c>
      <c r="O63" s="1">
        <v>1743</v>
      </c>
      <c r="P63" s="1">
        <v>1996</v>
      </c>
      <c r="Q63" s="1">
        <v>3993</v>
      </c>
      <c r="R63" s="1">
        <v>5985</v>
      </c>
      <c r="S63" s="1">
        <v>1998</v>
      </c>
    </row>
    <row r="64" spans="2:20">
      <c r="B64" s="1" t="s">
        <v>69</v>
      </c>
      <c r="N64" s="1">
        <v>11128</v>
      </c>
      <c r="O64" s="1">
        <v>9740</v>
      </c>
      <c r="P64" s="1">
        <v>10578</v>
      </c>
      <c r="Q64" s="1">
        <v>7216</v>
      </c>
      <c r="R64" s="1">
        <v>9822</v>
      </c>
      <c r="S64" s="1">
        <v>10954</v>
      </c>
    </row>
    <row r="65" spans="2:20">
      <c r="B65" s="1" t="s">
        <v>70</v>
      </c>
      <c r="N65" s="1">
        <v>98959</v>
      </c>
      <c r="O65" s="1">
        <v>99627</v>
      </c>
      <c r="P65" s="1">
        <v>97041</v>
      </c>
      <c r="Q65" s="1">
        <v>98071</v>
      </c>
      <c r="R65" s="1">
        <v>95281</v>
      </c>
      <c r="S65" s="1">
        <v>95088</v>
      </c>
    </row>
    <row r="66" spans="2:20">
      <c r="B66" s="1" t="s">
        <v>71</v>
      </c>
      <c r="N66" s="1">
        <v>49142</v>
      </c>
      <c r="O66" s="1">
        <v>53107</v>
      </c>
      <c r="P66" s="1">
        <v>52886</v>
      </c>
      <c r="Q66" s="1">
        <v>51730</v>
      </c>
      <c r="R66" s="1">
        <v>49848</v>
      </c>
      <c r="S66" s="1">
        <v>50353</v>
      </c>
    </row>
    <row r="67" spans="2:20">
      <c r="B67" s="1" t="s">
        <v>64</v>
      </c>
      <c r="N67" s="1">
        <f t="shared" ref="N67:S67" si="87">+SUM(N60:N66)</f>
        <v>302083</v>
      </c>
      <c r="O67" s="1">
        <f t="shared" si="87"/>
        <v>290020</v>
      </c>
      <c r="P67" s="1">
        <f t="shared" si="87"/>
        <v>270002</v>
      </c>
      <c r="Q67" s="1">
        <f t="shared" si="87"/>
        <v>274764</v>
      </c>
      <c r="R67" s="1">
        <f t="shared" si="87"/>
        <v>290437</v>
      </c>
      <c r="S67" s="1">
        <f t="shared" si="87"/>
        <v>279414</v>
      </c>
    </row>
    <row r="68" spans="2:20">
      <c r="B68" s="1" t="s">
        <v>72</v>
      </c>
      <c r="N68" s="1">
        <v>50672</v>
      </c>
      <c r="O68" s="1">
        <v>56727</v>
      </c>
      <c r="P68" s="1">
        <v>62158</v>
      </c>
      <c r="Q68" s="1">
        <v>60274</v>
      </c>
      <c r="R68" s="1">
        <v>62147</v>
      </c>
      <c r="S68" s="1">
        <v>74100</v>
      </c>
    </row>
    <row r="69" spans="2:20" s="5" customFormat="1">
      <c r="B69" s="5" t="s">
        <v>73</v>
      </c>
      <c r="N69" s="5">
        <f t="shared" ref="N69:S69" si="88">+SUM(N67:N68)</f>
        <v>352755</v>
      </c>
      <c r="O69" s="5">
        <f t="shared" si="88"/>
        <v>346747</v>
      </c>
      <c r="P69" s="5">
        <f t="shared" si="88"/>
        <v>332160</v>
      </c>
      <c r="Q69" s="5">
        <f t="shared" si="88"/>
        <v>335038</v>
      </c>
      <c r="R69" s="5">
        <f t="shared" si="88"/>
        <v>352584</v>
      </c>
      <c r="S69" s="5">
        <f t="shared" si="88"/>
        <v>353514</v>
      </c>
      <c r="T69" s="23"/>
    </row>
    <row r="72" spans="2:20">
      <c r="B72" s="1" t="s">
        <v>82</v>
      </c>
      <c r="N72" s="1">
        <f t="shared" ref="N72:R72" si="89">SUM(N63:N65)</f>
        <v>120069</v>
      </c>
      <c r="O72" s="1">
        <f t="shared" si="89"/>
        <v>111110</v>
      </c>
      <c r="P72" s="1">
        <f t="shared" si="89"/>
        <v>109615</v>
      </c>
      <c r="Q72" s="1">
        <f t="shared" si="89"/>
        <v>109280</v>
      </c>
      <c r="R72" s="1">
        <f t="shared" si="89"/>
        <v>111088</v>
      </c>
      <c r="S72" s="1">
        <f>SUM(S63:S65)</f>
        <v>108040</v>
      </c>
    </row>
    <row r="73" spans="2:20">
      <c r="B73" s="1" t="s">
        <v>56</v>
      </c>
      <c r="N73" s="1">
        <f>SUM(N49:N50,N55)</f>
        <v>169109</v>
      </c>
      <c r="O73" s="1">
        <f t="shared" ref="O73:S73" si="90">SUM(O49:O50,O55)</f>
        <v>165450</v>
      </c>
      <c r="P73" s="1">
        <f t="shared" si="90"/>
        <v>166333</v>
      </c>
      <c r="Q73" s="1">
        <f t="shared" si="90"/>
        <v>166543</v>
      </c>
      <c r="R73" s="1">
        <f t="shared" si="90"/>
        <v>162099</v>
      </c>
      <c r="S73" s="1">
        <f t="shared" si="90"/>
        <v>172575</v>
      </c>
    </row>
    <row r="74" spans="2:20">
      <c r="B74" s="1" t="s">
        <v>83</v>
      </c>
      <c r="N74" s="1">
        <f>+N73-N72</f>
        <v>49040</v>
      </c>
      <c r="O74" s="1">
        <f t="shared" ref="O74:S74" si="91">+O73-O72</f>
        <v>54340</v>
      </c>
      <c r="P74" s="1">
        <f t="shared" si="91"/>
        <v>56718</v>
      </c>
      <c r="Q74" s="1">
        <f t="shared" si="91"/>
        <v>57263</v>
      </c>
      <c r="R74" s="1">
        <f t="shared" si="91"/>
        <v>51011</v>
      </c>
      <c r="S74" s="1">
        <f t="shared" si="91"/>
        <v>64535</v>
      </c>
    </row>
    <row r="75" spans="2:20">
      <c r="B75" s="1" t="s">
        <v>84</v>
      </c>
      <c r="N75" s="1">
        <f t="shared" ref="N75:R75" si="92">+N74/N23</f>
        <v>3.0424733372563701</v>
      </c>
      <c r="O75" s="1">
        <f t="shared" si="92"/>
        <v>3.4056756330238476</v>
      </c>
      <c r="P75" s="1">
        <f t="shared" si="92"/>
        <v>3.5790888524993614</v>
      </c>
      <c r="Q75" s="1">
        <f t="shared" si="92"/>
        <v>3.6299793198373553</v>
      </c>
      <c r="R75" s="1">
        <f t="shared" si="92"/>
        <v>3.2548301472652561</v>
      </c>
      <c r="S75" s="1">
        <f>+S74/S23</f>
        <v>4.1430626795597334</v>
      </c>
      <c r="T75" s="1"/>
    </row>
    <row r="76" spans="2:20">
      <c r="B76" s="1" t="s">
        <v>86</v>
      </c>
      <c r="N76" s="26">
        <f t="shared" ref="N76:R76" si="93">+(N51)/(N12/90)</f>
        <v>28.138353337918488</v>
      </c>
      <c r="O76" s="26">
        <f t="shared" si="93"/>
        <v>18.246752138211242</v>
      </c>
      <c r="P76" s="26">
        <f t="shared" si="93"/>
        <v>17.021384284448942</v>
      </c>
      <c r="Q76" s="26">
        <f t="shared" si="93"/>
        <v>21.509468562416714</v>
      </c>
      <c r="R76" s="26">
        <f t="shared" si="93"/>
        <v>29.673512257257144</v>
      </c>
      <c r="S76" s="26">
        <f>+(S51)/(S12/90)</f>
        <v>17.457328036796991</v>
      </c>
      <c r="T76" s="26"/>
    </row>
    <row r="77" spans="2:20">
      <c r="B77" s="1" t="s">
        <v>87</v>
      </c>
      <c r="N77" s="1">
        <f t="shared" ref="N77:R77" si="94">+(N60)/(SUM(N13:N14)/90)</f>
        <v>110.85954160342742</v>
      </c>
      <c r="O77" s="1">
        <f t="shared" si="94"/>
        <v>78.007542426147069</v>
      </c>
      <c r="P77" s="1">
        <f t="shared" si="94"/>
        <v>73.118615209988647</v>
      </c>
      <c r="Q77" s="1">
        <f t="shared" si="94"/>
        <v>92.607747223691177</v>
      </c>
      <c r="R77" s="1">
        <f t="shared" si="94"/>
        <v>114.83340465855596</v>
      </c>
      <c r="S77" s="1">
        <f>+(S60)/(SUM(S13:S14)/90)</f>
        <v>80.85815822002472</v>
      </c>
    </row>
    <row r="78" spans="2:20" s="27" customFormat="1">
      <c r="B78" s="27" t="s">
        <v>85</v>
      </c>
      <c r="N78" s="27">
        <f t="shared" ref="N78:R78" si="95">SUM(K13:N14)/AVERAGE(M53:N53)</f>
        <v>6.8262489312324419</v>
      </c>
      <c r="O78" s="27">
        <f t="shared" si="95"/>
        <v>6.9857540838293026</v>
      </c>
      <c r="P78" s="27">
        <f t="shared" si="95"/>
        <v>9.0432931743506018</v>
      </c>
      <c r="Q78" s="27">
        <f t="shared" si="95"/>
        <v>11.54877659574468</v>
      </c>
      <c r="R78" s="27">
        <f t="shared" si="95"/>
        <v>16.492375231053604</v>
      </c>
      <c r="S78" s="27">
        <f>SUM(P13:S14)/AVERAGE(R53:S53)</f>
        <v>33.022114935368322</v>
      </c>
    </row>
    <row r="79" spans="2:20">
      <c r="B79" s="1" t="s">
        <v>88</v>
      </c>
      <c r="N79" s="1">
        <f t="shared" ref="N79:R79" si="96">365/N78</f>
        <v>53.470068800157463</v>
      </c>
      <c r="O79" s="1">
        <f t="shared" si="96"/>
        <v>52.249191085169436</v>
      </c>
      <c r="P79" s="1">
        <f t="shared" si="96"/>
        <v>40.361402971568552</v>
      </c>
      <c r="Q79" s="1">
        <f t="shared" si="96"/>
        <v>31.60507928904692</v>
      </c>
      <c r="R79" s="1">
        <f t="shared" si="96"/>
        <v>22.13143921881786</v>
      </c>
      <c r="S79" s="1">
        <f>365/S78</f>
        <v>11.053198764354942</v>
      </c>
    </row>
    <row r="83" spans="2:19">
      <c r="B83" s="1" t="s">
        <v>89</v>
      </c>
      <c r="K83" s="1">
        <v>46966</v>
      </c>
      <c r="L83" s="1">
        <f>75132-K83</f>
        <v>28166</v>
      </c>
      <c r="M83" s="1">
        <f>98024-SUM(K83:L83)</f>
        <v>22892</v>
      </c>
      <c r="N83" s="1">
        <f>122151-SUM(K83:M83)</f>
        <v>24127</v>
      </c>
      <c r="O83" s="1">
        <v>34005</v>
      </c>
      <c r="P83" s="1">
        <f>62565-O83</f>
        <v>28560</v>
      </c>
      <c r="Q83" s="1">
        <f>88945-SUM(O83:P83)</f>
        <v>26380</v>
      </c>
      <c r="R83" s="1">
        <f>110543-SUM(O83:Q83)</f>
        <v>21598</v>
      </c>
      <c r="S83" s="1">
        <v>39895</v>
      </c>
    </row>
    <row r="84" spans="2:19">
      <c r="B84" s="1" t="s">
        <v>90</v>
      </c>
      <c r="K84" s="1">
        <v>-2803</v>
      </c>
      <c r="L84" s="1">
        <f>+-5317-K84</f>
        <v>-2514</v>
      </c>
      <c r="M84" s="1">
        <f>+-7419-SUM(K84:L84)</f>
        <v>-2102</v>
      </c>
      <c r="N84" s="1">
        <f>+-10708-SUM(K84:M84)</f>
        <v>-3289</v>
      </c>
      <c r="O84" s="1">
        <v>-3787</v>
      </c>
      <c r="P84" s="1">
        <f>+-6703-O84</f>
        <v>-2916</v>
      </c>
      <c r="Q84" s="1">
        <f>+-8796-SUM(O84:P84)</f>
        <v>-2093</v>
      </c>
      <c r="R84" s="1">
        <f>+-10959-SUM(O84:Q84)</f>
        <v>-2163</v>
      </c>
      <c r="S84" s="1">
        <v>-2392</v>
      </c>
    </row>
    <row r="85" spans="2:19">
      <c r="B85" s="1" t="s">
        <v>91</v>
      </c>
      <c r="K85" s="1">
        <f t="shared" ref="K85:R85" si="97">+SUM(K83:K84)</f>
        <v>44163</v>
      </c>
      <c r="L85" s="1">
        <f t="shared" si="97"/>
        <v>25652</v>
      </c>
      <c r="M85" s="1">
        <f t="shared" si="97"/>
        <v>20790</v>
      </c>
      <c r="N85" s="1">
        <f t="shared" si="97"/>
        <v>20838</v>
      </c>
      <c r="O85" s="1">
        <f t="shared" si="97"/>
        <v>30218</v>
      </c>
      <c r="P85" s="1">
        <f t="shared" si="97"/>
        <v>25644</v>
      </c>
      <c r="Q85" s="1">
        <f t="shared" si="97"/>
        <v>24287</v>
      </c>
      <c r="R85" s="1">
        <f t="shared" si="97"/>
        <v>19435</v>
      </c>
      <c r="S85" s="1">
        <f>+SUM(S83:S84)</f>
        <v>37503</v>
      </c>
    </row>
    <row r="86" spans="2:19">
      <c r="B86" s="1" t="s">
        <v>39</v>
      </c>
      <c r="K86" s="1">
        <f t="shared" ref="K86:L86" si="98">+K22</f>
        <v>34630</v>
      </c>
      <c r="L86" s="1">
        <f t="shared" si="98"/>
        <v>25010</v>
      </c>
      <c r="M86" s="1">
        <f>+M22</f>
        <v>19442</v>
      </c>
      <c r="N86" s="1">
        <f t="shared" ref="N86:S86" si="99">+N22</f>
        <v>20721</v>
      </c>
      <c r="O86" s="1">
        <f t="shared" si="99"/>
        <v>29998</v>
      </c>
      <c r="P86" s="1">
        <f t="shared" si="99"/>
        <v>24160</v>
      </c>
      <c r="Q86" s="1">
        <f t="shared" si="99"/>
        <v>20411</v>
      </c>
      <c r="R86" s="1">
        <f t="shared" si="99"/>
        <v>22956</v>
      </c>
      <c r="S86" s="1">
        <f t="shared" si="99"/>
        <v>33916</v>
      </c>
    </row>
    <row r="88" spans="2:19">
      <c r="B88" s="1" t="s">
        <v>92</v>
      </c>
      <c r="N88" s="1">
        <f t="shared" ref="N88:R88" si="100">+SUM(K85:N85)</f>
        <v>111443</v>
      </c>
      <c r="O88" s="1">
        <f t="shared" si="100"/>
        <v>97498</v>
      </c>
      <c r="P88" s="1">
        <f t="shared" si="100"/>
        <v>97490</v>
      </c>
      <c r="Q88" s="1">
        <f t="shared" si="100"/>
        <v>100987</v>
      </c>
      <c r="R88" s="1">
        <f t="shared" si="100"/>
        <v>99584</v>
      </c>
      <c r="S88" s="1">
        <f>+SUM(P85:S85)</f>
        <v>106869</v>
      </c>
    </row>
    <row r="89" spans="2:19">
      <c r="B89" s="1" t="s">
        <v>93</v>
      </c>
      <c r="N89" s="1">
        <f t="shared" ref="N89:R89" si="101">+SUM(K86:N86)</f>
        <v>99803</v>
      </c>
      <c r="O89" s="1">
        <f t="shared" si="101"/>
        <v>95171</v>
      </c>
      <c r="P89" s="1">
        <f t="shared" si="101"/>
        <v>94321</v>
      </c>
      <c r="Q89" s="1">
        <f t="shared" si="101"/>
        <v>95290</v>
      </c>
      <c r="R89" s="1">
        <f t="shared" si="101"/>
        <v>97525</v>
      </c>
      <c r="S89" s="1">
        <f>+SUM(P86:S86)</f>
        <v>101443</v>
      </c>
    </row>
    <row r="90" spans="2:19">
      <c r="N90" s="1">
        <f t="shared" ref="N90:R90" si="102">+N88-N89</f>
        <v>11640</v>
      </c>
      <c r="O90" s="1">
        <f t="shared" si="102"/>
        <v>2327</v>
      </c>
      <c r="P90" s="1">
        <f t="shared" si="102"/>
        <v>3169</v>
      </c>
      <c r="Q90" s="1">
        <f t="shared" si="102"/>
        <v>5697</v>
      </c>
      <c r="R90" s="1">
        <f t="shared" si="102"/>
        <v>2059</v>
      </c>
      <c r="S90" s="1">
        <f>+S88-S89</f>
        <v>5426</v>
      </c>
    </row>
    <row r="92" spans="2:19">
      <c r="S92" s="4"/>
    </row>
  </sheetData>
  <conditionalFormatting sqref="C27:AR36">
    <cfRule type="cellIs" dxfId="1" priority="1" operator="lessThan">
      <formula>0</formula>
    </cfRule>
    <cfRule type="cellIs" dxfId="0" priority="2" operator="greaterThan">
      <formula>0</formula>
    </cfRule>
  </conditionalFormatting>
  <pageMargins left="0.7" right="0.7" top="0.75" bottom="0.75" header="0.3" footer="0.3"/>
  <ignoredErrors>
    <ignoredError sqref="AE15:AG22 AE13:AG13 AE14:AG14 N72:S72 N78:S78" formulaRange="1"/>
    <ignoredError sqref="AE23:AG23" formula="1" formulaRange="1"/>
    <ignoredError sqref="AH15:AQ15 AH17:AQ24 AH16" formula="1"/>
  </ignoredErrors>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F387F-76CE-8744-B6C0-ABD52B5515DD}">
  <dimension ref="B2:S31"/>
  <sheetViews>
    <sheetView tabSelected="1" zoomScale="150" zoomScaleNormal="150" workbookViewId="0">
      <selection activeCell="I4" sqref="I4"/>
    </sheetView>
  </sheetViews>
  <sheetFormatPr baseColWidth="10" defaultRowHeight="13"/>
  <cols>
    <col min="1" max="1" width="1.5" style="1" customWidth="1"/>
    <col min="2" max="2" width="14.33203125" style="1" bestFit="1" customWidth="1"/>
    <col min="3" max="3" width="6.1640625" style="1" bestFit="1" customWidth="1"/>
    <col min="4" max="4" width="5.6640625" style="1" bestFit="1" customWidth="1"/>
    <col min="5" max="5" width="5.5" style="1" bestFit="1" customWidth="1"/>
    <col min="6" max="7" width="5.5" style="1" customWidth="1"/>
    <col min="8" max="8" width="6.6640625" style="1" bestFit="1" customWidth="1"/>
    <col min="9" max="9" width="9.1640625" style="1" bestFit="1" customWidth="1"/>
    <col min="10" max="10" width="5.5" style="1" bestFit="1" customWidth="1"/>
    <col min="11" max="16384" width="10.83203125" style="1"/>
  </cols>
  <sheetData>
    <row r="2" spans="2:19">
      <c r="H2" s="1" t="s">
        <v>51</v>
      </c>
    </row>
    <row r="3" spans="2:19">
      <c r="B3" s="1" t="s">
        <v>23</v>
      </c>
      <c r="C3" s="3">
        <v>27851</v>
      </c>
      <c r="H3" s="1" t="s">
        <v>16</v>
      </c>
      <c r="I3" s="1">
        <v>182.63</v>
      </c>
    </row>
    <row r="4" spans="2:19">
      <c r="B4" s="1" t="s">
        <v>25</v>
      </c>
      <c r="C4" s="1">
        <f ca="1">(TODAY()-C3)/365</f>
        <v>47.939726027397263</v>
      </c>
      <c r="H4" s="1" t="s">
        <v>17</v>
      </c>
      <c r="I4" s="1">
        <v>15441.880999999999</v>
      </c>
      <c r="J4" s="1" t="s">
        <v>22</v>
      </c>
    </row>
    <row r="5" spans="2:19">
      <c r="H5" s="1" t="s">
        <v>18</v>
      </c>
      <c r="I5" s="1">
        <f>+I3*I4</f>
        <v>2820150.7270299997</v>
      </c>
    </row>
    <row r="6" spans="2:19">
      <c r="B6" s="22" t="s">
        <v>24</v>
      </c>
      <c r="H6" s="1" t="s">
        <v>19</v>
      </c>
      <c r="I6" s="1">
        <f>40760+32340+99475</f>
        <v>172575</v>
      </c>
      <c r="J6" s="1" t="s">
        <v>22</v>
      </c>
    </row>
    <row r="7" spans="2:19">
      <c r="B7" s="1" t="s">
        <v>26</v>
      </c>
      <c r="H7" s="1" t="s">
        <v>20</v>
      </c>
      <c r="I7" s="1">
        <f>1998+95088</f>
        <v>97086</v>
      </c>
      <c r="J7" s="1" t="s">
        <v>22</v>
      </c>
    </row>
    <row r="8" spans="2:19">
      <c r="B8" s="1" t="s">
        <v>27</v>
      </c>
      <c r="H8" s="1" t="s">
        <v>21</v>
      </c>
      <c r="I8" s="1">
        <f>+I5-I6+I7</f>
        <v>2744661.7270299997</v>
      </c>
    </row>
    <row r="9" spans="2:19">
      <c r="B9" s="1" t="s">
        <v>28</v>
      </c>
    </row>
    <row r="11" spans="2:19">
      <c r="S11" s="29"/>
    </row>
    <row r="13" spans="2:19">
      <c r="B13" s="15"/>
      <c r="C13" s="16">
        <v>2018</v>
      </c>
      <c r="D13" s="16">
        <v>2019</v>
      </c>
      <c r="E13" s="16">
        <v>2020</v>
      </c>
      <c r="F13" s="16">
        <v>2021</v>
      </c>
      <c r="G13" s="17">
        <v>2022</v>
      </c>
      <c r="H13" s="17">
        <v>2023</v>
      </c>
      <c r="I13" s="18" t="s">
        <v>22</v>
      </c>
    </row>
    <row r="14" spans="2:19">
      <c r="B14" s="13" t="s">
        <v>43</v>
      </c>
      <c r="C14" s="4">
        <f>+Model!AB7/Model!AB$12</f>
        <v>0.62082494022854351</v>
      </c>
      <c r="D14" s="4">
        <f>+Model!AC7/Model!AC$12</f>
        <v>0.54725299222827795</v>
      </c>
      <c r="E14" s="4">
        <f>+Model!AD7/Model!AD$12</f>
        <v>0.50190699961750729</v>
      </c>
      <c r="F14" s="4">
        <f>+Model!AE7/Model!AE$12</f>
        <v>0.52477878283404</v>
      </c>
      <c r="G14" s="4">
        <f>+Model!AF7/Model!AF$12</f>
        <v>0.52111186626361805</v>
      </c>
      <c r="H14" s="4">
        <f>+Model!AG7/Model!AG$12</f>
        <v>0.52332598458066448</v>
      </c>
      <c r="I14" s="19">
        <f>+Model!S7/Model!S$12</f>
        <v>0.58291448881455155</v>
      </c>
      <c r="S14" s="29"/>
    </row>
    <row r="15" spans="2:19">
      <c r="B15" s="13" t="s">
        <v>50</v>
      </c>
      <c r="C15" s="4">
        <f>+Model!AB8/Model!AB$12</f>
        <v>9.487377397917883E-2</v>
      </c>
      <c r="D15" s="4">
        <f>+Model!AC8/Model!AC$12</f>
        <v>9.8933790463305332E-2</v>
      </c>
      <c r="E15" s="4">
        <f>+Model!AD8/Model!AD$12</f>
        <v>0.10426388357648944</v>
      </c>
      <c r="F15" s="4">
        <f>+Model!AE8/Model!AE$12</f>
        <v>9.6195638803008063E-2</v>
      </c>
      <c r="G15" s="4">
        <f>+Model!AF8/Model!AF$12</f>
        <v>0.10188726136617232</v>
      </c>
      <c r="H15" s="4">
        <f>+Model!AG8/Model!AG$12</f>
        <v>7.659313565623492E-2</v>
      </c>
      <c r="I15" s="19">
        <f>+Model!S8/Model!S$12</f>
        <v>6.5063767509931009E-2</v>
      </c>
    </row>
    <row r="16" spans="2:19">
      <c r="B16" s="13" t="s">
        <v>45</v>
      </c>
      <c r="C16" s="4">
        <f>+Model!AB9/Model!AB$12</f>
        <v>6.9203109998305687E-2</v>
      </c>
      <c r="D16" s="4">
        <f>+Model!AC9/Model!AC$12</f>
        <v>8.1791416513564003E-2</v>
      </c>
      <c r="E16" s="4">
        <f>+Model!AD9/Model!AD$12</f>
        <v>8.6421507021474234E-2</v>
      </c>
      <c r="F16" s="4">
        <f>+Model!AE9/Model!AE$12</f>
        <v>8.7098193905696022E-2</v>
      </c>
      <c r="G16" s="4">
        <f>+Model!AF9/Model!AF$12</f>
        <v>7.4283337728997187E-2</v>
      </c>
      <c r="H16" s="4">
        <f>+Model!AG9/Model!AG$12</f>
        <v>7.3835396636967268E-2</v>
      </c>
      <c r="I16" s="19">
        <f>+Model!S9/Model!S$12</f>
        <v>5.8733012753501984E-2</v>
      </c>
    </row>
    <row r="17" spans="2:9">
      <c r="B17" s="13" t="s">
        <v>46</v>
      </c>
      <c r="C17" s="4">
        <f>+Model!AB10/Model!AB$12</f>
        <v>6.5441744008735106E-2</v>
      </c>
      <c r="D17" s="4">
        <f>+Model!AC10/Model!AC$12</f>
        <v>9.4098564806629412E-2</v>
      </c>
      <c r="E17" s="4">
        <f>+Model!AD10/Model!AD$12</f>
        <v>0.11154217438027066</v>
      </c>
      <c r="F17" s="4">
        <f>+Model!AE10/Model!AE$12</f>
        <v>0.10488030900696249</v>
      </c>
      <c r="G17" s="4">
        <f>+Model!AF10/Model!AF$12</f>
        <v>0.10458552271205697</v>
      </c>
      <c r="H17" s="4">
        <f>+Model!AG10/Model!AG$12</f>
        <v>0.1039565858303873</v>
      </c>
      <c r="I17" s="19">
        <f>+Model!S10/Model!S$12</f>
        <v>9.9962366715450557E-2</v>
      </c>
    </row>
    <row r="18" spans="2:9">
      <c r="B18" s="14" t="s">
        <v>30</v>
      </c>
      <c r="C18" s="20">
        <f>+Model!AB11/Model!AB$12</f>
        <v>0.14965643178523691</v>
      </c>
      <c r="D18" s="20">
        <f>+Model!AC11/Model!AC$12</f>
        <v>0.17792323598822327</v>
      </c>
      <c r="E18" s="20">
        <f>+Model!AD11/Model!AD$12</f>
        <v>0.19586543540425841</v>
      </c>
      <c r="F18" s="20">
        <f>+Model!AE11/Model!AE$12</f>
        <v>0.18704707545029345</v>
      </c>
      <c r="G18" s="20">
        <f>+Model!AF11/Model!AF$12</f>
        <v>0.19813201192915542</v>
      </c>
      <c r="H18" s="20">
        <f>+Model!AG11/Model!AG$12</f>
        <v>0.222288897295746</v>
      </c>
      <c r="I18" s="21">
        <f>+Model!S11/Model!S$12</f>
        <v>0.1933263642065649</v>
      </c>
    </row>
    <row r="31" spans="2:9">
      <c r="F31" s="1" t="s">
        <v>95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CEFFB-D96A-5542-9187-C47A6C9D14EE}">
  <dimension ref="A1"/>
  <sheetViews>
    <sheetView showGridLines="0" zoomScale="140" zoomScaleNormal="140" workbookViewId="0">
      <selection activeCell="N31" sqref="N31"/>
    </sheetView>
  </sheetViews>
  <sheetFormatPr baseColWidth="10" defaultRowHeight="13"/>
  <cols>
    <col min="1" max="16384" width="10.83203125" style="1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Model</vt:lpstr>
      <vt:lpstr>Main</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dc:creator>
  <cp:lastModifiedBy>jameel</cp:lastModifiedBy>
  <dcterms:created xsi:type="dcterms:W3CDTF">2024-02-06T22:14:10Z</dcterms:created>
  <dcterms:modified xsi:type="dcterms:W3CDTF">2024-02-28T04:06:55Z</dcterms:modified>
</cp:coreProperties>
</file>