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DC23D23-F986-834E-BDE1-43EEFE479DD1}" xr6:coauthVersionLast="47" xr6:coauthVersionMax="47" xr10:uidLastSave="{00000000-0000-0000-0000-000000000000}"/>
  <bookViews>
    <workbookView xWindow="18040" yWindow="10060" windowWidth="27640" windowHeight="16940" activeTab="1" xr2:uid="{89AA4079-F95D-0F4F-9354-6DAA13F2B4E8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" i="2" l="1"/>
  <c r="AL10" i="2"/>
  <c r="AK10" i="2"/>
  <c r="AJ10" i="2"/>
  <c r="AK23" i="2" s="1"/>
  <c r="AI10" i="2"/>
  <c r="AI23" i="2" s="1"/>
  <c r="AH10" i="2"/>
  <c r="AG10" i="2"/>
  <c r="AF10" i="2"/>
  <c r="AE10" i="2"/>
  <c r="AF8" i="2"/>
  <c r="AG8" i="2" s="1"/>
  <c r="AH8" i="2" s="1"/>
  <c r="AI8" i="2" s="1"/>
  <c r="AJ8" i="2" s="1"/>
  <c r="AK8" i="2" s="1"/>
  <c r="AL8" i="2" s="1"/>
  <c r="AM8" i="2" s="1"/>
  <c r="AE8" i="2"/>
  <c r="AD8" i="2"/>
  <c r="AB8" i="2"/>
  <c r="AC8" i="2"/>
  <c r="AE5" i="2"/>
  <c r="AF5" i="2" s="1"/>
  <c r="AG5" i="2" s="1"/>
  <c r="AH5" i="2" s="1"/>
  <c r="AI5" i="2" s="1"/>
  <c r="AJ5" i="2" s="1"/>
  <c r="AK5" i="2" s="1"/>
  <c r="AL5" i="2" s="1"/>
  <c r="AM5" i="2" s="1"/>
  <c r="AD5" i="2"/>
  <c r="AF15" i="2"/>
  <c r="AG15" i="2" s="1"/>
  <c r="AH15" i="2" s="1"/>
  <c r="AI15" i="2" s="1"/>
  <c r="AJ15" i="2" s="1"/>
  <c r="AK15" i="2" s="1"/>
  <c r="AL15" i="2" s="1"/>
  <c r="AM15" i="2" s="1"/>
  <c r="AE15" i="2"/>
  <c r="AP28" i="2"/>
  <c r="AP26" i="2"/>
  <c r="AP24" i="2"/>
  <c r="AE19" i="2"/>
  <c r="AE23" i="2"/>
  <c r="AD27" i="2"/>
  <c r="AD26" i="2"/>
  <c r="AD25" i="2"/>
  <c r="AD24" i="2"/>
  <c r="AD20" i="2"/>
  <c r="AD19" i="2"/>
  <c r="AD18" i="2"/>
  <c r="AD17" i="2"/>
  <c r="AD16" i="2"/>
  <c r="AE13" i="2"/>
  <c r="AE12" i="2"/>
  <c r="AE14" i="2" s="1"/>
  <c r="AE27" i="2" s="1"/>
  <c r="AD14" i="2"/>
  <c r="AD13" i="2"/>
  <c r="AM4" i="2"/>
  <c r="AL4" i="2"/>
  <c r="AM23" i="2"/>
  <c r="AE11" i="2"/>
  <c r="AE24" i="2" s="1"/>
  <c r="AD23" i="2"/>
  <c r="AD11" i="2"/>
  <c r="AD12" i="2"/>
  <c r="AD10" i="2"/>
  <c r="N27" i="2"/>
  <c r="N26" i="2"/>
  <c r="N25" i="2"/>
  <c r="N24" i="2"/>
  <c r="N23" i="2"/>
  <c r="N19" i="2"/>
  <c r="N20" i="2"/>
  <c r="N18" i="2"/>
  <c r="N17" i="2"/>
  <c r="N16" i="2"/>
  <c r="N15" i="2"/>
  <c r="N14" i="2"/>
  <c r="N13" i="2"/>
  <c r="N12" i="2"/>
  <c r="N11" i="2"/>
  <c r="N10" i="2"/>
  <c r="G27" i="2"/>
  <c r="H27" i="2"/>
  <c r="I27" i="2"/>
  <c r="J27" i="2"/>
  <c r="K27" i="2"/>
  <c r="L27" i="2"/>
  <c r="M27" i="2"/>
  <c r="AA27" i="2"/>
  <c r="AB27" i="2"/>
  <c r="AC27" i="2"/>
  <c r="J17" i="2"/>
  <c r="J15" i="2"/>
  <c r="J13" i="2"/>
  <c r="J12" i="2"/>
  <c r="J11" i="2"/>
  <c r="J10" i="2"/>
  <c r="M23" i="2"/>
  <c r="L23" i="2"/>
  <c r="K23" i="2"/>
  <c r="K26" i="2"/>
  <c r="K25" i="2"/>
  <c r="K24" i="2"/>
  <c r="G14" i="2"/>
  <c r="G16" i="2"/>
  <c r="G18" i="2" s="1"/>
  <c r="G20" i="2" s="1"/>
  <c r="K14" i="2"/>
  <c r="K16" i="2" s="1"/>
  <c r="K18" i="2" s="1"/>
  <c r="K20" i="2" s="1"/>
  <c r="L26" i="2"/>
  <c r="L25" i="2"/>
  <c r="L24" i="2"/>
  <c r="H14" i="2"/>
  <c r="H16" i="2" s="1"/>
  <c r="H18" i="2" s="1"/>
  <c r="H20" i="2" s="1"/>
  <c r="L14" i="2"/>
  <c r="L16" i="2" s="1"/>
  <c r="L18" i="2" s="1"/>
  <c r="L20" i="2" s="1"/>
  <c r="M26" i="2"/>
  <c r="M25" i="2"/>
  <c r="M24" i="2"/>
  <c r="I14" i="2"/>
  <c r="I16" i="2" s="1"/>
  <c r="I18" i="2" s="1"/>
  <c r="I20" i="2" s="1"/>
  <c r="M14" i="2"/>
  <c r="M16" i="2" s="1"/>
  <c r="M18" i="2" s="1"/>
  <c r="M20" i="2" s="1"/>
  <c r="AB26" i="2"/>
  <c r="AB25" i="2"/>
  <c r="AB24" i="2"/>
  <c r="AB23" i="2"/>
  <c r="AC23" i="2"/>
  <c r="AC26" i="2"/>
  <c r="AC25" i="2"/>
  <c r="AC24" i="2"/>
  <c r="AA14" i="2"/>
  <c r="AA16" i="2" s="1"/>
  <c r="AB14" i="2"/>
  <c r="AB16" i="2" s="1"/>
  <c r="AC14" i="2"/>
  <c r="AC16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K8" i="1"/>
  <c r="K6" i="1"/>
  <c r="K5" i="1"/>
  <c r="AF13" i="2" l="1"/>
  <c r="AJ23" i="2"/>
  <c r="AE16" i="2"/>
  <c r="AE17" i="2" s="1"/>
  <c r="AE18" i="2" s="1"/>
  <c r="AE20" i="2" s="1"/>
  <c r="AF23" i="2"/>
  <c r="AG23" i="2"/>
  <c r="AE25" i="2"/>
  <c r="AL23" i="2"/>
  <c r="AH23" i="2"/>
  <c r="AE26" i="2"/>
  <c r="AF19" i="2"/>
  <c r="AF12" i="2"/>
  <c r="AF25" i="2" s="1"/>
  <c r="AF11" i="2"/>
  <c r="J16" i="2"/>
  <c r="J14" i="2"/>
  <c r="AC18" i="2"/>
  <c r="AC20" i="2" s="1"/>
  <c r="AB18" i="2"/>
  <c r="AA18" i="2"/>
  <c r="AA20" i="2" s="1"/>
  <c r="AG13" i="2" l="1"/>
  <c r="AF26" i="2"/>
  <c r="AG11" i="2"/>
  <c r="AF24" i="2"/>
  <c r="AG19" i="2"/>
  <c r="AG12" i="2"/>
  <c r="AG25" i="2" s="1"/>
  <c r="AF14" i="2"/>
  <c r="AB20" i="2"/>
  <c r="J20" i="2" s="1"/>
  <c r="J18" i="2"/>
  <c r="J19" i="2" s="1"/>
  <c r="AH13" i="2" l="1"/>
  <c r="AG26" i="2"/>
  <c r="AF27" i="2"/>
  <c r="AF16" i="2"/>
  <c r="AH11" i="2"/>
  <c r="AG24" i="2"/>
  <c r="AH19" i="2"/>
  <c r="AG14" i="2"/>
  <c r="AH12" i="2"/>
  <c r="AH25" i="2" s="1"/>
  <c r="AI13" i="2" l="1"/>
  <c r="AH26" i="2"/>
  <c r="AI11" i="2"/>
  <c r="AH24" i="2"/>
  <c r="AG27" i="2"/>
  <c r="AG16" i="2"/>
  <c r="AF17" i="2"/>
  <c r="AF18" i="2" s="1"/>
  <c r="AF20" i="2" s="1"/>
  <c r="AI19" i="2"/>
  <c r="AH14" i="2"/>
  <c r="AI12" i="2"/>
  <c r="AI25" i="2" s="1"/>
  <c r="AJ13" i="2" l="1"/>
  <c r="AI26" i="2"/>
  <c r="AH27" i="2"/>
  <c r="AH16" i="2"/>
  <c r="AG17" i="2"/>
  <c r="AG18" i="2"/>
  <c r="AG20" i="2" s="1"/>
  <c r="AJ11" i="2"/>
  <c r="AI24" i="2"/>
  <c r="AJ19" i="2"/>
  <c r="AI14" i="2"/>
  <c r="AJ12" i="2"/>
  <c r="AJ25" i="2" s="1"/>
  <c r="AK13" i="2" l="1"/>
  <c r="AJ26" i="2"/>
  <c r="AK11" i="2"/>
  <c r="AJ24" i="2"/>
  <c r="AI27" i="2"/>
  <c r="AI16" i="2"/>
  <c r="AH17" i="2"/>
  <c r="AH18" i="2"/>
  <c r="AH20" i="2" s="1"/>
  <c r="AK19" i="2"/>
  <c r="AK12" i="2"/>
  <c r="AK25" i="2" s="1"/>
  <c r="AJ14" i="2"/>
  <c r="AL13" i="2" l="1"/>
  <c r="AK26" i="2"/>
  <c r="AI17" i="2"/>
  <c r="AI18" i="2"/>
  <c r="AI20" i="2" s="1"/>
  <c r="AJ27" i="2"/>
  <c r="AJ16" i="2"/>
  <c r="AL11" i="2"/>
  <c r="AK24" i="2"/>
  <c r="AL19" i="2"/>
  <c r="AL12" i="2"/>
  <c r="AL25" i="2" s="1"/>
  <c r="AK14" i="2"/>
  <c r="AM13" i="2" l="1"/>
  <c r="AM26" i="2" s="1"/>
  <c r="AL26" i="2"/>
  <c r="AM11" i="2"/>
  <c r="AM24" i="2" s="1"/>
  <c r="AL24" i="2"/>
  <c r="AJ17" i="2"/>
  <c r="AJ18" i="2"/>
  <c r="AJ20" i="2" s="1"/>
  <c r="AK27" i="2"/>
  <c r="AK16" i="2"/>
  <c r="AM19" i="2"/>
  <c r="AL14" i="2"/>
  <c r="AM12" i="2"/>
  <c r="AK17" i="2" l="1"/>
  <c r="AK18" i="2"/>
  <c r="AK20" i="2" s="1"/>
  <c r="AM14" i="2"/>
  <c r="AM25" i="2"/>
  <c r="AL27" i="2"/>
  <c r="AL16" i="2"/>
  <c r="AL17" i="2" l="1"/>
  <c r="AL18" i="2" s="1"/>
  <c r="AL20" i="2" s="1"/>
  <c r="AM27" i="2"/>
  <c r="AM16" i="2"/>
  <c r="AM17" i="2" s="1"/>
  <c r="AM18" i="2" s="1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FQ18" i="2" s="1"/>
  <c r="FR18" i="2" s="1"/>
  <c r="FS18" i="2" s="1"/>
  <c r="FT18" i="2" s="1"/>
  <c r="FU18" i="2" s="1"/>
  <c r="AP23" i="2" s="1"/>
  <c r="AP25" i="2" s="1"/>
  <c r="AP27" i="2" s="1"/>
  <c r="AP29" i="2" s="1"/>
  <c r="AM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tc={A4BB8FC4-A282-1B49-8B8A-0A203573720B}</author>
    <author>tc={8B02DE4F-12A2-364F-BAB3-2CA799FB23D2}</author>
  </authors>
  <commentList>
    <comment ref="AD10" authorId="0" shapeId="0" xr:uid="{A4BB8FC4-A282-1B49-8B8A-0A20357372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  <comment ref="AD15" authorId="1" shapeId="0" xr:uid="{8B02DE4F-12A2-364F-BAB3-2CA799FB23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 </t>
      </text>
    </comment>
  </commentList>
</comments>
</file>

<file path=xl/sharedStrings.xml><?xml version="1.0" encoding="utf-8"?>
<sst xmlns="http://schemas.openxmlformats.org/spreadsheetml/2006/main" count="60" uniqueCount="55">
  <si>
    <t>P</t>
  </si>
  <si>
    <t>S</t>
  </si>
  <si>
    <t>MC</t>
  </si>
  <si>
    <t>C</t>
  </si>
  <si>
    <t>D</t>
  </si>
  <si>
    <t>EV</t>
  </si>
  <si>
    <t>$M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</si>
  <si>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</si>
  <si>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</si>
  <si>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</si>
  <si>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</si>
  <si>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</si>
  <si>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</si>
  <si>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</si>
  <si>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</si>
  <si>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</si>
  <si>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</si>
  <si>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</si>
  <si>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</si>
  <si>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</si>
  <si>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</si>
  <si>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</si>
  <si>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</si>
  <si>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R</t>
  </si>
  <si>
    <t xml:space="preserve">C Labor/chemicals </t>
  </si>
  <si>
    <t>Other Opex</t>
  </si>
  <si>
    <t>G&amp;A</t>
  </si>
  <si>
    <t>Interest E</t>
  </si>
  <si>
    <t>EBT</t>
  </si>
  <si>
    <t>Taxes</t>
  </si>
  <si>
    <t>EBIT</t>
  </si>
  <si>
    <t>Earnings</t>
  </si>
  <si>
    <t>Diluted</t>
  </si>
  <si>
    <t>EPS</t>
  </si>
  <si>
    <t>$K</t>
  </si>
  <si>
    <t>Founded</t>
  </si>
  <si>
    <t>Founder</t>
  </si>
  <si>
    <t>HQ</t>
  </si>
  <si>
    <t>Units</t>
  </si>
  <si>
    <t>Offerings</t>
  </si>
  <si>
    <t xml:space="preserve">Monthly subscription </t>
  </si>
  <si>
    <t xml:space="preserve">Historical strategy </t>
  </si>
  <si>
    <t>"rollup" -- acquiring local/regional car wahs operatorss, upgrading facilities/equipment, trainin.</t>
  </si>
  <si>
    <t>UWC Members</t>
  </si>
  <si>
    <t>RPU</t>
  </si>
  <si>
    <t>Terminal</t>
  </si>
  <si>
    <t>Discount</t>
  </si>
  <si>
    <t>NPV</t>
  </si>
  <si>
    <t>Shares</t>
  </si>
  <si>
    <t xml:space="preserve">Net Cash </t>
  </si>
  <si>
    <t xml:space="preserve">Total Value </t>
  </si>
  <si>
    <t>Estimate</t>
  </si>
  <si>
    <t>Current</t>
  </si>
  <si>
    <t xml:space="preserve">Upside </t>
  </si>
  <si>
    <t xml:space="preserve">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</si>
</sst>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</numFmts>
  <fonts count="6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i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41" fontId="0" fillId="0" borderId="0" xfId="1" applyNumberFormat="1" applyFont="1" applyAlignment="1">
      <alignment horizontal="center"/>
    </xf>
    <xf numFmtId="41" fontId="0" fillId="0" borderId="0" xfId="1" applyNumberFormat="1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5" fillId="0" borderId="0" xfId="0" applyNumberFormat="1" applyFont="1"/>
    <xf numFmtId="8" fontId="0" fillId="0" borderId="0" xfId="0" applyNumberFormat="1"/>
    <xf numFmtId="9" fontId="3" fillId="0" borderId="0" xfId="0" applyNumberFormat="1" applyFont="1"/>
    <xf numFmtId="8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576385</xdr:colOff>
      <xdr:row>2</xdr:row>
      <xdr:rowOff>44097</xdr:rowOff>
    </xdr:from>
    <xdr:to>
      <xdr:col>14</xdr:col>
      <xdr:colOff>0</xdr:colOff>
      <xdr:row>58</xdr:row>
      <xdr:rowOff>146538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4F3348-6080-5E3E-91C9-4ACBDE9D4A5F}"/>
            </a:ext>
          </a:extLst>
        </xdr:cNvPr>
        <xdr:cNvCxnSpPr/>
      </xdr:nvCxnSpPr>
      <xdr:spPr>
        <a:xfrm flipH="1">
          <a:off x="7825154" y="376251"/>
          <a:ext cx="9769" cy="940274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17639</xdr:colOff>
      <xdr:row>2</xdr:row>
      <xdr:rowOff>17640</xdr:rowOff>
    </xdr:from>
    <xdr:to>
      <xdr:col>29</xdr:col>
      <xdr:colOff>29308</xdr:colOff>
      <xdr:row>58</xdr:row>
      <xdr:rowOff>19538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8DBEE6-D6D5-0D43-B0F0-F73BA6E456F5}"/>
            </a:ext>
          </a:extLst>
        </xdr:cNvPr>
        <xdr:cNvCxnSpPr/>
      </xdr:nvCxnSpPr>
      <xdr:spPr>
        <a:xfrm>
          <a:off x="14280716" y="349794"/>
          <a:ext cx="11669" cy="93022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48D5A058-96F0-8F43-A3D5-6E6DAA477CBF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0" dT="2024-03-05T03:01:50.54" personId="{48D5A058-96F0-8F43-A3D5-6E6DAA477CBF}" id="{A4BB8FC4-A282-1B49-8B8A-0A203573720B}">
    <text xml:space="preserve">Guidance
</text>
  </threadedComment>
  <threadedComment ref="AD15" dT="2024-03-05T03:02:04.65" personId="{48D5A058-96F0-8F43-A3D5-6E6DAA477CBF}" id="{8B02DE4F-12A2-364F-BAB3-2CA799FB23D2}">
    <text xml:space="preserve">Guidance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10EF-9732-3B41-9218-043E9EC01E45}">
  <dimension ref="B2:K11"/>
  <sheetViews>
    <sheetView zoomScale="164" workbookViewId="0">
      <selection activeCell="K1" sqref="K1:K1048576"/>
    </sheetView>
  </sheetViews>
  <sheetFormatPr baseColWidth="10" defaultRowHeight="13"/>
  <cols>
    <col min="1" max="1" width="4.33203125" style="1" customWidth="1"/>
    <col min="2" max="9" width="10.83203125" style="1"/>
    <col min="10" max="10" width="3.6640625" style="1" bestFit="1" customWidth="1"/>
    <col min="11" max="11" width="6.6640625" style="3" bestFit="1" customWidth="1"/>
    <col min="12" max="16384" width="10.83203125" style="1"/>
  </cols>
  <sheetData>
    <row r="2" spans="2:11">
      <c r="B2" s="1" t="s">
        <v>35</v>
      </c>
      <c r="C2" s="8">
        <v>1996</v>
      </c>
      <c r="J2" s="1" t="s">
        <v>6</v>
      </c>
    </row>
    <row r="3" spans="2:11">
      <c r="B3" s="1" t="s">
        <v>36</v>
      </c>
      <c r="J3" s="1" t="s">
        <v>0</v>
      </c>
      <c r="K3" s="3">
        <v>7.65</v>
      </c>
    </row>
    <row r="4" spans="2:11">
      <c r="B4" s="1" t="s">
        <v>37</v>
      </c>
      <c r="J4" s="1" t="s">
        <v>1</v>
      </c>
      <c r="K4" s="4">
        <v>315.47225300000002</v>
      </c>
    </row>
    <row r="5" spans="2:11">
      <c r="J5" s="1" t="s">
        <v>2</v>
      </c>
      <c r="K5" s="5">
        <f>+K3*K4</f>
        <v>2413.3627354500004</v>
      </c>
    </row>
    <row r="6" spans="2:11">
      <c r="J6" s="1" t="s">
        <v>3</v>
      </c>
      <c r="K6" s="5">
        <f>+(19.047)+(72/1000000)</f>
        <v>19.047072</v>
      </c>
    </row>
    <row r="7" spans="2:11">
      <c r="J7" s="1" t="s">
        <v>4</v>
      </c>
      <c r="K7" s="5">
        <v>897.42399999999998</v>
      </c>
    </row>
    <row r="8" spans="2:11">
      <c r="J8" s="1" t="s">
        <v>5</v>
      </c>
      <c r="K8" s="5">
        <f>+K5-K6+K7</f>
        <v>3291.7396634500005</v>
      </c>
    </row>
    <row r="10" spans="2:11">
      <c r="B10" s="6" t="s">
        <v>39</v>
      </c>
      <c r="C10" s="1" t="s">
        <v>41</v>
      </c>
    </row>
    <row r="11" spans="2:11">
      <c r="B11" s="1" t="s">
        <v>40</v>
      </c>
      <c r="C11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599-E1C8-B448-863D-D4B4466A9F57}">
  <dimension ref="A3:FU32"/>
  <sheetViews>
    <sheetView tabSelected="1" topLeftCell="A3" zoomScale="130" zoomScaleNormal="130" workbookViewId="0">
      <pane xSplit="2" ySplit="2" topLeftCell="C5" activePane="bottomRight" state="frozen"/>
      <selection activeCell="A3" sqref="A3"/>
      <selection pane="topRight" activeCell="C3" sqref="C3"/>
      <selection pane="bottomLeft" activeCell="A4" sqref="A4"/>
      <selection pane="bottomRight" activeCell="T19" sqref="T19"/>
    </sheetView>
  </sheetViews>
  <sheetFormatPr baseColWidth="10" defaultRowHeight="13"/>
  <cols>
    <col min="1" max="1" width="3.33203125" style="1" bestFit="1" customWidth="1"/>
    <col min="2" max="2" width="15.83203125" style="1" bestFit="1" customWidth="1"/>
    <col min="3" max="6" width="5.5" style="1" bestFit="1" customWidth="1"/>
    <col min="7" max="14" width="7.6640625" style="1" bestFit="1" customWidth="1"/>
    <col min="15" max="18" width="5.5" style="1" bestFit="1" customWidth="1"/>
    <col min="19" max="20" width="4.1640625" style="1" customWidth="1"/>
    <col min="21" max="26" width="5.1640625" style="1" bestFit="1" customWidth="1"/>
    <col min="27" max="29" width="7.6640625" style="1" bestFit="1" customWidth="1"/>
    <col min="30" max="39" width="9.1640625" style="1" bestFit="1" customWidth="1"/>
    <col min="40" max="40" width="7.6640625" style="1" bestFit="1" customWidth="1"/>
    <col min="41" max="41" width="10.83203125" style="1"/>
    <col min="42" max="42" width="13.1640625" style="1" bestFit="1" customWidth="1"/>
    <col min="43" max="177" width="7.6640625" style="1" bestFit="1" customWidth="1"/>
    <col min="178" max="16384" width="10.83203125" style="1"/>
  </cols>
  <sheetData>
    <row r="3" spans="1:39">
      <c r="A3" s="1" t="s">
        <v>34</v>
      </c>
    </row>
    <row r="4" spans="1:39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U4" s="8">
        <v>2015</v>
      </c>
      <c r="V4" s="8">
        <f>+U4+1</f>
        <v>2016</v>
      </c>
      <c r="W4" s="8">
        <f t="shared" ref="W4:AM4" si="0">+V4+1</f>
        <v>2017</v>
      </c>
      <c r="X4" s="8">
        <f t="shared" si="0"/>
        <v>2018</v>
      </c>
      <c r="Y4" s="8">
        <f t="shared" si="0"/>
        <v>2019</v>
      </c>
      <c r="Z4" s="8">
        <f t="shared" si="0"/>
        <v>2020</v>
      </c>
      <c r="AA4" s="8">
        <f t="shared" si="0"/>
        <v>2021</v>
      </c>
      <c r="AB4" s="8">
        <f t="shared" si="0"/>
        <v>2022</v>
      </c>
      <c r="AC4" s="8">
        <f t="shared" si="0"/>
        <v>2023</v>
      </c>
      <c r="AD4" s="8">
        <f t="shared" si="0"/>
        <v>2024</v>
      </c>
      <c r="AE4" s="8">
        <f t="shared" si="0"/>
        <v>2025</v>
      </c>
      <c r="AF4" s="8">
        <f t="shared" si="0"/>
        <v>2026</v>
      </c>
      <c r="AG4" s="8">
        <f t="shared" si="0"/>
        <v>2027</v>
      </c>
      <c r="AH4" s="8">
        <f t="shared" si="0"/>
        <v>2028</v>
      </c>
      <c r="AI4" s="8">
        <f t="shared" si="0"/>
        <v>2029</v>
      </c>
      <c r="AJ4" s="8">
        <f t="shared" si="0"/>
        <v>2030</v>
      </c>
      <c r="AK4" s="8">
        <f t="shared" si="0"/>
        <v>2031</v>
      </c>
      <c r="AL4" s="8">
        <f t="shared" si="0"/>
        <v>2032</v>
      </c>
      <c r="AM4" s="8">
        <f t="shared" si="0"/>
        <v>2033</v>
      </c>
    </row>
    <row r="5" spans="1:39">
      <c r="B5" s="1" t="s">
        <v>38</v>
      </c>
      <c r="U5" s="8"/>
      <c r="V5" s="8"/>
      <c r="W5" s="8"/>
      <c r="X5" s="8"/>
      <c r="Y5" s="8"/>
      <c r="Z5" s="8"/>
      <c r="AA5" s="8"/>
      <c r="AB5" s="8">
        <v>436</v>
      </c>
      <c r="AC5" s="8">
        <v>476</v>
      </c>
      <c r="AD5" s="8">
        <f>+AC5+40</f>
        <v>516</v>
      </c>
      <c r="AE5" s="8">
        <f t="shared" ref="AE5:AM5" si="1">+AD5+40</f>
        <v>556</v>
      </c>
      <c r="AF5" s="8">
        <f t="shared" si="1"/>
        <v>596</v>
      </c>
      <c r="AG5" s="8">
        <f t="shared" si="1"/>
        <v>636</v>
      </c>
      <c r="AH5" s="8">
        <f t="shared" si="1"/>
        <v>676</v>
      </c>
      <c r="AI5" s="8">
        <f t="shared" si="1"/>
        <v>716</v>
      </c>
      <c r="AJ5" s="8">
        <f t="shared" si="1"/>
        <v>756</v>
      </c>
      <c r="AK5" s="8">
        <f t="shared" si="1"/>
        <v>796</v>
      </c>
      <c r="AL5" s="8">
        <f t="shared" si="1"/>
        <v>836</v>
      </c>
      <c r="AM5" s="8">
        <f t="shared" si="1"/>
        <v>876</v>
      </c>
    </row>
    <row r="6" spans="1:39">
      <c r="B6" s="1" t="s">
        <v>43</v>
      </c>
      <c r="AB6" s="1">
        <v>1884</v>
      </c>
      <c r="AC6" s="1">
        <v>2077</v>
      </c>
    </row>
    <row r="7" spans="1:39"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9">
      <c r="B8" s="1" t="s">
        <v>44</v>
      </c>
      <c r="AB8" s="1">
        <f>+AB10/AB5</f>
        <v>2010.334862385321</v>
      </c>
      <c r="AC8" s="1">
        <f>+AC10/AC5</f>
        <v>1947.626050420168</v>
      </c>
      <c r="AD8" s="1">
        <f>+AC8*1.01</f>
        <v>1967.1023109243697</v>
      </c>
      <c r="AE8" s="1">
        <f t="shared" ref="AE8:AM8" si="2">+AD8*1.01</f>
        <v>1986.7733340336133</v>
      </c>
      <c r="AF8" s="1">
        <f t="shared" si="2"/>
        <v>2006.6410673739495</v>
      </c>
      <c r="AG8" s="1">
        <f t="shared" si="2"/>
        <v>2026.7074780476889</v>
      </c>
      <c r="AH8" s="1">
        <f t="shared" si="2"/>
        <v>2046.9745528281658</v>
      </c>
      <c r="AI8" s="1">
        <f t="shared" si="2"/>
        <v>2067.4442983564472</v>
      </c>
      <c r="AJ8" s="1">
        <f t="shared" si="2"/>
        <v>2088.1187413400116</v>
      </c>
      <c r="AK8" s="1">
        <f t="shared" si="2"/>
        <v>2108.999928753412</v>
      </c>
      <c r="AL8" s="1">
        <f t="shared" si="2"/>
        <v>2130.0899280409462</v>
      </c>
      <c r="AM8" s="1">
        <f t="shared" si="2"/>
        <v>2151.3908273213556</v>
      </c>
    </row>
    <row r="9" spans="1:39">
      <c r="U9" s="8"/>
      <c r="V9" s="8"/>
      <c r="W9" s="8"/>
      <c r="X9" s="8"/>
      <c r="Y9" s="8"/>
      <c r="Z9" s="8"/>
      <c r="AA9" s="8"/>
      <c r="AB9" s="8"/>
      <c r="AC9" s="9"/>
      <c r="AD9" s="8"/>
      <c r="AE9" s="8"/>
      <c r="AF9" s="8"/>
      <c r="AG9" s="8"/>
      <c r="AH9" s="8"/>
      <c r="AI9" s="8"/>
      <c r="AJ9" s="8"/>
      <c r="AK9" s="8"/>
    </row>
    <row r="10" spans="1:39">
      <c r="B10" s="1" t="s">
        <v>23</v>
      </c>
      <c r="G10" s="1">
        <v>219419</v>
      </c>
      <c r="H10" s="1">
        <v>225159</v>
      </c>
      <c r="I10" s="1">
        <v>217576</v>
      </c>
      <c r="J10" s="1">
        <f>+AB10-SUM(G10:I10)</f>
        <v>214352</v>
      </c>
      <c r="K10" s="1">
        <v>225960</v>
      </c>
      <c r="L10" s="1">
        <v>236894</v>
      </c>
      <c r="M10" s="1">
        <v>234076</v>
      </c>
      <c r="N10" s="1">
        <f>+AC10-SUM(K10:M10)</f>
        <v>230140</v>
      </c>
      <c r="AA10" s="1">
        <v>758357</v>
      </c>
      <c r="AB10" s="1">
        <v>876506</v>
      </c>
      <c r="AC10" s="1">
        <v>927070</v>
      </c>
      <c r="AD10" s="1">
        <f>AVERAGE(988,1016)*1000</f>
        <v>1002000</v>
      </c>
      <c r="AE10" s="1">
        <f>+AE5*AE8</f>
        <v>1104645.9737226891</v>
      </c>
      <c r="AF10" s="1">
        <f t="shared" ref="AF10:AM10" si="3">+AF5*AF8</f>
        <v>1195958.0761548739</v>
      </c>
      <c r="AG10" s="1">
        <f t="shared" si="3"/>
        <v>1288985.9560383302</v>
      </c>
      <c r="AH10" s="1">
        <f t="shared" si="3"/>
        <v>1383754.7977118401</v>
      </c>
      <c r="AI10" s="1">
        <f t="shared" si="3"/>
        <v>1480290.1176232162</v>
      </c>
      <c r="AJ10" s="1">
        <f t="shared" si="3"/>
        <v>1578617.7684530488</v>
      </c>
      <c r="AK10" s="1">
        <f t="shared" si="3"/>
        <v>1678763.943287716</v>
      </c>
      <c r="AL10" s="1">
        <f t="shared" si="3"/>
        <v>1780755.1798422311</v>
      </c>
      <c r="AM10" s="1">
        <f t="shared" si="3"/>
        <v>1884618.3647335074</v>
      </c>
    </row>
    <row r="11" spans="1:39">
      <c r="B11" s="7" t="s">
        <v>24</v>
      </c>
      <c r="G11" s="1">
        <v>65538</v>
      </c>
      <c r="H11" s="1">
        <v>69351</v>
      </c>
      <c r="I11" s="1">
        <v>68228</v>
      </c>
      <c r="J11" s="1">
        <f t="shared" ref="J11:J20" si="4">+AB11-SUM(G11:I11)</f>
        <v>65350</v>
      </c>
      <c r="K11" s="1">
        <v>66792</v>
      </c>
      <c r="L11" s="1">
        <v>70824</v>
      </c>
      <c r="M11" s="1">
        <v>72760</v>
      </c>
      <c r="N11" s="1">
        <f t="shared" ref="N11:N20" si="5">+AC11-SUM(K11:M11)</f>
        <v>68999</v>
      </c>
      <c r="AA11" s="1">
        <v>265171</v>
      </c>
      <c r="AB11" s="1">
        <v>268467</v>
      </c>
      <c r="AC11" s="1">
        <v>279375</v>
      </c>
      <c r="AD11" s="13">
        <f>+AD$10*(AC11/AC$10)</f>
        <v>301955.35396464128</v>
      </c>
      <c r="AE11" s="13">
        <f>+AE$10*(AD11/AD$10)</f>
        <v>332887.99002100836</v>
      </c>
      <c r="AF11" s="13">
        <f t="shared" ref="AE11:AM11" si="6">+AF$10*(AE11/AE$10)</f>
        <v>360405.13394432771</v>
      </c>
      <c r="AG11" s="13">
        <f t="shared" si="6"/>
        <v>388439.33194711129</v>
      </c>
      <c r="AH11" s="13">
        <f t="shared" si="6"/>
        <v>416998.17339655617</v>
      </c>
      <c r="AI11" s="13">
        <f t="shared" si="6"/>
        <v>446089.34774179512</v>
      </c>
      <c r="AJ11" s="13">
        <f t="shared" si="6"/>
        <v>475720.64575659926</v>
      </c>
      <c r="AK11" s="13">
        <f t="shared" si="6"/>
        <v>505899.96079692541</v>
      </c>
      <c r="AL11" s="13">
        <f t="shared" si="6"/>
        <v>536635.29007348232</v>
      </c>
      <c r="AM11" s="13">
        <f t="shared" si="6"/>
        <v>567934.73593949061</v>
      </c>
    </row>
    <row r="12" spans="1:39">
      <c r="B12" s="1" t="s">
        <v>25</v>
      </c>
      <c r="G12" s="1">
        <v>77801</v>
      </c>
      <c r="H12" s="1">
        <v>79029</v>
      </c>
      <c r="I12" s="1">
        <v>82343</v>
      </c>
      <c r="J12" s="1">
        <f t="shared" si="4"/>
        <v>83241</v>
      </c>
      <c r="K12" s="1">
        <v>89466</v>
      </c>
      <c r="L12" s="1">
        <v>90337</v>
      </c>
      <c r="M12" s="1">
        <v>90514</v>
      </c>
      <c r="N12" s="1">
        <f t="shared" si="5"/>
        <v>93400</v>
      </c>
      <c r="AA12" s="1">
        <v>266069</v>
      </c>
      <c r="AB12" s="1">
        <v>322414</v>
      </c>
      <c r="AC12" s="1">
        <v>363717</v>
      </c>
      <c r="AD12" s="1">
        <f>+AD$10*(AC12/AC$10)</f>
        <v>393114.25674436666</v>
      </c>
      <c r="AE12" s="1">
        <f t="shared" ref="AE12:AM12" si="7">+AE$10*(AD12/AD$10)</f>
        <v>433385.31030504202</v>
      </c>
      <c r="AF12" s="1">
        <f t="shared" si="7"/>
        <v>469209.75070363865</v>
      </c>
      <c r="AG12" s="1">
        <f t="shared" si="7"/>
        <v>505707.34137917671</v>
      </c>
      <c r="AH12" s="1">
        <f t="shared" si="7"/>
        <v>542887.96289315517</v>
      </c>
      <c r="AI12" s="1">
        <f t="shared" si="7"/>
        <v>580761.62610327522</v>
      </c>
      <c r="AJ12" s="1">
        <f t="shared" si="7"/>
        <v>619338.47378130839</v>
      </c>
      <c r="AK12" s="1">
        <f t="shared" si="7"/>
        <v>658628.78225029202</v>
      </c>
      <c r="AL12" s="1">
        <f t="shared" si="7"/>
        <v>698642.96304127714</v>
      </c>
      <c r="AM12" s="1">
        <f t="shared" si="7"/>
        <v>739391.56456985686</v>
      </c>
    </row>
    <row r="13" spans="1:39">
      <c r="B13" s="1" t="s">
        <v>26</v>
      </c>
      <c r="G13" s="1">
        <v>23687</v>
      </c>
      <c r="H13" s="1">
        <v>25610</v>
      </c>
      <c r="I13" s="1">
        <v>24743</v>
      </c>
      <c r="J13" s="1">
        <f t="shared" si="4"/>
        <v>24815</v>
      </c>
      <c r="K13" s="1">
        <v>24183</v>
      </c>
      <c r="L13" s="1">
        <v>27829</v>
      </c>
      <c r="M13" s="1">
        <v>26426</v>
      </c>
      <c r="N13" s="1">
        <f t="shared" si="5"/>
        <v>27270</v>
      </c>
      <c r="AA13" s="1">
        <v>254815</v>
      </c>
      <c r="AB13" s="1">
        <v>98855</v>
      </c>
      <c r="AC13" s="1">
        <v>105708</v>
      </c>
      <c r="AD13" s="1">
        <f>+AD$10*(AC13/AC$10)</f>
        <v>114251.79975622121</v>
      </c>
      <c r="AE13" s="1">
        <f t="shared" ref="AE13:AM13" si="8">+AE$10*(AD13/AD$10)</f>
        <v>125955.87883361345</v>
      </c>
      <c r="AF13" s="1">
        <f t="shared" si="8"/>
        <v>136367.62737892437</v>
      </c>
      <c r="AG13" s="1">
        <f t="shared" si="8"/>
        <v>146975.01530725815</v>
      </c>
      <c r="AH13" s="1">
        <f t="shared" si="8"/>
        <v>157780.9142314207</v>
      </c>
      <c r="AI13" s="1">
        <f t="shared" si="8"/>
        <v>168788.23363253576</v>
      </c>
      <c r="AJ13" s="1">
        <f t="shared" si="8"/>
        <v>179999.92133024998</v>
      </c>
      <c r="AK13" s="1">
        <f t="shared" si="8"/>
        <v>191418.96395855531</v>
      </c>
      <c r="AL13" s="1">
        <f t="shared" si="8"/>
        <v>203048.38744729367</v>
      </c>
      <c r="AM13" s="1">
        <f t="shared" si="8"/>
        <v>214891.25750941091</v>
      </c>
    </row>
    <row r="14" spans="1:39">
      <c r="B14" s="1" t="s">
        <v>30</v>
      </c>
      <c r="G14" s="1">
        <f>+G10-SUM(G11:G13)</f>
        <v>52393</v>
      </c>
      <c r="H14" s="1">
        <f>+H10-SUM(H11:H13)</f>
        <v>51169</v>
      </c>
      <c r="I14" s="1">
        <f>+I10-SUM(I11:I13)</f>
        <v>42262</v>
      </c>
      <c r="J14" s="1">
        <f t="shared" si="4"/>
        <v>40946</v>
      </c>
      <c r="K14" s="1">
        <f>+K10-SUM(K11:K13)</f>
        <v>45519</v>
      </c>
      <c r="L14" s="1">
        <f>+L10-SUM(L11:L13)</f>
        <v>47904</v>
      </c>
      <c r="M14" s="1">
        <f>+M10-SUM(M11:M13)</f>
        <v>44376</v>
      </c>
      <c r="N14" s="1">
        <f t="shared" si="5"/>
        <v>40471</v>
      </c>
      <c r="AA14" s="1">
        <f>+AA10-SUM(AA11:AA13)</f>
        <v>-27698</v>
      </c>
      <c r="AB14" s="1">
        <f>+AB10-SUM(AB11:AB13)</f>
        <v>186770</v>
      </c>
      <c r="AC14" s="1">
        <f>+AC10-SUM(AC11:AC13)</f>
        <v>178270</v>
      </c>
      <c r="AD14" s="1">
        <f>+AD10-SUM(AD11:AD13)</f>
        <v>192678.58953477081</v>
      </c>
      <c r="AE14" s="1">
        <f t="shared" ref="AE14:AM14" si="9">+AE10-SUM(AE11:AE13)</f>
        <v>212416.79456302524</v>
      </c>
      <c r="AF14" s="1">
        <f t="shared" si="9"/>
        <v>229975.56412798318</v>
      </c>
      <c r="AG14" s="1">
        <f t="shared" si="9"/>
        <v>247864.2674047841</v>
      </c>
      <c r="AH14" s="1">
        <f t="shared" si="9"/>
        <v>266087.74719070806</v>
      </c>
      <c r="AI14" s="1">
        <f t="shared" si="9"/>
        <v>284650.91014561011</v>
      </c>
      <c r="AJ14" s="1">
        <f t="shared" si="9"/>
        <v>303558.72758489125</v>
      </c>
      <c r="AK14" s="1">
        <f t="shared" si="9"/>
        <v>322816.23628194327</v>
      </c>
      <c r="AL14" s="1">
        <f t="shared" si="9"/>
        <v>342428.53928017803</v>
      </c>
      <c r="AM14" s="1">
        <f t="shared" si="9"/>
        <v>362400.80671474896</v>
      </c>
    </row>
    <row r="15" spans="1:39">
      <c r="B15" s="1" t="s">
        <v>27</v>
      </c>
      <c r="G15" s="1">
        <v>8166</v>
      </c>
      <c r="H15" s="1">
        <v>8762</v>
      </c>
      <c r="I15" s="1">
        <v>10100</v>
      </c>
      <c r="J15" s="1">
        <f t="shared" si="4"/>
        <v>14867</v>
      </c>
      <c r="K15" s="1">
        <v>17748</v>
      </c>
      <c r="L15" s="1">
        <v>18295</v>
      </c>
      <c r="M15" s="1">
        <v>19100</v>
      </c>
      <c r="N15" s="1">
        <f t="shared" si="5"/>
        <v>19961</v>
      </c>
      <c r="AA15" s="1">
        <v>39424</v>
      </c>
      <c r="AB15" s="1">
        <v>41895</v>
      </c>
      <c r="AC15" s="1">
        <v>75104</v>
      </c>
      <c r="AD15" s="1">
        <v>81000</v>
      </c>
      <c r="AE15" s="1">
        <f>+AD15</f>
        <v>81000</v>
      </c>
      <c r="AF15" s="1">
        <f t="shared" ref="AF15:AM15" si="10">+AE15</f>
        <v>81000</v>
      </c>
      <c r="AG15" s="1">
        <f t="shared" si="10"/>
        <v>81000</v>
      </c>
      <c r="AH15" s="1">
        <f t="shared" si="10"/>
        <v>81000</v>
      </c>
      <c r="AI15" s="1">
        <f t="shared" si="10"/>
        <v>81000</v>
      </c>
      <c r="AJ15" s="1">
        <f t="shared" si="10"/>
        <v>81000</v>
      </c>
      <c r="AK15" s="1">
        <f t="shared" si="10"/>
        <v>81000</v>
      </c>
      <c r="AL15" s="1">
        <f t="shared" si="10"/>
        <v>81000</v>
      </c>
      <c r="AM15" s="1">
        <f t="shared" si="10"/>
        <v>81000</v>
      </c>
    </row>
    <row r="16" spans="1:39">
      <c r="B16" s="1" t="s">
        <v>28</v>
      </c>
      <c r="G16" s="1">
        <f>+G14-G15</f>
        <v>44227</v>
      </c>
      <c r="H16" s="1">
        <f>+H14-H15</f>
        <v>42407</v>
      </c>
      <c r="I16" s="1">
        <f>+I14-I15</f>
        <v>32162</v>
      </c>
      <c r="J16" s="1">
        <f t="shared" si="4"/>
        <v>26079</v>
      </c>
      <c r="K16" s="1">
        <f>+K14-K15</f>
        <v>27771</v>
      </c>
      <c r="L16" s="1">
        <f>+L14-L15</f>
        <v>29609</v>
      </c>
      <c r="M16" s="1">
        <f>+M14-M15</f>
        <v>25276</v>
      </c>
      <c r="N16" s="1">
        <f t="shared" si="5"/>
        <v>20510</v>
      </c>
      <c r="AA16" s="1">
        <f>+AA14-AA15</f>
        <v>-67122</v>
      </c>
      <c r="AB16" s="1">
        <f>+AB14-SUM(AB15:AB15)</f>
        <v>144875</v>
      </c>
      <c r="AC16" s="1">
        <f>+AC14-SUM(AC15:AC15)</f>
        <v>103166</v>
      </c>
      <c r="AD16" s="1">
        <f t="shared" ref="AD16:AM16" si="11">+AD14-SUM(AD15:AD15)</f>
        <v>111678.58953477081</v>
      </c>
      <c r="AE16" s="1">
        <f t="shared" si="11"/>
        <v>131416.79456302524</v>
      </c>
      <c r="AF16" s="1">
        <f t="shared" si="11"/>
        <v>148975.56412798318</v>
      </c>
      <c r="AG16" s="1">
        <f t="shared" si="11"/>
        <v>166864.2674047841</v>
      </c>
      <c r="AH16" s="1">
        <f t="shared" si="11"/>
        <v>185087.74719070806</v>
      </c>
      <c r="AI16" s="1">
        <f t="shared" si="11"/>
        <v>203650.91014561011</v>
      </c>
      <c r="AJ16" s="1">
        <f t="shared" si="11"/>
        <v>222558.72758489125</v>
      </c>
      <c r="AK16" s="1">
        <f t="shared" si="11"/>
        <v>241816.23628194327</v>
      </c>
      <c r="AL16" s="1">
        <f t="shared" si="11"/>
        <v>261428.53928017803</v>
      </c>
      <c r="AM16" s="1">
        <f t="shared" si="11"/>
        <v>281400.80671474896</v>
      </c>
    </row>
    <row r="17" spans="2:177">
      <c r="B17" s="1" t="s">
        <v>29</v>
      </c>
      <c r="G17" s="1">
        <v>8280</v>
      </c>
      <c r="H17" s="1">
        <v>9894</v>
      </c>
      <c r="I17" s="1">
        <v>8814</v>
      </c>
      <c r="J17" s="1">
        <f t="shared" si="4"/>
        <v>5936</v>
      </c>
      <c r="K17" s="1">
        <v>6698</v>
      </c>
      <c r="L17" s="1">
        <v>7205</v>
      </c>
      <c r="M17" s="1">
        <v>4470</v>
      </c>
      <c r="N17" s="1">
        <f t="shared" si="5"/>
        <v>4538</v>
      </c>
      <c r="AA17" s="1">
        <v>-25093</v>
      </c>
      <c r="AB17" s="1">
        <v>32924</v>
      </c>
      <c r="AC17" s="1">
        <v>22911</v>
      </c>
      <c r="AD17" s="1">
        <f>+AD16*(AC17/AC16)</f>
        <v>24801.46719685879</v>
      </c>
      <c r="AE17" s="1">
        <f t="shared" ref="AE17:AM17" si="12">+AE16*(AD17/AD16)</f>
        <v>29184.907626868066</v>
      </c>
      <c r="AF17" s="1">
        <f t="shared" si="12"/>
        <v>33084.341253283274</v>
      </c>
      <c r="AG17" s="1">
        <f t="shared" si="12"/>
        <v>37057.046221730103</v>
      </c>
      <c r="AH17" s="1">
        <f t="shared" si="12"/>
        <v>41104.098015686483</v>
      </c>
      <c r="AI17" s="1">
        <f t="shared" si="12"/>
        <v>45226.586301165815</v>
      </c>
      <c r="AJ17" s="1">
        <f t="shared" si="12"/>
        <v>49425.615102819174</v>
      </c>
      <c r="AK17" s="1">
        <f t="shared" si="12"/>
        <v>53702.302982141417</v>
      </c>
      <c r="AL17" s="1">
        <f t="shared" si="12"/>
        <v>58057.783217805845</v>
      </c>
      <c r="AM17" s="1">
        <f t="shared" si="12"/>
        <v>62493.203988151261</v>
      </c>
    </row>
    <row r="18" spans="2:177" s="11" customFormat="1">
      <c r="B18" s="11" t="s">
        <v>31</v>
      </c>
      <c r="G18" s="11">
        <f>+G16-G17</f>
        <v>35947</v>
      </c>
      <c r="H18" s="11">
        <f>+H16-H17</f>
        <v>32513</v>
      </c>
      <c r="I18" s="11">
        <f>+I16-I17</f>
        <v>23348</v>
      </c>
      <c r="J18" s="11">
        <f t="shared" si="4"/>
        <v>20143</v>
      </c>
      <c r="K18" s="11">
        <f>+K16-K17</f>
        <v>21073</v>
      </c>
      <c r="L18" s="11">
        <f>+L16-L17</f>
        <v>22404</v>
      </c>
      <c r="M18" s="11">
        <f>+M16-M17</f>
        <v>20806</v>
      </c>
      <c r="N18" s="11">
        <f t="shared" si="5"/>
        <v>15972</v>
      </c>
      <c r="AA18" s="11">
        <f>+AA16-AA17</f>
        <v>-42029</v>
      </c>
      <c r="AB18" s="11">
        <f>+AB16-AB17</f>
        <v>111951</v>
      </c>
      <c r="AC18" s="11">
        <f>+AC16-AC17</f>
        <v>80255</v>
      </c>
      <c r="AD18" s="11">
        <f>+AD16-AD17</f>
        <v>86877.12233791202</v>
      </c>
      <c r="AE18" s="11">
        <f t="shared" ref="AE18:AM18" si="13">+AE16-AE17</f>
        <v>102231.88693615717</v>
      </c>
      <c r="AF18" s="11">
        <f t="shared" si="13"/>
        <v>115891.2228746999</v>
      </c>
      <c r="AG18" s="11">
        <f t="shared" si="13"/>
        <v>129807.221183054</v>
      </c>
      <c r="AH18" s="11">
        <f t="shared" si="13"/>
        <v>143983.64917502156</v>
      </c>
      <c r="AI18" s="11">
        <f t="shared" si="13"/>
        <v>158424.3238444443</v>
      </c>
      <c r="AJ18" s="11">
        <f t="shared" si="13"/>
        <v>173133.11248207209</v>
      </c>
      <c r="AK18" s="11">
        <f t="shared" si="13"/>
        <v>188113.93329980187</v>
      </c>
      <c r="AL18" s="11">
        <f t="shared" si="13"/>
        <v>203370.75606237218</v>
      </c>
      <c r="AM18" s="11">
        <f t="shared" si="13"/>
        <v>218907.60272659769</v>
      </c>
      <c r="AN18" s="11">
        <f>+AM18*(1+$AP$21)</f>
        <v>221096.67875386367</v>
      </c>
      <c r="AO18" s="11">
        <f t="shared" ref="AO18:CZ18" si="14">+AN18*(1+$AP$21)</f>
        <v>223307.64554140231</v>
      </c>
      <c r="AP18" s="11">
        <f t="shared" si="14"/>
        <v>225540.72199681634</v>
      </c>
      <c r="AQ18" s="11">
        <f t="shared" si="14"/>
        <v>227796.12921678449</v>
      </c>
      <c r="AR18" s="11">
        <f t="shared" si="14"/>
        <v>230074.09050895233</v>
      </c>
      <c r="AS18" s="11">
        <f t="shared" si="14"/>
        <v>232374.83141404187</v>
      </c>
      <c r="AT18" s="11">
        <f t="shared" si="14"/>
        <v>234698.57972818229</v>
      </c>
      <c r="AU18" s="11">
        <f t="shared" si="14"/>
        <v>237045.5655254641</v>
      </c>
      <c r="AV18" s="11">
        <f t="shared" si="14"/>
        <v>239416.02118071876</v>
      </c>
      <c r="AW18" s="11">
        <f t="shared" si="14"/>
        <v>241810.18139252596</v>
      </c>
      <c r="AX18" s="11">
        <f t="shared" si="14"/>
        <v>244228.28320645122</v>
      </c>
      <c r="AY18" s="11">
        <f t="shared" si="14"/>
        <v>246670.56603851574</v>
      </c>
      <c r="AZ18" s="11">
        <f t="shared" si="14"/>
        <v>249137.27169890091</v>
      </c>
      <c r="BA18" s="11">
        <f t="shared" si="14"/>
        <v>251628.64441588992</v>
      </c>
      <c r="BB18" s="11">
        <f t="shared" si="14"/>
        <v>254144.93086004883</v>
      </c>
      <c r="BC18" s="11">
        <f t="shared" si="14"/>
        <v>256686.38016864931</v>
      </c>
      <c r="BD18" s="11">
        <f t="shared" si="14"/>
        <v>259253.24397033581</v>
      </c>
      <c r="BE18" s="11">
        <f t="shared" si="14"/>
        <v>261845.77641003917</v>
      </c>
      <c r="BF18" s="11">
        <f t="shared" si="14"/>
        <v>264464.23417413956</v>
      </c>
      <c r="BG18" s="11">
        <f t="shared" si="14"/>
        <v>267108.87651588098</v>
      </c>
      <c r="BH18" s="11">
        <f t="shared" si="14"/>
        <v>269779.96528103977</v>
      </c>
      <c r="BI18" s="11">
        <f t="shared" si="14"/>
        <v>272477.76493385015</v>
      </c>
      <c r="BJ18" s="11">
        <f t="shared" si="14"/>
        <v>275202.54258318868</v>
      </c>
      <c r="BK18" s="11">
        <f t="shared" si="14"/>
        <v>277954.56800902059</v>
      </c>
      <c r="BL18" s="11">
        <f t="shared" si="14"/>
        <v>280734.11368911079</v>
      </c>
      <c r="BM18" s="11">
        <f t="shared" si="14"/>
        <v>283541.45482600189</v>
      </c>
      <c r="BN18" s="11">
        <f t="shared" si="14"/>
        <v>286376.86937426194</v>
      </c>
      <c r="BO18" s="11">
        <f t="shared" si="14"/>
        <v>289240.63806800457</v>
      </c>
      <c r="BP18" s="11">
        <f t="shared" si="14"/>
        <v>292133.04444868461</v>
      </c>
      <c r="BQ18" s="11">
        <f t="shared" si="14"/>
        <v>295054.37489317148</v>
      </c>
      <c r="BR18" s="11">
        <f t="shared" si="14"/>
        <v>298004.91864210321</v>
      </c>
      <c r="BS18" s="11">
        <f t="shared" si="14"/>
        <v>300984.96782852424</v>
      </c>
      <c r="BT18" s="11">
        <f t="shared" si="14"/>
        <v>303994.81750680949</v>
      </c>
      <c r="BU18" s="11">
        <f t="shared" si="14"/>
        <v>307034.76568187756</v>
      </c>
      <c r="BV18" s="11">
        <f t="shared" si="14"/>
        <v>310105.11333869636</v>
      </c>
      <c r="BW18" s="11">
        <f t="shared" si="14"/>
        <v>313206.16447208333</v>
      </c>
      <c r="BX18" s="11">
        <f t="shared" si="14"/>
        <v>316338.22611680417</v>
      </c>
      <c r="BY18" s="11">
        <f t="shared" si="14"/>
        <v>319501.60837797221</v>
      </c>
      <c r="BZ18" s="11">
        <f t="shared" si="14"/>
        <v>322696.62446175196</v>
      </c>
      <c r="CA18" s="11">
        <f t="shared" si="14"/>
        <v>325923.59070636949</v>
      </c>
      <c r="CB18" s="11">
        <f t="shared" si="14"/>
        <v>329182.82661343319</v>
      </c>
      <c r="CC18" s="11">
        <f t="shared" si="14"/>
        <v>332474.6548795675</v>
      </c>
      <c r="CD18" s="11">
        <f t="shared" si="14"/>
        <v>335799.40142836317</v>
      </c>
      <c r="CE18" s="11">
        <f t="shared" si="14"/>
        <v>339157.39544264681</v>
      </c>
      <c r="CF18" s="11">
        <f t="shared" si="14"/>
        <v>342548.96939707326</v>
      </c>
      <c r="CG18" s="11">
        <f t="shared" si="14"/>
        <v>345974.45909104397</v>
      </c>
      <c r="CH18" s="11">
        <f t="shared" si="14"/>
        <v>349434.20368195442</v>
      </c>
      <c r="CI18" s="11">
        <f t="shared" si="14"/>
        <v>352928.54571877397</v>
      </c>
      <c r="CJ18" s="11">
        <f t="shared" si="14"/>
        <v>356457.83117596171</v>
      </c>
      <c r="CK18" s="11">
        <f t="shared" si="14"/>
        <v>360022.40948772134</v>
      </c>
      <c r="CL18" s="11">
        <f t="shared" si="14"/>
        <v>363622.63358259853</v>
      </c>
      <c r="CM18" s="11">
        <f t="shared" si="14"/>
        <v>367258.85991842451</v>
      </c>
      <c r="CN18" s="11">
        <f t="shared" si="14"/>
        <v>370931.44851760875</v>
      </c>
      <c r="CO18" s="11">
        <f t="shared" si="14"/>
        <v>374640.76300278486</v>
      </c>
      <c r="CP18" s="11">
        <f t="shared" si="14"/>
        <v>378387.17063281272</v>
      </c>
      <c r="CQ18" s="11">
        <f t="shared" si="14"/>
        <v>382171.04233914084</v>
      </c>
      <c r="CR18" s="11">
        <f t="shared" si="14"/>
        <v>385992.75276253227</v>
      </c>
      <c r="CS18" s="11">
        <f t="shared" si="14"/>
        <v>389852.68029015762</v>
      </c>
      <c r="CT18" s="11">
        <f t="shared" si="14"/>
        <v>393751.2070930592</v>
      </c>
      <c r="CU18" s="11">
        <f t="shared" si="14"/>
        <v>397688.71916398982</v>
      </c>
      <c r="CV18" s="11">
        <f t="shared" si="14"/>
        <v>401665.60635562974</v>
      </c>
      <c r="CW18" s="11">
        <f t="shared" si="14"/>
        <v>405682.26241918607</v>
      </c>
      <c r="CX18" s="11">
        <f t="shared" si="14"/>
        <v>409739.08504337794</v>
      </c>
      <c r="CY18" s="11">
        <f t="shared" si="14"/>
        <v>413836.47589381173</v>
      </c>
      <c r="CZ18" s="11">
        <f t="shared" si="14"/>
        <v>417974.84065274987</v>
      </c>
      <c r="DA18" s="11">
        <f t="shared" ref="DA18:FL18" si="15">+CZ18*(1+$AP$21)</f>
        <v>422154.58905927738</v>
      </c>
      <c r="DB18" s="11">
        <f t="shared" si="15"/>
        <v>426376.13494987017</v>
      </c>
      <c r="DC18" s="11">
        <f t="shared" si="15"/>
        <v>430639.89629936888</v>
      </c>
      <c r="DD18" s="11">
        <f t="shared" si="15"/>
        <v>434946.29526236258</v>
      </c>
      <c r="DE18" s="11">
        <f t="shared" si="15"/>
        <v>439295.75821498618</v>
      </c>
      <c r="DF18" s="11">
        <f t="shared" si="15"/>
        <v>443688.71579713607</v>
      </c>
      <c r="DG18" s="11">
        <f t="shared" si="15"/>
        <v>448125.60295510746</v>
      </c>
      <c r="DH18" s="11">
        <f t="shared" si="15"/>
        <v>452606.85898465855</v>
      </c>
      <c r="DI18" s="11">
        <f t="shared" si="15"/>
        <v>457132.92757450516</v>
      </c>
      <c r="DJ18" s="11">
        <f t="shared" si="15"/>
        <v>461704.25685025024</v>
      </c>
      <c r="DK18" s="11">
        <f t="shared" si="15"/>
        <v>466321.29941875272</v>
      </c>
      <c r="DL18" s="11">
        <f t="shared" si="15"/>
        <v>470984.51241294027</v>
      </c>
      <c r="DM18" s="11">
        <f t="shared" si="15"/>
        <v>475694.35753706965</v>
      </c>
      <c r="DN18" s="11">
        <f t="shared" si="15"/>
        <v>480451.30111244036</v>
      </c>
      <c r="DO18" s="11">
        <f t="shared" si="15"/>
        <v>485255.81412356475</v>
      </c>
      <c r="DP18" s="11">
        <f t="shared" si="15"/>
        <v>490108.37226480042</v>
      </c>
      <c r="DQ18" s="11">
        <f t="shared" si="15"/>
        <v>495009.45598744845</v>
      </c>
      <c r="DR18" s="11">
        <f t="shared" si="15"/>
        <v>499959.55054732296</v>
      </c>
      <c r="DS18" s="11">
        <f t="shared" si="15"/>
        <v>504959.14605279622</v>
      </c>
      <c r="DT18" s="11">
        <f t="shared" si="15"/>
        <v>510008.73751332419</v>
      </c>
      <c r="DU18" s="11">
        <f t="shared" si="15"/>
        <v>515108.82488845743</v>
      </c>
      <c r="DV18" s="11">
        <f t="shared" si="15"/>
        <v>520259.91313734202</v>
      </c>
      <c r="DW18" s="11">
        <f t="shared" si="15"/>
        <v>525462.51226871542</v>
      </c>
      <c r="DX18" s="11">
        <f t="shared" si="15"/>
        <v>530717.13739140262</v>
      </c>
      <c r="DY18" s="11">
        <f t="shared" si="15"/>
        <v>536024.30876531661</v>
      </c>
      <c r="DZ18" s="11">
        <f t="shared" si="15"/>
        <v>541384.5518529698</v>
      </c>
      <c r="EA18" s="11">
        <f t="shared" si="15"/>
        <v>546798.39737149945</v>
      </c>
      <c r="EB18" s="11">
        <f t="shared" si="15"/>
        <v>552266.38134521444</v>
      </c>
      <c r="EC18" s="11">
        <f t="shared" si="15"/>
        <v>557789.04515866656</v>
      </c>
      <c r="ED18" s="11">
        <f t="shared" si="15"/>
        <v>563366.93561025325</v>
      </c>
      <c r="EE18" s="11">
        <f t="shared" si="15"/>
        <v>569000.60496635584</v>
      </c>
      <c r="EF18" s="11">
        <f t="shared" si="15"/>
        <v>574690.61101601936</v>
      </c>
      <c r="EG18" s="11">
        <f t="shared" si="15"/>
        <v>580437.51712617953</v>
      </c>
      <c r="EH18" s="11">
        <f t="shared" si="15"/>
        <v>586241.89229744137</v>
      </c>
      <c r="EI18" s="11">
        <f t="shared" si="15"/>
        <v>592104.31122041575</v>
      </c>
      <c r="EJ18" s="11">
        <f t="shared" si="15"/>
        <v>598025.35433261993</v>
      </c>
      <c r="EK18" s="11">
        <f t="shared" si="15"/>
        <v>604005.60787594609</v>
      </c>
      <c r="EL18" s="11">
        <f t="shared" si="15"/>
        <v>610045.66395470558</v>
      </c>
      <c r="EM18" s="11">
        <f t="shared" si="15"/>
        <v>616146.1205942526</v>
      </c>
      <c r="EN18" s="11">
        <f t="shared" si="15"/>
        <v>622307.58180019516</v>
      </c>
      <c r="EO18" s="11">
        <f t="shared" si="15"/>
        <v>628530.65761819715</v>
      </c>
      <c r="EP18" s="11">
        <f t="shared" si="15"/>
        <v>634815.96419437916</v>
      </c>
      <c r="EQ18" s="11">
        <f t="shared" si="15"/>
        <v>641164.12383632292</v>
      </c>
      <c r="ER18" s="11">
        <f t="shared" si="15"/>
        <v>647575.76507468615</v>
      </c>
      <c r="ES18" s="11">
        <f t="shared" si="15"/>
        <v>654051.52272543299</v>
      </c>
      <c r="ET18" s="11">
        <f t="shared" si="15"/>
        <v>660592.03795268736</v>
      </c>
      <c r="EU18" s="11">
        <f t="shared" si="15"/>
        <v>667197.95833221427</v>
      </c>
      <c r="EV18" s="11">
        <f t="shared" si="15"/>
        <v>673869.93791553646</v>
      </c>
      <c r="EW18" s="11">
        <f t="shared" si="15"/>
        <v>680608.63729469187</v>
      </c>
      <c r="EX18" s="11">
        <f t="shared" si="15"/>
        <v>687414.72366763884</v>
      </c>
      <c r="EY18" s="11">
        <f t="shared" si="15"/>
        <v>694288.87090431526</v>
      </c>
      <c r="EZ18" s="11">
        <f t="shared" si="15"/>
        <v>701231.75961335842</v>
      </c>
      <c r="FA18" s="11">
        <f t="shared" si="15"/>
        <v>708244.07720949198</v>
      </c>
      <c r="FB18" s="11">
        <f t="shared" si="15"/>
        <v>715326.51798158686</v>
      </c>
      <c r="FC18" s="11">
        <f t="shared" si="15"/>
        <v>722479.78316140268</v>
      </c>
      <c r="FD18" s="11">
        <f t="shared" si="15"/>
        <v>729704.58099301672</v>
      </c>
      <c r="FE18" s="11">
        <f t="shared" si="15"/>
        <v>737001.62680294691</v>
      </c>
      <c r="FF18" s="11">
        <f t="shared" si="15"/>
        <v>744371.64307097637</v>
      </c>
      <c r="FG18" s="11">
        <f t="shared" si="15"/>
        <v>751815.35950168618</v>
      </c>
      <c r="FH18" s="11">
        <f t="shared" si="15"/>
        <v>759333.5130967031</v>
      </c>
      <c r="FI18" s="11">
        <f t="shared" si="15"/>
        <v>766926.84822767018</v>
      </c>
      <c r="FJ18" s="11">
        <f t="shared" si="15"/>
        <v>774596.11670994689</v>
      </c>
      <c r="FK18" s="11">
        <f t="shared" si="15"/>
        <v>782342.07787704631</v>
      </c>
      <c r="FL18" s="11">
        <f t="shared" si="15"/>
        <v>790165.49865581677</v>
      </c>
      <c r="FM18" s="11">
        <f t="shared" ref="FM18:FU18" si="16">+FL18*(1+$AP$21)</f>
        <v>798067.15364237491</v>
      </c>
      <c r="FN18" s="11">
        <f t="shared" si="16"/>
        <v>806047.82517879864</v>
      </c>
      <c r="FO18" s="11">
        <f t="shared" si="16"/>
        <v>814108.30343058659</v>
      </c>
      <c r="FP18" s="11">
        <f t="shared" si="16"/>
        <v>822249.38646489242</v>
      </c>
      <c r="FQ18" s="11">
        <f t="shared" si="16"/>
        <v>830471.8803295414</v>
      </c>
      <c r="FR18" s="11">
        <f t="shared" si="16"/>
        <v>838776.5991328368</v>
      </c>
      <c r="FS18" s="11">
        <f t="shared" si="16"/>
        <v>847164.3651241652</v>
      </c>
      <c r="FT18" s="11">
        <f t="shared" si="16"/>
        <v>855636.00877540687</v>
      </c>
      <c r="FU18" s="11">
        <f t="shared" si="16"/>
        <v>864192.36886316095</v>
      </c>
    </row>
    <row r="19" spans="2:177">
      <c r="B19" s="1" t="s">
        <v>32</v>
      </c>
      <c r="G19" s="1">
        <v>329172.43699999998</v>
      </c>
      <c r="H19" s="1">
        <v>327229.53100000002</v>
      </c>
      <c r="I19" s="1">
        <v>326881.152</v>
      </c>
      <c r="J19" s="1">
        <f>+J18/J20</f>
        <v>326028.45973051112</v>
      </c>
      <c r="K19" s="1">
        <v>327608.266</v>
      </c>
      <c r="L19" s="1">
        <v>328283.353</v>
      </c>
      <c r="M19" s="1">
        <v>328844.56900000002</v>
      </c>
      <c r="N19" s="1">
        <f>+N18/N20</f>
        <v>328226.20962417935</v>
      </c>
      <c r="AA19" s="1">
        <v>280215.57900000003</v>
      </c>
      <c r="AB19" s="1">
        <v>327560.40700000001</v>
      </c>
      <c r="AC19" s="1">
        <v>328239.60399999999</v>
      </c>
      <c r="AD19" s="1">
        <f>+AC19</f>
        <v>328239.60399999999</v>
      </c>
      <c r="AE19" s="1">
        <f t="shared" ref="AE19:AM19" si="17">+AD19</f>
        <v>328239.60399999999</v>
      </c>
      <c r="AF19" s="1">
        <f t="shared" si="17"/>
        <v>328239.60399999999</v>
      </c>
      <c r="AG19" s="1">
        <f t="shared" si="17"/>
        <v>328239.60399999999</v>
      </c>
      <c r="AH19" s="1">
        <f t="shared" si="17"/>
        <v>328239.60399999999</v>
      </c>
      <c r="AI19" s="1">
        <f t="shared" si="17"/>
        <v>328239.60399999999</v>
      </c>
      <c r="AJ19" s="1">
        <f t="shared" si="17"/>
        <v>328239.60399999999</v>
      </c>
      <c r="AK19" s="1">
        <f t="shared" si="17"/>
        <v>328239.60399999999</v>
      </c>
      <c r="AL19" s="1">
        <f t="shared" si="17"/>
        <v>328239.60399999999</v>
      </c>
      <c r="AM19" s="1">
        <f t="shared" si="17"/>
        <v>328239.60399999999</v>
      </c>
    </row>
    <row r="20" spans="2:177" s="12" customFormat="1">
      <c r="B20" s="12" t="s">
        <v>33</v>
      </c>
      <c r="G20" s="12">
        <f>+G18/G19</f>
        <v>0.10920416158659117</v>
      </c>
      <c r="H20" s="12">
        <f>+H18/H19</f>
        <v>9.9358391953934005E-2</v>
      </c>
      <c r="I20" s="12">
        <f>+I18/I19</f>
        <v>7.1426571575469736E-2</v>
      </c>
      <c r="J20" s="12">
        <f t="shared" si="4"/>
        <v>6.1782949919923613E-2</v>
      </c>
      <c r="K20" s="12">
        <f>+K18/K19</f>
        <v>6.4323773808564397E-2</v>
      </c>
      <c r="L20" s="12">
        <f>+L18/L19</f>
        <v>6.8245921687049418E-2</v>
      </c>
      <c r="M20" s="12">
        <f>+M18/M19</f>
        <v>6.3270012526799549E-2</v>
      </c>
      <c r="N20" s="12">
        <f t="shared" si="5"/>
        <v>4.8661561848726276E-2</v>
      </c>
      <c r="AA20" s="12">
        <f>+AA18/AA19</f>
        <v>-0.14998809184695613</v>
      </c>
      <c r="AB20" s="12">
        <f>+AB18/AB19</f>
        <v>0.3417720750359185</v>
      </c>
      <c r="AC20" s="12">
        <f>+AC18/AC19</f>
        <v>0.24450126987113963</v>
      </c>
      <c r="AD20" s="12">
        <f>+AD18/AD19</f>
        <v>0.26467592965385134</v>
      </c>
      <c r="AE20" s="12">
        <f t="shared" ref="AE20:AM20" si="18">+AE18/AE19</f>
        <v>0.31145506419803376</v>
      </c>
      <c r="AF20" s="12">
        <f t="shared" si="18"/>
        <v>0.3530689821167951</v>
      </c>
      <c r="AG20" s="12">
        <f t="shared" si="18"/>
        <v>0.39546483605632793</v>
      </c>
      <c r="AH20" s="12">
        <f t="shared" si="18"/>
        <v>0.43865410334525495</v>
      </c>
      <c r="AI20" s="12">
        <f t="shared" si="18"/>
        <v>0.48264841266517094</v>
      </c>
      <c r="AJ20" s="12">
        <f t="shared" si="18"/>
        <v>0.52745954592996669</v>
      </c>
      <c r="AK20" s="12">
        <f t="shared" si="18"/>
        <v>0.57309944018760717</v>
      </c>
      <c r="AL20" s="12">
        <f t="shared" si="18"/>
        <v>0.61958018954462357</v>
      </c>
      <c r="AM20" s="12">
        <f t="shared" si="18"/>
        <v>0.66691404711357649</v>
      </c>
    </row>
    <row r="21" spans="2:177">
      <c r="AO21" s="1" t="s">
        <v>45</v>
      </c>
      <c r="AP21" s="9">
        <v>0.01</v>
      </c>
    </row>
    <row r="22" spans="2:177">
      <c r="AO22" s="1" t="s">
        <v>46</v>
      </c>
      <c r="AP22" s="9">
        <v>0.08</v>
      </c>
    </row>
    <row r="23" spans="2:177" s="9" customFormat="1">
      <c r="B23" s="9" t="s">
        <v>23</v>
      </c>
      <c r="K23" s="9">
        <f>+K10/G10-1</f>
        <v>2.9810545121434329E-2</v>
      </c>
      <c r="L23" s="9">
        <f>+L10/H10-1</f>
        <v>5.2118724989896004E-2</v>
      </c>
      <c r="M23" s="9">
        <f>+M10/I10-1</f>
        <v>7.5835570099643368E-2</v>
      </c>
      <c r="N23" s="9">
        <f>+N10/J10-1</f>
        <v>7.3654549526013247E-2</v>
      </c>
      <c r="AB23" s="9">
        <f>+AB10/AA10-1</f>
        <v>0.15579601691551614</v>
      </c>
      <c r="AC23" s="9">
        <f>+AC10/AB10-1</f>
        <v>5.7688139042972875E-2</v>
      </c>
      <c r="AD23" s="9">
        <f>+AD10/AC10-1</f>
        <v>8.0824533206769633E-2</v>
      </c>
      <c r="AE23" s="9">
        <f t="shared" ref="AE23:AM23" si="19">+AE10/AD10-1</f>
        <v>0.1024410915396099</v>
      </c>
      <c r="AF23" s="9">
        <f t="shared" si="19"/>
        <v>8.2661870503597079E-2</v>
      </c>
      <c r="AG23" s="9">
        <f t="shared" si="19"/>
        <v>7.778523489932887E-2</v>
      </c>
      <c r="AH23" s="9">
        <f t="shared" si="19"/>
        <v>7.3522012578616236E-2</v>
      </c>
      <c r="AI23" s="9">
        <f t="shared" si="19"/>
        <v>6.9763313609467303E-2</v>
      </c>
      <c r="AJ23" s="9">
        <f t="shared" si="19"/>
        <v>6.6424581005586569E-2</v>
      </c>
      <c r="AK23" s="9">
        <f t="shared" si="19"/>
        <v>6.3439153439153628E-2</v>
      </c>
      <c r="AL23" s="9">
        <f t="shared" si="19"/>
        <v>6.0753768844221234E-2</v>
      </c>
      <c r="AM23" s="9">
        <f t="shared" si="19"/>
        <v>5.8325358851674558E-2</v>
      </c>
      <c r="AO23" s="9" t="s">
        <v>47</v>
      </c>
      <c r="AP23" s="14">
        <f>NPV(AP22,AD18:FU18)</f>
        <v>2421979.5396876354</v>
      </c>
    </row>
    <row r="24" spans="2:177" s="9" customFormat="1">
      <c r="B24" s="10" t="s">
        <v>24</v>
      </c>
      <c r="K24" s="9">
        <f t="shared" ref="K24:N27" si="20">+K11/G11-1</f>
        <v>1.9133937562940684E-2</v>
      </c>
      <c r="L24" s="9">
        <f t="shared" si="20"/>
        <v>2.1239780248302198E-2</v>
      </c>
      <c r="M24" s="9">
        <f t="shared" si="20"/>
        <v>6.6424341912411311E-2</v>
      </c>
      <c r="N24" s="9">
        <f t="shared" si="20"/>
        <v>5.5837796480489699E-2</v>
      </c>
      <c r="AB24" s="9">
        <f t="shared" ref="AB24:AC27" si="21">+AB11/AA11-1</f>
        <v>1.2429715164931299E-2</v>
      </c>
      <c r="AC24" s="9">
        <f t="shared" si="21"/>
        <v>4.0630692040362515E-2</v>
      </c>
      <c r="AD24" s="9">
        <f t="shared" ref="AD24:AM24" si="22">+AD11/AC11-1</f>
        <v>8.0824533206769633E-2</v>
      </c>
      <c r="AE24" s="9">
        <f t="shared" si="22"/>
        <v>0.10244109153960967</v>
      </c>
      <c r="AF24" s="9">
        <f t="shared" si="22"/>
        <v>8.2661870503597301E-2</v>
      </c>
      <c r="AG24" s="9">
        <f t="shared" si="22"/>
        <v>7.778523489932887E-2</v>
      </c>
      <c r="AH24" s="9">
        <f t="shared" si="22"/>
        <v>7.3522012578616458E-2</v>
      </c>
      <c r="AI24" s="9">
        <f t="shared" si="22"/>
        <v>6.9763313609467303E-2</v>
      </c>
      <c r="AJ24" s="9">
        <f t="shared" si="22"/>
        <v>6.6424581005586569E-2</v>
      </c>
      <c r="AK24" s="9">
        <f t="shared" si="22"/>
        <v>6.3439153439153628E-2</v>
      </c>
      <c r="AL24" s="9">
        <f t="shared" si="22"/>
        <v>6.0753768844221012E-2</v>
      </c>
      <c r="AM24" s="9">
        <f t="shared" si="22"/>
        <v>5.8325358851674558E-2</v>
      </c>
      <c r="AO24" s="9" t="s">
        <v>49</v>
      </c>
      <c r="AP24" s="1">
        <f>+(Main!K6-Main!K7)*1000</f>
        <v>-878376.92800000007</v>
      </c>
    </row>
    <row r="25" spans="2:177" s="9" customFormat="1">
      <c r="B25" s="9" t="s">
        <v>25</v>
      </c>
      <c r="K25" s="9">
        <f t="shared" si="20"/>
        <v>0.14993380547807877</v>
      </c>
      <c r="L25" s="9">
        <f t="shared" si="20"/>
        <v>0.14308671500335324</v>
      </c>
      <c r="M25" s="9">
        <f t="shared" si="20"/>
        <v>9.9231264345481796E-2</v>
      </c>
      <c r="N25" s="9">
        <f t="shared" si="20"/>
        <v>0.12204322389207234</v>
      </c>
      <c r="AB25" s="9">
        <f t="shared" si="21"/>
        <v>0.21176837587242403</v>
      </c>
      <c r="AC25" s="9">
        <f t="shared" si="21"/>
        <v>0.12810547929060156</v>
      </c>
      <c r="AD25" s="9">
        <f t="shared" ref="AD25:AM25" si="23">+AD12/AC12-1</f>
        <v>8.0824533206769633E-2</v>
      </c>
      <c r="AE25" s="9">
        <f t="shared" si="23"/>
        <v>0.1024410915396099</v>
      </c>
      <c r="AF25" s="9">
        <f t="shared" si="23"/>
        <v>8.2661870503597079E-2</v>
      </c>
      <c r="AG25" s="9">
        <f t="shared" si="23"/>
        <v>7.778523489932887E-2</v>
      </c>
      <c r="AH25" s="9">
        <f t="shared" si="23"/>
        <v>7.3522012578616458E-2</v>
      </c>
      <c r="AI25" s="9">
        <f t="shared" si="23"/>
        <v>6.9763313609467303E-2</v>
      </c>
      <c r="AJ25" s="9">
        <f t="shared" si="23"/>
        <v>6.6424581005586569E-2</v>
      </c>
      <c r="AK25" s="9">
        <f t="shared" si="23"/>
        <v>6.3439153439153628E-2</v>
      </c>
      <c r="AL25" s="9">
        <f t="shared" si="23"/>
        <v>6.0753768844221234E-2</v>
      </c>
      <c r="AM25" s="9">
        <f t="shared" si="23"/>
        <v>5.8325358851674558E-2</v>
      </c>
      <c r="AO25" s="15" t="s">
        <v>50</v>
      </c>
      <c r="AP25" s="16">
        <f>SUM(AP23:AP24)</f>
        <v>1543602.6116876353</v>
      </c>
    </row>
    <row r="26" spans="2:177" s="9" customFormat="1">
      <c r="B26" s="9" t="s">
        <v>26</v>
      </c>
      <c r="K26" s="9">
        <f t="shared" si="20"/>
        <v>2.0939755984295205E-2</v>
      </c>
      <c r="L26" s="9">
        <f t="shared" si="20"/>
        <v>8.6645841468176554E-2</v>
      </c>
      <c r="M26" s="9">
        <f t="shared" si="20"/>
        <v>6.8019237764216145E-2</v>
      </c>
      <c r="N26" s="9">
        <f t="shared" si="20"/>
        <v>9.8932097521660323E-2</v>
      </c>
      <c r="AB26" s="9">
        <f t="shared" si="21"/>
        <v>-0.61205188077624939</v>
      </c>
      <c r="AC26" s="9">
        <f t="shared" si="21"/>
        <v>6.9323757017854426E-2</v>
      </c>
      <c r="AD26" s="9">
        <f t="shared" ref="AD26:AM26" si="24">+AD13/AC13-1</f>
        <v>8.0824533206769633E-2</v>
      </c>
      <c r="AE26" s="9">
        <f t="shared" si="24"/>
        <v>0.1024410915396099</v>
      </c>
      <c r="AF26" s="9">
        <f t="shared" si="24"/>
        <v>8.2661870503597079E-2</v>
      </c>
      <c r="AG26" s="9">
        <f t="shared" si="24"/>
        <v>7.778523489932887E-2</v>
      </c>
      <c r="AH26" s="9">
        <f t="shared" si="24"/>
        <v>7.3522012578616236E-2</v>
      </c>
      <c r="AI26" s="9">
        <f t="shared" si="24"/>
        <v>6.9763313609467303E-2</v>
      </c>
      <c r="AJ26" s="9">
        <f t="shared" si="24"/>
        <v>6.6424581005586347E-2</v>
      </c>
      <c r="AK26" s="9">
        <f t="shared" si="24"/>
        <v>6.3439153439153628E-2</v>
      </c>
      <c r="AL26" s="9">
        <f t="shared" si="24"/>
        <v>6.0753768844221234E-2</v>
      </c>
      <c r="AM26" s="9">
        <f t="shared" si="24"/>
        <v>5.8325358851674336E-2</v>
      </c>
      <c r="AO26" s="9" t="s">
        <v>48</v>
      </c>
      <c r="AP26" s="1">
        <f>+Main!K4*1000</f>
        <v>315472.25300000003</v>
      </c>
    </row>
    <row r="27" spans="2:177">
      <c r="B27" s="1" t="s">
        <v>30</v>
      </c>
      <c r="G27" s="9">
        <f>+G14/G10</f>
        <v>0.238780597851599</v>
      </c>
      <c r="H27" s="9">
        <f>+H14/H10</f>
        <v>0.22725718270200171</v>
      </c>
      <c r="I27" s="9">
        <f>+I14/I10</f>
        <v>0.19424017354855314</v>
      </c>
      <c r="J27" s="9">
        <f>+J14/J10</f>
        <v>0.19102224378592222</v>
      </c>
      <c r="K27" s="9">
        <f>+K14/K10</f>
        <v>0.20144715878916622</v>
      </c>
      <c r="L27" s="9">
        <f>+L14/L10</f>
        <v>0.20221702533622632</v>
      </c>
      <c r="M27" s="9">
        <f>+M14/M10</f>
        <v>0.18957945282728686</v>
      </c>
      <c r="N27" s="9">
        <f>+N14/N10</f>
        <v>0.17585382810463196</v>
      </c>
      <c r="AA27" s="9">
        <f>+AA14/AA10</f>
        <v>-3.6523695304454235E-2</v>
      </c>
      <c r="AB27" s="9">
        <f>+AB14/AB10</f>
        <v>0.21308467939751696</v>
      </c>
      <c r="AC27" s="9">
        <f>+AC14/AC10</f>
        <v>0.19229400153170742</v>
      </c>
      <c r="AD27" s="9">
        <f>+AD14/AD10</f>
        <v>0.19229400153170739</v>
      </c>
      <c r="AE27" s="9">
        <f t="shared" ref="AE27:AM27" si="25">+AE14/AE10</f>
        <v>0.19229400153170745</v>
      </c>
      <c r="AF27" s="9">
        <f t="shared" si="25"/>
        <v>0.19229400153170742</v>
      </c>
      <c r="AG27" s="9">
        <f t="shared" si="25"/>
        <v>0.19229400153170748</v>
      </c>
      <c r="AH27" s="9">
        <f t="shared" si="25"/>
        <v>0.19229400153170742</v>
      </c>
      <c r="AI27" s="9">
        <f t="shared" si="25"/>
        <v>0.19229400153170742</v>
      </c>
      <c r="AJ27" s="9">
        <f t="shared" si="25"/>
        <v>0.1922940015317075</v>
      </c>
      <c r="AK27" s="9">
        <f t="shared" si="25"/>
        <v>0.19229400153170742</v>
      </c>
      <c r="AL27" s="9">
        <f t="shared" si="25"/>
        <v>0.19229400153170748</v>
      </c>
      <c r="AM27" s="9">
        <f t="shared" si="25"/>
        <v>0.19229400153170739</v>
      </c>
      <c r="AO27" s="1" t="s">
        <v>51</v>
      </c>
      <c r="AP27" s="2">
        <f>+AP25/AP26</f>
        <v>4.8929901029604501</v>
      </c>
    </row>
    <row r="28" spans="2:177">
      <c r="M28" s="9"/>
      <c r="AO28" s="1" t="s">
        <v>52</v>
      </c>
      <c r="AP28" s="2">
        <f>+Main!K3</f>
        <v>7.65</v>
      </c>
    </row>
    <row r="29" spans="2:177">
      <c r="AO29" s="11" t="s">
        <v>53</v>
      </c>
      <c r="AP29" s="15">
        <f>+AP27/AP28-1</f>
        <v>-0.36039345059340522</v>
      </c>
    </row>
    <row r="32" spans="2:177">
      <c r="B32" s="1" t="s">
        <v>54</v>
      </c>
    </row>
  </sheetData>
  <pageMargins left="0.7" right="0.7" top="0.75" bottom="0.75" header="0.3" footer="0.3"/>
  <ignoredErrors>
    <ignoredError sqref="I14:J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2024-03-05T02:30:47Z</dcterms:created>
  <dcterms:modified xsi:type="dcterms:W3CDTF">2024-03-05T03:19:08Z</dcterms:modified>
</cp:coreProperties>
</file>