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elbrannon/Dropbox/Models/"/>
    </mc:Choice>
  </mc:AlternateContent>
  <xr:revisionPtr revIDLastSave="0" documentId="13_ncr:1_{16D2770E-A275-084D-822B-DB247B600A93}" xr6:coauthVersionLast="47" xr6:coauthVersionMax="47" xr10:uidLastSave="{00000000-0000-0000-0000-000000000000}"/>
  <bookViews>
    <workbookView xWindow="10540" yWindow="780" windowWidth="43040" windowHeight="24560" activeTab="1" xr2:uid="{39773B44-95BC-A641-A327-344C16B2EF1F}"/>
  </bookViews>
  <sheets>
    <sheet name="Main" sheetId="2" r:id="rId1"/>
    <sheet name="Model" sheetId="1" r:id="rId2"/>
    <sheet name="Sheet1" sheetId="3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2" l="1"/>
  <c r="I11" i="2"/>
  <c r="AV50" i="1"/>
  <c r="AV49" i="1"/>
  <c r="AY52" i="1"/>
  <c r="V57" i="1"/>
  <c r="V94" i="1"/>
  <c r="V93" i="1"/>
  <c r="V92" i="1"/>
  <c r="V91" i="1"/>
  <c r="V82" i="1"/>
  <c r="V87" i="1" s="1"/>
  <c r="V89" i="1" s="1"/>
  <c r="V63" i="1"/>
  <c r="V72" i="1" s="1"/>
  <c r="AK80" i="1"/>
  <c r="AN38" i="1"/>
  <c r="AM38" i="1"/>
  <c r="AK170" i="1"/>
  <c r="AJ170" i="1"/>
  <c r="AI170" i="1"/>
  <c r="AH170" i="1"/>
  <c r="AL170" i="1"/>
  <c r="AL169" i="1"/>
  <c r="AO8" i="1"/>
  <c r="AP8" i="1" s="1"/>
  <c r="AQ8" i="1" s="1"/>
  <c r="AR8" i="1" s="1"/>
  <c r="AS8" i="1" s="1"/>
  <c r="AT8" i="1" s="1"/>
  <c r="AU8" i="1" s="1"/>
  <c r="AV8" i="1" s="1"/>
  <c r="AN8" i="1"/>
  <c r="AM8" i="1"/>
  <c r="AL8" i="1"/>
  <c r="V10" i="1"/>
  <c r="V8" i="1"/>
  <c r="AV45" i="1"/>
  <c r="AV3" i="1"/>
  <c r="AL45" i="1"/>
  <c r="AL46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V24" i="1"/>
  <c r="I24" i="1"/>
  <c r="H24" i="1"/>
  <c r="U94" i="1" l="1"/>
  <c r="U93" i="1"/>
  <c r="U92" i="1"/>
  <c r="U91" i="1"/>
  <c r="U82" i="1"/>
  <c r="U87" i="1" s="1"/>
  <c r="U89" i="1" s="1"/>
  <c r="U63" i="1"/>
  <c r="U72" i="1" s="1"/>
  <c r="U57" i="1"/>
  <c r="T19" i="1"/>
  <c r="T18" i="1"/>
  <c r="T17" i="1"/>
  <c r="U10" i="1"/>
  <c r="T10" i="1"/>
  <c r="T8" i="1"/>
  <c r="U19" i="1"/>
  <c r="U18" i="1"/>
  <c r="U17" i="1"/>
  <c r="U8" i="1"/>
  <c r="U32" i="1"/>
  <c r="U24" i="1"/>
  <c r="AL58" i="1"/>
  <c r="AM58" i="1" s="1"/>
  <c r="AN58" i="1" s="1"/>
  <c r="AK58" i="1"/>
  <c r="T93" i="1"/>
  <c r="T92" i="1"/>
  <c r="T91" i="1"/>
  <c r="T82" i="1"/>
  <c r="T87" i="1" s="1"/>
  <c r="T89" i="1" s="1"/>
  <c r="T72" i="1"/>
  <c r="T63" i="1"/>
  <c r="S57" i="1"/>
  <c r="T57" i="1"/>
  <c r="AK57" i="1" s="1"/>
  <c r="T24" i="1"/>
  <c r="S92" i="1"/>
  <c r="R92" i="1"/>
  <c r="Q92" i="1"/>
  <c r="P92" i="1"/>
  <c r="O92" i="1"/>
  <c r="N92" i="1"/>
  <c r="M92" i="1"/>
  <c r="L92" i="1"/>
  <c r="K92" i="1"/>
  <c r="J92" i="1"/>
  <c r="R93" i="1"/>
  <c r="Q93" i="1"/>
  <c r="P93" i="1"/>
  <c r="O93" i="1"/>
  <c r="N93" i="1"/>
  <c r="M93" i="1"/>
  <c r="L93" i="1"/>
  <c r="K93" i="1"/>
  <c r="J93" i="1"/>
  <c r="S93" i="1"/>
  <c r="AK83" i="1"/>
  <c r="AL83" i="1" s="1"/>
  <c r="AM83" i="1" s="1"/>
  <c r="AN83" i="1" s="1"/>
  <c r="AO83" i="1" s="1"/>
  <c r="AP83" i="1" s="1"/>
  <c r="AQ83" i="1" s="1"/>
  <c r="AR83" i="1" s="1"/>
  <c r="AS83" i="1" s="1"/>
  <c r="AT83" i="1" s="1"/>
  <c r="AU83" i="1" s="1"/>
  <c r="AH169" i="1"/>
  <c r="K82" i="1"/>
  <c r="K87" i="1" s="1"/>
  <c r="K89" i="1" s="1"/>
  <c r="K63" i="1"/>
  <c r="K57" i="1"/>
  <c r="L82" i="1"/>
  <c r="L87" i="1" s="1"/>
  <c r="L89" i="1" s="1"/>
  <c r="L63" i="1"/>
  <c r="L57" i="1"/>
  <c r="J57" i="1"/>
  <c r="J82" i="1"/>
  <c r="J87" i="1" s="1"/>
  <c r="J89" i="1" s="1"/>
  <c r="J63" i="1"/>
  <c r="M82" i="1"/>
  <c r="M87" i="1" s="1"/>
  <c r="M89" i="1" s="1"/>
  <c r="M63" i="1"/>
  <c r="M57" i="1"/>
  <c r="G17" i="1"/>
  <c r="H17" i="1"/>
  <c r="I17" i="1"/>
  <c r="G18" i="1"/>
  <c r="H18" i="1"/>
  <c r="I18" i="1"/>
  <c r="G19" i="1"/>
  <c r="H19" i="1"/>
  <c r="I19" i="1"/>
  <c r="C32" i="1"/>
  <c r="C24" i="1"/>
  <c r="D32" i="1"/>
  <c r="D24" i="1"/>
  <c r="E32" i="1"/>
  <c r="E24" i="1"/>
  <c r="F32" i="1"/>
  <c r="F24" i="1"/>
  <c r="I18" i="2"/>
  <c r="AC14" i="1"/>
  <c r="AC19" i="1" s="1"/>
  <c r="AD14" i="1"/>
  <c r="AD19" i="1" s="1"/>
  <c r="AC32" i="1"/>
  <c r="AC24" i="1"/>
  <c r="AD32" i="1"/>
  <c r="AD24" i="1"/>
  <c r="AA3" i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E14" i="1"/>
  <c r="AE19" i="1" s="1"/>
  <c r="AF14" i="1"/>
  <c r="AF19" i="1" s="1"/>
  <c r="AG14" i="1"/>
  <c r="AG19" i="1" s="1"/>
  <c r="AE32" i="1"/>
  <c r="AE24" i="1"/>
  <c r="AF32" i="1"/>
  <c r="AF24" i="1"/>
  <c r="AG32" i="1"/>
  <c r="AG24" i="1"/>
  <c r="AG10" i="1" s="1"/>
  <c r="AH32" i="1"/>
  <c r="AH24" i="1"/>
  <c r="AH49" i="1" s="1"/>
  <c r="AJ169" i="1"/>
  <c r="AI169" i="1"/>
  <c r="AK169" i="1"/>
  <c r="R57" i="1"/>
  <c r="Q57" i="1"/>
  <c r="P57" i="1"/>
  <c r="O57" i="1"/>
  <c r="N57" i="1"/>
  <c r="O82" i="1"/>
  <c r="O87" i="1" s="1"/>
  <c r="O89" i="1" s="1"/>
  <c r="O63" i="1"/>
  <c r="O72" i="1" s="1"/>
  <c r="O113" i="1" s="1"/>
  <c r="P164" i="1"/>
  <c r="Q164" i="1" s="1"/>
  <c r="R164" i="1" s="1"/>
  <c r="P163" i="1"/>
  <c r="Q163" i="1" s="1"/>
  <c r="R163" i="1" s="1"/>
  <c r="P162" i="1"/>
  <c r="Q162" i="1" s="1"/>
  <c r="R162" i="1" s="1"/>
  <c r="P161" i="1"/>
  <c r="Q161" i="1" s="1"/>
  <c r="R161" i="1" s="1"/>
  <c r="P160" i="1"/>
  <c r="P159" i="1"/>
  <c r="Q159" i="1" s="1"/>
  <c r="R159" i="1" s="1"/>
  <c r="P158" i="1"/>
  <c r="Q158" i="1" s="1"/>
  <c r="R158" i="1" s="1"/>
  <c r="P157" i="1"/>
  <c r="Q157" i="1" s="1"/>
  <c r="P154" i="1"/>
  <c r="Q154" i="1" s="1"/>
  <c r="R154" i="1" s="1"/>
  <c r="P153" i="1"/>
  <c r="Q153" i="1" s="1"/>
  <c r="R153" i="1" s="1"/>
  <c r="P152" i="1"/>
  <c r="Q152" i="1" s="1"/>
  <c r="R152" i="1" s="1"/>
  <c r="P151" i="1"/>
  <c r="Q151" i="1" s="1"/>
  <c r="R151" i="1" s="1"/>
  <c r="P150" i="1"/>
  <c r="P147" i="1"/>
  <c r="Q147" i="1" s="1"/>
  <c r="R147" i="1" s="1"/>
  <c r="P146" i="1"/>
  <c r="Q146" i="1" s="1"/>
  <c r="P145" i="1"/>
  <c r="Q145" i="1" s="1"/>
  <c r="R145" i="1" s="1"/>
  <c r="P144" i="1"/>
  <c r="P143" i="1"/>
  <c r="Q143" i="1" s="1"/>
  <c r="R143" i="1" s="1"/>
  <c r="P142" i="1"/>
  <c r="Q142" i="1" s="1"/>
  <c r="R142" i="1" s="1"/>
  <c r="P141" i="1"/>
  <c r="Q141" i="1" s="1"/>
  <c r="R141" i="1" s="1"/>
  <c r="P140" i="1"/>
  <c r="Q140" i="1" s="1"/>
  <c r="R140" i="1" s="1"/>
  <c r="P139" i="1"/>
  <c r="Q139" i="1" s="1"/>
  <c r="R139" i="1" s="1"/>
  <c r="P138" i="1"/>
  <c r="Q138" i="1" s="1"/>
  <c r="R138" i="1" s="1"/>
  <c r="P136" i="1"/>
  <c r="Q136" i="1" s="1"/>
  <c r="R136" i="1" s="1"/>
  <c r="P134" i="1"/>
  <c r="Q134" i="1" s="1"/>
  <c r="R134" i="1" s="1"/>
  <c r="P133" i="1"/>
  <c r="Q133" i="1" s="1"/>
  <c r="P132" i="1"/>
  <c r="P131" i="1"/>
  <c r="P130" i="1"/>
  <c r="Q130" i="1" s="1"/>
  <c r="R130" i="1" s="1"/>
  <c r="P82" i="1"/>
  <c r="P87" i="1" s="1"/>
  <c r="P89" i="1" s="1"/>
  <c r="P63" i="1"/>
  <c r="P72" i="1" s="1"/>
  <c r="P124" i="1" s="1"/>
  <c r="Q82" i="1"/>
  <c r="Q87" i="1" s="1"/>
  <c r="Q89" i="1" s="1"/>
  <c r="Q63" i="1"/>
  <c r="Q72" i="1" s="1"/>
  <c r="Q127" i="1" s="1"/>
  <c r="O148" i="1"/>
  <c r="O169" i="1" s="1"/>
  <c r="R137" i="1"/>
  <c r="R135" i="1"/>
  <c r="N82" i="1"/>
  <c r="N87" i="1" s="1"/>
  <c r="N89" i="1" s="1"/>
  <c r="N63" i="1"/>
  <c r="N72" i="1" s="1"/>
  <c r="N120" i="1" s="1"/>
  <c r="AK19" i="1"/>
  <c r="AJ19" i="1"/>
  <c r="AI19" i="1"/>
  <c r="AK18" i="1"/>
  <c r="AJ18" i="1"/>
  <c r="AI18" i="1"/>
  <c r="AK17" i="1"/>
  <c r="AJ17" i="1"/>
  <c r="AI17" i="1"/>
  <c r="AH19" i="1"/>
  <c r="AH18" i="1"/>
  <c r="AH17" i="1"/>
  <c r="Q19" i="1"/>
  <c r="P19" i="1"/>
  <c r="O19" i="1"/>
  <c r="M19" i="1"/>
  <c r="L19" i="1"/>
  <c r="K19" i="1"/>
  <c r="Q18" i="1"/>
  <c r="P18" i="1"/>
  <c r="O18" i="1"/>
  <c r="M18" i="1"/>
  <c r="L18" i="1"/>
  <c r="K18" i="1"/>
  <c r="Q17" i="1"/>
  <c r="P17" i="1"/>
  <c r="O17" i="1"/>
  <c r="M17" i="1"/>
  <c r="L17" i="1"/>
  <c r="K17" i="1"/>
  <c r="S19" i="1"/>
  <c r="S18" i="1"/>
  <c r="S17" i="1"/>
  <c r="R14" i="1"/>
  <c r="R13" i="1"/>
  <c r="R12" i="1"/>
  <c r="S8" i="1"/>
  <c r="O165" i="1"/>
  <c r="O155" i="1"/>
  <c r="S165" i="1"/>
  <c r="S155" i="1"/>
  <c r="S133" i="1"/>
  <c r="S132" i="1"/>
  <c r="S82" i="1"/>
  <c r="S87" i="1" s="1"/>
  <c r="S89" i="1" s="1"/>
  <c r="S63" i="1"/>
  <c r="S72" i="1" s="1"/>
  <c r="S125" i="1" s="1"/>
  <c r="AI23" i="1"/>
  <c r="AI22" i="1"/>
  <c r="AI21" i="1"/>
  <c r="AJ23" i="1"/>
  <c r="AJ22" i="1"/>
  <c r="AJ21" i="1"/>
  <c r="AK23" i="1"/>
  <c r="AK22" i="1"/>
  <c r="AK21" i="1"/>
  <c r="S30" i="1"/>
  <c r="S24" i="1"/>
  <c r="R82" i="1"/>
  <c r="R87" i="1" s="1"/>
  <c r="R89" i="1" s="1"/>
  <c r="R63" i="1"/>
  <c r="R72" i="1" s="1"/>
  <c r="R98" i="1" s="1"/>
  <c r="J14" i="1"/>
  <c r="J13" i="1"/>
  <c r="J12" i="1"/>
  <c r="J17" i="1" s="1"/>
  <c r="N12" i="1"/>
  <c r="N14" i="1"/>
  <c r="N13" i="1"/>
  <c r="AY56" i="1"/>
  <c r="AY54" i="1"/>
  <c r="AJ9" i="1"/>
  <c r="AI9" i="1"/>
  <c r="AH9" i="1"/>
  <c r="AG9" i="1"/>
  <c r="Q8" i="1"/>
  <c r="P8" i="1"/>
  <c r="O8" i="1"/>
  <c r="M8" i="1"/>
  <c r="L8" i="1"/>
  <c r="K8" i="1"/>
  <c r="I8" i="1"/>
  <c r="H8" i="1"/>
  <c r="G8" i="1"/>
  <c r="R8" i="1"/>
  <c r="AK8" i="1" s="1"/>
  <c r="AK43" i="1"/>
  <c r="AJ43" i="1"/>
  <c r="AI43" i="1"/>
  <c r="AK41" i="1"/>
  <c r="AJ41" i="1"/>
  <c r="AI41" i="1"/>
  <c r="AK39" i="1"/>
  <c r="AJ39" i="1"/>
  <c r="AI39" i="1"/>
  <c r="AK38" i="1"/>
  <c r="AJ38" i="1"/>
  <c r="AI38" i="1"/>
  <c r="AK36" i="1"/>
  <c r="AJ36" i="1"/>
  <c r="AI36" i="1"/>
  <c r="AK33" i="1"/>
  <c r="AJ33" i="1"/>
  <c r="AI33" i="1"/>
  <c r="AK30" i="1"/>
  <c r="AJ30" i="1"/>
  <c r="AI30" i="1"/>
  <c r="AK29" i="1"/>
  <c r="AJ29" i="1"/>
  <c r="AI29" i="1"/>
  <c r="AK28" i="1"/>
  <c r="AJ28" i="1"/>
  <c r="AI28" i="1"/>
  <c r="AK27" i="1"/>
  <c r="AJ27" i="1"/>
  <c r="AI27" i="1"/>
  <c r="AK26" i="1"/>
  <c r="AJ26" i="1"/>
  <c r="AI26" i="1"/>
  <c r="AK25" i="1"/>
  <c r="AJ25" i="1"/>
  <c r="AI25" i="1"/>
  <c r="G32" i="1"/>
  <c r="G24" i="1"/>
  <c r="H32" i="1"/>
  <c r="I32" i="1"/>
  <c r="I49" i="1"/>
  <c r="J32" i="1"/>
  <c r="J24" i="1"/>
  <c r="J10" i="1" s="1"/>
  <c r="K32" i="1"/>
  <c r="K24" i="1"/>
  <c r="O32" i="1"/>
  <c r="O24" i="1"/>
  <c r="L32" i="1"/>
  <c r="L24" i="1"/>
  <c r="L10" i="1" s="1"/>
  <c r="P32" i="1"/>
  <c r="P24" i="1"/>
  <c r="M32" i="1"/>
  <c r="M24" i="1"/>
  <c r="Q32" i="1"/>
  <c r="Q24" i="1"/>
  <c r="N32" i="1"/>
  <c r="N24" i="1"/>
  <c r="N10" i="1" s="1"/>
  <c r="R32" i="1"/>
  <c r="R24" i="1"/>
  <c r="I9" i="2"/>
  <c r="J10" i="2"/>
  <c r="J11" i="2" s="1"/>
  <c r="U34" i="1" l="1"/>
  <c r="U40" i="1" s="1"/>
  <c r="U42" i="1" s="1"/>
  <c r="U44" i="1" s="1"/>
  <c r="U46" i="1" s="1"/>
  <c r="H49" i="1"/>
  <c r="M10" i="1"/>
  <c r="K91" i="1"/>
  <c r="J19" i="1"/>
  <c r="O10" i="1"/>
  <c r="F34" i="1"/>
  <c r="F40" i="1" s="1"/>
  <c r="F42" i="1" s="1"/>
  <c r="F44" i="1" s="1"/>
  <c r="F46" i="1" s="1"/>
  <c r="J18" i="1"/>
  <c r="AE49" i="1"/>
  <c r="AL80" i="1"/>
  <c r="AM39" i="1" s="1"/>
  <c r="P10" i="1"/>
  <c r="I10" i="1"/>
  <c r="K10" i="1"/>
  <c r="AD49" i="1"/>
  <c r="J49" i="1"/>
  <c r="S10" i="1"/>
  <c r="AO58" i="1"/>
  <c r="AP58" i="1" s="1"/>
  <c r="AQ58" i="1" s="1"/>
  <c r="AR58" i="1" s="1"/>
  <c r="AS58" i="1" s="1"/>
  <c r="AT58" i="1" s="1"/>
  <c r="AU58" i="1" s="1"/>
  <c r="H10" i="1"/>
  <c r="AF18" i="1"/>
  <c r="G49" i="1"/>
  <c r="J91" i="1"/>
  <c r="K72" i="1"/>
  <c r="L91" i="1"/>
  <c r="L72" i="1"/>
  <c r="J72" i="1"/>
  <c r="M91" i="1"/>
  <c r="M72" i="1"/>
  <c r="C34" i="1"/>
  <c r="C40" i="1" s="1"/>
  <c r="C42" i="1" s="1"/>
  <c r="C44" i="1" s="1"/>
  <c r="C46" i="1" s="1"/>
  <c r="D34" i="1"/>
  <c r="D40" i="1" s="1"/>
  <c r="D42" i="1" s="1"/>
  <c r="D44" i="1" s="1"/>
  <c r="D46" i="1" s="1"/>
  <c r="E34" i="1"/>
  <c r="E40" i="1" s="1"/>
  <c r="E42" i="1" s="1"/>
  <c r="E44" i="1" s="1"/>
  <c r="E46" i="1" s="1"/>
  <c r="Q10" i="1"/>
  <c r="AD17" i="1"/>
  <c r="R10" i="1"/>
  <c r="AC17" i="1"/>
  <c r="AC18" i="1"/>
  <c r="AH10" i="1"/>
  <c r="AE17" i="1"/>
  <c r="AD18" i="1"/>
  <c r="AF49" i="1"/>
  <c r="AF17" i="1"/>
  <c r="AF10" i="1"/>
  <c r="AE18" i="1"/>
  <c r="AC34" i="1"/>
  <c r="AC40" i="1" s="1"/>
  <c r="AC42" i="1" s="1"/>
  <c r="AC44" i="1" s="1"/>
  <c r="AC46" i="1" s="1"/>
  <c r="AG49" i="1"/>
  <c r="AD34" i="1"/>
  <c r="AD40" i="1" s="1"/>
  <c r="AD42" i="1" s="1"/>
  <c r="AD44" i="1" s="1"/>
  <c r="AD46" i="1" s="1"/>
  <c r="AG17" i="1"/>
  <c r="AG34" i="1"/>
  <c r="AG18" i="1"/>
  <c r="AH34" i="1"/>
  <c r="AE34" i="1"/>
  <c r="AF34" i="1"/>
  <c r="N128" i="1"/>
  <c r="N116" i="1"/>
  <c r="O101" i="1"/>
  <c r="P105" i="1"/>
  <c r="P112" i="1"/>
  <c r="P113" i="1"/>
  <c r="N105" i="1"/>
  <c r="O117" i="1"/>
  <c r="N109" i="1"/>
  <c r="O125" i="1"/>
  <c r="P128" i="1"/>
  <c r="N113" i="1"/>
  <c r="P125" i="1"/>
  <c r="R118" i="1"/>
  <c r="S128" i="1"/>
  <c r="S118" i="1"/>
  <c r="R97" i="1"/>
  <c r="R103" i="1"/>
  <c r="R110" i="1"/>
  <c r="S122" i="1"/>
  <c r="N108" i="1"/>
  <c r="S97" i="1"/>
  <c r="P104" i="1"/>
  <c r="S110" i="1"/>
  <c r="P117" i="1"/>
  <c r="R123" i="1"/>
  <c r="R99" i="1"/>
  <c r="N97" i="1"/>
  <c r="N117" i="1"/>
  <c r="P101" i="1"/>
  <c r="R107" i="1"/>
  <c r="S113" i="1"/>
  <c r="P120" i="1"/>
  <c r="S126" i="1"/>
  <c r="S98" i="1"/>
  <c r="R128" i="1"/>
  <c r="S106" i="1"/>
  <c r="R126" i="1"/>
  <c r="Q128" i="1"/>
  <c r="O128" i="1"/>
  <c r="N100" i="1"/>
  <c r="N124" i="1"/>
  <c r="R102" i="1"/>
  <c r="O109" i="1"/>
  <c r="S114" i="1"/>
  <c r="P121" i="1"/>
  <c r="R127" i="1"/>
  <c r="R111" i="1"/>
  <c r="S105" i="1"/>
  <c r="R119" i="1"/>
  <c r="N101" i="1"/>
  <c r="N125" i="1"/>
  <c r="S102" i="1"/>
  <c r="P109" i="1"/>
  <c r="R115" i="1"/>
  <c r="S121" i="1"/>
  <c r="N121" i="1"/>
  <c r="O97" i="1"/>
  <c r="Q100" i="1"/>
  <c r="O102" i="1"/>
  <c r="Q108" i="1"/>
  <c r="O110" i="1"/>
  <c r="Q116" i="1"/>
  <c r="O118" i="1"/>
  <c r="Q124" i="1"/>
  <c r="O126" i="1"/>
  <c r="N98" i="1"/>
  <c r="N106" i="1"/>
  <c r="N114" i="1"/>
  <c r="N122" i="1"/>
  <c r="P97" i="1"/>
  <c r="O99" i="1"/>
  <c r="R100" i="1"/>
  <c r="P102" i="1"/>
  <c r="S103" i="1"/>
  <c r="Q105" i="1"/>
  <c r="O107" i="1"/>
  <c r="R108" i="1"/>
  <c r="P110" i="1"/>
  <c r="S111" i="1"/>
  <c r="Q113" i="1"/>
  <c r="O115" i="1"/>
  <c r="R116" i="1"/>
  <c r="P118" i="1"/>
  <c r="S119" i="1"/>
  <c r="Q121" i="1"/>
  <c r="O123" i="1"/>
  <c r="R124" i="1"/>
  <c r="P126" i="1"/>
  <c r="S127" i="1"/>
  <c r="N99" i="1"/>
  <c r="N107" i="1"/>
  <c r="N115" i="1"/>
  <c r="N123" i="1"/>
  <c r="Q97" i="1"/>
  <c r="P99" i="1"/>
  <c r="S100" i="1"/>
  <c r="Q102" i="1"/>
  <c r="O104" i="1"/>
  <c r="R105" i="1"/>
  <c r="P107" i="1"/>
  <c r="S108" i="1"/>
  <c r="Q110" i="1"/>
  <c r="O112" i="1"/>
  <c r="R113" i="1"/>
  <c r="P115" i="1"/>
  <c r="S116" i="1"/>
  <c r="Q118" i="1"/>
  <c r="O120" i="1"/>
  <c r="R121" i="1"/>
  <c r="P123" i="1"/>
  <c r="S124" i="1"/>
  <c r="Q126" i="1"/>
  <c r="Q123" i="1"/>
  <c r="N102" i="1"/>
  <c r="N110" i="1"/>
  <c r="N118" i="1"/>
  <c r="N126" i="1"/>
  <c r="O98" i="1"/>
  <c r="S99" i="1"/>
  <c r="Q101" i="1"/>
  <c r="O103" i="1"/>
  <c r="R104" i="1"/>
  <c r="P106" i="1"/>
  <c r="S107" i="1"/>
  <c r="Q109" i="1"/>
  <c r="O111" i="1"/>
  <c r="R112" i="1"/>
  <c r="P114" i="1"/>
  <c r="S115" i="1"/>
  <c r="Q117" i="1"/>
  <c r="O119" i="1"/>
  <c r="R120" i="1"/>
  <c r="P122" i="1"/>
  <c r="S123" i="1"/>
  <c r="Q125" i="1"/>
  <c r="O127" i="1"/>
  <c r="Q99" i="1"/>
  <c r="Q107" i="1"/>
  <c r="Q115" i="1"/>
  <c r="Q104" i="1"/>
  <c r="O106" i="1"/>
  <c r="Q112" i="1"/>
  <c r="O114" i="1"/>
  <c r="Q120" i="1"/>
  <c r="O122" i="1"/>
  <c r="N103" i="1"/>
  <c r="N111" i="1"/>
  <c r="N119" i="1"/>
  <c r="N127" i="1"/>
  <c r="P98" i="1"/>
  <c r="O100" i="1"/>
  <c r="R101" i="1"/>
  <c r="P103" i="1"/>
  <c r="S104" i="1"/>
  <c r="Q106" i="1"/>
  <c r="O108" i="1"/>
  <c r="R109" i="1"/>
  <c r="P111" i="1"/>
  <c r="S112" i="1"/>
  <c r="Q114" i="1"/>
  <c r="O116" i="1"/>
  <c r="R117" i="1"/>
  <c r="P119" i="1"/>
  <c r="S120" i="1"/>
  <c r="Q122" i="1"/>
  <c r="O124" i="1"/>
  <c r="R125" i="1"/>
  <c r="P127" i="1"/>
  <c r="N104" i="1"/>
  <c r="N112" i="1"/>
  <c r="Q98" i="1"/>
  <c r="P100" i="1"/>
  <c r="S101" i="1"/>
  <c r="Q103" i="1"/>
  <c r="O105" i="1"/>
  <c r="R106" i="1"/>
  <c r="P108" i="1"/>
  <c r="S109" i="1"/>
  <c r="Q111" i="1"/>
  <c r="R114" i="1"/>
  <c r="P116" i="1"/>
  <c r="S117" i="1"/>
  <c r="Q119" i="1"/>
  <c r="O121" i="1"/>
  <c r="R122" i="1"/>
  <c r="Q91" i="1"/>
  <c r="O91" i="1"/>
  <c r="N91" i="1"/>
  <c r="P91" i="1"/>
  <c r="S91" i="1"/>
  <c r="R91" i="1"/>
  <c r="P155" i="1"/>
  <c r="P148" i="1"/>
  <c r="P165" i="1"/>
  <c r="Q131" i="1"/>
  <c r="R131" i="1" s="1"/>
  <c r="R133" i="1"/>
  <c r="Q150" i="1"/>
  <c r="R150" i="1" s="1"/>
  <c r="R155" i="1" s="1"/>
  <c r="Q160" i="1"/>
  <c r="R160" i="1" s="1"/>
  <c r="Q144" i="1"/>
  <c r="R144" i="1" s="1"/>
  <c r="Q132" i="1"/>
  <c r="R132" i="1" s="1"/>
  <c r="R157" i="1"/>
  <c r="R146" i="1"/>
  <c r="N19" i="1"/>
  <c r="S148" i="1"/>
  <c r="S169" i="1" s="1"/>
  <c r="R17" i="1"/>
  <c r="R18" i="1"/>
  <c r="R19" i="1"/>
  <c r="N18" i="1"/>
  <c r="N17" i="1"/>
  <c r="O167" i="1"/>
  <c r="AK24" i="1"/>
  <c r="AK10" i="1" s="1"/>
  <c r="I12" i="2"/>
  <c r="AK9" i="1"/>
  <c r="AL9" i="1"/>
  <c r="L49" i="1"/>
  <c r="K49" i="1"/>
  <c r="P49" i="1"/>
  <c r="AI24" i="1"/>
  <c r="AI10" i="1" s="1"/>
  <c r="M49" i="1"/>
  <c r="Q49" i="1"/>
  <c r="O49" i="1"/>
  <c r="V49" i="1"/>
  <c r="R34" i="1"/>
  <c r="R49" i="1"/>
  <c r="AJ32" i="1"/>
  <c r="AI32" i="1"/>
  <c r="N49" i="1"/>
  <c r="AJ24" i="1"/>
  <c r="AJ10" i="1" s="1"/>
  <c r="AK32" i="1"/>
  <c r="U49" i="1"/>
  <c r="G34" i="1"/>
  <c r="G50" i="1" s="1"/>
  <c r="H34" i="1"/>
  <c r="I34" i="1"/>
  <c r="J34" i="1"/>
  <c r="K34" i="1"/>
  <c r="K50" i="1" s="1"/>
  <c r="O34" i="1"/>
  <c r="O50" i="1" s="1"/>
  <c r="L34" i="1"/>
  <c r="P34" i="1"/>
  <c r="M34" i="1"/>
  <c r="Q34" i="1"/>
  <c r="N34" i="1"/>
  <c r="AM80" i="1" l="1"/>
  <c r="AF40" i="1"/>
  <c r="AF42" i="1" s="1"/>
  <c r="AF44" i="1" s="1"/>
  <c r="AF46" i="1" s="1"/>
  <c r="AF50" i="1"/>
  <c r="AE40" i="1"/>
  <c r="AE42" i="1" s="1"/>
  <c r="AE44" i="1" s="1"/>
  <c r="AE46" i="1" s="1"/>
  <c r="AE50" i="1"/>
  <c r="AG40" i="1"/>
  <c r="AG42" i="1" s="1"/>
  <c r="AG44" i="1" s="1"/>
  <c r="AG46" i="1" s="1"/>
  <c r="AG50" i="1"/>
  <c r="AI49" i="1"/>
  <c r="AH40" i="1"/>
  <c r="AH42" i="1" s="1"/>
  <c r="AH44" i="1" s="1"/>
  <c r="AH46" i="1" s="1"/>
  <c r="AH50" i="1"/>
  <c r="P167" i="1"/>
  <c r="P169" i="1"/>
  <c r="S167" i="1"/>
  <c r="Q148" i="1"/>
  <c r="Q169" i="1" s="1"/>
  <c r="R148" i="1"/>
  <c r="R165" i="1"/>
  <c r="Q155" i="1"/>
  <c r="Q165" i="1"/>
  <c r="L40" i="1"/>
  <c r="L42" i="1" s="1"/>
  <c r="L44" i="1" s="1"/>
  <c r="L50" i="1"/>
  <c r="J40" i="1"/>
  <c r="J42" i="1" s="1"/>
  <c r="J44" i="1" s="1"/>
  <c r="J50" i="1"/>
  <c r="N40" i="1"/>
  <c r="N42" i="1" s="1"/>
  <c r="N44" i="1" s="1"/>
  <c r="N50" i="1"/>
  <c r="I40" i="1"/>
  <c r="I42" i="1" s="1"/>
  <c r="I44" i="1" s="1"/>
  <c r="I50" i="1"/>
  <c r="H40" i="1"/>
  <c r="H42" i="1" s="1"/>
  <c r="H44" i="1" s="1"/>
  <c r="H50" i="1"/>
  <c r="M40" i="1"/>
  <c r="M42" i="1" s="1"/>
  <c r="M44" i="1" s="1"/>
  <c r="M50" i="1"/>
  <c r="P40" i="1"/>
  <c r="P42" i="1" s="1"/>
  <c r="P44" i="1" s="1"/>
  <c r="P50" i="1"/>
  <c r="R40" i="1"/>
  <c r="R42" i="1" s="1"/>
  <c r="R44" i="1" s="1"/>
  <c r="R50" i="1"/>
  <c r="Q40" i="1"/>
  <c r="Q42" i="1" s="1"/>
  <c r="Q44" i="1" s="1"/>
  <c r="Q50" i="1"/>
  <c r="AJ49" i="1"/>
  <c r="AK49" i="1"/>
  <c r="S49" i="1"/>
  <c r="AL10" i="1"/>
  <c r="AM10" i="1" s="1"/>
  <c r="AM24" i="1" s="1"/>
  <c r="O40" i="1"/>
  <c r="AK34" i="1"/>
  <c r="AK50" i="1" s="1"/>
  <c r="V32" i="1"/>
  <c r="V34" i="1" s="1"/>
  <c r="V50" i="1" s="1"/>
  <c r="K40" i="1"/>
  <c r="AJ34" i="1"/>
  <c r="AJ50" i="1" s="1"/>
  <c r="U50" i="1"/>
  <c r="T49" i="1"/>
  <c r="G40" i="1"/>
  <c r="AI34" i="1"/>
  <c r="AI50" i="1" s="1"/>
  <c r="AM45" i="1"/>
  <c r="AN45" i="1" s="1"/>
  <c r="AO45" i="1" s="1"/>
  <c r="AP45" i="1" s="1"/>
  <c r="AQ45" i="1" s="1"/>
  <c r="L46" i="1" l="1"/>
  <c r="M46" i="1"/>
  <c r="N46" i="1"/>
  <c r="J46" i="1"/>
  <c r="H46" i="1"/>
  <c r="AN10" i="1"/>
  <c r="AM49" i="1"/>
  <c r="I46" i="1"/>
  <c r="AN80" i="1"/>
  <c r="AN39" i="1"/>
  <c r="Q167" i="1"/>
  <c r="R167" i="1"/>
  <c r="R169" i="1"/>
  <c r="S172" i="1" s="1"/>
  <c r="R46" i="1"/>
  <c r="R170" i="1"/>
  <c r="P46" i="1"/>
  <c r="P170" i="1"/>
  <c r="Q46" i="1"/>
  <c r="Q170" i="1"/>
  <c r="S32" i="1"/>
  <c r="S34" i="1" s="1"/>
  <c r="S50" i="1" s="1"/>
  <c r="T32" i="1"/>
  <c r="T34" i="1" s="1"/>
  <c r="T50" i="1" s="1"/>
  <c r="K42" i="1"/>
  <c r="AJ40" i="1"/>
  <c r="G42" i="1"/>
  <c r="AI40" i="1"/>
  <c r="AL49" i="1"/>
  <c r="O42" i="1"/>
  <c r="AK40" i="1"/>
  <c r="AR45" i="1"/>
  <c r="AO10" i="1" l="1"/>
  <c r="AN24" i="1"/>
  <c r="AN49" i="1" s="1"/>
  <c r="AO80" i="1"/>
  <c r="AO39" i="1"/>
  <c r="R172" i="1"/>
  <c r="O44" i="1"/>
  <c r="AK42" i="1"/>
  <c r="K44" i="1"/>
  <c r="AJ42" i="1"/>
  <c r="AM33" i="1"/>
  <c r="AM25" i="1"/>
  <c r="AM27" i="1"/>
  <c r="AM29" i="1"/>
  <c r="AM26" i="1"/>
  <c r="V40" i="1"/>
  <c r="V42" i="1" s="1"/>
  <c r="V44" i="1" s="1"/>
  <c r="V46" i="1" s="1"/>
  <c r="G44" i="1"/>
  <c r="J94" i="1" s="1"/>
  <c r="AI42" i="1"/>
  <c r="AS45" i="1"/>
  <c r="AP10" i="1" l="1"/>
  <c r="AQ10" i="1" s="1"/>
  <c r="AR10" i="1" s="1"/>
  <c r="AS10" i="1" s="1"/>
  <c r="AT10" i="1" s="1"/>
  <c r="AU10" i="1" s="1"/>
  <c r="AV10" i="1" s="1"/>
  <c r="AV24" i="1" s="1"/>
  <c r="AO24" i="1"/>
  <c r="AO49" i="1" s="1"/>
  <c r="N94" i="1"/>
  <c r="M94" i="1"/>
  <c r="K94" i="1"/>
  <c r="L94" i="1"/>
  <c r="AL50" i="1"/>
  <c r="O170" i="1"/>
  <c r="R173" i="1" s="1"/>
  <c r="R94" i="1"/>
  <c r="P94" i="1"/>
  <c r="Q94" i="1"/>
  <c r="O94" i="1"/>
  <c r="AP80" i="1"/>
  <c r="AP39" i="1"/>
  <c r="AP24" i="1"/>
  <c r="AP49" i="1" s="1"/>
  <c r="T40" i="1"/>
  <c r="T42" i="1" s="1"/>
  <c r="T44" i="1" s="1"/>
  <c r="T46" i="1" s="1"/>
  <c r="K46" i="1"/>
  <c r="AJ46" i="1" s="1"/>
  <c r="AJ44" i="1"/>
  <c r="S40" i="1"/>
  <c r="G46" i="1"/>
  <c r="AI46" i="1" s="1"/>
  <c r="AI44" i="1"/>
  <c r="AN27" i="1"/>
  <c r="AN29" i="1"/>
  <c r="AN26" i="1"/>
  <c r="AN25" i="1"/>
  <c r="AN33" i="1"/>
  <c r="AM32" i="1"/>
  <c r="AM34" i="1" s="1"/>
  <c r="O46" i="1"/>
  <c r="AK46" i="1" s="1"/>
  <c r="AK44" i="1"/>
  <c r="AT45" i="1"/>
  <c r="AQ39" i="1" l="1"/>
  <c r="AQ80" i="1"/>
  <c r="AM50" i="1"/>
  <c r="AQ24" i="1"/>
  <c r="AQ49" i="1" s="1"/>
  <c r="AJ45" i="1"/>
  <c r="AK45" i="1"/>
  <c r="AI45" i="1"/>
  <c r="AO33" i="1"/>
  <c r="AO25" i="1"/>
  <c r="AN32" i="1"/>
  <c r="AN34" i="1" s="1"/>
  <c r="AN50" i="1" s="1"/>
  <c r="AO26" i="1"/>
  <c r="AO29" i="1"/>
  <c r="AP29" i="1" s="1"/>
  <c r="AO27" i="1"/>
  <c r="AU45" i="1"/>
  <c r="AR39" i="1" l="1"/>
  <c r="AR80" i="1"/>
  <c r="AR24" i="1"/>
  <c r="AR49" i="1" s="1"/>
  <c r="AM40" i="1"/>
  <c r="AP27" i="1"/>
  <c r="AP26" i="1"/>
  <c r="S42" i="1"/>
  <c r="AP25" i="1"/>
  <c r="AO32" i="1"/>
  <c r="AO34" i="1" s="1"/>
  <c r="AO50" i="1" s="1"/>
  <c r="AQ29" i="1"/>
  <c r="AP33" i="1"/>
  <c r="AS39" i="1" l="1"/>
  <c r="AS80" i="1"/>
  <c r="AO38" i="1"/>
  <c r="AS24" i="1"/>
  <c r="AM41" i="1"/>
  <c r="AM42" i="1" s="1"/>
  <c r="S44" i="1"/>
  <c r="AQ27" i="1"/>
  <c r="AQ33" i="1"/>
  <c r="AQ26" i="1"/>
  <c r="AQ25" i="1"/>
  <c r="AP32" i="1"/>
  <c r="AP34" i="1" s="1"/>
  <c r="AP50" i="1" s="1"/>
  <c r="S170" i="1" l="1"/>
  <c r="S173" i="1" s="1"/>
  <c r="S94" i="1"/>
  <c r="T94" i="1"/>
  <c r="AT39" i="1"/>
  <c r="AT80" i="1"/>
  <c r="AS49" i="1"/>
  <c r="AP38" i="1"/>
  <c r="AT24" i="1"/>
  <c r="AT49" i="1" s="1"/>
  <c r="AM44" i="1"/>
  <c r="AR27" i="1"/>
  <c r="AR26" i="1"/>
  <c r="AS26" i="1" s="1"/>
  <c r="AR25" i="1"/>
  <c r="AQ32" i="1"/>
  <c r="AQ34" i="1" s="1"/>
  <c r="AQ50" i="1" s="1"/>
  <c r="S46" i="1"/>
  <c r="AL57" i="1"/>
  <c r="AR33" i="1"/>
  <c r="AR29" i="1"/>
  <c r="AU39" i="1" l="1"/>
  <c r="AU80" i="1"/>
  <c r="AV39" i="1" s="1"/>
  <c r="AM57" i="1"/>
  <c r="AQ38" i="1"/>
  <c r="AN40" i="1"/>
  <c r="AN41" i="1" s="1"/>
  <c r="AM46" i="1"/>
  <c r="AU24" i="1"/>
  <c r="AS25" i="1"/>
  <c r="AR32" i="1"/>
  <c r="AR34" i="1" s="1"/>
  <c r="AR50" i="1" s="1"/>
  <c r="AS33" i="1"/>
  <c r="AS27" i="1"/>
  <c r="AS29" i="1"/>
  <c r="AR38" i="1" l="1"/>
  <c r="AN42" i="1"/>
  <c r="AN44" i="1" s="1"/>
  <c r="AN57" i="1" s="1"/>
  <c r="AT33" i="1"/>
  <c r="AT27" i="1"/>
  <c r="AT25" i="1"/>
  <c r="AS32" i="1"/>
  <c r="AS34" i="1" s="1"/>
  <c r="AT29" i="1"/>
  <c r="AT26" i="1"/>
  <c r="AS38" i="1" l="1"/>
  <c r="AN46" i="1"/>
  <c r="AS50" i="1"/>
  <c r="AU26" i="1"/>
  <c r="AV26" i="1" s="1"/>
  <c r="AU29" i="1"/>
  <c r="AV29" i="1" s="1"/>
  <c r="AU49" i="1"/>
  <c r="AU33" i="1"/>
  <c r="AV33" i="1" s="1"/>
  <c r="AU25" i="1"/>
  <c r="AV25" i="1" s="1"/>
  <c r="AV32" i="1" s="1"/>
  <c r="AV34" i="1" s="1"/>
  <c r="AT32" i="1"/>
  <c r="AT34" i="1" s="1"/>
  <c r="AT50" i="1" s="1"/>
  <c r="AU27" i="1"/>
  <c r="AV27" i="1" s="1"/>
  <c r="AT38" i="1" l="1"/>
  <c r="AO40" i="1"/>
  <c r="AO41" i="1" s="1"/>
  <c r="AO42" i="1" s="1"/>
  <c r="AO44" i="1" s="1"/>
  <c r="AU32" i="1"/>
  <c r="AU34" i="1" s="1"/>
  <c r="AU50" i="1" s="1"/>
  <c r="AU38" i="1" l="1"/>
  <c r="AV38" i="1" s="1"/>
  <c r="AV40" i="1" s="1"/>
  <c r="AO46" i="1"/>
  <c r="AO57" i="1"/>
  <c r="AP40" i="1" l="1"/>
  <c r="AP41" i="1" s="1"/>
  <c r="AP42" i="1" s="1"/>
  <c r="AP44" i="1" s="1"/>
  <c r="AP46" i="1" s="1"/>
  <c r="AP57" i="1" l="1"/>
  <c r="AQ40" i="1" l="1"/>
  <c r="AQ41" i="1" l="1"/>
  <c r="AQ42" i="1" s="1"/>
  <c r="AQ44" i="1" s="1"/>
  <c r="AQ57" i="1" s="1"/>
  <c r="AQ46" i="1" l="1"/>
  <c r="AR40" i="1" l="1"/>
  <c r="AR41" i="1" s="1"/>
  <c r="AR42" i="1" s="1"/>
  <c r="AR44" i="1" s="1"/>
  <c r="AR46" i="1" l="1"/>
  <c r="AR57" i="1"/>
  <c r="AS40" i="1"/>
  <c r="AS41" i="1" l="1"/>
  <c r="AS42" i="1" s="1"/>
  <c r="AS44" i="1" s="1"/>
  <c r="AS57" i="1" s="1"/>
  <c r="AS46" i="1" l="1"/>
  <c r="AT40" i="1" l="1"/>
  <c r="AT41" i="1" s="1"/>
  <c r="AT42" i="1" s="1"/>
  <c r="AT44" i="1" s="1"/>
  <c r="AT57" i="1" s="1"/>
  <c r="AT46" i="1" l="1"/>
  <c r="AU40" i="1" l="1"/>
  <c r="AU41" i="1" s="1"/>
  <c r="AU42" i="1" l="1"/>
  <c r="AU44" i="1" s="1"/>
  <c r="AV41" i="1"/>
  <c r="AV42" i="1" s="1"/>
  <c r="AV44" i="1" s="1"/>
  <c r="AV46" i="1" s="1"/>
  <c r="AU57" i="1"/>
  <c r="AU46" i="1"/>
  <c r="AW44" i="1" l="1"/>
  <c r="AX44" i="1" s="1"/>
  <c r="AY44" i="1" s="1"/>
  <c r="AZ44" i="1" s="1"/>
  <c r="BA44" i="1" s="1"/>
  <c r="BB44" i="1" s="1"/>
  <c r="BC44" i="1" s="1"/>
  <c r="BD44" i="1" s="1"/>
  <c r="BE44" i="1" s="1"/>
  <c r="BF44" i="1" s="1"/>
  <c r="BG44" i="1" s="1"/>
  <c r="BH44" i="1" s="1"/>
  <c r="BI44" i="1" s="1"/>
  <c r="BJ44" i="1" s="1"/>
  <c r="BK44" i="1" s="1"/>
  <c r="BL44" i="1" s="1"/>
  <c r="BM44" i="1" s="1"/>
  <c r="BN44" i="1" s="1"/>
  <c r="BO44" i="1" s="1"/>
  <c r="BP44" i="1" s="1"/>
  <c r="BQ44" i="1" s="1"/>
  <c r="BR44" i="1" s="1"/>
  <c r="BS44" i="1" s="1"/>
  <c r="BT44" i="1" s="1"/>
  <c r="BU44" i="1" s="1"/>
  <c r="BV44" i="1" s="1"/>
  <c r="BW44" i="1" s="1"/>
  <c r="BX44" i="1" s="1"/>
  <c r="BY44" i="1" s="1"/>
  <c r="BZ44" i="1" s="1"/>
  <c r="CA44" i="1" s="1"/>
  <c r="CB44" i="1" s="1"/>
  <c r="CC44" i="1" s="1"/>
  <c r="CD44" i="1" s="1"/>
  <c r="CE44" i="1" s="1"/>
  <c r="CF44" i="1" s="1"/>
  <c r="CG44" i="1" s="1"/>
  <c r="CH44" i="1" s="1"/>
  <c r="CI44" i="1" s="1"/>
  <c r="CJ44" i="1" s="1"/>
  <c r="CK44" i="1" s="1"/>
  <c r="CL44" i="1" s="1"/>
  <c r="CM44" i="1" s="1"/>
  <c r="CN44" i="1" s="1"/>
  <c r="CO44" i="1" s="1"/>
  <c r="CP44" i="1" s="1"/>
  <c r="CQ44" i="1" s="1"/>
  <c r="CR44" i="1" s="1"/>
  <c r="CS44" i="1" s="1"/>
  <c r="CT44" i="1" s="1"/>
  <c r="CU44" i="1" s="1"/>
  <c r="CV44" i="1" s="1"/>
  <c r="CW44" i="1" s="1"/>
  <c r="CX44" i="1" s="1"/>
  <c r="CY44" i="1" s="1"/>
  <c r="CZ44" i="1" s="1"/>
  <c r="DA44" i="1" s="1"/>
  <c r="DB44" i="1" s="1"/>
  <c r="DC44" i="1" s="1"/>
  <c r="DD44" i="1" s="1"/>
  <c r="DE44" i="1" s="1"/>
  <c r="DF44" i="1" s="1"/>
  <c r="DG44" i="1" s="1"/>
  <c r="DH44" i="1" s="1"/>
  <c r="DI44" i="1" s="1"/>
  <c r="DJ44" i="1" s="1"/>
  <c r="DK44" i="1" s="1"/>
  <c r="DL44" i="1" s="1"/>
  <c r="DM44" i="1" s="1"/>
  <c r="DN44" i="1" s="1"/>
  <c r="DO44" i="1" s="1"/>
  <c r="DP44" i="1" s="1"/>
  <c r="DQ44" i="1" s="1"/>
  <c r="DR44" i="1" s="1"/>
  <c r="DS44" i="1" s="1"/>
  <c r="DT44" i="1" s="1"/>
  <c r="DU44" i="1" s="1"/>
  <c r="DV44" i="1" s="1"/>
  <c r="DW44" i="1" s="1"/>
  <c r="DX44" i="1" s="1"/>
  <c r="DY44" i="1" s="1"/>
  <c r="DZ44" i="1" s="1"/>
  <c r="EA44" i="1" s="1"/>
  <c r="EB44" i="1" s="1"/>
  <c r="EC44" i="1" s="1"/>
  <c r="ED44" i="1" s="1"/>
  <c r="EE44" i="1" s="1"/>
  <c r="EF44" i="1" s="1"/>
  <c r="EG44" i="1" s="1"/>
  <c r="EH44" i="1" s="1"/>
  <c r="EI44" i="1" s="1"/>
  <c r="EJ44" i="1" s="1"/>
  <c r="EK44" i="1" s="1"/>
  <c r="EL44" i="1" s="1"/>
  <c r="EM44" i="1" s="1"/>
  <c r="EN44" i="1" s="1"/>
  <c r="EO44" i="1" s="1"/>
  <c r="EP44" i="1" s="1"/>
  <c r="EQ44" i="1" s="1"/>
  <c r="ER44" i="1" s="1"/>
  <c r="ES44" i="1" s="1"/>
  <c r="ET44" i="1" s="1"/>
  <c r="EU44" i="1" s="1"/>
  <c r="EV44" i="1" s="1"/>
  <c r="EW44" i="1" s="1"/>
  <c r="EX44" i="1" s="1"/>
  <c r="EY44" i="1" s="1"/>
  <c r="EZ44" i="1" s="1"/>
  <c r="FA44" i="1" s="1"/>
  <c r="FB44" i="1" s="1"/>
  <c r="FC44" i="1" s="1"/>
  <c r="FD44" i="1" s="1"/>
  <c r="FE44" i="1" s="1"/>
  <c r="FF44" i="1" s="1"/>
  <c r="FG44" i="1" s="1"/>
  <c r="FH44" i="1" s="1"/>
  <c r="FI44" i="1" s="1"/>
  <c r="FJ44" i="1" s="1"/>
  <c r="FK44" i="1" s="1"/>
  <c r="FL44" i="1" s="1"/>
  <c r="FM44" i="1" s="1"/>
  <c r="FN44" i="1" s="1"/>
  <c r="FO44" i="1" s="1"/>
  <c r="FP44" i="1" s="1"/>
  <c r="FQ44" i="1" s="1"/>
  <c r="FR44" i="1" s="1"/>
  <c r="FS44" i="1" s="1"/>
  <c r="FT44" i="1" s="1"/>
  <c r="FU44" i="1" s="1"/>
  <c r="FV44" i="1" s="1"/>
  <c r="FW44" i="1" s="1"/>
  <c r="FX44" i="1" s="1"/>
  <c r="FY44" i="1" s="1"/>
  <c r="FZ44" i="1" s="1"/>
  <c r="GA44" i="1" s="1"/>
  <c r="GB44" i="1" s="1"/>
  <c r="GC44" i="1" s="1"/>
  <c r="GD44" i="1" s="1"/>
  <c r="GE44" i="1" s="1"/>
  <c r="GF44" i="1" s="1"/>
  <c r="GG44" i="1" s="1"/>
  <c r="GH44" i="1" s="1"/>
  <c r="GI44" i="1" s="1"/>
  <c r="GJ44" i="1" s="1"/>
  <c r="GK44" i="1" s="1"/>
  <c r="GL44" i="1" s="1"/>
  <c r="GM44" i="1" s="1"/>
  <c r="GN44" i="1" s="1"/>
  <c r="GO44" i="1" s="1"/>
  <c r="GP44" i="1" s="1"/>
  <c r="GQ44" i="1" s="1"/>
  <c r="GR44" i="1" s="1"/>
  <c r="GS44" i="1" s="1"/>
  <c r="GT44" i="1" s="1"/>
  <c r="GU44" i="1" s="1"/>
  <c r="GV44" i="1" s="1"/>
  <c r="GW44" i="1" s="1"/>
  <c r="GX44" i="1" s="1"/>
  <c r="GY44" i="1" s="1"/>
  <c r="GZ44" i="1" s="1"/>
  <c r="HA44" i="1" s="1"/>
  <c r="HB44" i="1" s="1"/>
  <c r="HC44" i="1" s="1"/>
  <c r="HD44" i="1" s="1"/>
  <c r="HE44" i="1" s="1"/>
  <c r="HF44" i="1" s="1"/>
  <c r="HG44" i="1" s="1"/>
  <c r="HH44" i="1" s="1"/>
  <c r="HI44" i="1" s="1"/>
  <c r="HJ44" i="1" s="1"/>
  <c r="HK44" i="1" s="1"/>
  <c r="HL44" i="1" s="1"/>
  <c r="HM44" i="1" s="1"/>
  <c r="HN44" i="1" s="1"/>
  <c r="HO44" i="1" s="1"/>
  <c r="HP44" i="1" s="1"/>
  <c r="HQ44" i="1" s="1"/>
  <c r="HR44" i="1" s="1"/>
  <c r="HS44" i="1" s="1"/>
  <c r="HT44" i="1" s="1"/>
  <c r="HU44" i="1" s="1"/>
  <c r="HV44" i="1" s="1"/>
  <c r="HW44" i="1" s="1"/>
  <c r="HX44" i="1" s="1"/>
  <c r="HY44" i="1" s="1"/>
  <c r="HZ44" i="1" s="1"/>
  <c r="IA44" i="1" s="1"/>
  <c r="IB44" i="1" s="1"/>
  <c r="IC44" i="1" s="1"/>
  <c r="ID44" i="1" s="1"/>
  <c r="IE44" i="1" s="1"/>
  <c r="IF44" i="1" s="1"/>
  <c r="IG44" i="1" s="1"/>
  <c r="IH44" i="1" s="1"/>
  <c r="II44" i="1" s="1"/>
  <c r="IJ44" i="1" s="1"/>
  <c r="IK44" i="1" s="1"/>
  <c r="IL44" i="1" s="1"/>
  <c r="AY51" i="1" s="1"/>
  <c r="AY53" i="1" s="1"/>
  <c r="AY55" i="1" s="1"/>
  <c r="AY5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Brannon, Jameel A.</author>
  </authors>
  <commentList>
    <comment ref="B3" authorId="0" shapeId="0" xr:uid="{7DBA80AF-0399-BA48-8C95-94FAA005752E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Founded: 
</t>
        </r>
        <r>
          <rPr>
            <sz val="10"/>
            <color rgb="FF000000"/>
            <rFont val="Tahoma"/>
            <family val="2"/>
          </rPr>
          <t xml:space="preserve">Founded in 1971 Jerry Baldwin, Zev Siegl, and Gordon Bowker 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Company was sold in th 80's to Howard Schultz
</t>
        </r>
      </text>
    </comment>
    <comment ref="B13" authorId="0" shapeId="0" xr:uid="{98802CC2-BAD5-1A46-B8B6-257A554374E4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Beginning 2022 summer, ChargePoint (volskwagon charges) will be available up to 15 Starbucks in Colorado 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1K Starbucks community stores by 2030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Products 
</t>
        </r>
        <r>
          <rPr>
            <sz val="10"/>
            <color rgb="FF000000"/>
            <rFont val="Tahoma"/>
            <family val="2"/>
          </rPr>
          <t>Clover Vertica Brewer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Brannon, Jameel A.</author>
  </authors>
  <commentList>
    <comment ref="M4" authorId="0" shapeId="0" xr:uid="{D757C206-6E1D-6F4E-9788-A6B08C69CB91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Down due to lower customer frequency </t>
        </r>
      </text>
    </comment>
    <comment ref="B92" authorId="0" shapeId="0" xr:uid="{C055F71B-719E-274E-AF23-B2A6CD0038C4}">
      <text>
        <r>
          <rPr>
            <b/>
            <sz val="10"/>
            <color rgb="FF000000"/>
            <rFont val="Tahoma"/>
            <family val="2"/>
          </rPr>
          <t xml:space="preserve">Brannon, Jameel 
</t>
        </r>
        <r>
          <rPr>
            <b/>
            <sz val="10"/>
            <color rgb="FF000000"/>
            <rFont val="Tahoma"/>
            <family val="2"/>
          </rPr>
          <t xml:space="preserve">% </t>
        </r>
        <r>
          <rPr>
            <sz val="10"/>
            <color rgb="FF000000"/>
            <rFont val="Tahoma"/>
            <family val="2"/>
          </rPr>
          <t xml:space="preserve"> of inv sold during year </t>
        </r>
      </text>
    </comment>
    <comment ref="B93" authorId="0" shapeId="0" xr:uid="{61C70486-6450-3E4D-B5B2-610415BB0D02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number of days before inv is turned to cash OR company has inv to last the next xxx days </t>
        </r>
      </text>
    </comment>
    <comment ref="B94" authorId="0" shapeId="0" xr:uid="{A300279F-EC71-8642-98AF-B55F6770F405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Every dollar of assets produced $ in net income</t>
        </r>
      </text>
    </comment>
  </commentList>
</comments>
</file>

<file path=xl/sharedStrings.xml><?xml version="1.0" encoding="utf-8"?>
<sst xmlns="http://schemas.openxmlformats.org/spreadsheetml/2006/main" count="202" uniqueCount="155">
  <si>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</si>
  <si>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</si>
  <si>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</si>
  <si>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</si>
  <si>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</si>
  <si>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</si>
  <si>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</si>
  <si>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</si>
  <si>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</si>
  <si>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</si>
  <si>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</si>
  <si>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</si>
  <si>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P</t>
  </si>
  <si>
    <t>S/O</t>
  </si>
  <si>
    <t>MC</t>
  </si>
  <si>
    <t xml:space="preserve">Cash </t>
  </si>
  <si>
    <t>Debt</t>
  </si>
  <si>
    <t>EV</t>
  </si>
  <si>
    <t>Company operated stores</t>
  </si>
  <si>
    <t>Licensed stores</t>
  </si>
  <si>
    <t>Other</t>
  </si>
  <si>
    <t xml:space="preserve">Total Revenue </t>
  </si>
  <si>
    <t>Income from equity investees</t>
  </si>
  <si>
    <t>Operating Income</t>
  </si>
  <si>
    <t>Net Income</t>
  </si>
  <si>
    <t>Gain on divestiture</t>
  </si>
  <si>
    <t>Interest income</t>
  </si>
  <si>
    <t>Interest expense</t>
  </si>
  <si>
    <t>Income Before Taxes</t>
  </si>
  <si>
    <t>Taxes</t>
  </si>
  <si>
    <t>noncontrolling</t>
  </si>
  <si>
    <t>Diluted</t>
  </si>
  <si>
    <t>eps</t>
  </si>
  <si>
    <t>Product &amp; disti costs</t>
  </si>
  <si>
    <t>Store op expense</t>
  </si>
  <si>
    <t>Other op expense</t>
  </si>
  <si>
    <t>D&amp;A</t>
  </si>
  <si>
    <t>G&amp;A</t>
  </si>
  <si>
    <t>Restructuring</t>
  </si>
  <si>
    <t>Total Op expenses</t>
  </si>
  <si>
    <t xml:space="preserve">Revenue YoY </t>
  </si>
  <si>
    <t>Q122</t>
  </si>
  <si>
    <t>Q222</t>
  </si>
  <si>
    <t>Q322</t>
  </si>
  <si>
    <t>Q422</t>
  </si>
  <si>
    <t>Discount</t>
  </si>
  <si>
    <t>NPV</t>
  </si>
  <si>
    <t>Total Stores</t>
  </si>
  <si>
    <t>North America</t>
  </si>
  <si>
    <t>International</t>
  </si>
  <si>
    <t>Revenue Per Store</t>
  </si>
  <si>
    <t>Estimate</t>
  </si>
  <si>
    <t>Shares</t>
  </si>
  <si>
    <t>Current</t>
  </si>
  <si>
    <t>Delta</t>
  </si>
  <si>
    <t>OM%</t>
  </si>
  <si>
    <t xml:space="preserve">Beverage </t>
  </si>
  <si>
    <t>Food</t>
  </si>
  <si>
    <t>TL + E</t>
  </si>
  <si>
    <t>Equity</t>
  </si>
  <si>
    <t>TL</t>
  </si>
  <si>
    <t>Current Liabilities</t>
  </si>
  <si>
    <t xml:space="preserve">Current Assets </t>
  </si>
  <si>
    <t xml:space="preserve">Total Assets </t>
  </si>
  <si>
    <t xml:space="preserve">Net Cash </t>
  </si>
  <si>
    <t>Total NPV</t>
  </si>
  <si>
    <t>Investments</t>
  </si>
  <si>
    <t>A/R</t>
  </si>
  <si>
    <t>Inventories</t>
  </si>
  <si>
    <t>Prepaid expenses</t>
  </si>
  <si>
    <t>Long term investments</t>
  </si>
  <si>
    <t>Equity investments</t>
  </si>
  <si>
    <t>PPE</t>
  </si>
  <si>
    <t>Op lease</t>
  </si>
  <si>
    <t>Deferred income tax</t>
  </si>
  <si>
    <t>Other long term assets</t>
  </si>
  <si>
    <t xml:space="preserve">Intangibles </t>
  </si>
  <si>
    <t>Goodwill</t>
  </si>
  <si>
    <t>A/P</t>
  </si>
  <si>
    <t>Accrued liabilities</t>
  </si>
  <si>
    <t>Accrued payroll &amp; benefits</t>
  </si>
  <si>
    <t>Current op lease</t>
  </si>
  <si>
    <t>Stored value card liability</t>
  </si>
  <si>
    <t xml:space="preserve">Short term debt </t>
  </si>
  <si>
    <t xml:space="preserve">Current Long Term Debt </t>
  </si>
  <si>
    <t xml:space="preserve">Long Term Debt </t>
  </si>
  <si>
    <t xml:space="preserve">Op lease </t>
  </si>
  <si>
    <t xml:space="preserve">Deferred revenue </t>
  </si>
  <si>
    <t xml:space="preserve">Other long term </t>
  </si>
  <si>
    <t>CFFO</t>
  </si>
  <si>
    <t xml:space="preserve">Net Income </t>
  </si>
  <si>
    <t xml:space="preserve">Income from equity method </t>
  </si>
  <si>
    <t>Distributions received from e</t>
  </si>
  <si>
    <t>SBC</t>
  </si>
  <si>
    <t>Non cash lease costs</t>
  </si>
  <si>
    <t>Loss onn retirement</t>
  </si>
  <si>
    <t xml:space="preserve">Other </t>
  </si>
  <si>
    <t>prepaid expenses</t>
  </si>
  <si>
    <t xml:space="preserve">deferred revenue </t>
  </si>
  <si>
    <t xml:space="preserve">Other op lease </t>
  </si>
  <si>
    <t>Purchases of investments</t>
  </si>
  <si>
    <t>Sale of investments</t>
  </si>
  <si>
    <t>Maturities and calls of invest.</t>
  </si>
  <si>
    <t>Capex</t>
  </si>
  <si>
    <t>CFFI</t>
  </si>
  <si>
    <t xml:space="preserve">Commercial Paper </t>
  </si>
  <si>
    <t xml:space="preserve">Proceeds form debt issuance </t>
  </si>
  <si>
    <t xml:space="preserve">Repayments of short term debt </t>
  </si>
  <si>
    <t>Repayments of LTD</t>
  </si>
  <si>
    <t xml:space="preserve">Proceeds from common </t>
  </si>
  <si>
    <t xml:space="preserve">Dividends </t>
  </si>
  <si>
    <t xml:space="preserve">Buybacks </t>
  </si>
  <si>
    <t>Tax withholdings on SB</t>
  </si>
  <si>
    <t>CFFF</t>
  </si>
  <si>
    <t>Fx</t>
  </si>
  <si>
    <t xml:space="preserve">Net Increase </t>
  </si>
  <si>
    <t>CFFO - Capex - SBC</t>
  </si>
  <si>
    <t xml:space="preserve">Mix % </t>
  </si>
  <si>
    <t xml:space="preserve">Incoem tax payable </t>
  </si>
  <si>
    <t>Goodwill impairments</t>
  </si>
  <si>
    <t>NWC</t>
  </si>
  <si>
    <t>Maturity</t>
  </si>
  <si>
    <t>Joint Venture</t>
  </si>
  <si>
    <t>Loss on debt extinguishment</t>
  </si>
  <si>
    <t>Litigation</t>
  </si>
  <si>
    <t>Q118</t>
  </si>
  <si>
    <t>Q218</t>
  </si>
  <si>
    <t>Q318</t>
  </si>
  <si>
    <t>Q418</t>
  </si>
  <si>
    <t>Income tax payable</t>
  </si>
  <si>
    <t>Press Release</t>
  </si>
  <si>
    <t>Contains</t>
  </si>
  <si>
    <t xml:space="preserve">Howard Schultz interim CEO </t>
  </si>
  <si>
    <t>History</t>
  </si>
  <si>
    <t xml:space="preserve">Approved dividend of 49 cents </t>
  </si>
  <si>
    <t>Higher wages for emplyees</t>
  </si>
  <si>
    <t>Increased dividend 45 cents to 49 cents  -- 9% increase</t>
  </si>
  <si>
    <t xml:space="preserve">Outlining Long term Growth </t>
  </si>
  <si>
    <t>Transcripts</t>
  </si>
  <si>
    <t>Q3'21</t>
  </si>
  <si>
    <t xml:space="preserve">Q4 &amp; FY'21 </t>
  </si>
  <si>
    <t>Q2'21</t>
  </si>
  <si>
    <t>Q1'21</t>
  </si>
  <si>
    <t>Q4'22</t>
  </si>
  <si>
    <t>Q3'22</t>
  </si>
  <si>
    <t>Q2'22</t>
  </si>
  <si>
    <t>90 Day Active Members</t>
  </si>
  <si>
    <t>4Q FCF</t>
  </si>
  <si>
    <t>4Q NI</t>
  </si>
  <si>
    <t>ROIC</t>
  </si>
  <si>
    <t xml:space="preserve">I Rate </t>
  </si>
  <si>
    <t>Inventory Turnover</t>
  </si>
  <si>
    <t xml:space="preserve">Days Inventory </t>
  </si>
  <si>
    <t xml:space="preserve">Return on Assets 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</si>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</sst>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m/d;@"/>
    <numFmt numFmtId="166" formatCode="_(* #,##0_);_(* \(#,##0\);_(* &quot;-&quot;??_);_(@_)"/>
  </numFmts>
  <fonts count="9">
    <font>
      <sz val="10"/>
      <color theme="1"/>
      <name val="ArialMT"/>
      <family val="2"/>
    </font>
    <font>
      <sz val="10"/>
      <color theme="1"/>
      <name val="ArialMT"/>
      <family val="2"/>
    </font>
    <font>
      <u/>
      <sz val="10"/>
      <color theme="10"/>
      <name val="ArialMT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Intel Clear"/>
      <family val="2"/>
    </font>
    <font>
      <b/>
      <sz val="10"/>
      <color theme="1"/>
      <name val="Intel Clear"/>
      <family val="2"/>
    </font>
    <font>
      <i/>
      <sz val="10"/>
      <color theme="1"/>
      <name val="Intel Clear"/>
      <family val="2"/>
    </font>
    <font>
      <u/>
      <sz val="10"/>
      <color theme="10"/>
      <name val="Intel Clear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165" fontId="5" fillId="0" borderId="0" xfId="0" applyNumberFormat="1" applyFont="1"/>
    <xf numFmtId="3" fontId="5" fillId="0" borderId="0" xfId="0" applyNumberFormat="1" applyFont="1" applyAlignment="1">
      <alignment horizontal="right"/>
    </xf>
    <xf numFmtId="164" fontId="5" fillId="0" borderId="0" xfId="0" applyNumberFormat="1" applyFont="1"/>
    <xf numFmtId="3" fontId="5" fillId="0" borderId="0" xfId="0" applyNumberFormat="1" applyFont="1"/>
    <xf numFmtId="1" fontId="5" fillId="0" borderId="0" xfId="0" applyNumberFormat="1" applyFont="1"/>
    <xf numFmtId="3" fontId="6" fillId="0" borderId="0" xfId="0" applyNumberFormat="1" applyFont="1"/>
    <xf numFmtId="166" fontId="6" fillId="0" borderId="0" xfId="1" applyNumberFormat="1" applyFont="1"/>
    <xf numFmtId="9" fontId="5" fillId="0" borderId="0" xfId="0" applyNumberFormat="1" applyFont="1"/>
    <xf numFmtId="164" fontId="6" fillId="0" borderId="0" xfId="0" applyNumberFormat="1" applyFont="1"/>
    <xf numFmtId="3" fontId="7" fillId="0" borderId="0" xfId="0" applyNumberFormat="1" applyFont="1"/>
    <xf numFmtId="4" fontId="5" fillId="0" borderId="0" xfId="0" applyNumberFormat="1" applyFont="1"/>
    <xf numFmtId="9" fontId="6" fillId="0" borderId="0" xfId="0" applyNumberFormat="1" applyFont="1"/>
    <xf numFmtId="3" fontId="8" fillId="0" borderId="0" xfId="3" applyNumberFormat="1" applyFont="1"/>
    <xf numFmtId="3" fontId="5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right"/>
    </xf>
    <xf numFmtId="14" fontId="8" fillId="0" borderId="0" xfId="3" applyNumberFormat="1" applyFont="1" applyAlignment="1">
      <alignment horizontal="right"/>
    </xf>
    <xf numFmtId="14" fontId="5" fillId="0" borderId="0" xfId="0" applyNumberFormat="1" applyFont="1" applyAlignment="1">
      <alignment horizontal="right"/>
    </xf>
    <xf numFmtId="14" fontId="6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left"/>
    </xf>
    <xf numFmtId="9" fontId="5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left"/>
    </xf>
    <xf numFmtId="3" fontId="7" fillId="0" borderId="0" xfId="0" applyNumberFormat="1" applyFont="1" applyAlignment="1">
      <alignment horizontal="left"/>
    </xf>
    <xf numFmtId="4" fontId="5" fillId="0" borderId="0" xfId="0" applyNumberFormat="1" applyFont="1" applyAlignment="1">
      <alignment horizontal="left"/>
    </xf>
    <xf numFmtId="9" fontId="6" fillId="0" borderId="0" xfId="0" applyNumberFormat="1" applyFont="1" applyAlignment="1">
      <alignment horizontal="left"/>
    </xf>
    <xf numFmtId="9" fontId="5" fillId="0" borderId="0" xfId="2" applyFont="1" applyAlignment="1">
      <alignment horizontal="left"/>
    </xf>
    <xf numFmtId="3" fontId="5" fillId="0" borderId="1" xfId="0" applyNumberFormat="1" applyFont="1" applyBorder="1"/>
    <xf numFmtId="9" fontId="5" fillId="0" borderId="2" xfId="0" applyNumberFormat="1" applyFont="1" applyBorder="1"/>
    <xf numFmtId="3" fontId="5" fillId="0" borderId="3" xfId="0" applyNumberFormat="1" applyFont="1" applyBorder="1"/>
    <xf numFmtId="9" fontId="5" fillId="0" borderId="4" xfId="0" applyNumberFormat="1" applyFont="1" applyBorder="1"/>
    <xf numFmtId="9" fontId="6" fillId="0" borderId="3" xfId="0" applyNumberFormat="1" applyFont="1" applyBorder="1"/>
    <xf numFmtId="9" fontId="6" fillId="0" borderId="4" xfId="0" applyNumberFormat="1" applyFont="1" applyBorder="1"/>
    <xf numFmtId="3" fontId="5" fillId="0" borderId="4" xfId="0" applyNumberFormat="1" applyFont="1" applyBorder="1"/>
    <xf numFmtId="3" fontId="6" fillId="0" borderId="5" xfId="0" applyNumberFormat="1" applyFont="1" applyBorder="1"/>
    <xf numFmtId="9" fontId="6" fillId="0" borderId="6" xfId="0" applyNumberFormat="1" applyFont="1" applyBorder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392490</xdr:colOff>
      <xdr:row>0</xdr:row>
      <xdr:rowOff>16933</xdr:rowOff>
    </xdr:from>
    <xdr:to>
      <xdr:col>22</xdr:col>
      <xdr:colOff>169131</xdr:colOff>
      <xdr:row>181</xdr:row>
      <xdr:rowOff>71119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D78B48A-6550-4943-BED6-B1B1F948F055}"/>
            </a:ext>
          </a:extLst>
        </xdr:cNvPr>
        <xdr:cNvCxnSpPr/>
      </xdr:nvCxnSpPr>
      <xdr:spPr>
        <a:xfrm flipH="1">
          <a:off x="12228890" y="16933"/>
          <a:ext cx="276174" cy="26546386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476249</xdr:colOff>
      <xdr:row>0</xdr:row>
      <xdr:rowOff>0</xdr:rowOff>
    </xdr:from>
    <xdr:to>
      <xdr:col>37</xdr:col>
      <xdr:colOff>501952</xdr:colOff>
      <xdr:row>180</xdr:row>
      <xdr:rowOff>95673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CD2B759-4C93-684E-88FF-C8E2CEBC9FD2}"/>
            </a:ext>
          </a:extLst>
        </xdr:cNvPr>
        <xdr:cNvCxnSpPr/>
      </xdr:nvCxnSpPr>
      <xdr:spPr>
        <a:xfrm flipH="1">
          <a:off x="19629059" y="0"/>
          <a:ext cx="25703" cy="26052054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22.q4cdn.com/869488222/files/doc_financials/2021/q2/SBUX-Q2-2021-Earnings-Call-Transcript.pdf" TargetMode="External"/><Relationship Id="rId3" Type="http://schemas.openxmlformats.org/officeDocument/2006/relationships/hyperlink" Target="https://investor.starbucks.com/press-releases/financial-releases/press-release-details/2021/Starbucks-Makes-Historic-Investments-in-its-Partners-Employees-Building-on-Long-Time-Belief-that-Success-is-Best-When-Shared/default.aspx" TargetMode="External"/><Relationship Id="rId7" Type="http://schemas.openxmlformats.org/officeDocument/2006/relationships/hyperlink" Target="https://s22.q4cdn.com/869488222/files/doc_financials/2021/q3/SBUX-Q3-2021-Earnings-Call-Corrected-Transcript.pdf" TargetMode="External"/><Relationship Id="rId2" Type="http://schemas.openxmlformats.org/officeDocument/2006/relationships/hyperlink" Target="https://investor.starbucks.com/press-releases/financial-releases/press-release-details/2021/Starbucks-Declares-Quarterly-Cash-Dividend-f7cc1927f/default.aspx" TargetMode="External"/><Relationship Id="rId1" Type="http://schemas.openxmlformats.org/officeDocument/2006/relationships/hyperlink" Target="https://investor.starbucks.com/press-releases/financial-releases/press-release-details/2022/Starbucks-Announces-Leadership-Transition/default.aspx" TargetMode="External"/><Relationship Id="rId6" Type="http://schemas.openxmlformats.org/officeDocument/2006/relationships/hyperlink" Target="https://s22.q4cdn.com/869488222/files/doc_financials/2021/q4/Q4-FY21-SBUX-Earnings-Call-Transcript.pdf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investor.starbucks.com/press-releases/financial-releases/press-release-details/2020/Starbucks-Outlines-Vision-for-the-Future-and-Reaffirms-Strategy-for-Continued-Growth-at-Scale-Updates-Ongoing-Growth-Model-Signaling-Company-is-Stronger-and-More-Resilient-Than-Ever/default.aspx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investor.starbucks.com/press-releases/financial-releases/press-release-details/2021/Starbucks-Announces-Increase-in-Quarterly-Cash-Dividend/default.aspx" TargetMode="External"/><Relationship Id="rId9" Type="http://schemas.openxmlformats.org/officeDocument/2006/relationships/hyperlink" Target="https://s22.q4cdn.com/869488222/files/doc_financials/2021/q1/Q1-2021-Earnings-Call,-26-January-2021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57E33-8AED-6C40-9B1C-791B36C2C26B}">
  <dimension ref="A1:L28"/>
  <sheetViews>
    <sheetView showGridLines="0" zoomScale="270" zoomScaleNormal="270" workbookViewId="0">
      <selection activeCell="I10" sqref="I10"/>
    </sheetView>
  </sheetViews>
  <sheetFormatPr baseColWidth="10" defaultRowHeight="14"/>
  <cols>
    <col min="1" max="1" width="10.83203125" style="4"/>
    <col min="2" max="2" width="18.33203125" style="2" bestFit="1" customWidth="1"/>
    <col min="3" max="7" width="10.83203125" style="4"/>
    <col min="8" max="8" width="5.6640625" style="14" bestFit="1" customWidth="1"/>
    <col min="9" max="9" width="7.6640625" style="4" bestFit="1" customWidth="1"/>
    <col min="10" max="10" width="5.5" style="4" bestFit="1" customWidth="1"/>
    <col min="11" max="14" width="10.83203125" style="4"/>
    <col min="15" max="15" width="5.6640625" style="4" bestFit="1" customWidth="1"/>
    <col min="16" max="16" width="7.6640625" style="4" bestFit="1" customWidth="1"/>
    <col min="17" max="17" width="5.5" style="4" bestFit="1" customWidth="1"/>
    <col min="18" max="16384" width="10.83203125" style="4"/>
  </cols>
  <sheetData>
    <row r="1" spans="1:12">
      <c r="A1" s="13" t="s">
        <v>154</v>
      </c>
    </row>
    <row r="3" spans="1:12">
      <c r="B3" s="15" t="s">
        <v>133</v>
      </c>
    </row>
    <row r="7" spans="1:12">
      <c r="H7" s="14" t="s">
        <v>12</v>
      </c>
      <c r="I7" s="4">
        <v>92.37</v>
      </c>
      <c r="L7" s="8"/>
    </row>
    <row r="8" spans="1:12">
      <c r="H8" s="14" t="s">
        <v>13</v>
      </c>
      <c r="I8" s="4">
        <v>1158.5</v>
      </c>
      <c r="J8" s="4" t="s">
        <v>44</v>
      </c>
    </row>
    <row r="9" spans="1:12">
      <c r="H9" s="14" t="s">
        <v>14</v>
      </c>
      <c r="I9" s="4">
        <f>+I7*I8</f>
        <v>107010.645</v>
      </c>
    </row>
    <row r="10" spans="1:12">
      <c r="H10" s="14" t="s">
        <v>15</v>
      </c>
      <c r="I10" s="4">
        <f>SUM(Model!V58,Model!V59)+Model!V64</f>
        <v>3462</v>
      </c>
      <c r="J10" s="4" t="str">
        <f>+J8</f>
        <v>Q422</v>
      </c>
    </row>
    <row r="11" spans="1:12">
      <c r="H11" s="14" t="s">
        <v>16</v>
      </c>
      <c r="I11" s="4">
        <f>SUM(Model!V80:V81,Model!V83)</f>
        <v>15043.9</v>
      </c>
      <c r="J11" s="4" t="str">
        <f>+J10</f>
        <v>Q422</v>
      </c>
    </row>
    <row r="12" spans="1:12" s="2" customFormat="1">
      <c r="B12" s="15" t="s">
        <v>130</v>
      </c>
      <c r="C12" s="2" t="s">
        <v>131</v>
      </c>
      <c r="H12" s="14" t="s">
        <v>17</v>
      </c>
      <c r="I12" s="2">
        <f>+I9-I10+I11</f>
        <v>118592.545</v>
      </c>
    </row>
    <row r="13" spans="1:12">
      <c r="B13" s="16">
        <v>44636</v>
      </c>
      <c r="C13" s="4" t="s">
        <v>132</v>
      </c>
    </row>
    <row r="14" spans="1:12">
      <c r="B14" s="16">
        <v>44516</v>
      </c>
      <c r="C14" s="4" t="s">
        <v>134</v>
      </c>
    </row>
    <row r="15" spans="1:12">
      <c r="B15" s="16">
        <v>44496</v>
      </c>
      <c r="C15" s="4" t="s">
        <v>135</v>
      </c>
    </row>
    <row r="16" spans="1:12">
      <c r="B16" s="16">
        <v>44468</v>
      </c>
      <c r="C16" s="4" t="s">
        <v>136</v>
      </c>
      <c r="I16" s="4">
        <v>400</v>
      </c>
    </row>
    <row r="17" spans="2:9">
      <c r="B17" s="16">
        <v>44174</v>
      </c>
      <c r="C17" s="4" t="s">
        <v>137</v>
      </c>
      <c r="I17" s="4">
        <v>344.97</v>
      </c>
    </row>
    <row r="18" spans="2:9">
      <c r="B18" s="17"/>
      <c r="C18" s="8"/>
      <c r="I18" s="8">
        <f>+I16/I17-1</f>
        <v>0.15952111777835754</v>
      </c>
    </row>
    <row r="19" spans="2:9">
      <c r="B19" s="17"/>
    </row>
    <row r="20" spans="2:9">
      <c r="B20" s="18" t="s">
        <v>138</v>
      </c>
    </row>
    <row r="21" spans="2:9">
      <c r="B21" s="17" t="s">
        <v>143</v>
      </c>
    </row>
    <row r="22" spans="2:9">
      <c r="B22" s="17" t="s">
        <v>144</v>
      </c>
    </row>
    <row r="23" spans="2:9">
      <c r="B23" s="17" t="s">
        <v>145</v>
      </c>
    </row>
    <row r="24" spans="2:9">
      <c r="B24" s="16" t="s">
        <v>140</v>
      </c>
    </row>
    <row r="25" spans="2:9">
      <c r="B25" s="16" t="s">
        <v>139</v>
      </c>
    </row>
    <row r="26" spans="2:9">
      <c r="B26" s="16" t="s">
        <v>141</v>
      </c>
    </row>
    <row r="27" spans="2:9">
      <c r="B27" s="16" t="s">
        <v>142</v>
      </c>
    </row>
    <row r="28" spans="2:9">
      <c r="B28" s="17"/>
    </row>
  </sheetData>
  <hyperlinks>
    <hyperlink ref="B13" r:id="rId1" display="https://investor.starbucks.com/press-releases/financial-releases/press-release-details/2022/Starbucks-Announces-Leadership-Transition/default.aspx" xr:uid="{4DD81B6D-6BCE-864E-8D68-46D9810623B9}"/>
    <hyperlink ref="B14" r:id="rId2" display="https://investor.starbucks.com/press-releases/financial-releases/press-release-details/2021/Starbucks-Declares-Quarterly-Cash-Dividend-f7cc1927f/default.aspx" xr:uid="{2F077FC8-E05B-0849-BE90-17CE6813C85E}"/>
    <hyperlink ref="B15" r:id="rId3" display="https://investor.starbucks.com/press-releases/financial-releases/press-release-details/2021/Starbucks-Makes-Historic-Investments-in-its-Partners-Employees-Building-on-Long-Time-Belief-that-Success-is-Best-When-Shared/default.aspx" xr:uid="{3605C9AA-77B9-C343-8761-A7B8426A7252}"/>
    <hyperlink ref="B16" r:id="rId4" display="https://investor.starbucks.com/press-releases/financial-releases/press-release-details/2021/Starbucks-Announces-Increase-in-Quarterly-Cash-Dividend/default.aspx" xr:uid="{BEDA90DE-DFC3-2F41-9622-07F0A5876879}"/>
    <hyperlink ref="B17" r:id="rId5" display="https://investor.starbucks.com/press-releases/financial-releases/press-release-details/2020/Starbucks-Outlines-Vision-for-the-Future-and-Reaffirms-Strategy-for-Continued-Growth-at-Scale-Updates-Ongoing-Growth-Model-Signaling-Company-is-Stronger-and-More-Resilient-Than-Ever/default.aspx" xr:uid="{6366AA43-DAA2-8240-9F48-88FFD5D9BEDE}"/>
    <hyperlink ref="B24" r:id="rId6" display="Q4 &amp; FY'21 Transcript" xr:uid="{5FA13AA5-AAE4-074A-B5CF-40A8405B0165}"/>
    <hyperlink ref="B25" r:id="rId7" xr:uid="{27E56321-7E7B-2840-A88B-FD9E4496769F}"/>
    <hyperlink ref="B26" r:id="rId8" xr:uid="{AF27E318-F027-9F4C-AD1E-78D1E7893395}"/>
    <hyperlink ref="B27" r:id="rId9" xr:uid="{01B3B750-103F-E840-8AA2-8AB691BAE6C3}"/>
    <hyperlink ref="A1" location="Model!A1" display="Model" xr:uid="{C15AC881-A626-0F4D-BD4D-0D33F745AC3B}"/>
  </hyperlinks>
  <pageMargins left="0.7" right="0.7" top="0.75" bottom="0.75" header="0.3" footer="0.3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31DFE-5BC4-DD4B-85CB-24DD03A3AA47}">
  <dimension ref="B2:IL173"/>
  <sheetViews>
    <sheetView tabSelected="1" zoomScale="160" zoomScaleNormal="160" workbookViewId="0">
      <pane xSplit="2" ySplit="3" topLeftCell="N63" activePane="bottomRight" state="frozen"/>
      <selection pane="topRight" activeCell="B1" sqref="B1"/>
      <selection pane="bottomLeft" activeCell="A3" sqref="A3"/>
      <selection pane="bottomRight" activeCell="V72" sqref="V72"/>
    </sheetView>
  </sheetViews>
  <sheetFormatPr baseColWidth="10" defaultRowHeight="14" outlineLevelRow="1"/>
  <cols>
    <col min="1" max="1" width="3.83203125" style="4" customWidth="1"/>
    <col min="2" max="2" width="25.83203125" style="4" bestFit="1" customWidth="1"/>
    <col min="3" max="7" width="5.6640625" style="14" bestFit="1" customWidth="1"/>
    <col min="8" max="11" width="6.6640625" style="14" bestFit="1" customWidth="1"/>
    <col min="12" max="16" width="7.1640625" style="14" bestFit="1" customWidth="1"/>
    <col min="17" max="18" width="6.6640625" style="14" bestFit="1" customWidth="1"/>
    <col min="19" max="20" width="7.1640625" style="14" bestFit="1" customWidth="1"/>
    <col min="21" max="21" width="6.6640625" style="14" bestFit="1" customWidth="1"/>
    <col min="22" max="22" width="7.33203125" style="4" bestFit="1" customWidth="1"/>
    <col min="23" max="25" width="3.1640625" style="4" customWidth="1"/>
    <col min="26" max="28" width="5.1640625" style="4" bestFit="1" customWidth="1"/>
    <col min="29" max="31" width="6.6640625" style="4" bestFit="1" customWidth="1"/>
    <col min="32" max="37" width="7.6640625" style="4" bestFit="1" customWidth="1"/>
    <col min="38" max="48" width="6.6640625" style="4" bestFit="1" customWidth="1"/>
    <col min="49" max="49" width="9" style="4" bestFit="1" customWidth="1"/>
    <col min="50" max="50" width="8.5" style="4" bestFit="1" customWidth="1"/>
    <col min="51" max="51" width="7.5" style="4" bestFit="1" customWidth="1"/>
    <col min="52" max="246" width="6.6640625" style="4" bestFit="1" customWidth="1"/>
    <col min="247" max="16384" width="10.83203125" style="4"/>
  </cols>
  <sheetData>
    <row r="2" spans="2:48" s="1" customFormat="1">
      <c r="C2" s="20">
        <v>43100</v>
      </c>
      <c r="D2" s="20">
        <v>43191</v>
      </c>
      <c r="E2" s="20">
        <v>43646</v>
      </c>
      <c r="F2" s="20">
        <v>43373</v>
      </c>
      <c r="G2" s="20">
        <v>43465</v>
      </c>
      <c r="H2" s="20">
        <v>43555</v>
      </c>
      <c r="I2" s="20">
        <v>43646</v>
      </c>
      <c r="J2" s="20">
        <v>43737</v>
      </c>
      <c r="K2" s="20">
        <v>43828</v>
      </c>
      <c r="L2" s="20">
        <v>43919</v>
      </c>
      <c r="M2" s="20">
        <v>44010</v>
      </c>
      <c r="N2" s="20">
        <v>44095</v>
      </c>
      <c r="O2" s="20">
        <v>44192</v>
      </c>
      <c r="P2" s="20">
        <v>44283</v>
      </c>
      <c r="Q2" s="20">
        <v>44374</v>
      </c>
      <c r="R2" s="20">
        <v>44472</v>
      </c>
      <c r="S2" s="20"/>
      <c r="T2" s="20"/>
      <c r="U2" s="20"/>
      <c r="V2" s="1">
        <v>44836</v>
      </c>
    </row>
    <row r="3" spans="2:48" s="14" customFormat="1">
      <c r="C3" s="14" t="s">
        <v>125</v>
      </c>
      <c r="D3" s="14" t="s">
        <v>126</v>
      </c>
      <c r="E3" s="14" t="s">
        <v>127</v>
      </c>
      <c r="F3" s="14" t="s">
        <v>128</v>
      </c>
      <c r="G3" s="14" t="s">
        <v>0</v>
      </c>
      <c r="H3" s="14" t="s">
        <v>1</v>
      </c>
      <c r="I3" s="14" t="s">
        <v>2</v>
      </c>
      <c r="J3" s="14" t="s">
        <v>3</v>
      </c>
      <c r="K3" s="14" t="s">
        <v>4</v>
      </c>
      <c r="L3" s="14" t="s">
        <v>5</v>
      </c>
      <c r="M3" s="14" t="s">
        <v>6</v>
      </c>
      <c r="N3" s="14" t="s">
        <v>7</v>
      </c>
      <c r="O3" s="14" t="s">
        <v>8</v>
      </c>
      <c r="P3" s="14" t="s">
        <v>9</v>
      </c>
      <c r="Q3" s="14" t="s">
        <v>10</v>
      </c>
      <c r="R3" s="14" t="s">
        <v>11</v>
      </c>
      <c r="S3" s="14" t="s">
        <v>41</v>
      </c>
      <c r="T3" s="14" t="s">
        <v>42</v>
      </c>
      <c r="U3" s="14" t="s">
        <v>43</v>
      </c>
      <c r="V3" s="14" t="s">
        <v>44</v>
      </c>
      <c r="Z3" s="19">
        <v>2010</v>
      </c>
      <c r="AA3" s="19">
        <f>+Z3+1</f>
        <v>2011</v>
      </c>
      <c r="AB3" s="19">
        <f t="shared" ref="AB3:AI3" si="0">+AA3+1</f>
        <v>2012</v>
      </c>
      <c r="AC3" s="19">
        <f t="shared" si="0"/>
        <v>2013</v>
      </c>
      <c r="AD3" s="19">
        <f t="shared" si="0"/>
        <v>2014</v>
      </c>
      <c r="AE3" s="19">
        <f t="shared" si="0"/>
        <v>2015</v>
      </c>
      <c r="AF3" s="19">
        <f t="shared" si="0"/>
        <v>2016</v>
      </c>
      <c r="AG3" s="19">
        <f t="shared" si="0"/>
        <v>2017</v>
      </c>
      <c r="AH3" s="19">
        <f t="shared" si="0"/>
        <v>2018</v>
      </c>
      <c r="AI3" s="19">
        <f t="shared" si="0"/>
        <v>2019</v>
      </c>
      <c r="AJ3" s="19">
        <f t="shared" ref="AJ3:AV3" si="1">+AI3+1</f>
        <v>2020</v>
      </c>
      <c r="AK3" s="19">
        <f t="shared" si="1"/>
        <v>2021</v>
      </c>
      <c r="AL3" s="19">
        <f t="shared" si="1"/>
        <v>2022</v>
      </c>
      <c r="AM3" s="19">
        <f t="shared" si="1"/>
        <v>2023</v>
      </c>
      <c r="AN3" s="19">
        <f t="shared" si="1"/>
        <v>2024</v>
      </c>
      <c r="AO3" s="19">
        <f t="shared" si="1"/>
        <v>2025</v>
      </c>
      <c r="AP3" s="19">
        <f t="shared" si="1"/>
        <v>2026</v>
      </c>
      <c r="AQ3" s="19">
        <f t="shared" si="1"/>
        <v>2027</v>
      </c>
      <c r="AR3" s="19">
        <f t="shared" si="1"/>
        <v>2028</v>
      </c>
      <c r="AS3" s="19">
        <f t="shared" si="1"/>
        <v>2029</v>
      </c>
      <c r="AT3" s="19">
        <f t="shared" si="1"/>
        <v>2030</v>
      </c>
      <c r="AU3" s="19">
        <f t="shared" si="1"/>
        <v>2031</v>
      </c>
      <c r="AV3" s="19">
        <f t="shared" si="1"/>
        <v>2032</v>
      </c>
    </row>
    <row r="4" spans="2:48" s="3" customFormat="1">
      <c r="B4" s="3" t="s">
        <v>146</v>
      </c>
      <c r="C4" s="21">
        <v>14.2</v>
      </c>
      <c r="D4" s="21">
        <v>14.9</v>
      </c>
      <c r="E4" s="21">
        <v>15.1</v>
      </c>
      <c r="F4" s="21">
        <v>15.3</v>
      </c>
      <c r="G4" s="21">
        <v>16.3</v>
      </c>
      <c r="H4" s="21">
        <v>16.8</v>
      </c>
      <c r="I4" s="21">
        <v>17.2</v>
      </c>
      <c r="J4" s="21">
        <v>17.600000000000001</v>
      </c>
      <c r="K4" s="21">
        <v>18.899999999999999</v>
      </c>
      <c r="L4" s="21">
        <v>19.399999999999999</v>
      </c>
      <c r="M4" s="21">
        <v>16.3</v>
      </c>
      <c r="N4" s="21">
        <v>19.3</v>
      </c>
      <c r="O4" s="21">
        <v>21.8</v>
      </c>
      <c r="P4" s="21">
        <v>22.9</v>
      </c>
      <c r="Q4" s="21">
        <v>24.2</v>
      </c>
      <c r="R4" s="21">
        <v>25</v>
      </c>
      <c r="S4" s="21">
        <v>26.4</v>
      </c>
      <c r="T4" s="21"/>
      <c r="U4" s="21"/>
    </row>
    <row r="5" spans="2:48"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</row>
    <row r="6" spans="2:48">
      <c r="B6" s="4" t="s">
        <v>48</v>
      </c>
      <c r="H6" s="14">
        <v>17719</v>
      </c>
      <c r="I6" s="14">
        <v>17853</v>
      </c>
      <c r="K6" s="14">
        <v>18203</v>
      </c>
      <c r="L6" s="14">
        <v>18271</v>
      </c>
      <c r="M6" s="14">
        <v>18235</v>
      </c>
      <c r="O6" s="14">
        <v>18308</v>
      </c>
      <c r="P6" s="14">
        <v>18120</v>
      </c>
      <c r="Q6" s="14">
        <v>18175</v>
      </c>
      <c r="R6" s="14">
        <v>16888</v>
      </c>
      <c r="S6" s="14">
        <v>16888</v>
      </c>
      <c r="T6" s="14">
        <v>16926</v>
      </c>
      <c r="U6" s="14">
        <v>17050</v>
      </c>
      <c r="V6" s="4">
        <v>17295</v>
      </c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</row>
    <row r="7" spans="2:48">
      <c r="B7" s="4" t="s">
        <v>49</v>
      </c>
      <c r="H7" s="14">
        <v>12465</v>
      </c>
      <c r="I7" s="14">
        <v>12773</v>
      </c>
      <c r="K7" s="14">
        <v>13592</v>
      </c>
      <c r="L7" s="14">
        <v>13779</v>
      </c>
      <c r="M7" s="14">
        <v>13945</v>
      </c>
      <c r="O7" s="14">
        <v>14630</v>
      </c>
      <c r="P7" s="14">
        <v>14823</v>
      </c>
      <c r="Q7" s="14">
        <v>15120</v>
      </c>
      <c r="R7" s="14">
        <v>17429</v>
      </c>
      <c r="S7" s="14">
        <v>16048</v>
      </c>
      <c r="T7" s="14">
        <v>7704</v>
      </c>
      <c r="U7" s="14">
        <v>17898</v>
      </c>
      <c r="V7" s="4">
        <v>18416</v>
      </c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</row>
    <row r="8" spans="2:48" s="6" customFormat="1">
      <c r="B8" s="6" t="s">
        <v>47</v>
      </c>
      <c r="C8" s="22"/>
      <c r="D8" s="22"/>
      <c r="E8" s="22"/>
      <c r="F8" s="22"/>
      <c r="G8" s="22">
        <f t="shared" ref="G8:Q8" si="2">+SUM(G6:G7)</f>
        <v>0</v>
      </c>
      <c r="H8" s="22">
        <f t="shared" si="2"/>
        <v>30184</v>
      </c>
      <c r="I8" s="22">
        <f t="shared" si="2"/>
        <v>30626</v>
      </c>
      <c r="J8" s="22">
        <v>31256</v>
      </c>
      <c r="K8" s="22">
        <f t="shared" si="2"/>
        <v>31795</v>
      </c>
      <c r="L8" s="22">
        <f t="shared" si="2"/>
        <v>32050</v>
      </c>
      <c r="M8" s="22">
        <f t="shared" si="2"/>
        <v>32180</v>
      </c>
      <c r="N8" s="22">
        <v>32660</v>
      </c>
      <c r="O8" s="22">
        <f t="shared" si="2"/>
        <v>32938</v>
      </c>
      <c r="P8" s="22">
        <f t="shared" si="2"/>
        <v>32943</v>
      </c>
      <c r="Q8" s="22">
        <f t="shared" si="2"/>
        <v>33295</v>
      </c>
      <c r="R8" s="22">
        <f>+SUM(R6:R7)</f>
        <v>34317</v>
      </c>
      <c r="S8" s="22">
        <f>+SUM(S6:S7)</f>
        <v>32936</v>
      </c>
      <c r="T8" s="22">
        <f>+SUM(T6:T7)</f>
        <v>24630</v>
      </c>
      <c r="U8" s="22">
        <f>+SUM(U6:U7)</f>
        <v>34948</v>
      </c>
      <c r="V8" s="22">
        <f>+SUM(V6:V7)</f>
        <v>35711</v>
      </c>
      <c r="AF8" s="7">
        <v>25085</v>
      </c>
      <c r="AG8" s="7">
        <v>27339</v>
      </c>
      <c r="AH8" s="7">
        <v>29324</v>
      </c>
      <c r="AI8" s="7">
        <v>31256</v>
      </c>
      <c r="AJ8" s="7">
        <v>32660</v>
      </c>
      <c r="AK8" s="7">
        <f>+R8</f>
        <v>34317</v>
      </c>
      <c r="AL8" s="6">
        <f>+V8</f>
        <v>35711</v>
      </c>
      <c r="AM8" s="6">
        <f>+AL8*(1+AM9)</f>
        <v>37853.660000000003</v>
      </c>
      <c r="AN8" s="6">
        <f>+AM8+(AM8-AL8)</f>
        <v>39996.320000000007</v>
      </c>
      <c r="AO8" s="6">
        <f t="shared" ref="AO8:AV8" si="3">+AN8+(AN8-AM8)</f>
        <v>42138.98000000001</v>
      </c>
      <c r="AP8" s="6">
        <f t="shared" si="3"/>
        <v>44281.640000000014</v>
      </c>
      <c r="AQ8" s="6">
        <f t="shared" si="3"/>
        <v>46424.300000000017</v>
      </c>
      <c r="AR8" s="6">
        <f t="shared" si="3"/>
        <v>48566.960000000021</v>
      </c>
      <c r="AS8" s="6">
        <f t="shared" si="3"/>
        <v>50709.620000000024</v>
      </c>
      <c r="AT8" s="6">
        <f t="shared" si="3"/>
        <v>52852.280000000028</v>
      </c>
      <c r="AU8" s="6">
        <f t="shared" si="3"/>
        <v>54994.940000000031</v>
      </c>
      <c r="AV8" s="6">
        <f t="shared" si="3"/>
        <v>57137.600000000035</v>
      </c>
    </row>
    <row r="9" spans="2:48" s="8" customFormat="1"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AG9" s="8">
        <f t="shared" ref="AG9:AJ9" si="4">+AG8/AF8-1</f>
        <v>8.9854494717958922E-2</v>
      </c>
      <c r="AH9" s="8">
        <f t="shared" si="4"/>
        <v>7.2606898569808731E-2</v>
      </c>
      <c r="AI9" s="8">
        <f t="shared" si="4"/>
        <v>6.5884599645341657E-2</v>
      </c>
      <c r="AJ9" s="8">
        <f t="shared" si="4"/>
        <v>4.4919375479907764E-2</v>
      </c>
      <c r="AK9" s="8">
        <f t="shared" ref="AK9" si="5">+AK8/AJ8-1</f>
        <v>5.073484384568272E-2</v>
      </c>
      <c r="AL9" s="8">
        <f t="shared" ref="AL9" si="6">+AL8/AK8-1</f>
        <v>4.0621266427718128E-2</v>
      </c>
      <c r="AM9" s="8">
        <v>0.06</v>
      </c>
      <c r="AN9" s="8">
        <v>0.06</v>
      </c>
      <c r="AO9" s="8">
        <v>0.06</v>
      </c>
      <c r="AP9" s="8">
        <v>0.06</v>
      </c>
      <c r="AQ9" s="8">
        <v>0.06</v>
      </c>
      <c r="AR9" s="8">
        <v>0.06</v>
      </c>
      <c r="AS9" s="8">
        <v>0.06</v>
      </c>
      <c r="AT9" s="8">
        <v>0.06</v>
      </c>
      <c r="AU9" s="8">
        <v>0.06</v>
      </c>
      <c r="AV9" s="8">
        <v>0.06</v>
      </c>
    </row>
    <row r="10" spans="2:48" s="9" customFormat="1">
      <c r="B10" s="9" t="s">
        <v>50</v>
      </c>
      <c r="C10" s="24"/>
      <c r="D10" s="24"/>
      <c r="E10" s="24"/>
      <c r="F10" s="24"/>
      <c r="G10" s="24"/>
      <c r="H10" s="24">
        <f>+H24/H8</f>
        <v>0.20891531937450303</v>
      </c>
      <c r="I10" s="24">
        <f t="shared" ref="I10:V10" si="7">+I24/I8</f>
        <v>0.22278456213674655</v>
      </c>
      <c r="J10" s="24">
        <f t="shared" si="7"/>
        <v>0.2158625543895572</v>
      </c>
      <c r="K10" s="24">
        <f t="shared" si="7"/>
        <v>0.22321434187765371</v>
      </c>
      <c r="L10" s="24">
        <f t="shared" si="7"/>
        <v>0.18707332293291731</v>
      </c>
      <c r="M10" s="24">
        <f t="shared" si="7"/>
        <v>0.13120261031696706</v>
      </c>
      <c r="N10" s="24">
        <f t="shared" si="7"/>
        <v>0.18992957746478875</v>
      </c>
      <c r="O10" s="24">
        <f t="shared" si="7"/>
        <v>0.20491225939644181</v>
      </c>
      <c r="P10" s="24">
        <f t="shared" si="7"/>
        <v>0.20241022371975836</v>
      </c>
      <c r="Q10" s="24">
        <f t="shared" si="7"/>
        <v>0.22515392701606848</v>
      </c>
      <c r="R10" s="24">
        <f t="shared" si="7"/>
        <v>0.23739545997610514</v>
      </c>
      <c r="S10" s="24">
        <f t="shared" si="7"/>
        <v>0.24442555258683507</v>
      </c>
      <c r="T10" s="24">
        <f t="shared" si="7"/>
        <v>0.3100121802679659</v>
      </c>
      <c r="U10" s="24">
        <f t="shared" si="7"/>
        <v>0.23320647819617718</v>
      </c>
      <c r="V10" s="24">
        <f t="shared" si="7"/>
        <v>0.23561927697348153</v>
      </c>
      <c r="AF10" s="9">
        <f t="shared" ref="AF10:AH10" si="8">+AF24/AF8</f>
        <v>0.8497468606737093</v>
      </c>
      <c r="AG10" s="9">
        <f t="shared" si="8"/>
        <v>0.81885950473682279</v>
      </c>
      <c r="AH10" s="9">
        <f t="shared" si="8"/>
        <v>0.84297844768790064</v>
      </c>
      <c r="AI10" s="9">
        <f>+AI24/AI8</f>
        <v>0.84811236242641408</v>
      </c>
      <c r="AJ10" s="9">
        <f>+AJ24/AJ8</f>
        <v>0.72008573178199631</v>
      </c>
      <c r="AK10" s="9">
        <f>+AK24/AK8</f>
        <v>0.84682810268962916</v>
      </c>
      <c r="AL10" s="9">
        <f>+AL24/AL8</f>
        <v>0.90309148441656617</v>
      </c>
      <c r="AM10" s="9">
        <f>+AL10*1.02</f>
        <v>0.92115331410489754</v>
      </c>
      <c r="AN10" s="9">
        <f t="shared" ref="AN10:AV10" si="9">+AM10*1.02</f>
        <v>0.93957638038699554</v>
      </c>
      <c r="AO10" s="9">
        <f t="shared" si="9"/>
        <v>0.95836790799473548</v>
      </c>
      <c r="AP10" s="9">
        <f t="shared" si="9"/>
        <v>0.97753526615463016</v>
      </c>
      <c r="AQ10" s="9">
        <f t="shared" si="9"/>
        <v>0.99708597147772282</v>
      </c>
      <c r="AR10" s="9">
        <f t="shared" si="9"/>
        <v>1.0170276909072773</v>
      </c>
      <c r="AS10" s="9">
        <f t="shared" si="9"/>
        <v>1.0373682447254229</v>
      </c>
      <c r="AT10" s="9">
        <f t="shared" si="9"/>
        <v>1.0581156096199313</v>
      </c>
      <c r="AU10" s="9">
        <f t="shared" si="9"/>
        <v>1.0792779218123301</v>
      </c>
      <c r="AV10" s="9">
        <f t="shared" si="9"/>
        <v>1.1008634802485766</v>
      </c>
    </row>
    <row r="11" spans="2:48" s="8" customFormat="1"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</row>
    <row r="12" spans="2:48">
      <c r="B12" s="4" t="s">
        <v>56</v>
      </c>
      <c r="G12" s="14">
        <v>3926</v>
      </c>
      <c r="H12" s="14">
        <v>3760.4</v>
      </c>
      <c r="I12" s="14">
        <v>4122.1000000000004</v>
      </c>
      <c r="J12" s="14">
        <f>+AI12-SUM(G12:I12)</f>
        <v>4112.7000000000007</v>
      </c>
      <c r="K12" s="14">
        <v>4260.8999999999996</v>
      </c>
      <c r="L12" s="14">
        <v>3530.9</v>
      </c>
      <c r="M12" s="14">
        <v>2628.8</v>
      </c>
      <c r="N12" s="14">
        <f>+AJ12-SUM(K12:M12)</f>
        <v>3916.9000000000015</v>
      </c>
      <c r="O12" s="14">
        <v>4251.8999999999996</v>
      </c>
      <c r="P12" s="14">
        <v>4212.8</v>
      </c>
      <c r="Q12" s="14">
        <v>4753.1000000000004</v>
      </c>
      <c r="R12" s="14">
        <f>+AK12-SUM(O12:Q12)</f>
        <v>5099.1999999999989</v>
      </c>
      <c r="S12" s="14">
        <v>4898.3999999999996</v>
      </c>
      <c r="T12" s="14">
        <v>4599</v>
      </c>
      <c r="U12" s="14">
        <v>4944.6000000000004</v>
      </c>
      <c r="AC12" s="4">
        <v>8674.7000000000007</v>
      </c>
      <c r="AD12" s="4">
        <v>9458.4</v>
      </c>
      <c r="AE12" s="4">
        <v>11115.4</v>
      </c>
      <c r="AF12" s="4">
        <v>12383.4</v>
      </c>
      <c r="AG12" s="4">
        <v>12915</v>
      </c>
      <c r="AH12" s="4">
        <v>14463.1</v>
      </c>
      <c r="AI12" s="4">
        <v>15921.2</v>
      </c>
      <c r="AJ12" s="4">
        <v>14337.5</v>
      </c>
      <c r="AK12" s="4">
        <v>18317</v>
      </c>
    </row>
    <row r="13" spans="2:48">
      <c r="B13" s="4" t="s">
        <v>57</v>
      </c>
      <c r="G13" s="14">
        <v>1188.9000000000001</v>
      </c>
      <c r="H13" s="14">
        <v>1157.9000000000001</v>
      </c>
      <c r="I13" s="14">
        <v>1106.9000000000001</v>
      </c>
      <c r="J13" s="14">
        <f t="shared" ref="J13:J14" si="10">+AI13-SUM(G13:I13)</f>
        <v>882.59999999999991</v>
      </c>
      <c r="K13" s="14">
        <v>1162.0999999999999</v>
      </c>
      <c r="L13" s="14">
        <v>968.7</v>
      </c>
      <c r="M13" s="14">
        <v>629.20000000000005</v>
      </c>
      <c r="N13" s="14">
        <f t="shared" ref="N13" si="11">+AJ13-SUM(K13:M13)</f>
        <v>739.19999999999982</v>
      </c>
      <c r="O13" s="14">
        <v>1140.8</v>
      </c>
      <c r="P13" s="14">
        <v>1131.4000000000001</v>
      </c>
      <c r="Q13" s="14">
        <v>1311.2</v>
      </c>
      <c r="R13" s="14">
        <f t="shared" ref="R13:R14" si="12">+AK13-SUM(O13:Q13)</f>
        <v>1470</v>
      </c>
      <c r="S13" s="14">
        <v>1434.6</v>
      </c>
      <c r="T13" s="14">
        <v>1364.3</v>
      </c>
      <c r="U13" s="14">
        <v>1472</v>
      </c>
      <c r="AC13" s="4">
        <v>2189.8000000000002</v>
      </c>
      <c r="AD13" s="4">
        <v>2505.1999999999998</v>
      </c>
      <c r="AE13" s="4">
        <v>3085.3</v>
      </c>
      <c r="AF13" s="4">
        <v>3495</v>
      </c>
      <c r="AG13" s="4">
        <v>3832.4</v>
      </c>
      <c r="AH13" s="4">
        <v>3986.5</v>
      </c>
      <c r="AI13" s="4">
        <v>4336.3</v>
      </c>
      <c r="AJ13" s="4">
        <v>3499.2</v>
      </c>
      <c r="AK13" s="4">
        <v>5053.3999999999996</v>
      </c>
    </row>
    <row r="14" spans="2:48">
      <c r="B14" s="4" t="s">
        <v>20</v>
      </c>
      <c r="G14" s="14">
        <v>1517.8</v>
      </c>
      <c r="H14" s="14">
        <v>1387.6</v>
      </c>
      <c r="I14" s="14">
        <v>1594</v>
      </c>
      <c r="J14" s="14">
        <f t="shared" si="10"/>
        <v>1751.7000000000007</v>
      </c>
      <c r="K14" s="14">
        <v>1674.1</v>
      </c>
      <c r="L14" s="14">
        <v>1496.1</v>
      </c>
      <c r="M14" s="14">
        <v>961.4</v>
      </c>
      <c r="N14" s="14">
        <f>+AJ14-SUM(K14:M14)</f>
        <v>-1750.2999999999993</v>
      </c>
      <c r="O14" s="14">
        <v>1356.7</v>
      </c>
      <c r="P14" s="14">
        <v>1323.8</v>
      </c>
      <c r="Q14" s="14">
        <v>1432.2</v>
      </c>
      <c r="R14" s="14">
        <f t="shared" si="12"/>
        <v>1577.5</v>
      </c>
      <c r="S14" s="14">
        <v>1717.4</v>
      </c>
      <c r="T14" s="14">
        <v>1672.3</v>
      </c>
      <c r="U14" s="14">
        <v>1733.5</v>
      </c>
      <c r="AC14" s="4">
        <f>2206.5+1795.8</f>
        <v>4002.3</v>
      </c>
      <c r="AD14" s="4">
        <f>2370+2114.2</f>
        <v>4484.2</v>
      </c>
      <c r="AE14" s="4">
        <f>2619.9+2342.1</f>
        <v>4962</v>
      </c>
      <c r="AF14" s="4">
        <f>2866+2571.5</f>
        <v>5437.5</v>
      </c>
      <c r="AG14" s="4">
        <f>2883.6+2756.1</f>
        <v>5639.7</v>
      </c>
      <c r="AH14" s="4">
        <v>6269.9</v>
      </c>
      <c r="AI14" s="4">
        <v>6251.1</v>
      </c>
      <c r="AJ14" s="4">
        <v>2381.3000000000002</v>
      </c>
      <c r="AK14" s="4">
        <v>5690.2</v>
      </c>
    </row>
    <row r="16" spans="2:48">
      <c r="B16" s="6" t="s">
        <v>117</v>
      </c>
      <c r="C16" s="22"/>
      <c r="D16" s="22"/>
      <c r="E16" s="22"/>
      <c r="F16" s="22"/>
    </row>
    <row r="17" spans="2:48" s="8" customFormat="1">
      <c r="B17" s="4" t="s">
        <v>56</v>
      </c>
      <c r="C17" s="14"/>
      <c r="D17" s="14"/>
      <c r="E17" s="14"/>
      <c r="F17" s="14"/>
      <c r="G17" s="23">
        <f t="shared" ref="G17:J17" si="13">+G12/SUM(G12:G14)</f>
        <v>0.59191581105733715</v>
      </c>
      <c r="H17" s="23">
        <f t="shared" si="13"/>
        <v>0.59633042071710629</v>
      </c>
      <c r="I17" s="23">
        <f t="shared" si="13"/>
        <v>0.60414773560017598</v>
      </c>
      <c r="J17" s="23">
        <f t="shared" si="13"/>
        <v>0.60955980435749213</v>
      </c>
      <c r="K17" s="23">
        <f t="shared" ref="K17:R17" si="14">+K12/SUM(K12:K14)</f>
        <v>0.60037198292260208</v>
      </c>
      <c r="L17" s="23">
        <f t="shared" si="14"/>
        <v>0.58890538219056987</v>
      </c>
      <c r="M17" s="23">
        <f t="shared" si="14"/>
        <v>0.62302697065933554</v>
      </c>
      <c r="N17" s="23">
        <f t="shared" si="14"/>
        <v>1.3479592539059808</v>
      </c>
      <c r="O17" s="23">
        <f t="shared" si="14"/>
        <v>0.62996710818739443</v>
      </c>
      <c r="P17" s="23">
        <f t="shared" si="14"/>
        <v>0.63179364127174564</v>
      </c>
      <c r="Q17" s="23">
        <f t="shared" si="14"/>
        <v>0.63404255319148939</v>
      </c>
      <c r="R17" s="23">
        <f t="shared" si="14"/>
        <v>0.62592215252801742</v>
      </c>
      <c r="S17" s="23">
        <f>+S12/SUM(S12:S14)</f>
        <v>0.608466660041737</v>
      </c>
      <c r="T17" s="23">
        <f>+T12/SUM(T12:T14)</f>
        <v>0.60231023102310233</v>
      </c>
      <c r="U17" s="23">
        <f>+U12/SUM(U12:U14)</f>
        <v>0.60669194243015423</v>
      </c>
      <c r="AC17" s="8">
        <f t="shared" ref="AC17:AD17" si="15">+AC12/SUM(AC12:AC14)</f>
        <v>0.58349476686307755</v>
      </c>
      <c r="AD17" s="8">
        <f t="shared" si="15"/>
        <v>0.57505563054025466</v>
      </c>
      <c r="AE17" s="8">
        <f t="shared" ref="AE17:AF17" si="16">+AE12/SUM(AE12:AE14)</f>
        <v>0.58005395899325252</v>
      </c>
      <c r="AF17" s="8">
        <f t="shared" si="16"/>
        <v>0.58094661731383612</v>
      </c>
      <c r="AG17" s="8">
        <f t="shared" ref="AG17" si="17">+AG12/SUM(AG12:AG14)</f>
        <v>0.5768947295540735</v>
      </c>
      <c r="AH17" s="8">
        <f>+AH12/SUM(AH12:AH14)</f>
        <v>0.58508869515969175</v>
      </c>
      <c r="AI17" s="8">
        <f t="shared" ref="AI17:AK17" si="18">+AI12/SUM(AI12:AI14)</f>
        <v>0.60060508665112455</v>
      </c>
      <c r="AJ17" s="8">
        <f t="shared" si="18"/>
        <v>0.70914531605500053</v>
      </c>
      <c r="AK17" s="8">
        <f t="shared" si="18"/>
        <v>0.63030357253463443</v>
      </c>
    </row>
    <row r="18" spans="2:48" s="8" customFormat="1">
      <c r="B18" s="4" t="s">
        <v>57</v>
      </c>
      <c r="C18" s="14"/>
      <c r="D18" s="14"/>
      <c r="E18" s="14"/>
      <c r="F18" s="14"/>
      <c r="G18" s="23">
        <f t="shared" ref="G18:J18" si="19">+G13/SUM(G12:G14)</f>
        <v>0.17924826993532048</v>
      </c>
      <c r="H18" s="23">
        <f t="shared" si="19"/>
        <v>0.18362168762587422</v>
      </c>
      <c r="I18" s="23">
        <f t="shared" si="19"/>
        <v>0.1622306903121794</v>
      </c>
      <c r="J18" s="23">
        <f t="shared" si="19"/>
        <v>0.13081369497554463</v>
      </c>
      <c r="K18" s="23">
        <f t="shared" ref="K18:R18" si="20">+K13/SUM(K12:K14)</f>
        <v>0.16374293725606232</v>
      </c>
      <c r="L18" s="23">
        <f t="shared" si="20"/>
        <v>0.16156578881531763</v>
      </c>
      <c r="M18" s="23">
        <f t="shared" si="20"/>
        <v>0.14912072806560175</v>
      </c>
      <c r="N18" s="23">
        <f t="shared" si="20"/>
        <v>0.25438777617179409</v>
      </c>
      <c r="O18" s="23">
        <f t="shared" si="20"/>
        <v>0.16902243162355174</v>
      </c>
      <c r="P18" s="23">
        <f t="shared" si="20"/>
        <v>0.16967606478704259</v>
      </c>
      <c r="Q18" s="23">
        <f t="shared" si="20"/>
        <v>0.17490829053558327</v>
      </c>
      <c r="R18" s="23">
        <f t="shared" si="20"/>
        <v>0.18044116022438536</v>
      </c>
      <c r="S18" s="23">
        <f>+S13/SUM(S12:S14)</f>
        <v>0.17820232535029315</v>
      </c>
      <c r="T18" s="23">
        <f>+T13/SUM(T12:T14)</f>
        <v>0.17867620095342865</v>
      </c>
      <c r="U18" s="23">
        <f>+U13/SUM(U12:U14)</f>
        <v>0.18061128084317982</v>
      </c>
      <c r="AC18" s="8">
        <f t="shared" ref="AC18:AD18" si="21">+AC13/SUM(AC12:AC14)</f>
        <v>0.14729464309737134</v>
      </c>
      <c r="AD18" s="8">
        <f t="shared" si="21"/>
        <v>0.15231216332883424</v>
      </c>
      <c r="AE18" s="8">
        <f t="shared" ref="AE18:AF18" si="22">+AE13/SUM(AE12:AE14)</f>
        <v>0.16100549505027997</v>
      </c>
      <c r="AF18" s="8">
        <f t="shared" si="22"/>
        <v>0.16396211278904479</v>
      </c>
      <c r="AG18" s="8">
        <f t="shared" ref="AG18" si="23">+AG13/SUM(AG12:AG14)</f>
        <v>0.17118787158676202</v>
      </c>
      <c r="AH18" s="8">
        <f>+AH13/SUM(AH12:AH14)</f>
        <v>0.16126944315216732</v>
      </c>
      <c r="AI18" s="8">
        <f t="shared" ref="AI18:AK18" si="24">+AI13/SUM(AI12:AI14)</f>
        <v>0.16358087564035823</v>
      </c>
      <c r="AJ18" s="8">
        <f t="shared" si="24"/>
        <v>0.17307349886239984</v>
      </c>
      <c r="AK18" s="8">
        <f t="shared" si="24"/>
        <v>0.17389179851758046</v>
      </c>
    </row>
    <row r="19" spans="2:48" s="8" customFormat="1">
      <c r="B19" s="4" t="s">
        <v>20</v>
      </c>
      <c r="C19" s="14"/>
      <c r="D19" s="14"/>
      <c r="E19" s="14"/>
      <c r="F19" s="14"/>
      <c r="G19" s="23">
        <f t="shared" ref="G19:J19" si="25">+G14/SUM(G12:G14)</f>
        <v>0.2288359190073424</v>
      </c>
      <c r="H19" s="23">
        <f t="shared" si="25"/>
        <v>0.22004789165701963</v>
      </c>
      <c r="I19" s="23">
        <f t="shared" si="25"/>
        <v>0.23362157408764472</v>
      </c>
      <c r="J19" s="23">
        <f t="shared" si="25"/>
        <v>0.25962650066696313</v>
      </c>
      <c r="K19" s="23">
        <f t="shared" ref="K19:R19" si="26">+K14/SUM(K12:K14)</f>
        <v>0.23588507982133544</v>
      </c>
      <c r="L19" s="23">
        <f t="shared" si="26"/>
        <v>0.24952882899411241</v>
      </c>
      <c r="M19" s="23">
        <f t="shared" si="26"/>
        <v>0.22785230127506281</v>
      </c>
      <c r="N19" s="23">
        <f t="shared" si="26"/>
        <v>-0.60234703007777479</v>
      </c>
      <c r="O19" s="23">
        <f t="shared" si="26"/>
        <v>0.20101046018905386</v>
      </c>
      <c r="P19" s="23">
        <f t="shared" si="26"/>
        <v>0.19853029394121172</v>
      </c>
      <c r="Q19" s="23">
        <f t="shared" si="26"/>
        <v>0.19104915627292737</v>
      </c>
      <c r="R19" s="23">
        <f t="shared" si="26"/>
        <v>0.19363668724759722</v>
      </c>
      <c r="S19" s="23">
        <f>+S14/SUM(S12:S14)</f>
        <v>0.2133310146079698</v>
      </c>
      <c r="T19" s="23">
        <f>+T14/SUM(T12:T14)</f>
        <v>0.219013568023469</v>
      </c>
      <c r="U19" s="23">
        <f>+U14/SUM(U12:U14)</f>
        <v>0.21269677672666593</v>
      </c>
      <c r="AC19" s="8">
        <f t="shared" ref="AC19:AD19" si="27">+AC14/SUM(AC12:AC14)</f>
        <v>0.26921059003955122</v>
      </c>
      <c r="AD19" s="8">
        <f t="shared" si="27"/>
        <v>0.2726322061309111</v>
      </c>
      <c r="AE19" s="8">
        <f t="shared" ref="AE19:AF19" si="28">+AE14/SUM(AE12:AE14)</f>
        <v>0.25894054595646748</v>
      </c>
      <c r="AF19" s="8">
        <f t="shared" si="28"/>
        <v>0.25509126989711906</v>
      </c>
      <c r="AG19" s="8">
        <f t="shared" ref="AG19" si="29">+AG14/SUM(AG12:AG14)</f>
        <v>0.25191739885916442</v>
      </c>
      <c r="AH19" s="8">
        <f>+AH14/SUM(AH12:AH14)</f>
        <v>0.2536418616881409</v>
      </c>
      <c r="AI19" s="8">
        <f t="shared" ref="AI19:AK19" si="30">+AI14/SUM(AI12:AI14)</f>
        <v>0.23581403770851725</v>
      </c>
      <c r="AJ19" s="8">
        <f t="shared" si="30"/>
        <v>0.11778118508259967</v>
      </c>
      <c r="AK19" s="8">
        <f t="shared" si="30"/>
        <v>0.19580462894778494</v>
      </c>
    </row>
    <row r="20" spans="2:48"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</row>
    <row r="21" spans="2:48">
      <c r="B21" s="4" t="s">
        <v>18</v>
      </c>
      <c r="C21" s="14">
        <v>4741.8</v>
      </c>
      <c r="D21" s="14">
        <v>4828</v>
      </c>
      <c r="E21" s="14">
        <v>5060.3999999999996</v>
      </c>
      <c r="F21" s="14">
        <v>5060.1000000000004</v>
      </c>
      <c r="G21" s="14">
        <v>5370.3</v>
      </c>
      <c r="H21" s="14">
        <v>5159</v>
      </c>
      <c r="I21" s="14">
        <v>5535</v>
      </c>
      <c r="J21" s="14">
        <v>5480.1</v>
      </c>
      <c r="K21" s="14">
        <v>5780.7</v>
      </c>
      <c r="L21" s="14">
        <v>4766</v>
      </c>
      <c r="M21" s="14">
        <v>3444.4</v>
      </c>
      <c r="N21" s="14">
        <v>5173.6000000000004</v>
      </c>
      <c r="O21" s="14">
        <v>5726.5</v>
      </c>
      <c r="P21" s="14">
        <v>5653.1</v>
      </c>
      <c r="Q21" s="14">
        <v>6363.1</v>
      </c>
      <c r="R21" s="14">
        <v>6864.3</v>
      </c>
      <c r="S21" s="14">
        <v>6722.4</v>
      </c>
      <c r="T21" s="14">
        <v>6276.7</v>
      </c>
      <c r="U21" s="14">
        <v>6675.5</v>
      </c>
      <c r="V21" s="4">
        <v>6901.4</v>
      </c>
      <c r="AC21" s="4">
        <v>11793.2</v>
      </c>
      <c r="AD21" s="4">
        <v>12977.9</v>
      </c>
      <c r="AE21" s="4">
        <v>15197.3</v>
      </c>
      <c r="AF21" s="4">
        <v>16844.099999999999</v>
      </c>
      <c r="AG21" s="4">
        <v>17650.7</v>
      </c>
      <c r="AH21" s="4">
        <v>19690.3</v>
      </c>
      <c r="AI21" s="4">
        <f>+SUM(G21:J21)</f>
        <v>21544.400000000001</v>
      </c>
      <c r="AJ21" s="4">
        <f>+SUM(O21:R21)</f>
        <v>24607</v>
      </c>
      <c r="AK21" s="4">
        <f t="shared" ref="AK21:AK23" si="31">+SUM(O21:R21)</f>
        <v>24607</v>
      </c>
      <c r="AL21" s="4">
        <f>+SUM(S21:V21)</f>
        <v>26576</v>
      </c>
    </row>
    <row r="22" spans="2:48">
      <c r="B22" s="4" t="s">
        <v>19</v>
      </c>
      <c r="C22" s="14">
        <v>682.4</v>
      </c>
      <c r="D22" s="14">
        <v>625.6</v>
      </c>
      <c r="E22" s="14">
        <v>660.6</v>
      </c>
      <c r="F22" s="14">
        <v>683.6</v>
      </c>
      <c r="G22" s="14">
        <v>737.1</v>
      </c>
      <c r="H22" s="14">
        <v>678.2</v>
      </c>
      <c r="I22" s="14">
        <v>725</v>
      </c>
      <c r="J22" s="14">
        <v>734.7</v>
      </c>
      <c r="K22" s="14">
        <v>792</v>
      </c>
      <c r="L22" s="14">
        <v>689.8</v>
      </c>
      <c r="M22" s="14">
        <v>300.5</v>
      </c>
      <c r="N22" s="14">
        <v>544.6</v>
      </c>
      <c r="O22" s="14">
        <v>613.79999999999995</v>
      </c>
      <c r="P22" s="14">
        <v>595</v>
      </c>
      <c r="Q22" s="14">
        <v>680.2</v>
      </c>
      <c r="R22" s="14">
        <v>794.5</v>
      </c>
      <c r="S22" s="14">
        <v>850.8</v>
      </c>
      <c r="T22" s="14">
        <v>849.5</v>
      </c>
      <c r="U22" s="14">
        <v>956.8</v>
      </c>
      <c r="V22" s="4">
        <v>998.4</v>
      </c>
      <c r="AC22" s="4">
        <v>1360.5</v>
      </c>
      <c r="AD22" s="4">
        <v>1588.6</v>
      </c>
      <c r="AE22" s="4">
        <v>1861.9</v>
      </c>
      <c r="AF22" s="4">
        <v>2154.1999999999998</v>
      </c>
      <c r="AG22" s="4">
        <v>2355</v>
      </c>
      <c r="AH22" s="4">
        <v>2652.2</v>
      </c>
      <c r="AI22" s="4">
        <f t="shared" ref="AI22:AI23" si="32">+SUM(G22:J22)</f>
        <v>2875</v>
      </c>
      <c r="AJ22" s="4">
        <f t="shared" ref="AJ22:AJ23" si="33">+SUM(O22:R22)</f>
        <v>2683.5</v>
      </c>
      <c r="AK22" s="4">
        <f t="shared" si="31"/>
        <v>2683.5</v>
      </c>
      <c r="AL22" s="4">
        <f t="shared" ref="AL22:AL46" si="34">+SUM(S22:V22)</f>
        <v>3655.5</v>
      </c>
    </row>
    <row r="23" spans="2:48">
      <c r="B23" s="4" t="s">
        <v>20</v>
      </c>
      <c r="C23" s="14">
        <v>649.5</v>
      </c>
      <c r="D23" s="14">
        <v>578.20000000000005</v>
      </c>
      <c r="E23" s="14">
        <v>589.29999999999995</v>
      </c>
      <c r="F23" s="14">
        <v>559.9</v>
      </c>
      <c r="G23" s="14">
        <v>525.29999999999995</v>
      </c>
      <c r="H23" s="14">
        <v>468.7</v>
      </c>
      <c r="I23" s="14">
        <v>563</v>
      </c>
      <c r="J23" s="14">
        <v>532.20000000000005</v>
      </c>
      <c r="K23" s="14">
        <v>524.4</v>
      </c>
      <c r="L23" s="14">
        <v>539.9</v>
      </c>
      <c r="M23" s="14">
        <v>477.2</v>
      </c>
      <c r="N23" s="14">
        <v>484.9</v>
      </c>
      <c r="O23" s="14">
        <v>409.1</v>
      </c>
      <c r="P23" s="14">
        <v>419.9</v>
      </c>
      <c r="Q23" s="14">
        <v>453.2</v>
      </c>
      <c r="R23" s="14">
        <v>487.9</v>
      </c>
      <c r="S23" s="14">
        <v>477.2</v>
      </c>
      <c r="T23" s="14">
        <v>509.4</v>
      </c>
      <c r="U23" s="14">
        <v>517.79999999999995</v>
      </c>
      <c r="V23" s="4">
        <v>514.4</v>
      </c>
      <c r="AC23" s="4">
        <v>1713.1</v>
      </c>
      <c r="AD23" s="4">
        <v>1881.3</v>
      </c>
      <c r="AE23" s="4">
        <v>2103.5</v>
      </c>
      <c r="AF23" s="4">
        <v>2317.6</v>
      </c>
      <c r="AG23" s="4">
        <v>2381.1</v>
      </c>
      <c r="AH23" s="4">
        <v>2377</v>
      </c>
      <c r="AI23" s="4">
        <f t="shared" si="32"/>
        <v>2089.1999999999998</v>
      </c>
      <c r="AJ23" s="4">
        <f t="shared" si="33"/>
        <v>1770.1</v>
      </c>
      <c r="AK23" s="4">
        <f t="shared" si="31"/>
        <v>1770.1</v>
      </c>
      <c r="AL23" s="4">
        <f t="shared" si="34"/>
        <v>2018.7999999999997</v>
      </c>
    </row>
    <row r="24" spans="2:48" s="6" customFormat="1">
      <c r="B24" s="6" t="s">
        <v>21</v>
      </c>
      <c r="C24" s="22">
        <f t="shared" ref="C24" si="35">+SUM(C21:C23)</f>
        <v>6073.7</v>
      </c>
      <c r="D24" s="22">
        <f t="shared" ref="D24:F24" si="36">+SUM(D21:D23)</f>
        <v>6031.8</v>
      </c>
      <c r="E24" s="22">
        <f t="shared" ref="E24" si="37">+SUM(E21:E23)</f>
        <v>6310.3</v>
      </c>
      <c r="F24" s="22">
        <f t="shared" si="36"/>
        <v>6303.6</v>
      </c>
      <c r="G24" s="22">
        <f t="shared" ref="G24:R24" si="38">+SUM(G21:G23)</f>
        <v>6632.7000000000007</v>
      </c>
      <c r="H24" s="22">
        <f>+SUM(H21:H23)</f>
        <v>6305.9</v>
      </c>
      <c r="I24" s="22">
        <f>+SUM(I21:I23)</f>
        <v>6823</v>
      </c>
      <c r="J24" s="22">
        <f t="shared" si="38"/>
        <v>6747</v>
      </c>
      <c r="K24" s="22">
        <f t="shared" si="38"/>
        <v>7097.0999999999995</v>
      </c>
      <c r="L24" s="22">
        <f t="shared" si="38"/>
        <v>5995.7</v>
      </c>
      <c r="M24" s="22">
        <f t="shared" si="38"/>
        <v>4222.1000000000004</v>
      </c>
      <c r="N24" s="22">
        <f t="shared" si="38"/>
        <v>6203.1</v>
      </c>
      <c r="O24" s="22">
        <f t="shared" si="38"/>
        <v>6749.4000000000005</v>
      </c>
      <c r="P24" s="22">
        <f t="shared" si="38"/>
        <v>6668</v>
      </c>
      <c r="Q24" s="22">
        <f t="shared" si="38"/>
        <v>7496.5</v>
      </c>
      <c r="R24" s="22">
        <f t="shared" si="38"/>
        <v>8146.7</v>
      </c>
      <c r="S24" s="22">
        <f>+SUM(S21:S23)</f>
        <v>8050.4</v>
      </c>
      <c r="T24" s="22">
        <f>+SUM(T21:T23)</f>
        <v>7635.5999999999995</v>
      </c>
      <c r="U24" s="22">
        <f>+SUM(U21:U23)</f>
        <v>8150.1</v>
      </c>
      <c r="V24" s="22">
        <f>+SUM(V21:V23)</f>
        <v>8414.1999999999989</v>
      </c>
      <c r="AC24" s="6">
        <f t="shared" ref="AC24:AH24" si="39">+SUM(AC21:AC23)</f>
        <v>14866.800000000001</v>
      </c>
      <c r="AD24" s="6">
        <f t="shared" si="39"/>
        <v>16447.8</v>
      </c>
      <c r="AE24" s="6">
        <f t="shared" si="39"/>
        <v>19162.7</v>
      </c>
      <c r="AF24" s="6">
        <f t="shared" si="39"/>
        <v>21315.899999999998</v>
      </c>
      <c r="AG24" s="6">
        <f t="shared" si="39"/>
        <v>22386.799999999999</v>
      </c>
      <c r="AH24" s="6">
        <f t="shared" si="39"/>
        <v>24719.5</v>
      </c>
      <c r="AI24" s="6">
        <f>+SUM(G24:J24)</f>
        <v>26508.6</v>
      </c>
      <c r="AJ24" s="6">
        <f>+SUM(K24:N24)</f>
        <v>23518</v>
      </c>
      <c r="AK24" s="6">
        <f>+SUM(O24:R24)</f>
        <v>29060.600000000002</v>
      </c>
      <c r="AL24" s="6">
        <f t="shared" si="34"/>
        <v>32250.299999999996</v>
      </c>
      <c r="AM24" s="6">
        <f>+AM8*AM10</f>
        <v>34869.024359999996</v>
      </c>
      <c r="AN24" s="6">
        <f>+AN8*AN10</f>
        <v>37579.597574400002</v>
      </c>
      <c r="AO24" s="6">
        <f>+AO8*AO10</f>
        <v>40384.646107632012</v>
      </c>
      <c r="AP24" s="6">
        <f t="shared" ref="AP24:AU24" si="40">+AP8*AP10</f>
        <v>43286.864743163533</v>
      </c>
      <c r="AQ24" s="6">
        <f t="shared" si="40"/>
        <v>46289.018265673265</v>
      </c>
      <c r="AR24" s="6">
        <f t="shared" si="40"/>
        <v>49393.943183186122</v>
      </c>
      <c r="AS24" s="6">
        <f t="shared" si="40"/>
        <v>52604.549490093224</v>
      </c>
      <c r="AT24" s="6">
        <f t="shared" si="40"/>
        <v>55923.822472003332</v>
      </c>
      <c r="AU24" s="6">
        <f t="shared" si="40"/>
        <v>59354.824553393817</v>
      </c>
      <c r="AV24" s="6">
        <f t="shared" ref="AV24" si="41">+AV8*AV10</f>
        <v>62900.697189051112</v>
      </c>
    </row>
    <row r="25" spans="2:48">
      <c r="B25" s="4" t="s">
        <v>33</v>
      </c>
      <c r="C25" s="14">
        <v>2501.6999999999998</v>
      </c>
      <c r="D25" s="14">
        <v>2514.6999999999998</v>
      </c>
      <c r="E25" s="14">
        <v>2553.4</v>
      </c>
      <c r="F25" s="14">
        <v>2018.7</v>
      </c>
      <c r="G25" s="14">
        <v>2175.8000000000002</v>
      </c>
      <c r="H25" s="14">
        <v>2012</v>
      </c>
      <c r="I25" s="14">
        <v>2199.6</v>
      </c>
      <c r="J25" s="14">
        <v>2139.6</v>
      </c>
      <c r="K25" s="14">
        <v>2236.4</v>
      </c>
      <c r="L25" s="14">
        <v>1997.7</v>
      </c>
      <c r="M25" s="14">
        <v>1484</v>
      </c>
      <c r="N25" s="14">
        <v>1976.8</v>
      </c>
      <c r="O25" s="14">
        <v>2049.1</v>
      </c>
      <c r="P25" s="14">
        <v>1992.4</v>
      </c>
      <c r="Q25" s="14">
        <v>2206</v>
      </c>
      <c r="R25" s="14">
        <v>2491.1</v>
      </c>
      <c r="S25" s="14">
        <v>2526.9</v>
      </c>
      <c r="T25" s="14">
        <v>2465.8000000000002</v>
      </c>
      <c r="U25" s="14">
        <v>2613.6</v>
      </c>
      <c r="V25" s="4">
        <v>2711</v>
      </c>
      <c r="AC25" s="4">
        <v>6382.3</v>
      </c>
      <c r="AD25" s="4">
        <v>6858.8</v>
      </c>
      <c r="AE25" s="4">
        <v>7787.5</v>
      </c>
      <c r="AF25" s="4">
        <v>8511.1</v>
      </c>
      <c r="AG25" s="4">
        <v>7065.8</v>
      </c>
      <c r="AH25" s="4">
        <v>7930.7</v>
      </c>
      <c r="AI25" s="4">
        <f t="shared" ref="AI25:AI46" si="42">+SUM(G25:J25)</f>
        <v>8527</v>
      </c>
      <c r="AJ25" s="4">
        <f t="shared" ref="AJ25:AJ46" si="43">+SUM(K25:N25)</f>
        <v>7694.9000000000005</v>
      </c>
      <c r="AK25" s="4">
        <f t="shared" ref="AK25:AK46" si="44">+SUM(O25:R25)</f>
        <v>8738.6</v>
      </c>
      <c r="AL25" s="4">
        <f t="shared" si="34"/>
        <v>10317.300000000001</v>
      </c>
      <c r="AM25" s="4">
        <f>+AM24*(AL25/AL24)</f>
        <v>11155.064760000001</v>
      </c>
      <c r="AN25" s="4">
        <f t="shared" ref="AN25:AV25" si="45">+AN24*(AM25/AM24)</f>
        <v>12022.213190400003</v>
      </c>
      <c r="AO25" s="4">
        <f t="shared" si="45"/>
        <v>12919.585532112007</v>
      </c>
      <c r="AP25" s="4">
        <f t="shared" si="45"/>
        <v>13848.043882216327</v>
      </c>
      <c r="AQ25" s="4">
        <f t="shared" si="45"/>
        <v>14808.472732111977</v>
      </c>
      <c r="AR25" s="4">
        <f t="shared" si="45"/>
        <v>15801.779518450565</v>
      </c>
      <c r="AS25" s="4">
        <f t="shared" si="45"/>
        <v>16828.895187149854</v>
      </c>
      <c r="AT25" s="4">
        <f t="shared" si="45"/>
        <v>17890.774770789732</v>
      </c>
      <c r="AU25" s="4">
        <f t="shared" si="45"/>
        <v>18988.397979700349</v>
      </c>
      <c r="AV25" s="4">
        <f t="shared" si="45"/>
        <v>20122.76980705907</v>
      </c>
    </row>
    <row r="26" spans="2:48">
      <c r="B26" s="4" t="s">
        <v>34</v>
      </c>
      <c r="C26" s="14">
        <v>1737</v>
      </c>
      <c r="D26" s="14">
        <v>1789.6</v>
      </c>
      <c r="E26" s="14">
        <v>1825</v>
      </c>
      <c r="F26" s="14">
        <v>2438.1</v>
      </c>
      <c r="G26" s="14">
        <v>2586.8000000000002</v>
      </c>
      <c r="H26" s="14">
        <v>2554.1</v>
      </c>
      <c r="I26" s="14">
        <v>2643.2</v>
      </c>
      <c r="J26" s="14">
        <v>2709.5</v>
      </c>
      <c r="K26" s="14">
        <v>2821.5</v>
      </c>
      <c r="L26" s="14">
        <v>2721.4</v>
      </c>
      <c r="M26" s="14">
        <v>2537.8000000000002</v>
      </c>
      <c r="N26" s="14">
        <v>2683.4</v>
      </c>
      <c r="O26" s="14">
        <v>2867.3</v>
      </c>
      <c r="P26" s="14">
        <v>2823.3</v>
      </c>
      <c r="Q26" s="14">
        <v>2966.9</v>
      </c>
      <c r="R26" s="14">
        <v>3273.4</v>
      </c>
      <c r="S26" s="14">
        <v>3400</v>
      </c>
      <c r="T26" s="14">
        <v>3314.7</v>
      </c>
      <c r="U26" s="14">
        <v>3302.5</v>
      </c>
      <c r="V26" s="4">
        <v>3544.7</v>
      </c>
      <c r="AC26" s="4">
        <v>4286.1000000000004</v>
      </c>
      <c r="AD26" s="4">
        <v>4638.2</v>
      </c>
      <c r="AE26" s="4">
        <v>5411.1</v>
      </c>
      <c r="AF26" s="4">
        <v>6064.3</v>
      </c>
      <c r="AG26" s="4">
        <v>8486.4</v>
      </c>
      <c r="AH26" s="4">
        <v>9472.2000000000007</v>
      </c>
      <c r="AI26" s="4">
        <f t="shared" si="42"/>
        <v>10493.599999999999</v>
      </c>
      <c r="AJ26" s="4">
        <f t="shared" si="43"/>
        <v>10764.1</v>
      </c>
      <c r="AK26" s="4">
        <f t="shared" si="44"/>
        <v>11930.9</v>
      </c>
      <c r="AL26" s="4">
        <f t="shared" si="34"/>
        <v>13561.900000000001</v>
      </c>
      <c r="AM26" s="4">
        <f>+AM24*(AL26/AL24)</f>
        <v>14663.126280000002</v>
      </c>
      <c r="AN26" s="4">
        <f t="shared" ref="AN26:AV26" si="46">+AN24*(AM26/AM24)</f>
        <v>15802.976851200005</v>
      </c>
      <c r="AO26" s="4">
        <f t="shared" si="46"/>
        <v>16982.556194736007</v>
      </c>
      <c r="AP26" s="4">
        <f t="shared" si="46"/>
        <v>18202.997521272966</v>
      </c>
      <c r="AQ26" s="4">
        <f t="shared" si="46"/>
        <v>19465.463478393511</v>
      </c>
      <c r="AR26" s="4">
        <f t="shared" si="46"/>
        <v>20771.146874790371</v>
      </c>
      <c r="AS26" s="4">
        <f t="shared" si="46"/>
        <v>22121.271421651749</v>
      </c>
      <c r="AT26" s="4">
        <f t="shared" si="46"/>
        <v>23517.092491637661</v>
      </c>
      <c r="AU26" s="4">
        <f t="shared" si="46"/>
        <v>24959.897895854356</v>
      </c>
      <c r="AV26" s="4">
        <f t="shared" si="46"/>
        <v>26451.008679243056</v>
      </c>
    </row>
    <row r="27" spans="2:48">
      <c r="B27" s="4" t="s">
        <v>35</v>
      </c>
      <c r="C27" s="14">
        <v>129.5</v>
      </c>
      <c r="D27" s="14">
        <v>120.8</v>
      </c>
      <c r="E27" s="14">
        <v>132.30000000000001</v>
      </c>
      <c r="F27" s="14">
        <v>161.19999999999999</v>
      </c>
      <c r="G27" s="14">
        <v>97.6</v>
      </c>
      <c r="H27" s="14">
        <v>87.1</v>
      </c>
      <c r="I27" s="14">
        <v>94.4</v>
      </c>
      <c r="J27" s="14">
        <v>91.6</v>
      </c>
      <c r="K27" s="14">
        <v>101.8</v>
      </c>
      <c r="L27" s="14">
        <v>95</v>
      </c>
      <c r="M27" s="14">
        <v>133.6</v>
      </c>
      <c r="N27" s="14">
        <v>99.9</v>
      </c>
      <c r="O27" s="14">
        <v>91.8</v>
      </c>
      <c r="P27" s="14">
        <v>87.7</v>
      </c>
      <c r="Q27" s="14">
        <v>71.400000000000006</v>
      </c>
      <c r="R27" s="14">
        <v>108.6</v>
      </c>
      <c r="S27" s="14">
        <v>101.7</v>
      </c>
      <c r="T27" s="14">
        <v>101.7</v>
      </c>
      <c r="U27" s="14">
        <v>135.1</v>
      </c>
      <c r="V27" s="4">
        <v>123.1</v>
      </c>
      <c r="AC27" s="4">
        <v>431.8</v>
      </c>
      <c r="AD27" s="4">
        <v>457.3</v>
      </c>
      <c r="AE27" s="4">
        <v>522.4</v>
      </c>
      <c r="AF27" s="4">
        <v>545.4</v>
      </c>
      <c r="AG27" s="4">
        <v>518</v>
      </c>
      <c r="AH27" s="4">
        <v>554.9</v>
      </c>
      <c r="AI27" s="4">
        <f t="shared" si="42"/>
        <v>370.70000000000005</v>
      </c>
      <c r="AJ27" s="4">
        <f t="shared" si="43"/>
        <v>430.29999999999995</v>
      </c>
      <c r="AK27" s="4">
        <f t="shared" si="44"/>
        <v>359.5</v>
      </c>
      <c r="AL27" s="4">
        <f t="shared" si="34"/>
        <v>461.6</v>
      </c>
      <c r="AM27" s="4">
        <f>+AM24*(AL27/AL24)</f>
        <v>499.08192000000003</v>
      </c>
      <c r="AN27" s="4">
        <f t="shared" ref="AN27:AV27" si="47">+AN24*(AM27/AM24)</f>
        <v>537.87847680000016</v>
      </c>
      <c r="AO27" s="4">
        <f t="shared" si="47"/>
        <v>578.02726310400033</v>
      </c>
      <c r="AP27" s="4">
        <f t="shared" si="47"/>
        <v>619.56684946944029</v>
      </c>
      <c r="AQ27" s="4">
        <f t="shared" si="47"/>
        <v>662.53680838425635</v>
      </c>
      <c r="AR27" s="4">
        <f t="shared" si="47"/>
        <v>706.97773891587724</v>
      </c>
      <c r="AS27" s="4">
        <f t="shared" si="47"/>
        <v>752.93129194540938</v>
      </c>
      <c r="AT27" s="4">
        <f t="shared" si="47"/>
        <v>800.44019600055628</v>
      </c>
      <c r="AU27" s="4">
        <f t="shared" si="47"/>
        <v>849.54828370113114</v>
      </c>
      <c r="AV27" s="4">
        <f t="shared" si="47"/>
        <v>900.30051883132865</v>
      </c>
    </row>
    <row r="28" spans="2:48">
      <c r="B28" s="4" t="s">
        <v>36</v>
      </c>
      <c r="C28" s="14">
        <v>258.8</v>
      </c>
      <c r="D28" s="14">
        <v>331.6</v>
      </c>
      <c r="E28" s="14">
        <v>330</v>
      </c>
      <c r="F28" s="14">
        <v>326.60000000000002</v>
      </c>
      <c r="G28" s="14">
        <v>333.4</v>
      </c>
      <c r="H28" s="14">
        <v>356.2</v>
      </c>
      <c r="I28" s="14">
        <v>343.1</v>
      </c>
      <c r="J28" s="14">
        <v>344.7</v>
      </c>
      <c r="K28" s="14">
        <v>351</v>
      </c>
      <c r="L28" s="14">
        <v>356.3</v>
      </c>
      <c r="M28" s="14">
        <v>361</v>
      </c>
      <c r="N28" s="14">
        <v>362.9</v>
      </c>
      <c r="O28" s="14">
        <v>366.1</v>
      </c>
      <c r="P28" s="14">
        <v>366.7</v>
      </c>
      <c r="Q28" s="14">
        <v>354.3</v>
      </c>
      <c r="R28" s="14">
        <v>354.7</v>
      </c>
      <c r="S28" s="14">
        <v>366</v>
      </c>
      <c r="T28" s="14">
        <v>367.7</v>
      </c>
      <c r="U28" s="14">
        <v>356.8</v>
      </c>
      <c r="V28" s="4">
        <v>357.4</v>
      </c>
      <c r="AC28" s="4">
        <v>621.4</v>
      </c>
      <c r="AD28" s="4">
        <v>709.6</v>
      </c>
      <c r="AE28" s="4">
        <v>893.9</v>
      </c>
      <c r="AF28" s="4">
        <v>980.8</v>
      </c>
      <c r="AG28" s="4">
        <v>1011.4</v>
      </c>
      <c r="AH28" s="4">
        <v>1247</v>
      </c>
      <c r="AI28" s="4">
        <f t="shared" si="42"/>
        <v>1377.3999999999999</v>
      </c>
      <c r="AJ28" s="4">
        <f t="shared" si="43"/>
        <v>1431.1999999999998</v>
      </c>
      <c r="AK28" s="4">
        <f t="shared" si="44"/>
        <v>1441.8</v>
      </c>
      <c r="AL28" s="4">
        <f t="shared" si="34"/>
        <v>1447.9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</row>
    <row r="29" spans="2:48">
      <c r="B29" s="4" t="s">
        <v>37</v>
      </c>
      <c r="C29" s="14">
        <v>392.4</v>
      </c>
      <c r="D29" s="14">
        <v>420.6</v>
      </c>
      <c r="E29" s="14">
        <v>485.9</v>
      </c>
      <c r="F29" s="14">
        <v>444.9</v>
      </c>
      <c r="G29" s="14">
        <v>448</v>
      </c>
      <c r="H29" s="14">
        <v>458.1</v>
      </c>
      <c r="I29" s="14">
        <v>459.7</v>
      </c>
      <c r="J29" s="14">
        <v>458.4</v>
      </c>
      <c r="K29" s="14">
        <v>434.2</v>
      </c>
      <c r="L29" s="14">
        <v>406.5</v>
      </c>
      <c r="M29" s="14">
        <v>399.9</v>
      </c>
      <c r="N29" s="14">
        <v>439</v>
      </c>
      <c r="O29" s="14">
        <v>472.1</v>
      </c>
      <c r="P29" s="14">
        <v>464.4</v>
      </c>
      <c r="Q29" s="14">
        <v>494.9</v>
      </c>
      <c r="R29" s="14">
        <v>501.2</v>
      </c>
      <c r="S29" s="14">
        <v>525.79999999999995</v>
      </c>
      <c r="T29" s="14">
        <v>481.5</v>
      </c>
      <c r="U29" s="14">
        <v>486.7</v>
      </c>
      <c r="V29" s="4">
        <v>538</v>
      </c>
      <c r="AC29" s="4">
        <v>937.9</v>
      </c>
      <c r="AD29" s="4">
        <v>991.3</v>
      </c>
      <c r="AE29" s="4">
        <v>1196.7</v>
      </c>
      <c r="AF29" s="4">
        <v>1360.6</v>
      </c>
      <c r="AG29" s="4">
        <v>1408.4</v>
      </c>
      <c r="AH29" s="4">
        <v>1708.2</v>
      </c>
      <c r="AI29" s="4">
        <f t="shared" si="42"/>
        <v>1824.1999999999998</v>
      </c>
      <c r="AJ29" s="4">
        <f t="shared" si="43"/>
        <v>1679.6</v>
      </c>
      <c r="AK29" s="4">
        <f t="shared" si="44"/>
        <v>1932.6000000000001</v>
      </c>
      <c r="AL29" s="4">
        <f t="shared" si="34"/>
        <v>2032</v>
      </c>
      <c r="AM29" s="4">
        <f>+AM24*(AL29/AL24)</f>
        <v>2196.9983999999999</v>
      </c>
      <c r="AN29" s="4">
        <f t="shared" ref="AN29:AV29" si="48">+AN24*(AM29/AM24)</f>
        <v>2367.7839360000003</v>
      </c>
      <c r="AO29" s="4">
        <f t="shared" si="48"/>
        <v>2544.5220940800009</v>
      </c>
      <c r="AP29" s="4">
        <f t="shared" si="48"/>
        <v>2727.382664908801</v>
      </c>
      <c r="AQ29" s="4">
        <f t="shared" si="48"/>
        <v>2916.5398497331216</v>
      </c>
      <c r="AR29" s="4">
        <f t="shared" si="48"/>
        <v>3112.1723688844509</v>
      </c>
      <c r="AS29" s="4">
        <f t="shared" si="48"/>
        <v>3314.4635728619405</v>
      </c>
      <c r="AT29" s="4">
        <f t="shared" si="48"/>
        <v>3523.6015560509759</v>
      </c>
      <c r="AU29" s="4">
        <f t="shared" si="48"/>
        <v>3739.7792731384284</v>
      </c>
      <c r="AV29" s="4">
        <f t="shared" si="48"/>
        <v>3963.1946582869577</v>
      </c>
    </row>
    <row r="30" spans="2:48">
      <c r="B30" s="4" t="s">
        <v>38</v>
      </c>
      <c r="C30" s="14">
        <v>27.6</v>
      </c>
      <c r="D30" s="14">
        <v>134.69999999999999</v>
      </c>
      <c r="E30" s="14">
        <v>16.899999999999999</v>
      </c>
      <c r="F30" s="14">
        <v>45.2</v>
      </c>
      <c r="G30" s="14">
        <v>43.2</v>
      </c>
      <c r="H30" s="14">
        <v>43</v>
      </c>
      <c r="I30" s="14">
        <v>37.700000000000003</v>
      </c>
      <c r="J30" s="14">
        <v>11.8</v>
      </c>
      <c r="K30" s="14">
        <v>6.3</v>
      </c>
      <c r="L30" s="14">
        <v>-0.7</v>
      </c>
      <c r="M30" s="14">
        <v>78.099999999999994</v>
      </c>
      <c r="N30" s="14">
        <v>195</v>
      </c>
      <c r="O30" s="14">
        <v>72.2</v>
      </c>
      <c r="P30" s="14">
        <v>23</v>
      </c>
      <c r="Q30" s="14">
        <v>19.8</v>
      </c>
      <c r="R30" s="14">
        <v>55.5</v>
      </c>
      <c r="S30" s="14">
        <f>+-7.5</f>
        <v>-7.5</v>
      </c>
      <c r="T30" s="14">
        <v>4.4000000000000004</v>
      </c>
      <c r="U30" s="14">
        <v>14</v>
      </c>
      <c r="V30" s="4">
        <v>35.1</v>
      </c>
      <c r="AC30" s="4">
        <v>0</v>
      </c>
      <c r="AD30" s="4">
        <v>0</v>
      </c>
      <c r="AE30" s="4">
        <v>0</v>
      </c>
      <c r="AF30" s="4">
        <v>0</v>
      </c>
      <c r="AG30" s="4">
        <v>153.5</v>
      </c>
      <c r="AH30" s="4">
        <v>224.4</v>
      </c>
      <c r="AI30" s="4">
        <f t="shared" si="42"/>
        <v>135.70000000000002</v>
      </c>
      <c r="AJ30" s="4">
        <f t="shared" si="43"/>
        <v>278.7</v>
      </c>
      <c r="AK30" s="4">
        <f t="shared" si="44"/>
        <v>170.5</v>
      </c>
      <c r="AL30" s="4">
        <f t="shared" si="34"/>
        <v>46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</row>
    <row r="31" spans="2:48">
      <c r="B31" s="4" t="s">
        <v>124</v>
      </c>
      <c r="C31" s="14">
        <v>0</v>
      </c>
      <c r="E31" s="14">
        <v>0</v>
      </c>
      <c r="F31" s="14">
        <v>0</v>
      </c>
      <c r="AC31" s="4">
        <v>2784.1</v>
      </c>
      <c r="AD31" s="4">
        <v>-20.2</v>
      </c>
      <c r="AL31" s="4">
        <f t="shared" si="34"/>
        <v>0</v>
      </c>
    </row>
    <row r="32" spans="2:48">
      <c r="B32" s="4" t="s">
        <v>39</v>
      </c>
      <c r="C32" s="14">
        <f t="shared" ref="C32" si="49">+SUM(C25:C30)</f>
        <v>5047</v>
      </c>
      <c r="D32" s="14">
        <f t="shared" ref="D32:F32" si="50">+SUM(D25:D30)</f>
        <v>5312</v>
      </c>
      <c r="E32" s="14">
        <f t="shared" ref="E32" si="51">+SUM(E25:E30)</f>
        <v>5343.4999999999991</v>
      </c>
      <c r="F32" s="14">
        <f t="shared" si="50"/>
        <v>5434.7</v>
      </c>
      <c r="G32" s="14">
        <f t="shared" ref="G32:R32" si="52">+SUM(G25:G30)</f>
        <v>5684.8</v>
      </c>
      <c r="H32" s="14">
        <f t="shared" si="52"/>
        <v>5510.5000000000009</v>
      </c>
      <c r="I32" s="14">
        <f t="shared" si="52"/>
        <v>5777.6999999999989</v>
      </c>
      <c r="J32" s="14">
        <f t="shared" si="52"/>
        <v>5755.6</v>
      </c>
      <c r="K32" s="14">
        <f t="shared" si="52"/>
        <v>5951.2</v>
      </c>
      <c r="L32" s="14">
        <f t="shared" si="52"/>
        <v>5576.2000000000007</v>
      </c>
      <c r="M32" s="14">
        <f t="shared" si="52"/>
        <v>4994.4000000000005</v>
      </c>
      <c r="N32" s="14">
        <f t="shared" si="52"/>
        <v>5756.9999999999991</v>
      </c>
      <c r="O32" s="14">
        <f t="shared" si="52"/>
        <v>5918.6</v>
      </c>
      <c r="P32" s="14">
        <f t="shared" si="52"/>
        <v>5757.5</v>
      </c>
      <c r="Q32" s="14">
        <f t="shared" si="52"/>
        <v>6113.2999999999993</v>
      </c>
      <c r="R32" s="14">
        <f t="shared" si="52"/>
        <v>6784.5</v>
      </c>
      <c r="S32" s="14">
        <f t="shared" ref="S32:V32" si="53">+SUM(S25:S30)</f>
        <v>6912.9</v>
      </c>
      <c r="T32" s="14">
        <f t="shared" si="53"/>
        <v>6735.7999999999993</v>
      </c>
      <c r="U32" s="14">
        <f t="shared" ref="U32" si="54">+SUM(U25:U30)</f>
        <v>6908.7000000000007</v>
      </c>
      <c r="V32" s="4">
        <f t="shared" si="53"/>
        <v>7309.3</v>
      </c>
      <c r="AC32" s="4">
        <f>+SUM(AC25:AC31)</f>
        <v>15443.6</v>
      </c>
      <c r="AD32" s="4">
        <f>+SUM(AD25:AD31)</f>
        <v>13634.999999999998</v>
      </c>
      <c r="AE32" s="4">
        <f>+SUM(AE25:AE30)</f>
        <v>15811.6</v>
      </c>
      <c r="AF32" s="4">
        <f>+SUM(AF25:AF30)</f>
        <v>17462.2</v>
      </c>
      <c r="AG32" s="4">
        <f>+SUM(AG25:AG30)</f>
        <v>18643.500000000004</v>
      </c>
      <c r="AH32" s="4">
        <f>+SUM(AH25:AH30)</f>
        <v>21137.400000000005</v>
      </c>
      <c r="AI32" s="4">
        <f t="shared" si="42"/>
        <v>22728.6</v>
      </c>
      <c r="AJ32" s="4">
        <f t="shared" si="43"/>
        <v>22278.800000000003</v>
      </c>
      <c r="AK32" s="4">
        <f t="shared" si="44"/>
        <v>24573.9</v>
      </c>
      <c r="AL32" s="4">
        <f t="shared" si="34"/>
        <v>27866.7</v>
      </c>
      <c r="AM32" s="4">
        <f>+SUM(AM25:AM30)</f>
        <v>28514.271360000006</v>
      </c>
      <c r="AN32" s="4">
        <f t="shared" ref="AN32:AU32" si="55">+SUM(AN25:AN30)</f>
        <v>30730.852454400007</v>
      </c>
      <c r="AO32" s="4">
        <f t="shared" si="55"/>
        <v>33024.691084032012</v>
      </c>
      <c r="AP32" s="4">
        <f t="shared" si="55"/>
        <v>35397.990917867537</v>
      </c>
      <c r="AQ32" s="4">
        <f t="shared" si="55"/>
        <v>37853.012868622864</v>
      </c>
      <c r="AR32" s="4">
        <f t="shared" si="55"/>
        <v>40392.076501041265</v>
      </c>
      <c r="AS32" s="4">
        <f t="shared" si="55"/>
        <v>43017.561473608956</v>
      </c>
      <c r="AT32" s="4">
        <f t="shared" si="55"/>
        <v>45731.909014478922</v>
      </c>
      <c r="AU32" s="4">
        <f t="shared" si="55"/>
        <v>48537.623432394255</v>
      </c>
      <c r="AV32" s="4">
        <f t="shared" ref="AV32" si="56">+SUM(AV25:AV30)</f>
        <v>51437.273663420405</v>
      </c>
    </row>
    <row r="33" spans="2:246">
      <c r="B33" s="4" t="s">
        <v>22</v>
      </c>
      <c r="C33" s="14">
        <v>89.4</v>
      </c>
      <c r="D33" s="14">
        <v>52.7</v>
      </c>
      <c r="E33" s="14">
        <v>71.400000000000006</v>
      </c>
      <c r="F33" s="14">
        <v>87.7</v>
      </c>
      <c r="G33" s="14">
        <v>67.8</v>
      </c>
      <c r="H33" s="14">
        <v>62.3</v>
      </c>
      <c r="I33" s="14">
        <v>76</v>
      </c>
      <c r="J33" s="14">
        <v>91.9</v>
      </c>
      <c r="K33" s="14">
        <v>73.900000000000006</v>
      </c>
      <c r="L33" s="14">
        <v>67.900000000000006</v>
      </c>
      <c r="M33" s="14">
        <v>68.400000000000006</v>
      </c>
      <c r="N33" s="14">
        <v>112.2</v>
      </c>
      <c r="O33" s="14">
        <v>82.7</v>
      </c>
      <c r="P33" s="14">
        <v>77.099999999999994</v>
      </c>
      <c r="Q33" s="14">
        <v>105.5</v>
      </c>
      <c r="R33" s="14">
        <v>120</v>
      </c>
      <c r="S33" s="14">
        <v>40.299999999999997</v>
      </c>
      <c r="T33" s="14">
        <v>49.1</v>
      </c>
      <c r="U33" s="14">
        <v>54.1</v>
      </c>
      <c r="V33" s="4">
        <v>90.6</v>
      </c>
      <c r="AC33" s="4">
        <v>251.4</v>
      </c>
      <c r="AD33" s="4">
        <v>268.3</v>
      </c>
      <c r="AE33" s="4">
        <v>249.9</v>
      </c>
      <c r="AF33" s="4">
        <v>318.2</v>
      </c>
      <c r="AG33" s="4">
        <v>391.4</v>
      </c>
      <c r="AH33" s="4">
        <v>301.2</v>
      </c>
      <c r="AI33" s="4">
        <f t="shared" si="42"/>
        <v>298</v>
      </c>
      <c r="AJ33" s="4">
        <f t="shared" si="43"/>
        <v>322.40000000000003</v>
      </c>
      <c r="AK33" s="4">
        <f t="shared" si="44"/>
        <v>385.3</v>
      </c>
      <c r="AL33" s="4">
        <f t="shared" si="34"/>
        <v>234.1</v>
      </c>
      <c r="AM33" s="4">
        <f>+AM24*(AL33/AL24)</f>
        <v>253.10891999999998</v>
      </c>
      <c r="AN33" s="4">
        <f t="shared" ref="AN33:AV33" si="57">+AN24*(AM33/AM24)</f>
        <v>272.78455680000002</v>
      </c>
      <c r="AO33" s="4">
        <f t="shared" si="57"/>
        <v>293.14597550400009</v>
      </c>
      <c r="AP33" s="4">
        <f t="shared" si="57"/>
        <v>314.2127371334401</v>
      </c>
      <c r="AQ33" s="4">
        <f t="shared" si="57"/>
        <v>336.00491083785613</v>
      </c>
      <c r="AR33" s="4">
        <f t="shared" si="57"/>
        <v>358.54308639559542</v>
      </c>
      <c r="AS33" s="4">
        <f t="shared" si="57"/>
        <v>381.84838701130911</v>
      </c>
      <c r="AT33" s="4">
        <f t="shared" si="57"/>
        <v>405.94248241709312</v>
      </c>
      <c r="AU33" s="4">
        <f t="shared" si="57"/>
        <v>430.847602284304</v>
      </c>
      <c r="AV33" s="4">
        <f t="shared" si="57"/>
        <v>456.5865499532365</v>
      </c>
    </row>
    <row r="34" spans="2:246" s="6" customFormat="1">
      <c r="B34" s="6" t="s">
        <v>23</v>
      </c>
      <c r="C34" s="22">
        <f t="shared" ref="C34" si="58">+C24-C32+C33</f>
        <v>1116.0999999999999</v>
      </c>
      <c r="D34" s="22">
        <f t="shared" ref="D34:F34" si="59">+D24-D32+D33</f>
        <v>772.50000000000023</v>
      </c>
      <c r="E34" s="22">
        <f t="shared" ref="E34" si="60">+E24-E32+E33</f>
        <v>1038.2000000000012</v>
      </c>
      <c r="F34" s="22">
        <f t="shared" si="59"/>
        <v>956.60000000000059</v>
      </c>
      <c r="G34" s="22">
        <f t="shared" ref="G34:R34" si="61">+G24-G32+G33</f>
        <v>1015.7000000000005</v>
      </c>
      <c r="H34" s="22">
        <f t="shared" si="61"/>
        <v>857.69999999999868</v>
      </c>
      <c r="I34" s="22">
        <f t="shared" si="61"/>
        <v>1121.3000000000011</v>
      </c>
      <c r="J34" s="22">
        <f t="shared" si="61"/>
        <v>1083.2999999999997</v>
      </c>
      <c r="K34" s="22">
        <f t="shared" si="61"/>
        <v>1219.7999999999997</v>
      </c>
      <c r="L34" s="22">
        <f t="shared" si="61"/>
        <v>487.39999999999907</v>
      </c>
      <c r="M34" s="22">
        <f t="shared" si="61"/>
        <v>-703.9000000000002</v>
      </c>
      <c r="N34" s="22">
        <f t="shared" si="61"/>
        <v>558.30000000000132</v>
      </c>
      <c r="O34" s="22">
        <f t="shared" si="61"/>
        <v>913.50000000000023</v>
      </c>
      <c r="P34" s="22">
        <f t="shared" si="61"/>
        <v>987.6</v>
      </c>
      <c r="Q34" s="22">
        <f t="shared" si="61"/>
        <v>1488.7000000000007</v>
      </c>
      <c r="R34" s="22">
        <f t="shared" si="61"/>
        <v>1482.1999999999998</v>
      </c>
      <c r="S34" s="22">
        <f t="shared" ref="S34:V34" si="62">+S24-S32+S33</f>
        <v>1177.8</v>
      </c>
      <c r="T34" s="22">
        <f t="shared" si="62"/>
        <v>948.9000000000002</v>
      </c>
      <c r="U34" s="22">
        <f t="shared" ref="U34" si="63">+U24-U32+U33</f>
        <v>1295.4999999999995</v>
      </c>
      <c r="V34" s="6">
        <f t="shared" si="62"/>
        <v>1195.4999999999986</v>
      </c>
      <c r="AC34" s="6">
        <f t="shared" ref="AC34:AH34" si="64">+AC24-AC32+AC33</f>
        <v>-325.3999999999993</v>
      </c>
      <c r="AD34" s="6">
        <f t="shared" si="64"/>
        <v>3081.1000000000013</v>
      </c>
      <c r="AE34" s="6">
        <f t="shared" si="64"/>
        <v>3601.0000000000005</v>
      </c>
      <c r="AF34" s="6">
        <f t="shared" si="64"/>
        <v>4171.8999999999969</v>
      </c>
      <c r="AG34" s="6">
        <f t="shared" si="64"/>
        <v>4134.6999999999953</v>
      </c>
      <c r="AH34" s="6">
        <f t="shared" si="64"/>
        <v>3883.2999999999947</v>
      </c>
      <c r="AI34" s="6">
        <f t="shared" si="42"/>
        <v>4078</v>
      </c>
      <c r="AJ34" s="6">
        <f t="shared" si="43"/>
        <v>1561.6</v>
      </c>
      <c r="AK34" s="6">
        <f t="shared" si="44"/>
        <v>4872.0000000000009</v>
      </c>
      <c r="AL34" s="6">
        <f t="shared" si="34"/>
        <v>4617.6999999999989</v>
      </c>
      <c r="AM34" s="6">
        <f>+AM24-AM32+AM33</f>
        <v>6607.8619199999894</v>
      </c>
      <c r="AN34" s="6">
        <f t="shared" ref="AN34:AU34" si="65">+AN24-AN32+AN33</f>
        <v>7121.5296767999962</v>
      </c>
      <c r="AO34" s="6">
        <f t="shared" si="65"/>
        <v>7653.100999104</v>
      </c>
      <c r="AP34" s="6">
        <f t="shared" si="65"/>
        <v>8203.0865624294365</v>
      </c>
      <c r="AQ34" s="6">
        <f t="shared" si="65"/>
        <v>8772.0103078882566</v>
      </c>
      <c r="AR34" s="6">
        <f t="shared" si="65"/>
        <v>9360.4097685404522</v>
      </c>
      <c r="AS34" s="6">
        <f t="shared" si="65"/>
        <v>9968.8364034955775</v>
      </c>
      <c r="AT34" s="6">
        <f t="shared" si="65"/>
        <v>10597.855939941503</v>
      </c>
      <c r="AU34" s="6">
        <f t="shared" si="65"/>
        <v>11248.048723283866</v>
      </c>
      <c r="AV34" s="6">
        <f t="shared" ref="AV34" si="66">+AV24-AV32+AV33</f>
        <v>11920.010075583945</v>
      </c>
    </row>
    <row r="35" spans="2:246">
      <c r="B35" s="4" t="s">
        <v>122</v>
      </c>
      <c r="C35" s="14">
        <v>1326.3</v>
      </c>
      <c r="D35" s="14">
        <v>47.6</v>
      </c>
      <c r="E35" s="14">
        <v>0</v>
      </c>
      <c r="F35" s="14">
        <v>0</v>
      </c>
      <c r="AC35" s="4">
        <v>0</v>
      </c>
      <c r="AD35" s="4">
        <v>0</v>
      </c>
      <c r="AE35" s="4">
        <v>390.6</v>
      </c>
      <c r="AF35" s="4">
        <v>0</v>
      </c>
      <c r="AG35" s="4">
        <v>0</v>
      </c>
      <c r="AH35" s="4">
        <v>1376.4</v>
      </c>
      <c r="AL35" s="4">
        <f t="shared" si="34"/>
        <v>0</v>
      </c>
    </row>
    <row r="36" spans="2:246">
      <c r="B36" s="4" t="s">
        <v>25</v>
      </c>
      <c r="C36" s="14">
        <v>501.2</v>
      </c>
      <c r="D36" s="14">
        <v>-4.9000000000000004</v>
      </c>
      <c r="E36" s="14">
        <v>2.5</v>
      </c>
      <c r="F36" s="14">
        <v>2.9</v>
      </c>
      <c r="G36" s="14">
        <v>0</v>
      </c>
      <c r="H36" s="14">
        <v>21</v>
      </c>
      <c r="I36" s="14">
        <v>601.79999999999995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864.5</v>
      </c>
      <c r="S36" s="14">
        <v>0</v>
      </c>
      <c r="T36" s="14">
        <v>0</v>
      </c>
      <c r="U36" s="14">
        <v>0</v>
      </c>
      <c r="V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93.5</v>
      </c>
      <c r="AH36" s="4">
        <v>499.12</v>
      </c>
      <c r="AI36" s="4">
        <f t="shared" si="42"/>
        <v>622.79999999999995</v>
      </c>
      <c r="AJ36" s="4">
        <f t="shared" si="43"/>
        <v>0</v>
      </c>
      <c r="AK36" s="4">
        <f t="shared" si="44"/>
        <v>864.5</v>
      </c>
      <c r="AL36" s="4">
        <f t="shared" si="34"/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</row>
    <row r="37" spans="2:246">
      <c r="B37" s="4" t="s">
        <v>123</v>
      </c>
      <c r="C37" s="14">
        <v>0</v>
      </c>
      <c r="D37" s="14">
        <v>0</v>
      </c>
      <c r="E37" s="14">
        <v>0</v>
      </c>
      <c r="F37" s="14">
        <v>0</v>
      </c>
      <c r="AC37" s="4">
        <v>0</v>
      </c>
      <c r="AD37" s="4">
        <v>0</v>
      </c>
      <c r="AE37" s="4">
        <v>-61.1</v>
      </c>
      <c r="AL37" s="4">
        <f t="shared" si="34"/>
        <v>0</v>
      </c>
    </row>
    <row r="38" spans="2:246">
      <c r="B38" s="4" t="s">
        <v>26</v>
      </c>
      <c r="C38" s="14">
        <v>88.2</v>
      </c>
      <c r="D38" s="14">
        <v>35.5</v>
      </c>
      <c r="E38" s="14">
        <v>31.5</v>
      </c>
      <c r="F38" s="14">
        <v>36.200000000000003</v>
      </c>
      <c r="G38" s="14">
        <v>24.8</v>
      </c>
      <c r="H38" s="14">
        <v>15.2</v>
      </c>
      <c r="I38" s="14">
        <v>40.200000000000003</v>
      </c>
      <c r="J38" s="14">
        <v>16.399999999999999</v>
      </c>
      <c r="K38" s="14">
        <v>15.9</v>
      </c>
      <c r="L38" s="14">
        <v>2</v>
      </c>
      <c r="M38" s="14">
        <v>12.7</v>
      </c>
      <c r="N38" s="14">
        <v>9.1</v>
      </c>
      <c r="O38" s="14">
        <v>15.5</v>
      </c>
      <c r="P38" s="14">
        <v>17.3</v>
      </c>
      <c r="Q38" s="14">
        <v>36</v>
      </c>
      <c r="R38" s="14">
        <v>21.5</v>
      </c>
      <c r="S38" s="14">
        <v>-0.1</v>
      </c>
      <c r="T38" s="14">
        <v>46.3</v>
      </c>
      <c r="U38" s="14">
        <v>19.8</v>
      </c>
      <c r="V38" s="4">
        <v>31</v>
      </c>
      <c r="AC38" s="4">
        <v>123.6</v>
      </c>
      <c r="AD38" s="4">
        <v>142.69999999999999</v>
      </c>
      <c r="AE38" s="4">
        <v>43</v>
      </c>
      <c r="AF38" s="4">
        <v>108</v>
      </c>
      <c r="AG38" s="4">
        <v>181.8</v>
      </c>
      <c r="AH38" s="4">
        <v>191.4</v>
      </c>
      <c r="AI38" s="4">
        <f t="shared" si="42"/>
        <v>96.6</v>
      </c>
      <c r="AJ38" s="4">
        <f t="shared" si="43"/>
        <v>39.699999999999996</v>
      </c>
      <c r="AK38" s="4">
        <f t="shared" si="44"/>
        <v>90.3</v>
      </c>
      <c r="AL38" s="4">
        <f t="shared" si="34"/>
        <v>97</v>
      </c>
      <c r="AM38" s="4">
        <f>+AM34*(AL38/AL34)</f>
        <v>138.80559721073243</v>
      </c>
      <c r="AN38" s="4">
        <f>+AN34*(AM38/AM34)</f>
        <v>149.59576816371782</v>
      </c>
      <c r="AO38" s="4">
        <f t="shared" ref="AO38:AV38" si="67">+AO34*(AN38/AN34)</f>
        <v>160.76202371593828</v>
      </c>
      <c r="AP38" s="4">
        <f t="shared" si="67"/>
        <v>172.31509118298192</v>
      </c>
      <c r="AQ38" s="4">
        <f t="shared" si="67"/>
        <v>184.26597653922107</v>
      </c>
      <c r="AR38" s="4">
        <f t="shared" si="67"/>
        <v>196.62597127323647</v>
      </c>
      <c r="AS38" s="4">
        <f t="shared" si="67"/>
        <v>209.40665940599678</v>
      </c>
      <c r="AT38" s="4">
        <f t="shared" si="67"/>
        <v>222.61992467555839</v>
      </c>
      <c r="AU38" s="4">
        <f t="shared" si="67"/>
        <v>236.27795789214008</v>
      </c>
      <c r="AV38" s="4">
        <f t="shared" si="67"/>
        <v>250.39326446751477</v>
      </c>
    </row>
    <row r="39" spans="2:246">
      <c r="B39" s="4" t="s">
        <v>27</v>
      </c>
      <c r="C39" s="14">
        <v>-25.9</v>
      </c>
      <c r="D39" s="14">
        <v>-35.1</v>
      </c>
      <c r="E39" s="14">
        <v>-45.4</v>
      </c>
      <c r="F39" s="14">
        <v>-63.8</v>
      </c>
      <c r="G39" s="14">
        <v>-75</v>
      </c>
      <c r="H39" s="14">
        <v>-73.900000000000006</v>
      </c>
      <c r="I39" s="14">
        <v>-86.4</v>
      </c>
      <c r="J39" s="14">
        <v>-95.7</v>
      </c>
      <c r="K39" s="14">
        <v>-91.9</v>
      </c>
      <c r="L39" s="14">
        <v>-99.2</v>
      </c>
      <c r="M39" s="14">
        <v>-120.8</v>
      </c>
      <c r="N39" s="14">
        <v>-125</v>
      </c>
      <c r="O39" s="14">
        <v>-120.7</v>
      </c>
      <c r="P39" s="14">
        <v>-115</v>
      </c>
      <c r="Q39" s="14">
        <v>-113.4</v>
      </c>
      <c r="R39" s="14">
        <v>-120.6</v>
      </c>
      <c r="S39" s="14">
        <v>-115.3</v>
      </c>
      <c r="T39" s="14">
        <v>-119.1</v>
      </c>
      <c r="U39" s="14">
        <v>-123.1</v>
      </c>
      <c r="V39" s="4">
        <v>-125.3</v>
      </c>
      <c r="AC39" s="4">
        <v>-28.1</v>
      </c>
      <c r="AD39" s="4">
        <v>-64.099999999999994</v>
      </c>
      <c r="AE39" s="4">
        <v>-70.5</v>
      </c>
      <c r="AF39" s="4">
        <v>-81.3</v>
      </c>
      <c r="AG39" s="4">
        <v>-92.5</v>
      </c>
      <c r="AH39" s="4">
        <v>-170.3</v>
      </c>
      <c r="AI39" s="4">
        <f t="shared" si="42"/>
        <v>-331</v>
      </c>
      <c r="AJ39" s="4">
        <f t="shared" si="43"/>
        <v>-436.90000000000003</v>
      </c>
      <c r="AK39" s="4">
        <f t="shared" si="44"/>
        <v>-469.70000000000005</v>
      </c>
      <c r="AL39" s="4">
        <f t="shared" si="34"/>
        <v>-482.8</v>
      </c>
      <c r="AM39" s="4">
        <f t="shared" ref="AM39:AV39" si="68">-SUM(AL80,AL83)*$AY$48</f>
        <v>-401.18132999999995</v>
      </c>
      <c r="AN39" s="4">
        <f t="shared" si="68"/>
        <v>-389.14589009999997</v>
      </c>
      <c r="AO39" s="4">
        <f t="shared" si="68"/>
        <v>-377.47151339700002</v>
      </c>
      <c r="AP39" s="4">
        <f t="shared" si="68"/>
        <v>-366.14736799509001</v>
      </c>
      <c r="AQ39" s="4">
        <f t="shared" si="68"/>
        <v>-355.16294695523732</v>
      </c>
      <c r="AR39" s="4">
        <f t="shared" si="68"/>
        <v>-344.50805854658017</v>
      </c>
      <c r="AS39" s="4">
        <f t="shared" si="68"/>
        <v>-334.17281679018276</v>
      </c>
      <c r="AT39" s="4">
        <f t="shared" si="68"/>
        <v>-324.14763228647729</v>
      </c>
      <c r="AU39" s="4">
        <f t="shared" si="68"/>
        <v>-314.42320331788295</v>
      </c>
      <c r="AV39" s="4">
        <f t="shared" si="68"/>
        <v>-304.99050721834652</v>
      </c>
    </row>
    <row r="40" spans="2:246" s="6" customFormat="1">
      <c r="B40" s="6" t="s">
        <v>28</v>
      </c>
      <c r="C40" s="22">
        <f t="shared" ref="C40" si="69">+SUM(C34:C39)</f>
        <v>3005.8999999999992</v>
      </c>
      <c r="D40" s="22">
        <f t="shared" ref="D40" si="70">+SUM(D34:D39)</f>
        <v>815.60000000000025</v>
      </c>
      <c r="E40" s="22">
        <f t="shared" ref="E40" si="71">+SUM(E34:E39)</f>
        <v>1026.8000000000011</v>
      </c>
      <c r="F40" s="22">
        <f t="shared" ref="F40:R40" si="72">+SUM(F34:F39)</f>
        <v>931.90000000000066</v>
      </c>
      <c r="G40" s="22">
        <f t="shared" si="72"/>
        <v>965.50000000000045</v>
      </c>
      <c r="H40" s="22">
        <f t="shared" si="72"/>
        <v>819.99999999999875</v>
      </c>
      <c r="I40" s="22">
        <f t="shared" si="72"/>
        <v>1676.900000000001</v>
      </c>
      <c r="J40" s="22">
        <f t="shared" si="72"/>
        <v>1003.9999999999998</v>
      </c>
      <c r="K40" s="22">
        <f t="shared" si="72"/>
        <v>1143.7999999999997</v>
      </c>
      <c r="L40" s="22">
        <f t="shared" si="72"/>
        <v>390.19999999999908</v>
      </c>
      <c r="M40" s="22">
        <f t="shared" si="72"/>
        <v>-812.00000000000011</v>
      </c>
      <c r="N40" s="22">
        <f t="shared" si="72"/>
        <v>442.40000000000134</v>
      </c>
      <c r="O40" s="22">
        <f t="shared" si="72"/>
        <v>808.30000000000018</v>
      </c>
      <c r="P40" s="22">
        <f t="shared" si="72"/>
        <v>889.9</v>
      </c>
      <c r="Q40" s="22">
        <f t="shared" si="72"/>
        <v>1411.3000000000006</v>
      </c>
      <c r="R40" s="22">
        <f t="shared" si="72"/>
        <v>2247.6</v>
      </c>
      <c r="S40" s="22">
        <f t="shared" ref="S40:V40" si="73">+SUM(S34:S39)</f>
        <v>1062.4000000000001</v>
      </c>
      <c r="T40" s="22">
        <f t="shared" si="73"/>
        <v>876.10000000000014</v>
      </c>
      <c r="U40" s="22">
        <f t="shared" ref="U40" si="74">+SUM(U34:U39)</f>
        <v>1192.1999999999996</v>
      </c>
      <c r="V40" s="6">
        <f t="shared" si="73"/>
        <v>1101.1999999999987</v>
      </c>
      <c r="AC40" s="6">
        <f t="shared" ref="AC40:AH40" si="75">+SUM(AC34:AC39)</f>
        <v>-229.8999999999993</v>
      </c>
      <c r="AD40" s="6">
        <f t="shared" si="75"/>
        <v>3159.7000000000012</v>
      </c>
      <c r="AE40" s="6">
        <f t="shared" si="75"/>
        <v>3903.0000000000005</v>
      </c>
      <c r="AF40" s="6">
        <f t="shared" si="75"/>
        <v>4198.5999999999967</v>
      </c>
      <c r="AG40" s="6">
        <f t="shared" si="75"/>
        <v>4317.4999999999955</v>
      </c>
      <c r="AH40" s="6">
        <f t="shared" si="75"/>
        <v>5779.9199999999946</v>
      </c>
      <c r="AI40" s="6">
        <f t="shared" si="42"/>
        <v>4466.3999999999996</v>
      </c>
      <c r="AJ40" s="6">
        <f t="shared" si="43"/>
        <v>1164.4000000000001</v>
      </c>
      <c r="AK40" s="6">
        <f t="shared" si="44"/>
        <v>5357.1</v>
      </c>
      <c r="AL40" s="6">
        <f t="shared" si="34"/>
        <v>4231.8999999999987</v>
      </c>
      <c r="AM40" s="6">
        <f>+SUM(AM34:AM39)</f>
        <v>6345.4861872107213</v>
      </c>
      <c r="AN40" s="6">
        <f t="shared" ref="AN40:AU40" si="76">+SUM(AN34:AN39)</f>
        <v>6881.9795548637148</v>
      </c>
      <c r="AO40" s="6">
        <f t="shared" si="76"/>
        <v>7436.3915094229378</v>
      </c>
      <c r="AP40" s="6">
        <f t="shared" si="76"/>
        <v>8009.2542856173277</v>
      </c>
      <c r="AQ40" s="6">
        <f t="shared" si="76"/>
        <v>8601.1133374722413</v>
      </c>
      <c r="AR40" s="6">
        <f t="shared" si="76"/>
        <v>9212.5276812671091</v>
      </c>
      <c r="AS40" s="6">
        <f t="shared" si="76"/>
        <v>9844.0702461113924</v>
      </c>
      <c r="AT40" s="6">
        <f t="shared" si="76"/>
        <v>10496.328232330585</v>
      </c>
      <c r="AU40" s="6">
        <f t="shared" si="76"/>
        <v>11169.903477858123</v>
      </c>
      <c r="AV40" s="6">
        <f t="shared" ref="AV40" si="77">+SUM(AV34:AV39)</f>
        <v>11865.412832833113</v>
      </c>
    </row>
    <row r="41" spans="2:246">
      <c r="B41" s="4" t="s">
        <v>29</v>
      </c>
      <c r="C41" s="14">
        <v>755.8</v>
      </c>
      <c r="D41" s="14">
        <v>155.80000000000001</v>
      </c>
      <c r="E41" s="14">
        <v>174.8</v>
      </c>
      <c r="F41" s="14">
        <v>175.5</v>
      </c>
      <c r="G41" s="14">
        <v>205.1</v>
      </c>
      <c r="H41" s="14">
        <v>161.19999999999999</v>
      </c>
      <c r="I41" s="14">
        <v>303.7</v>
      </c>
      <c r="J41" s="14">
        <v>201.5</v>
      </c>
      <c r="K41" s="14">
        <v>258.5</v>
      </c>
      <c r="L41" s="14">
        <v>65.400000000000006</v>
      </c>
      <c r="M41" s="14">
        <v>-133.9</v>
      </c>
      <c r="N41" s="14">
        <v>49.7</v>
      </c>
      <c r="O41" s="14">
        <v>186.1</v>
      </c>
      <c r="P41" s="14">
        <v>230.5</v>
      </c>
      <c r="Q41" s="14">
        <v>257.10000000000002</v>
      </c>
      <c r="R41" s="14">
        <v>483</v>
      </c>
      <c r="S41" s="14">
        <v>246.3</v>
      </c>
      <c r="T41" s="14">
        <v>201.1</v>
      </c>
      <c r="U41" s="14">
        <v>278.5</v>
      </c>
      <c r="V41" s="4">
        <v>222.7</v>
      </c>
      <c r="AC41" s="4">
        <v>-238.7</v>
      </c>
      <c r="AD41" s="4">
        <v>1092</v>
      </c>
      <c r="AE41" s="4">
        <v>1143.7</v>
      </c>
      <c r="AF41" s="4">
        <v>1379.7</v>
      </c>
      <c r="AG41" s="4">
        <v>1432.6</v>
      </c>
      <c r="AH41" s="4">
        <v>1262</v>
      </c>
      <c r="AI41" s="4">
        <f t="shared" si="42"/>
        <v>871.5</v>
      </c>
      <c r="AJ41" s="4">
        <f t="shared" si="43"/>
        <v>239.7</v>
      </c>
      <c r="AK41" s="4">
        <f t="shared" si="44"/>
        <v>1156.7</v>
      </c>
      <c r="AL41" s="4">
        <f t="shared" si="34"/>
        <v>948.59999999999991</v>
      </c>
      <c r="AM41" s="4">
        <f>+AM40*(AL41/AL40)</f>
        <v>1422.3701404069311</v>
      </c>
      <c r="AN41" s="4">
        <f t="shared" ref="AN41:AV41" si="78">+AN40*(AM41/AM40)</f>
        <v>1542.6276154313007</v>
      </c>
      <c r="AO41" s="4">
        <f t="shared" si="78"/>
        <v>1666.9016247639595</v>
      </c>
      <c r="AP41" s="4">
        <f t="shared" si="78"/>
        <v>1795.3114712863251</v>
      </c>
      <c r="AQ41" s="4">
        <f t="shared" si="78"/>
        <v>1927.9794210463788</v>
      </c>
      <c r="AR41" s="4">
        <f t="shared" si="78"/>
        <v>2065.0307801342142</v>
      </c>
      <c r="AS41" s="4">
        <f t="shared" si="78"/>
        <v>2206.5939732652632</v>
      </c>
      <c r="AT41" s="4">
        <f t="shared" si="78"/>
        <v>2352.8006241141788</v>
      </c>
      <c r="AU41" s="4">
        <f t="shared" si="78"/>
        <v>2503.7856374432799</v>
      </c>
      <c r="AV41" s="4">
        <f t="shared" si="78"/>
        <v>2659.6872830703687</v>
      </c>
    </row>
    <row r="42" spans="2:246">
      <c r="B42" s="4" t="s">
        <v>24</v>
      </c>
      <c r="C42" s="14">
        <f t="shared" ref="C42" si="79">+C40-C41</f>
        <v>2250.0999999999995</v>
      </c>
      <c r="D42" s="14">
        <f t="shared" ref="D42" si="80">+D40-D41</f>
        <v>659.80000000000018</v>
      </c>
      <c r="E42" s="14">
        <f t="shared" ref="E42" si="81">+E40-E41</f>
        <v>852.00000000000114</v>
      </c>
      <c r="F42" s="14">
        <f t="shared" ref="F42:S42" si="82">+F40-F41</f>
        <v>756.40000000000066</v>
      </c>
      <c r="G42" s="14">
        <f t="shared" si="82"/>
        <v>760.40000000000043</v>
      </c>
      <c r="H42" s="14">
        <f t="shared" si="82"/>
        <v>658.79999999999882</v>
      </c>
      <c r="I42" s="14">
        <f t="shared" si="82"/>
        <v>1373.200000000001</v>
      </c>
      <c r="J42" s="14">
        <f t="shared" si="82"/>
        <v>802.49999999999977</v>
      </c>
      <c r="K42" s="14">
        <f t="shared" si="82"/>
        <v>885.29999999999973</v>
      </c>
      <c r="L42" s="14">
        <f t="shared" si="82"/>
        <v>324.79999999999905</v>
      </c>
      <c r="M42" s="14">
        <f t="shared" si="82"/>
        <v>-678.10000000000014</v>
      </c>
      <c r="N42" s="14">
        <f t="shared" si="82"/>
        <v>392.70000000000135</v>
      </c>
      <c r="O42" s="14">
        <f t="shared" si="82"/>
        <v>622.20000000000016</v>
      </c>
      <c r="P42" s="14">
        <f t="shared" si="82"/>
        <v>659.4</v>
      </c>
      <c r="Q42" s="14">
        <f t="shared" si="82"/>
        <v>1154.2000000000007</v>
      </c>
      <c r="R42" s="14">
        <f t="shared" si="82"/>
        <v>1764.6</v>
      </c>
      <c r="S42" s="14">
        <f t="shared" si="82"/>
        <v>816.10000000000014</v>
      </c>
      <c r="T42" s="14">
        <f t="shared" ref="T42:V42" si="83">+T40-T41</f>
        <v>675.00000000000011</v>
      </c>
      <c r="U42" s="14">
        <f t="shared" ref="U42" si="84">+U40-U41</f>
        <v>913.69999999999959</v>
      </c>
      <c r="V42" s="4">
        <f t="shared" si="83"/>
        <v>878.49999999999864</v>
      </c>
      <c r="AC42" s="4">
        <f t="shared" ref="AC42:AH42" si="85">+AC40-AC41</f>
        <v>8.8000000000006935</v>
      </c>
      <c r="AD42" s="4">
        <f t="shared" si="85"/>
        <v>2067.7000000000012</v>
      </c>
      <c r="AE42" s="4">
        <f t="shared" si="85"/>
        <v>2759.3</v>
      </c>
      <c r="AF42" s="4">
        <f t="shared" si="85"/>
        <v>2818.8999999999969</v>
      </c>
      <c r="AG42" s="4">
        <f t="shared" si="85"/>
        <v>2884.8999999999955</v>
      </c>
      <c r="AH42" s="4">
        <f t="shared" si="85"/>
        <v>4517.9199999999946</v>
      </c>
      <c r="AI42" s="4">
        <f t="shared" si="42"/>
        <v>3594.9000000000005</v>
      </c>
      <c r="AJ42" s="4">
        <f t="shared" si="43"/>
        <v>924.7</v>
      </c>
      <c r="AK42" s="4">
        <f t="shared" si="44"/>
        <v>4200.4000000000015</v>
      </c>
      <c r="AL42" s="4">
        <f t="shared" si="34"/>
        <v>3283.2999999999988</v>
      </c>
      <c r="AM42" s="4">
        <f>+AM40-AM41</f>
        <v>4923.1160468037906</v>
      </c>
      <c r="AN42" s="4">
        <f t="shared" ref="AN42:AU42" si="86">+AN40-AN41</f>
        <v>5339.3519394324139</v>
      </c>
      <c r="AO42" s="4">
        <f t="shared" si="86"/>
        <v>5769.4898846589786</v>
      </c>
      <c r="AP42" s="4">
        <f t="shared" si="86"/>
        <v>6213.9428143310024</v>
      </c>
      <c r="AQ42" s="4">
        <f t="shared" si="86"/>
        <v>6673.1339164258625</v>
      </c>
      <c r="AR42" s="4">
        <f t="shared" si="86"/>
        <v>7147.4969011328949</v>
      </c>
      <c r="AS42" s="4">
        <f t="shared" si="86"/>
        <v>7637.4762728461292</v>
      </c>
      <c r="AT42" s="4">
        <f t="shared" si="86"/>
        <v>8143.5276082164055</v>
      </c>
      <c r="AU42" s="4">
        <f t="shared" si="86"/>
        <v>8666.1178404148432</v>
      </c>
      <c r="AV42" s="4">
        <f t="shared" ref="AV42" si="87">+AV40-AV41</f>
        <v>9205.7255497627448</v>
      </c>
    </row>
    <row r="43" spans="2:246">
      <c r="B43" s="10" t="s">
        <v>30</v>
      </c>
      <c r="C43" s="14">
        <v>-0.1</v>
      </c>
      <c r="D43" s="14">
        <v>-0.3</v>
      </c>
      <c r="E43" s="25">
        <v>-0.5</v>
      </c>
      <c r="F43" s="25">
        <v>0.6</v>
      </c>
      <c r="G43" s="14">
        <v>-0.2</v>
      </c>
      <c r="H43" s="14">
        <v>-4.4000000000000004</v>
      </c>
      <c r="I43" s="14">
        <v>0.4</v>
      </c>
      <c r="J43" s="14">
        <v>-0.4</v>
      </c>
      <c r="K43" s="14">
        <v>-0.4</v>
      </c>
      <c r="L43" s="14">
        <v>-3.6</v>
      </c>
      <c r="M43" s="14">
        <v>0.3</v>
      </c>
      <c r="N43" s="14">
        <v>0.1</v>
      </c>
      <c r="O43" s="14">
        <v>0</v>
      </c>
      <c r="P43" s="14">
        <v>0</v>
      </c>
      <c r="Q43" s="14">
        <v>0.8</v>
      </c>
      <c r="R43" s="14">
        <v>0.2</v>
      </c>
      <c r="S43" s="14">
        <v>0</v>
      </c>
      <c r="T43" s="14">
        <v>0.5</v>
      </c>
      <c r="U43" s="14">
        <v>0.8</v>
      </c>
      <c r="V43" s="4">
        <v>0.2</v>
      </c>
      <c r="AC43" s="4">
        <v>0.5</v>
      </c>
      <c r="AD43" s="4">
        <v>0.4</v>
      </c>
      <c r="AE43" s="4">
        <v>1.9</v>
      </c>
      <c r="AF43" s="4">
        <v>1.2</v>
      </c>
      <c r="AG43" s="4">
        <v>0.2</v>
      </c>
      <c r="AH43" s="4">
        <v>-0.3</v>
      </c>
      <c r="AI43" s="4">
        <f t="shared" si="42"/>
        <v>-4.6000000000000005</v>
      </c>
      <c r="AJ43" s="4">
        <f t="shared" si="43"/>
        <v>-3.6</v>
      </c>
      <c r="AK43" s="4">
        <f t="shared" si="44"/>
        <v>1</v>
      </c>
      <c r="AL43" s="4">
        <f t="shared" si="34"/>
        <v>1.5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</row>
    <row r="44" spans="2:246" s="6" customFormat="1">
      <c r="B44" s="6" t="s">
        <v>24</v>
      </c>
      <c r="C44" s="22">
        <f t="shared" ref="C44" si="88">+C42-C43</f>
        <v>2250.1999999999994</v>
      </c>
      <c r="D44" s="22">
        <f t="shared" ref="D44" si="89">+D42-D43</f>
        <v>660.10000000000014</v>
      </c>
      <c r="E44" s="22">
        <f t="shared" ref="E44" si="90">+E42-E43</f>
        <v>852.50000000000114</v>
      </c>
      <c r="F44" s="22">
        <f t="shared" ref="F44:R44" si="91">+F42-F43</f>
        <v>755.80000000000064</v>
      </c>
      <c r="G44" s="22">
        <f t="shared" si="91"/>
        <v>760.60000000000048</v>
      </c>
      <c r="H44" s="22">
        <f t="shared" si="91"/>
        <v>663.19999999999879</v>
      </c>
      <c r="I44" s="22">
        <f t="shared" si="91"/>
        <v>1372.8000000000009</v>
      </c>
      <c r="J44" s="22">
        <f t="shared" si="91"/>
        <v>802.89999999999975</v>
      </c>
      <c r="K44" s="22">
        <f t="shared" si="91"/>
        <v>885.6999999999997</v>
      </c>
      <c r="L44" s="22">
        <f t="shared" si="91"/>
        <v>328.39999999999907</v>
      </c>
      <c r="M44" s="22">
        <f t="shared" si="91"/>
        <v>-678.40000000000009</v>
      </c>
      <c r="N44" s="22">
        <f t="shared" si="91"/>
        <v>392.60000000000133</v>
      </c>
      <c r="O44" s="22">
        <f t="shared" si="91"/>
        <v>622.20000000000016</v>
      </c>
      <c r="P44" s="22">
        <f t="shared" si="91"/>
        <v>659.4</v>
      </c>
      <c r="Q44" s="22">
        <f t="shared" si="91"/>
        <v>1153.4000000000008</v>
      </c>
      <c r="R44" s="22">
        <f t="shared" si="91"/>
        <v>1764.3999999999999</v>
      </c>
      <c r="S44" s="22">
        <f t="shared" ref="S44:V44" si="92">+S42-S43</f>
        <v>816.10000000000014</v>
      </c>
      <c r="T44" s="22">
        <f t="shared" si="92"/>
        <v>674.50000000000011</v>
      </c>
      <c r="U44" s="22">
        <f t="shared" ref="U44" si="93">+U42-U43</f>
        <v>912.89999999999964</v>
      </c>
      <c r="V44" s="6">
        <f t="shared" si="92"/>
        <v>878.29999999999859</v>
      </c>
      <c r="AC44" s="6">
        <f t="shared" ref="AC44:AH44" si="94">+AC42+AC43</f>
        <v>9.3000000000006935</v>
      </c>
      <c r="AD44" s="6">
        <f t="shared" si="94"/>
        <v>2068.1000000000013</v>
      </c>
      <c r="AE44" s="6">
        <f t="shared" si="94"/>
        <v>2761.2000000000003</v>
      </c>
      <c r="AF44" s="6">
        <f t="shared" si="94"/>
        <v>2820.0999999999967</v>
      </c>
      <c r="AG44" s="6">
        <f t="shared" si="94"/>
        <v>2885.0999999999954</v>
      </c>
      <c r="AH44" s="6">
        <f t="shared" si="94"/>
        <v>4517.6199999999944</v>
      </c>
      <c r="AI44" s="6">
        <f t="shared" si="42"/>
        <v>3599.5</v>
      </c>
      <c r="AJ44" s="6">
        <f t="shared" si="43"/>
        <v>928.3</v>
      </c>
      <c r="AK44" s="6">
        <f t="shared" si="44"/>
        <v>4199.4000000000005</v>
      </c>
      <c r="AL44" s="6">
        <f t="shared" si="34"/>
        <v>3281.7999999999984</v>
      </c>
      <c r="AM44" s="6">
        <f>+AM42-AM43</f>
        <v>4923.1160468037906</v>
      </c>
      <c r="AN44" s="6">
        <f t="shared" ref="AN44:AU44" si="95">+AN42-AN43</f>
        <v>5339.3519394324139</v>
      </c>
      <c r="AO44" s="6">
        <f t="shared" si="95"/>
        <v>5769.4898846589786</v>
      </c>
      <c r="AP44" s="6">
        <f t="shared" si="95"/>
        <v>6213.9428143310024</v>
      </c>
      <c r="AQ44" s="6">
        <f t="shared" si="95"/>
        <v>6673.1339164258625</v>
      </c>
      <c r="AR44" s="6">
        <f t="shared" si="95"/>
        <v>7147.4969011328949</v>
      </c>
      <c r="AS44" s="6">
        <f t="shared" si="95"/>
        <v>7637.4762728461292</v>
      </c>
      <c r="AT44" s="6">
        <f t="shared" si="95"/>
        <v>8143.5276082164055</v>
      </c>
      <c r="AU44" s="6">
        <f t="shared" si="95"/>
        <v>8666.1178404148432</v>
      </c>
      <c r="AV44" s="6">
        <f t="shared" ref="AV44" si="96">+AV42-AV43</f>
        <v>9205.7255497627448</v>
      </c>
      <c r="AW44" s="6">
        <f t="shared" ref="AW44:CB44" si="97">+AV44*(1+$AY$49)</f>
        <v>9389.8400607580006</v>
      </c>
      <c r="AX44" s="6">
        <f t="shared" si="97"/>
        <v>9577.6368619731602</v>
      </c>
      <c r="AY44" s="6">
        <f t="shared" si="97"/>
        <v>9769.1895992126229</v>
      </c>
      <c r="AZ44" s="6">
        <f t="shared" si="97"/>
        <v>9964.5733911968746</v>
      </c>
      <c r="BA44" s="6">
        <f t="shared" si="97"/>
        <v>10163.864859020812</v>
      </c>
      <c r="BB44" s="6">
        <f t="shared" si="97"/>
        <v>10367.142156201229</v>
      </c>
      <c r="BC44" s="6">
        <f t="shared" si="97"/>
        <v>10574.484999325254</v>
      </c>
      <c r="BD44" s="6">
        <f t="shared" si="97"/>
        <v>10785.974699311759</v>
      </c>
      <c r="BE44" s="6">
        <f t="shared" si="97"/>
        <v>11001.694193297993</v>
      </c>
      <c r="BF44" s="6">
        <f t="shared" si="97"/>
        <v>11221.728077163954</v>
      </c>
      <c r="BG44" s="6">
        <f t="shared" si="97"/>
        <v>11446.162638707234</v>
      </c>
      <c r="BH44" s="6">
        <f t="shared" si="97"/>
        <v>11675.085891481378</v>
      </c>
      <c r="BI44" s="6">
        <f t="shared" si="97"/>
        <v>11908.587609311006</v>
      </c>
      <c r="BJ44" s="6">
        <f t="shared" si="97"/>
        <v>12146.759361497227</v>
      </c>
      <c r="BK44" s="6">
        <f t="shared" si="97"/>
        <v>12389.694548727171</v>
      </c>
      <c r="BL44" s="6">
        <f t="shared" si="97"/>
        <v>12637.488439701716</v>
      </c>
      <c r="BM44" s="6">
        <f t="shared" si="97"/>
        <v>12890.23820849575</v>
      </c>
      <c r="BN44" s="6">
        <f t="shared" si="97"/>
        <v>13148.042972665666</v>
      </c>
      <c r="BO44" s="6">
        <f t="shared" si="97"/>
        <v>13411.003832118979</v>
      </c>
      <c r="BP44" s="6">
        <f t="shared" si="97"/>
        <v>13679.223908761358</v>
      </c>
      <c r="BQ44" s="6">
        <f t="shared" si="97"/>
        <v>13952.808386936586</v>
      </c>
      <c r="BR44" s="6">
        <f t="shared" si="97"/>
        <v>14231.864554675318</v>
      </c>
      <c r="BS44" s="6">
        <f t="shared" si="97"/>
        <v>14516.501845768824</v>
      </c>
      <c r="BT44" s="6">
        <f t="shared" si="97"/>
        <v>14806.831882684201</v>
      </c>
      <c r="BU44" s="6">
        <f t="shared" si="97"/>
        <v>15102.968520337885</v>
      </c>
      <c r="BV44" s="6">
        <f t="shared" si="97"/>
        <v>15405.027890744643</v>
      </c>
      <c r="BW44" s="6">
        <f t="shared" si="97"/>
        <v>15713.128448559535</v>
      </c>
      <c r="BX44" s="6">
        <f t="shared" si="97"/>
        <v>16027.391017530726</v>
      </c>
      <c r="BY44" s="6">
        <f t="shared" si="97"/>
        <v>16347.938837881342</v>
      </c>
      <c r="BZ44" s="6">
        <f t="shared" si="97"/>
        <v>16674.897614638969</v>
      </c>
      <c r="CA44" s="6">
        <f t="shared" si="97"/>
        <v>17008.395566931747</v>
      </c>
      <c r="CB44" s="6">
        <f t="shared" si="97"/>
        <v>17348.563478270382</v>
      </c>
      <c r="CC44" s="6">
        <f t="shared" ref="CC44:DH44" si="98">+CB44*(1+$AY$49)</f>
        <v>17695.534747835791</v>
      </c>
      <c r="CD44" s="6">
        <f t="shared" si="98"/>
        <v>18049.445442792508</v>
      </c>
      <c r="CE44" s="6">
        <f t="shared" si="98"/>
        <v>18410.43435164836</v>
      </c>
      <c r="CF44" s="6">
        <f t="shared" si="98"/>
        <v>18778.643038681326</v>
      </c>
      <c r="CG44" s="6">
        <f t="shared" si="98"/>
        <v>19154.215899454954</v>
      </c>
      <c r="CH44" s="6">
        <f t="shared" si="98"/>
        <v>19537.300217444052</v>
      </c>
      <c r="CI44" s="6">
        <f t="shared" si="98"/>
        <v>19928.046221792934</v>
      </c>
      <c r="CJ44" s="6">
        <f t="shared" si="98"/>
        <v>20326.607146228795</v>
      </c>
      <c r="CK44" s="6">
        <f t="shared" si="98"/>
        <v>20733.139289153372</v>
      </c>
      <c r="CL44" s="6">
        <f t="shared" si="98"/>
        <v>21147.80207493644</v>
      </c>
      <c r="CM44" s="6">
        <f t="shared" si="98"/>
        <v>21570.758116435169</v>
      </c>
      <c r="CN44" s="6">
        <f t="shared" si="98"/>
        <v>22002.173278763872</v>
      </c>
      <c r="CO44" s="6">
        <f t="shared" si="98"/>
        <v>22442.216744339148</v>
      </c>
      <c r="CP44" s="6">
        <f t="shared" si="98"/>
        <v>22891.061079225932</v>
      </c>
      <c r="CQ44" s="6">
        <f t="shared" si="98"/>
        <v>23348.882300810452</v>
      </c>
      <c r="CR44" s="6">
        <f t="shared" si="98"/>
        <v>23815.859946826662</v>
      </c>
      <c r="CS44" s="6">
        <f t="shared" si="98"/>
        <v>24292.177145763195</v>
      </c>
      <c r="CT44" s="6">
        <f t="shared" si="98"/>
        <v>24778.020688678458</v>
      </c>
      <c r="CU44" s="6">
        <f t="shared" si="98"/>
        <v>25273.581102452026</v>
      </c>
      <c r="CV44" s="6">
        <f t="shared" si="98"/>
        <v>25779.052724501067</v>
      </c>
      <c r="CW44" s="6">
        <f t="shared" si="98"/>
        <v>26294.63377899109</v>
      </c>
      <c r="CX44" s="6">
        <f t="shared" si="98"/>
        <v>26820.526454570914</v>
      </c>
      <c r="CY44" s="6">
        <f t="shared" si="98"/>
        <v>27356.936983662334</v>
      </c>
      <c r="CZ44" s="6">
        <f t="shared" si="98"/>
        <v>27904.07572333558</v>
      </c>
      <c r="DA44" s="6">
        <f t="shared" si="98"/>
        <v>28462.15723780229</v>
      </c>
      <c r="DB44" s="6">
        <f t="shared" si="98"/>
        <v>29031.400382558335</v>
      </c>
      <c r="DC44" s="6">
        <f t="shared" si="98"/>
        <v>29612.028390209503</v>
      </c>
      <c r="DD44" s="6">
        <f t="shared" si="98"/>
        <v>30204.268958013694</v>
      </c>
      <c r="DE44" s="6">
        <f t="shared" si="98"/>
        <v>30808.354337173969</v>
      </c>
      <c r="DF44" s="6">
        <f t="shared" si="98"/>
        <v>31424.521423917449</v>
      </c>
      <c r="DG44" s="6">
        <f t="shared" si="98"/>
        <v>32053.011852395797</v>
      </c>
      <c r="DH44" s="6">
        <f t="shared" si="98"/>
        <v>32694.072089443715</v>
      </c>
      <c r="DI44" s="6">
        <f t="shared" ref="DI44:EN44" si="99">+DH44*(1+$AY$49)</f>
        <v>33347.95353123259</v>
      </c>
      <c r="DJ44" s="6">
        <f t="shared" si="99"/>
        <v>34014.912601857242</v>
      </c>
      <c r="DK44" s="6">
        <f t="shared" si="99"/>
        <v>34695.210853894387</v>
      </c>
      <c r="DL44" s="6">
        <f t="shared" si="99"/>
        <v>35389.115070972271</v>
      </c>
      <c r="DM44" s="6">
        <f t="shared" si="99"/>
        <v>36096.897372391715</v>
      </c>
      <c r="DN44" s="6">
        <f t="shared" si="99"/>
        <v>36818.835319839549</v>
      </c>
      <c r="DO44" s="6">
        <f t="shared" si="99"/>
        <v>37555.212026236339</v>
      </c>
      <c r="DP44" s="6">
        <f t="shared" si="99"/>
        <v>38306.316266761067</v>
      </c>
      <c r="DQ44" s="6">
        <f t="shared" si="99"/>
        <v>39072.442592096289</v>
      </c>
      <c r="DR44" s="6">
        <f t="shared" si="99"/>
        <v>39853.891443938213</v>
      </c>
      <c r="DS44" s="6">
        <f t="shared" si="99"/>
        <v>40650.969272816976</v>
      </c>
      <c r="DT44" s="6">
        <f t="shared" si="99"/>
        <v>41463.988658273316</v>
      </c>
      <c r="DU44" s="6">
        <f t="shared" si="99"/>
        <v>42293.268431438781</v>
      </c>
      <c r="DV44" s="6">
        <f t="shared" si="99"/>
        <v>43139.133800067561</v>
      </c>
      <c r="DW44" s="6">
        <f t="shared" si="99"/>
        <v>44001.916476068909</v>
      </c>
      <c r="DX44" s="6">
        <f t="shared" si="99"/>
        <v>44881.954805590285</v>
      </c>
      <c r="DY44" s="6">
        <f t="shared" si="99"/>
        <v>45779.593901702094</v>
      </c>
      <c r="DZ44" s="6">
        <f t="shared" si="99"/>
        <v>46695.185779736137</v>
      </c>
      <c r="EA44" s="6">
        <f t="shared" si="99"/>
        <v>47629.08949533086</v>
      </c>
      <c r="EB44" s="6">
        <f t="shared" si="99"/>
        <v>48581.671285237477</v>
      </c>
      <c r="EC44" s="6">
        <f t="shared" si="99"/>
        <v>49553.304710942226</v>
      </c>
      <c r="ED44" s="6">
        <f t="shared" si="99"/>
        <v>50544.370805161074</v>
      </c>
      <c r="EE44" s="6">
        <f t="shared" si="99"/>
        <v>51555.258221264296</v>
      </c>
      <c r="EF44" s="6">
        <f t="shared" si="99"/>
        <v>52586.363385689583</v>
      </c>
      <c r="EG44" s="6">
        <f t="shared" si="99"/>
        <v>53638.090653403378</v>
      </c>
      <c r="EH44" s="6">
        <f t="shared" si="99"/>
        <v>54710.85246647145</v>
      </c>
      <c r="EI44" s="6">
        <f t="shared" si="99"/>
        <v>55805.069515800882</v>
      </c>
      <c r="EJ44" s="6">
        <f t="shared" si="99"/>
        <v>56921.170906116902</v>
      </c>
      <c r="EK44" s="6">
        <f t="shared" si="99"/>
        <v>58059.594324239239</v>
      </c>
      <c r="EL44" s="6">
        <f t="shared" si="99"/>
        <v>59220.786210724022</v>
      </c>
      <c r="EM44" s="6">
        <f t="shared" si="99"/>
        <v>60405.201934938501</v>
      </c>
      <c r="EN44" s="6">
        <f t="shared" si="99"/>
        <v>61613.305973637274</v>
      </c>
      <c r="EO44" s="6">
        <f t="shared" ref="EO44:FT44" si="100">+EN44*(1+$AY$49)</f>
        <v>62845.572093110022</v>
      </c>
      <c r="EP44" s="6">
        <f t="shared" si="100"/>
        <v>64102.483534972227</v>
      </c>
      <c r="EQ44" s="6">
        <f t="shared" si="100"/>
        <v>65384.533205671672</v>
      </c>
      <c r="ER44" s="6">
        <f t="shared" si="100"/>
        <v>66692.223869785113</v>
      </c>
      <c r="ES44" s="6">
        <f t="shared" si="100"/>
        <v>68026.068347180815</v>
      </c>
      <c r="ET44" s="6">
        <f t="shared" si="100"/>
        <v>69386.589714124435</v>
      </c>
      <c r="EU44" s="6">
        <f t="shared" si="100"/>
        <v>70774.321508406923</v>
      </c>
      <c r="EV44" s="6">
        <f t="shared" si="100"/>
        <v>72189.807938575061</v>
      </c>
      <c r="EW44" s="6">
        <f t="shared" si="100"/>
        <v>73633.604097346557</v>
      </c>
      <c r="EX44" s="6">
        <f t="shared" si="100"/>
        <v>75106.276179293491</v>
      </c>
      <c r="EY44" s="6">
        <f t="shared" si="100"/>
        <v>76608.401702879361</v>
      </c>
      <c r="EZ44" s="6">
        <f t="shared" si="100"/>
        <v>78140.569736936945</v>
      </c>
      <c r="FA44" s="6">
        <f t="shared" si="100"/>
        <v>79703.381131675691</v>
      </c>
      <c r="FB44" s="6">
        <f t="shared" si="100"/>
        <v>81297.448754309211</v>
      </c>
      <c r="FC44" s="6">
        <f t="shared" si="100"/>
        <v>82923.397729395394</v>
      </c>
      <c r="FD44" s="6">
        <f t="shared" si="100"/>
        <v>84581.865683983298</v>
      </c>
      <c r="FE44" s="6">
        <f t="shared" si="100"/>
        <v>86273.502997662959</v>
      </c>
      <c r="FF44" s="6">
        <f t="shared" si="100"/>
        <v>87998.973057616226</v>
      </c>
      <c r="FG44" s="6">
        <f t="shared" si="100"/>
        <v>89758.95251876855</v>
      </c>
      <c r="FH44" s="6">
        <f t="shared" si="100"/>
        <v>91554.131569143923</v>
      </c>
      <c r="FI44" s="6">
        <f t="shared" si="100"/>
        <v>93385.214200526796</v>
      </c>
      <c r="FJ44" s="6">
        <f t="shared" si="100"/>
        <v>95252.918484537338</v>
      </c>
      <c r="FK44" s="6">
        <f t="shared" si="100"/>
        <v>97157.97685422808</v>
      </c>
      <c r="FL44" s="6">
        <f t="shared" si="100"/>
        <v>99101.136391312641</v>
      </c>
      <c r="FM44" s="6">
        <f t="shared" si="100"/>
        <v>101083.1591191389</v>
      </c>
      <c r="FN44" s="6">
        <f t="shared" si="100"/>
        <v>103104.82230152168</v>
      </c>
      <c r="FO44" s="6">
        <f t="shared" si="100"/>
        <v>105166.91874755212</v>
      </c>
      <c r="FP44" s="6">
        <f t="shared" si="100"/>
        <v>107270.25712250316</v>
      </c>
      <c r="FQ44" s="6">
        <f t="shared" si="100"/>
        <v>109415.66226495322</v>
      </c>
      <c r="FR44" s="6">
        <f t="shared" si="100"/>
        <v>111603.97551025229</v>
      </c>
      <c r="FS44" s="6">
        <f t="shared" si="100"/>
        <v>113836.05502045734</v>
      </c>
      <c r="FT44" s="6">
        <f t="shared" si="100"/>
        <v>116112.77612086649</v>
      </c>
      <c r="FU44" s="6">
        <f t="shared" ref="FU44:GZ44" si="101">+FT44*(1+$AY$49)</f>
        <v>118435.03164328382</v>
      </c>
      <c r="FV44" s="6">
        <f t="shared" si="101"/>
        <v>120803.73227614949</v>
      </c>
      <c r="FW44" s="6">
        <f t="shared" si="101"/>
        <v>123219.80692167248</v>
      </c>
      <c r="FX44" s="6">
        <f t="shared" si="101"/>
        <v>125684.20306010594</v>
      </c>
      <c r="FY44" s="6">
        <f t="shared" si="101"/>
        <v>128197.88712130806</v>
      </c>
      <c r="FZ44" s="6">
        <f t="shared" si="101"/>
        <v>130761.84486373422</v>
      </c>
      <c r="GA44" s="6">
        <f t="shared" si="101"/>
        <v>133377.08176100891</v>
      </c>
      <c r="GB44" s="6">
        <f t="shared" si="101"/>
        <v>136044.62339622909</v>
      </c>
      <c r="GC44" s="6">
        <f t="shared" si="101"/>
        <v>138765.51586415368</v>
      </c>
      <c r="GD44" s="6">
        <f t="shared" si="101"/>
        <v>141540.82618143677</v>
      </c>
      <c r="GE44" s="6">
        <f t="shared" si="101"/>
        <v>144371.64270506552</v>
      </c>
      <c r="GF44" s="6">
        <f t="shared" si="101"/>
        <v>147259.07555916684</v>
      </c>
      <c r="GG44" s="6">
        <f t="shared" si="101"/>
        <v>150204.25707035017</v>
      </c>
      <c r="GH44" s="6">
        <f t="shared" si="101"/>
        <v>153208.34221175718</v>
      </c>
      <c r="GI44" s="6">
        <f t="shared" si="101"/>
        <v>156272.50905599233</v>
      </c>
      <c r="GJ44" s="6">
        <f t="shared" si="101"/>
        <v>159397.95923711217</v>
      </c>
      <c r="GK44" s="6">
        <f t="shared" si="101"/>
        <v>162585.91842185441</v>
      </c>
      <c r="GL44" s="6">
        <f t="shared" si="101"/>
        <v>165837.63679029149</v>
      </c>
      <c r="GM44" s="6">
        <f t="shared" si="101"/>
        <v>169154.38952609734</v>
      </c>
      <c r="GN44" s="6">
        <f t="shared" si="101"/>
        <v>172537.47731661928</v>
      </c>
      <c r="GO44" s="6">
        <f t="shared" si="101"/>
        <v>175988.22686295168</v>
      </c>
      <c r="GP44" s="6">
        <f t="shared" si="101"/>
        <v>179507.99140021071</v>
      </c>
      <c r="GQ44" s="6">
        <f t="shared" si="101"/>
        <v>183098.15122821493</v>
      </c>
      <c r="GR44" s="6">
        <f t="shared" si="101"/>
        <v>186760.11425277923</v>
      </c>
      <c r="GS44" s="6">
        <f t="shared" si="101"/>
        <v>190495.31653783482</v>
      </c>
      <c r="GT44" s="6">
        <f t="shared" si="101"/>
        <v>194305.22286859152</v>
      </c>
      <c r="GU44" s="6">
        <f t="shared" si="101"/>
        <v>198191.32732596336</v>
      </c>
      <c r="GV44" s="6">
        <f t="shared" si="101"/>
        <v>202155.15387248262</v>
      </c>
      <c r="GW44" s="6">
        <f t="shared" si="101"/>
        <v>206198.25694993229</v>
      </c>
      <c r="GX44" s="6">
        <f t="shared" si="101"/>
        <v>210322.22208893092</v>
      </c>
      <c r="GY44" s="6">
        <f t="shared" si="101"/>
        <v>214528.66653070954</v>
      </c>
      <c r="GZ44" s="6">
        <f t="shared" si="101"/>
        <v>218819.23986132373</v>
      </c>
      <c r="HA44" s="6">
        <f t="shared" ref="HA44:IF44" si="102">+GZ44*(1+$AY$49)</f>
        <v>223195.62465855022</v>
      </c>
      <c r="HB44" s="6">
        <f t="shared" si="102"/>
        <v>227659.53715172122</v>
      </c>
      <c r="HC44" s="6">
        <f t="shared" si="102"/>
        <v>232212.72789475563</v>
      </c>
      <c r="HD44" s="6">
        <f t="shared" si="102"/>
        <v>236856.98245265076</v>
      </c>
      <c r="HE44" s="6">
        <f t="shared" si="102"/>
        <v>241594.12210170378</v>
      </c>
      <c r="HF44" s="6">
        <f t="shared" si="102"/>
        <v>246426.00454373786</v>
      </c>
      <c r="HG44" s="6">
        <f t="shared" si="102"/>
        <v>251354.52463461261</v>
      </c>
      <c r="HH44" s="6">
        <f t="shared" si="102"/>
        <v>256381.61512730486</v>
      </c>
      <c r="HI44" s="6">
        <f t="shared" si="102"/>
        <v>261509.24742985095</v>
      </c>
      <c r="HJ44" s="6">
        <f t="shared" si="102"/>
        <v>266739.43237844796</v>
      </c>
      <c r="HK44" s="6">
        <f t="shared" si="102"/>
        <v>272074.22102601692</v>
      </c>
      <c r="HL44" s="6">
        <f t="shared" si="102"/>
        <v>277515.70544653729</v>
      </c>
      <c r="HM44" s="6">
        <f t="shared" si="102"/>
        <v>283066.01955546805</v>
      </c>
      <c r="HN44" s="6">
        <f t="shared" si="102"/>
        <v>288727.33994657744</v>
      </c>
      <c r="HO44" s="6">
        <f t="shared" si="102"/>
        <v>294501.88674550899</v>
      </c>
      <c r="HP44" s="6">
        <f t="shared" si="102"/>
        <v>300391.9244804192</v>
      </c>
      <c r="HQ44" s="6">
        <f t="shared" si="102"/>
        <v>306399.76297002757</v>
      </c>
      <c r="HR44" s="6">
        <f t="shared" si="102"/>
        <v>312527.75822942815</v>
      </c>
      <c r="HS44" s="6">
        <f t="shared" si="102"/>
        <v>318778.3133940167</v>
      </c>
      <c r="HT44" s="6">
        <f t="shared" si="102"/>
        <v>325153.87966189702</v>
      </c>
      <c r="HU44" s="6">
        <f t="shared" si="102"/>
        <v>331656.95725513494</v>
      </c>
      <c r="HV44" s="6">
        <f t="shared" si="102"/>
        <v>338290.09640023764</v>
      </c>
      <c r="HW44" s="6">
        <f t="shared" si="102"/>
        <v>345055.89832824242</v>
      </c>
      <c r="HX44" s="6">
        <f t="shared" si="102"/>
        <v>351957.01629480725</v>
      </c>
      <c r="HY44" s="6">
        <f t="shared" si="102"/>
        <v>358996.1566207034</v>
      </c>
      <c r="HZ44" s="6">
        <f t="shared" si="102"/>
        <v>366176.07975311746</v>
      </c>
      <c r="IA44" s="6">
        <f t="shared" si="102"/>
        <v>373499.6013481798</v>
      </c>
      <c r="IB44" s="6">
        <f t="shared" si="102"/>
        <v>380969.59337514342</v>
      </c>
      <c r="IC44" s="6">
        <f t="shared" si="102"/>
        <v>388588.9852426463</v>
      </c>
      <c r="ID44" s="6">
        <f t="shared" si="102"/>
        <v>396360.76494749926</v>
      </c>
      <c r="IE44" s="6">
        <f t="shared" si="102"/>
        <v>404287.98024644924</v>
      </c>
      <c r="IF44" s="6">
        <f t="shared" si="102"/>
        <v>412373.73985137825</v>
      </c>
      <c r="IG44" s="6">
        <f t="shared" ref="IG44:IL44" si="103">+IF44*(1+$AY$49)</f>
        <v>420621.21464840585</v>
      </c>
      <c r="IH44" s="6">
        <f t="shared" si="103"/>
        <v>429033.63894137397</v>
      </c>
      <c r="II44" s="6">
        <f t="shared" si="103"/>
        <v>437614.31172020145</v>
      </c>
      <c r="IJ44" s="6">
        <f t="shared" si="103"/>
        <v>446366.59795460547</v>
      </c>
      <c r="IK44" s="6">
        <f t="shared" si="103"/>
        <v>455293.92991369759</v>
      </c>
      <c r="IL44" s="6">
        <f t="shared" si="103"/>
        <v>464399.80851197155</v>
      </c>
    </row>
    <row r="45" spans="2:246">
      <c r="B45" s="4" t="s">
        <v>31</v>
      </c>
      <c r="C45" s="14">
        <v>1434.6</v>
      </c>
      <c r="D45" s="14">
        <v>1406.6</v>
      </c>
      <c r="E45" s="14">
        <v>1388.5</v>
      </c>
      <c r="F45" s="14">
        <v>1348.7</v>
      </c>
      <c r="G45" s="14">
        <v>1253.4000000000001</v>
      </c>
      <c r="H45" s="14">
        <v>1250.7</v>
      </c>
      <c r="I45" s="14">
        <v>1223</v>
      </c>
      <c r="J45" s="14">
        <v>1205.5999999999999</v>
      </c>
      <c r="K45" s="14">
        <v>1191</v>
      </c>
      <c r="L45" s="14">
        <v>1180.7</v>
      </c>
      <c r="M45" s="14">
        <v>1168.5</v>
      </c>
      <c r="N45" s="14">
        <v>1179</v>
      </c>
      <c r="O45" s="14">
        <v>1183</v>
      </c>
      <c r="P45" s="14">
        <v>1184.8</v>
      </c>
      <c r="Q45" s="14">
        <v>1186.2</v>
      </c>
      <c r="R45" s="14">
        <v>1187.9000000000001</v>
      </c>
      <c r="S45" s="14">
        <v>1176.5999999999999</v>
      </c>
      <c r="T45" s="14">
        <v>1153.9000000000001</v>
      </c>
      <c r="U45" s="14">
        <v>1151</v>
      </c>
      <c r="V45" s="4">
        <v>1525.5</v>
      </c>
      <c r="AC45" s="4">
        <v>524.5</v>
      </c>
      <c r="AD45" s="4">
        <v>1526.3</v>
      </c>
      <c r="AE45" s="4">
        <v>1513.4</v>
      </c>
      <c r="AF45" s="4">
        <v>1486.7</v>
      </c>
      <c r="AG45" s="4">
        <v>1461.5</v>
      </c>
      <c r="AH45" s="4">
        <v>1394.6</v>
      </c>
      <c r="AI45" s="4">
        <f>+AI44/AI46</f>
        <v>1230.365419023733</v>
      </c>
      <c r="AJ45" s="4">
        <f t="shared" ref="AJ45:AK45" si="104">+AJ44/AJ46</f>
        <v>1199.0107941744677</v>
      </c>
      <c r="AK45" s="4">
        <f t="shared" si="104"/>
        <v>1186.2177434854541</v>
      </c>
      <c r="AL45" s="4">
        <f>+AL44/AL46</f>
        <v>1239.8045402497264</v>
      </c>
      <c r="AM45" s="4">
        <f>+AL45</f>
        <v>1239.8045402497264</v>
      </c>
      <c r="AN45" s="4">
        <f t="shared" ref="AN45:AV45" si="105">+AM45</f>
        <v>1239.8045402497264</v>
      </c>
      <c r="AO45" s="4">
        <f t="shared" si="105"/>
        <v>1239.8045402497264</v>
      </c>
      <c r="AP45" s="4">
        <f t="shared" si="105"/>
        <v>1239.8045402497264</v>
      </c>
      <c r="AQ45" s="4">
        <f t="shared" si="105"/>
        <v>1239.8045402497264</v>
      </c>
      <c r="AR45" s="4">
        <f t="shared" si="105"/>
        <v>1239.8045402497264</v>
      </c>
      <c r="AS45" s="4">
        <f t="shared" si="105"/>
        <v>1239.8045402497264</v>
      </c>
      <c r="AT45" s="4">
        <f t="shared" si="105"/>
        <v>1239.8045402497264</v>
      </c>
      <c r="AU45" s="4">
        <f t="shared" si="105"/>
        <v>1239.8045402497264</v>
      </c>
      <c r="AV45" s="4">
        <f t="shared" si="105"/>
        <v>1239.8045402497264</v>
      </c>
    </row>
    <row r="46" spans="2:246" s="11" customFormat="1">
      <c r="B46" s="11" t="s">
        <v>32</v>
      </c>
      <c r="C46" s="26">
        <f t="shared" ref="C46" si="106">+C44/C45</f>
        <v>1.5685208420465631</v>
      </c>
      <c r="D46" s="26">
        <f t="shared" ref="D46" si="107">+D44/D45</f>
        <v>0.46928764396416905</v>
      </c>
      <c r="E46" s="26">
        <f t="shared" ref="E46" si="108">+E44/E45</f>
        <v>0.6139719121353987</v>
      </c>
      <c r="F46" s="26">
        <f t="shared" ref="F46:S46" si="109">+F44/F45</f>
        <v>0.560391488099652</v>
      </c>
      <c r="G46" s="26">
        <f t="shared" si="109"/>
        <v>0.60682942396681061</v>
      </c>
      <c r="H46" s="26">
        <f t="shared" si="109"/>
        <v>0.53026305269049234</v>
      </c>
      <c r="I46" s="26">
        <f t="shared" si="109"/>
        <v>1.1224856909239582</v>
      </c>
      <c r="J46" s="26">
        <f t="shared" si="109"/>
        <v>0.66597544790975427</v>
      </c>
      <c r="K46" s="26">
        <f t="shared" si="109"/>
        <v>0.7436607892527286</v>
      </c>
      <c r="L46" s="26">
        <f t="shared" si="109"/>
        <v>0.27814008638942922</v>
      </c>
      <c r="M46" s="26">
        <f t="shared" si="109"/>
        <v>-0.58057338468121533</v>
      </c>
      <c r="N46" s="26">
        <f t="shared" si="109"/>
        <v>0.33299406276505628</v>
      </c>
      <c r="O46" s="26">
        <f t="shared" si="109"/>
        <v>0.52595097210481845</v>
      </c>
      <c r="P46" s="26">
        <f t="shared" si="109"/>
        <v>0.55654962862930457</v>
      </c>
      <c r="Q46" s="26">
        <f t="shared" si="109"/>
        <v>0.97234867644579392</v>
      </c>
      <c r="R46" s="26">
        <f t="shared" si="109"/>
        <v>1.4853102112972469</v>
      </c>
      <c r="S46" s="26">
        <f t="shared" si="109"/>
        <v>0.69360870304266553</v>
      </c>
      <c r="T46" s="26">
        <f t="shared" ref="T46:V46" si="110">+T44/T45</f>
        <v>0.58453938816188578</v>
      </c>
      <c r="U46" s="26">
        <f t="shared" ref="U46" si="111">+U44/U45</f>
        <v>0.79313640312771472</v>
      </c>
      <c r="V46" s="11">
        <f t="shared" si="110"/>
        <v>0.57574565716158543</v>
      </c>
      <c r="AC46" s="11">
        <f t="shared" ref="AC46:AH46" si="112">+AC44/AC45</f>
        <v>1.7731172545282541E-2</v>
      </c>
      <c r="AD46" s="11">
        <f t="shared" si="112"/>
        <v>1.3549760859595108</v>
      </c>
      <c r="AE46" s="11">
        <f t="shared" si="112"/>
        <v>1.8245011232985331</v>
      </c>
      <c r="AF46" s="11">
        <f t="shared" si="112"/>
        <v>1.8968857200511178</v>
      </c>
      <c r="AG46" s="11">
        <f t="shared" si="112"/>
        <v>1.9740677386246974</v>
      </c>
      <c r="AH46" s="11">
        <f t="shared" si="112"/>
        <v>3.2393661264878779</v>
      </c>
      <c r="AI46" s="3">
        <f t="shared" si="42"/>
        <v>2.9255536154910153</v>
      </c>
      <c r="AJ46" s="3">
        <f t="shared" si="43"/>
        <v>0.77422155372599866</v>
      </c>
      <c r="AK46" s="3">
        <f t="shared" si="44"/>
        <v>3.5401594884771637</v>
      </c>
      <c r="AL46" s="4">
        <f t="shared" si="34"/>
        <v>2.6470301514938517</v>
      </c>
      <c r="AM46" s="3">
        <f>+AM44/AM45</f>
        <v>3.9708808017529575</v>
      </c>
      <c r="AN46" s="3">
        <f t="shared" ref="AN46:AU46" si="113">+AN44/AN45</f>
        <v>4.3066078289703151</v>
      </c>
      <c r="AO46" s="3">
        <f t="shared" si="113"/>
        <v>4.6535479564358306</v>
      </c>
      <c r="AP46" s="3">
        <f t="shared" si="113"/>
        <v>5.0120342462041352</v>
      </c>
      <c r="AQ46" s="3">
        <f t="shared" si="113"/>
        <v>5.3824080327062953</v>
      </c>
      <c r="AR46" s="3">
        <f t="shared" si="113"/>
        <v>5.7650191373659734</v>
      </c>
      <c r="AS46" s="3">
        <f t="shared" si="113"/>
        <v>6.1602260879829958</v>
      </c>
      <c r="AT46" s="3">
        <f t="shared" si="113"/>
        <v>6.56839634300428</v>
      </c>
      <c r="AU46" s="3">
        <f t="shared" si="113"/>
        <v>6.9899065208047055</v>
      </c>
      <c r="AV46" s="3">
        <f t="shared" ref="AV46" si="114">+AV44/AV45</f>
        <v>7.4251426341030262</v>
      </c>
    </row>
    <row r="47" spans="2:246">
      <c r="AX47" s="29" t="s">
        <v>149</v>
      </c>
      <c r="AY47" s="30">
        <v>0.01</v>
      </c>
    </row>
    <row r="48" spans="2:246">
      <c r="AX48" s="31" t="s">
        <v>150</v>
      </c>
      <c r="AY48" s="32">
        <v>0.03</v>
      </c>
    </row>
    <row r="49" spans="2:51" s="12" customFormat="1">
      <c r="B49" s="12" t="s">
        <v>40</v>
      </c>
      <c r="C49" s="27"/>
      <c r="D49" s="27"/>
      <c r="E49" s="27"/>
      <c r="F49" s="27"/>
      <c r="G49" s="27">
        <f t="shared" ref="G49" si="115">+G24/C24-1</f>
        <v>9.203615588521008E-2</v>
      </c>
      <c r="H49" s="27">
        <f t="shared" ref="H49" si="116">+H24/D24-1</f>
        <v>4.5442488146158588E-2</v>
      </c>
      <c r="I49" s="27">
        <f t="shared" ref="I49" si="117">+I24/E24-1</f>
        <v>8.1248118156030502E-2</v>
      </c>
      <c r="J49" s="27">
        <f t="shared" ref="J49" si="118">+J24/F24-1</f>
        <v>7.0340757662288089E-2</v>
      </c>
      <c r="K49" s="27">
        <f t="shared" ref="K49" si="119">+K24/G24-1</f>
        <v>7.0016735266180907E-2</v>
      </c>
      <c r="L49" s="27">
        <f t="shared" ref="L49" si="120">+L24/H24-1</f>
        <v>-4.9192026514851106E-2</v>
      </c>
      <c r="M49" s="27">
        <f>+M24/I24-1</f>
        <v>-0.38119595485856661</v>
      </c>
      <c r="N49" s="27">
        <f t="shared" ref="N49" si="121">+N24/J24-1</f>
        <v>-8.0613606047131969E-2</v>
      </c>
      <c r="O49" s="27">
        <f t="shared" ref="O49:P49" si="122">+O24/K24-1</f>
        <v>-4.8991841738174613E-2</v>
      </c>
      <c r="P49" s="27">
        <f t="shared" si="122"/>
        <v>0.11213036009139876</v>
      </c>
      <c r="Q49" s="27">
        <f>+Q24/M24-1</f>
        <v>0.77553823926482068</v>
      </c>
      <c r="R49" s="27">
        <f>+R24/N24-1</f>
        <v>0.31332720736405983</v>
      </c>
      <c r="S49" s="27">
        <f t="shared" ref="S49:V49" si="123">+S24/O24-1</f>
        <v>0.19275787477405393</v>
      </c>
      <c r="T49" s="27">
        <f t="shared" si="123"/>
        <v>0.14511097780443905</v>
      </c>
      <c r="U49" s="27">
        <f t="shared" si="123"/>
        <v>8.7187354098579473E-2</v>
      </c>
      <c r="V49" s="12">
        <f t="shared" si="123"/>
        <v>3.2835381197294566E-2</v>
      </c>
      <c r="AD49" s="12">
        <f t="shared" ref="AD49:AG49" si="124">+AD24/AC24-1</f>
        <v>0.10634433771894414</v>
      </c>
      <c r="AE49" s="12">
        <f t="shared" si="124"/>
        <v>0.16506158878391042</v>
      </c>
      <c r="AF49" s="12">
        <f t="shared" si="124"/>
        <v>0.1123641240534996</v>
      </c>
      <c r="AG49" s="12">
        <f t="shared" si="124"/>
        <v>5.0239492585347101E-2</v>
      </c>
      <c r="AH49" s="12">
        <f>+AH24/AG24-1</f>
        <v>0.10419979630853904</v>
      </c>
      <c r="AI49" s="12">
        <f>+AI24/AH24-1</f>
        <v>7.2376059386314306E-2</v>
      </c>
      <c r="AJ49" s="12">
        <f>+AJ24/AI24-1</f>
        <v>-0.11281621813298326</v>
      </c>
      <c r="AK49" s="12">
        <f>+AK24/AJ24-1</f>
        <v>0.23567480227910553</v>
      </c>
      <c r="AL49" s="12">
        <f t="shared" ref="AL49:AV49" si="125">+AL24/AK24-1</f>
        <v>0.10976029400631759</v>
      </c>
      <c r="AM49" s="12">
        <f t="shared" ref="AM49:AT49" si="126">+AM24/AL24-1</f>
        <v>8.1199999999999939E-2</v>
      </c>
      <c r="AN49" s="12">
        <f t="shared" si="126"/>
        <v>7.7735849056604023E-2</v>
      </c>
      <c r="AO49" s="12">
        <f t="shared" si="126"/>
        <v>7.4642857142857455E-2</v>
      </c>
      <c r="AP49" s="12">
        <f t="shared" si="126"/>
        <v>7.1864406779660994E-2</v>
      </c>
      <c r="AQ49" s="12">
        <f t="shared" si="126"/>
        <v>6.9354838709677402E-2</v>
      </c>
      <c r="AR49" s="12">
        <f t="shared" si="126"/>
        <v>6.7076923076923256E-2</v>
      </c>
      <c r="AS49" s="12">
        <f t="shared" si="126"/>
        <v>6.5000000000000169E-2</v>
      </c>
      <c r="AT49" s="12">
        <f t="shared" si="126"/>
        <v>6.3098591549295868E-2</v>
      </c>
      <c r="AU49" s="12">
        <f t="shared" si="125"/>
        <v>6.1351351351351502E-2</v>
      </c>
      <c r="AV49" s="12">
        <f t="shared" si="125"/>
        <v>5.9740259740259871E-2</v>
      </c>
      <c r="AX49" s="33" t="s">
        <v>121</v>
      </c>
      <c r="AY49" s="34">
        <v>0.02</v>
      </c>
    </row>
    <row r="50" spans="2:51">
      <c r="B50" s="4" t="s">
        <v>55</v>
      </c>
      <c r="G50" s="23">
        <f t="shared" ref="G50:V50" si="127">+G34/G24</f>
        <v>0.15313522396610738</v>
      </c>
      <c r="H50" s="23">
        <f t="shared" si="127"/>
        <v>0.136015477568626</v>
      </c>
      <c r="I50" s="23">
        <f t="shared" si="127"/>
        <v>0.16434119888612064</v>
      </c>
      <c r="J50" s="23">
        <f t="shared" si="127"/>
        <v>0.16056024899955532</v>
      </c>
      <c r="K50" s="23">
        <f t="shared" si="127"/>
        <v>0.17187301855687531</v>
      </c>
      <c r="L50" s="23">
        <f t="shared" si="127"/>
        <v>8.1291592307820446E-2</v>
      </c>
      <c r="M50" s="23">
        <f t="shared" si="127"/>
        <v>-0.16671798394164045</v>
      </c>
      <c r="N50" s="23">
        <f t="shared" si="127"/>
        <v>9.0003385404072364E-2</v>
      </c>
      <c r="O50" s="23">
        <f t="shared" si="127"/>
        <v>0.13534536403235845</v>
      </c>
      <c r="P50" s="23">
        <f t="shared" si="127"/>
        <v>0.14811037792441512</v>
      </c>
      <c r="Q50" s="23">
        <f t="shared" si="127"/>
        <v>0.19858600680317492</v>
      </c>
      <c r="R50" s="23">
        <f t="shared" si="127"/>
        <v>0.18193869910515911</v>
      </c>
      <c r="S50" s="23">
        <f t="shared" si="127"/>
        <v>0.14630328927755143</v>
      </c>
      <c r="T50" s="23">
        <f t="shared" si="127"/>
        <v>0.12427314159987431</v>
      </c>
      <c r="U50" s="23">
        <f t="shared" si="127"/>
        <v>0.15895510484533926</v>
      </c>
      <c r="V50" s="8">
        <f t="shared" si="127"/>
        <v>0.14208124361198912</v>
      </c>
      <c r="AE50" s="8">
        <f t="shared" ref="AE50:AU50" si="128">+AE34/AE24</f>
        <v>0.18791715154962507</v>
      </c>
      <c r="AF50" s="8">
        <f t="shared" si="128"/>
        <v>0.19571775059931776</v>
      </c>
      <c r="AG50" s="8">
        <f t="shared" si="128"/>
        <v>0.18469365876319954</v>
      </c>
      <c r="AH50" s="8">
        <f t="shared" si="128"/>
        <v>0.1570946014280222</v>
      </c>
      <c r="AI50" s="8">
        <f t="shared" si="128"/>
        <v>0.15383686803527913</v>
      </c>
      <c r="AJ50" s="8">
        <f t="shared" si="128"/>
        <v>6.6400204098988003E-2</v>
      </c>
      <c r="AK50" s="8">
        <f t="shared" si="128"/>
        <v>0.16764966999993119</v>
      </c>
      <c r="AL50" s="8">
        <f t="shared" si="128"/>
        <v>0.14318316418761995</v>
      </c>
      <c r="AM50" s="8">
        <f t="shared" si="128"/>
        <v>0.18950521390498665</v>
      </c>
      <c r="AN50" s="8">
        <f t="shared" si="128"/>
        <v>0.18950521390498681</v>
      </c>
      <c r="AO50" s="8">
        <f t="shared" si="128"/>
        <v>0.18950521390498687</v>
      </c>
      <c r="AP50" s="8">
        <f t="shared" si="128"/>
        <v>0.18950521390498679</v>
      </c>
      <c r="AQ50" s="8">
        <f t="shared" si="128"/>
        <v>0.18950521390498687</v>
      </c>
      <c r="AR50" s="8">
        <f t="shared" si="128"/>
        <v>0.18950521390498684</v>
      </c>
      <c r="AS50" s="8">
        <f t="shared" si="128"/>
        <v>0.18950521390498673</v>
      </c>
      <c r="AT50" s="8">
        <f t="shared" si="128"/>
        <v>0.18950521390498687</v>
      </c>
      <c r="AU50" s="8">
        <f t="shared" si="128"/>
        <v>0.18950521390498692</v>
      </c>
      <c r="AV50" s="8">
        <f t="shared" ref="AV50" si="129">+AV34/AV24</f>
        <v>0.18950521390498698</v>
      </c>
      <c r="AX50" s="33" t="s">
        <v>45</v>
      </c>
      <c r="AY50" s="32">
        <v>0.08</v>
      </c>
    </row>
    <row r="51" spans="2:51">
      <c r="O51" s="23"/>
      <c r="AX51" s="31" t="s">
        <v>46</v>
      </c>
      <c r="AY51" s="35">
        <f>NPV(AY50,AL44:IL44)</f>
        <v>111624.14377226394</v>
      </c>
    </row>
    <row r="52" spans="2:51">
      <c r="AX52" s="31" t="s">
        <v>64</v>
      </c>
      <c r="AY52" s="35">
        <f>+V57</f>
        <v>-11581.9</v>
      </c>
    </row>
    <row r="53" spans="2:51">
      <c r="AX53" s="31" t="s">
        <v>65</v>
      </c>
      <c r="AY53" s="35">
        <f>+AY51+AY52</f>
        <v>100042.24377226394</v>
      </c>
    </row>
    <row r="54" spans="2:51">
      <c r="AX54" s="31" t="s">
        <v>52</v>
      </c>
      <c r="AY54" s="35">
        <f>+Main!I8</f>
        <v>1158.5</v>
      </c>
    </row>
    <row r="55" spans="2:51">
      <c r="AX55" s="31" t="s">
        <v>51</v>
      </c>
      <c r="AY55" s="35">
        <f>+AY53/AY54</f>
        <v>86.354979518570516</v>
      </c>
    </row>
    <row r="56" spans="2:51">
      <c r="AX56" s="31" t="s">
        <v>53</v>
      </c>
      <c r="AY56" s="35">
        <f>+Main!I7</f>
        <v>92.37</v>
      </c>
    </row>
    <row r="57" spans="2:51" s="6" customFormat="1">
      <c r="B57" s="6" t="s">
        <v>64</v>
      </c>
      <c r="C57" s="22"/>
      <c r="D57" s="22"/>
      <c r="E57" s="22"/>
      <c r="F57" s="22"/>
      <c r="G57" s="22"/>
      <c r="H57" s="22"/>
      <c r="I57" s="22"/>
      <c r="J57" s="22">
        <f>+SUM(J58:J59,J64)-SUM(J80:J81,J83)</f>
        <v>-8189.9</v>
      </c>
      <c r="K57" s="22">
        <f>+SUM(K58:K59,K64)-SUM(K80:K81,K83)</f>
        <v>-8341.1</v>
      </c>
      <c r="L57" s="22">
        <f>+SUM(L58:L59,L64)-SUM(L80:L81,L83)</f>
        <v>-11191.2</v>
      </c>
      <c r="M57" s="22">
        <f>+SUM(M58:M59,M64)-SUM(M80:M81,M83)</f>
        <v>-12412.5</v>
      </c>
      <c r="N57" s="22">
        <f>+SUM(N58:N59,N64)-SUM(N80:N81,N83)</f>
        <v>-11510.400000000001</v>
      </c>
      <c r="O57" s="22">
        <f t="shared" ref="O57:U57" si="130">+SUM(O58:O59,O64)-SUM(O80:O81,O83)</f>
        <v>-10461.6</v>
      </c>
      <c r="P57" s="22">
        <f t="shared" si="130"/>
        <v>-10360.099999999999</v>
      </c>
      <c r="Q57" s="22">
        <f t="shared" si="130"/>
        <v>-9425.5</v>
      </c>
      <c r="R57" s="22">
        <f t="shared" si="130"/>
        <v>-9312.2999999999993</v>
      </c>
      <c r="S57" s="22">
        <f t="shared" si="130"/>
        <v>-10428.799999999999</v>
      </c>
      <c r="T57" s="22">
        <f t="shared" si="130"/>
        <v>-11731.9</v>
      </c>
      <c r="U57" s="22">
        <f t="shared" si="130"/>
        <v>-1582.9999999999995</v>
      </c>
      <c r="V57" s="22">
        <f>+SUM(V58:V59,V64)-SUM(V80:V81,V83)</f>
        <v>-11581.9</v>
      </c>
      <c r="AK57" s="6">
        <f>+T57</f>
        <v>-11731.9</v>
      </c>
      <c r="AL57" s="6">
        <f>+AK57+AL44</f>
        <v>-8450.1000000000022</v>
      </c>
      <c r="AM57" s="6">
        <f t="shared" ref="AM57:AU57" si="131">+AL57+AM44</f>
        <v>-3526.9839531962116</v>
      </c>
      <c r="AN57" s="6">
        <f t="shared" si="131"/>
        <v>1812.3679862362023</v>
      </c>
      <c r="AO57" s="6">
        <f t="shared" si="131"/>
        <v>7581.8578708951809</v>
      </c>
      <c r="AP57" s="6">
        <f t="shared" si="131"/>
        <v>13795.800685226182</v>
      </c>
      <c r="AQ57" s="6">
        <f t="shared" si="131"/>
        <v>20468.934601652043</v>
      </c>
      <c r="AR57" s="6">
        <f t="shared" si="131"/>
        <v>27616.431502784937</v>
      </c>
      <c r="AS57" s="6">
        <f t="shared" si="131"/>
        <v>35253.907775631065</v>
      </c>
      <c r="AT57" s="6">
        <f t="shared" si="131"/>
        <v>43397.435383847471</v>
      </c>
      <c r="AU57" s="6">
        <f t="shared" si="131"/>
        <v>52063.553224262316</v>
      </c>
      <c r="AX57" s="36" t="s">
        <v>54</v>
      </c>
      <c r="AY57" s="37">
        <f>+AY55/AY56-1</f>
        <v>-6.5118766714620469E-2</v>
      </c>
    </row>
    <row r="58" spans="2:51">
      <c r="B58" s="4" t="s">
        <v>15</v>
      </c>
      <c r="J58" s="14">
        <v>2686.6</v>
      </c>
      <c r="K58" s="14">
        <v>3040.5</v>
      </c>
      <c r="L58" s="14">
        <v>2572.3000000000002</v>
      </c>
      <c r="M58" s="14">
        <v>3965.9</v>
      </c>
      <c r="N58" s="14">
        <v>4350.8999999999996</v>
      </c>
      <c r="O58" s="14">
        <v>5028.1000000000004</v>
      </c>
      <c r="P58" s="14">
        <v>3880.7</v>
      </c>
      <c r="Q58" s="14">
        <v>4753.1000000000004</v>
      </c>
      <c r="R58" s="14">
        <v>6455.7</v>
      </c>
      <c r="S58" s="14">
        <v>3969.4</v>
      </c>
      <c r="T58" s="14">
        <v>3913.4</v>
      </c>
      <c r="U58" s="14">
        <v>3177.5</v>
      </c>
      <c r="V58" s="14">
        <v>2818.4</v>
      </c>
      <c r="AK58" s="4">
        <f>+SUM(S58:S59)+S64+S65</f>
        <v>4608.3</v>
      </c>
      <c r="AL58" s="4">
        <f>+AK58</f>
        <v>4608.3</v>
      </c>
      <c r="AM58" s="4">
        <f>+AL58</f>
        <v>4608.3</v>
      </c>
      <c r="AN58" s="4">
        <f>+AM58</f>
        <v>4608.3</v>
      </c>
      <c r="AO58" s="4">
        <f t="shared" ref="AO58:AU58" si="132">+AN58</f>
        <v>4608.3</v>
      </c>
      <c r="AP58" s="4">
        <f t="shared" si="132"/>
        <v>4608.3</v>
      </c>
      <c r="AQ58" s="4">
        <f t="shared" si="132"/>
        <v>4608.3</v>
      </c>
      <c r="AR58" s="4">
        <f t="shared" si="132"/>
        <v>4608.3</v>
      </c>
      <c r="AS58" s="4">
        <f t="shared" si="132"/>
        <v>4608.3</v>
      </c>
      <c r="AT58" s="4">
        <f t="shared" si="132"/>
        <v>4608.3</v>
      </c>
      <c r="AU58" s="4">
        <f t="shared" si="132"/>
        <v>4608.3</v>
      </c>
    </row>
    <row r="59" spans="2:51">
      <c r="B59" s="4" t="s">
        <v>66</v>
      </c>
      <c r="J59" s="14">
        <v>70.5</v>
      </c>
      <c r="K59" s="14">
        <v>68.400000000000006</v>
      </c>
      <c r="L59" s="14">
        <v>52.9</v>
      </c>
      <c r="M59" s="14">
        <v>229.9</v>
      </c>
      <c r="N59" s="14">
        <v>281.2</v>
      </c>
      <c r="O59" s="14">
        <v>235.5</v>
      </c>
      <c r="P59" s="14">
        <v>123</v>
      </c>
      <c r="Q59" s="14">
        <v>153.6</v>
      </c>
      <c r="R59" s="14">
        <v>162.19999999999999</v>
      </c>
      <c r="S59" s="14">
        <v>87.4</v>
      </c>
      <c r="T59" s="14">
        <v>82.1</v>
      </c>
      <c r="U59" s="14">
        <v>76.900000000000006</v>
      </c>
      <c r="V59" s="14">
        <v>364.5</v>
      </c>
    </row>
    <row r="60" spans="2:51">
      <c r="B60" s="4" t="s">
        <v>67</v>
      </c>
      <c r="J60" s="14">
        <v>879.2</v>
      </c>
      <c r="K60" s="14">
        <v>908.1</v>
      </c>
      <c r="L60" s="14">
        <v>941</v>
      </c>
      <c r="M60" s="14">
        <v>881.1</v>
      </c>
      <c r="N60" s="14">
        <v>883.4</v>
      </c>
      <c r="O60" s="14">
        <v>888</v>
      </c>
      <c r="P60" s="14">
        <v>880.2</v>
      </c>
      <c r="Q60" s="14">
        <v>911.2</v>
      </c>
      <c r="R60" s="14">
        <v>940</v>
      </c>
      <c r="S60" s="14">
        <v>1031.0999999999999</v>
      </c>
      <c r="T60" s="14">
        <v>1001.9</v>
      </c>
      <c r="U60" s="14">
        <v>1146.0999999999999</v>
      </c>
      <c r="V60" s="14">
        <v>1175.5</v>
      </c>
    </row>
    <row r="61" spans="2:51">
      <c r="B61" s="4" t="s">
        <v>68</v>
      </c>
      <c r="J61" s="14">
        <v>1529.4</v>
      </c>
      <c r="K61" s="14">
        <v>1408.7</v>
      </c>
      <c r="L61" s="14">
        <v>1492.2</v>
      </c>
      <c r="M61" s="14">
        <v>1583.8</v>
      </c>
      <c r="N61" s="14">
        <v>1551.4</v>
      </c>
      <c r="O61" s="14">
        <v>1471.5</v>
      </c>
      <c r="P61" s="14">
        <v>1503.6</v>
      </c>
      <c r="Q61" s="14">
        <v>1548.2</v>
      </c>
      <c r="R61" s="14">
        <v>1603.9</v>
      </c>
      <c r="S61" s="14">
        <v>1637.1</v>
      </c>
      <c r="T61" s="14">
        <v>1920</v>
      </c>
      <c r="U61" s="14">
        <v>2132.9</v>
      </c>
      <c r="V61" s="14">
        <v>2176.6</v>
      </c>
    </row>
    <row r="62" spans="2:51">
      <c r="B62" s="4" t="s">
        <v>69</v>
      </c>
      <c r="J62" s="14">
        <v>488.2</v>
      </c>
      <c r="K62" s="14">
        <v>474</v>
      </c>
      <c r="L62" s="14">
        <v>691.5</v>
      </c>
      <c r="M62" s="14">
        <v>920.3</v>
      </c>
      <c r="N62" s="14">
        <v>739.5</v>
      </c>
      <c r="O62" s="14">
        <v>734.4</v>
      </c>
      <c r="P62" s="14">
        <v>592</v>
      </c>
      <c r="Q62" s="14">
        <v>565.6</v>
      </c>
      <c r="R62" s="14">
        <v>594.6</v>
      </c>
      <c r="S62" s="14">
        <v>530.1</v>
      </c>
      <c r="T62" s="14">
        <v>623.70000000000005</v>
      </c>
      <c r="U62" s="14">
        <v>534.1</v>
      </c>
      <c r="V62" s="14">
        <v>483.7</v>
      </c>
    </row>
    <row r="63" spans="2:51" s="6" customFormat="1">
      <c r="B63" s="6" t="s">
        <v>62</v>
      </c>
      <c r="C63" s="22"/>
      <c r="D63" s="22"/>
      <c r="E63" s="22"/>
      <c r="F63" s="22"/>
      <c r="G63" s="22"/>
      <c r="H63" s="22"/>
      <c r="I63" s="22"/>
      <c r="J63" s="22">
        <f t="shared" ref="J63:K63" si="133">+SUM(J58:J62)</f>
        <v>5653.9000000000005</v>
      </c>
      <c r="K63" s="22">
        <f t="shared" si="133"/>
        <v>5899.7</v>
      </c>
      <c r="L63" s="22">
        <f t="shared" ref="L63:M63" si="134">+SUM(L58:L62)</f>
        <v>5749.9000000000005</v>
      </c>
      <c r="M63" s="22">
        <f t="shared" si="134"/>
        <v>7581.0000000000009</v>
      </c>
      <c r="N63" s="22">
        <f t="shared" ref="N63:T63" si="135">+SUM(N58:N62)</f>
        <v>7806.4</v>
      </c>
      <c r="O63" s="22">
        <f t="shared" si="135"/>
        <v>8357.5</v>
      </c>
      <c r="P63" s="22">
        <f t="shared" si="135"/>
        <v>6979.5</v>
      </c>
      <c r="Q63" s="22">
        <f t="shared" si="135"/>
        <v>7931.7000000000007</v>
      </c>
      <c r="R63" s="22">
        <f t="shared" si="135"/>
        <v>9756.4</v>
      </c>
      <c r="S63" s="22">
        <f t="shared" si="135"/>
        <v>7255.1</v>
      </c>
      <c r="T63" s="22">
        <f t="shared" si="135"/>
        <v>7541.0999999999995</v>
      </c>
      <c r="U63" s="22">
        <f t="shared" ref="U63:V63" si="136">+SUM(U58:U62)</f>
        <v>7067.5</v>
      </c>
      <c r="V63" s="22">
        <f t="shared" si="136"/>
        <v>7018.7</v>
      </c>
    </row>
    <row r="64" spans="2:51">
      <c r="B64" s="4" t="s">
        <v>70</v>
      </c>
      <c r="J64" s="14">
        <v>220</v>
      </c>
      <c r="K64" s="14">
        <v>199.8</v>
      </c>
      <c r="L64" s="14">
        <v>198.8</v>
      </c>
      <c r="M64" s="14">
        <v>223.4</v>
      </c>
      <c r="N64" s="14">
        <v>206.1</v>
      </c>
      <c r="O64" s="14">
        <v>190.9</v>
      </c>
      <c r="P64" s="14">
        <v>284.8</v>
      </c>
      <c r="Q64" s="14">
        <v>285.89999999999998</v>
      </c>
      <c r="R64" s="14">
        <v>281.7</v>
      </c>
      <c r="S64" s="14">
        <v>299.60000000000002</v>
      </c>
      <c r="T64" s="14">
        <v>285.60000000000002</v>
      </c>
      <c r="U64" s="14">
        <v>292.5</v>
      </c>
      <c r="V64" s="14">
        <v>279.10000000000002</v>
      </c>
    </row>
    <row r="65" spans="2:47">
      <c r="B65" s="4" t="s">
        <v>71</v>
      </c>
      <c r="J65" s="14">
        <v>396</v>
      </c>
      <c r="K65" s="14">
        <v>411.3</v>
      </c>
      <c r="L65" s="14">
        <v>420.9</v>
      </c>
      <c r="M65" s="14">
        <v>426.1</v>
      </c>
      <c r="N65" s="14">
        <v>478.7</v>
      </c>
      <c r="O65" s="14">
        <v>496</v>
      </c>
      <c r="P65" s="14">
        <v>499.4</v>
      </c>
      <c r="Q65" s="14">
        <v>535.29999999999995</v>
      </c>
      <c r="R65" s="14">
        <v>268.5</v>
      </c>
      <c r="S65" s="14">
        <v>251.9</v>
      </c>
      <c r="T65" s="14">
        <v>270.8</v>
      </c>
      <c r="U65" s="14">
        <v>302.7</v>
      </c>
      <c r="V65" s="14">
        <v>311.2</v>
      </c>
    </row>
    <row r="66" spans="2:47">
      <c r="B66" s="4" t="s">
        <v>72</v>
      </c>
      <c r="J66" s="14">
        <v>6431.7</v>
      </c>
      <c r="K66" s="14">
        <v>6390.9</v>
      </c>
      <c r="L66" s="14">
        <v>6387</v>
      </c>
      <c r="M66" s="14">
        <v>6295.6</v>
      </c>
      <c r="N66" s="14">
        <v>6241.4</v>
      </c>
      <c r="O66" s="14">
        <v>6177.9</v>
      </c>
      <c r="P66" s="14">
        <v>6123.1</v>
      </c>
      <c r="Q66" s="14">
        <v>6151.4</v>
      </c>
      <c r="R66" s="14">
        <v>6369.5</v>
      </c>
      <c r="S66" s="14">
        <v>6398</v>
      </c>
      <c r="T66" s="14">
        <v>6460.8</v>
      </c>
      <c r="U66" s="14">
        <v>6408</v>
      </c>
      <c r="V66" s="14">
        <v>6560.5</v>
      </c>
    </row>
    <row r="67" spans="2:47">
      <c r="B67" s="4" t="s">
        <v>73</v>
      </c>
      <c r="J67" s="14">
        <v>0</v>
      </c>
      <c r="K67" s="14">
        <v>8358.5</v>
      </c>
      <c r="L67" s="14">
        <v>8260.7999999999993</v>
      </c>
      <c r="M67" s="14">
        <v>8214</v>
      </c>
      <c r="N67" s="14">
        <v>8134.1</v>
      </c>
      <c r="O67" s="14">
        <v>8199.4</v>
      </c>
      <c r="P67" s="14">
        <v>8036.8</v>
      </c>
      <c r="Q67" s="14">
        <v>8065.2</v>
      </c>
      <c r="R67" s="14">
        <v>8236</v>
      </c>
      <c r="S67" s="14">
        <v>8203.4</v>
      </c>
      <c r="T67" s="14">
        <v>8170.2</v>
      </c>
      <c r="U67" s="14">
        <v>8037.1</v>
      </c>
      <c r="V67" s="14">
        <v>8015.6</v>
      </c>
    </row>
    <row r="68" spans="2:47">
      <c r="B68" s="4" t="s">
        <v>74</v>
      </c>
      <c r="J68" s="14">
        <v>1765.8</v>
      </c>
      <c r="K68" s="14">
        <v>1731.4</v>
      </c>
      <c r="L68" s="14">
        <v>1709.7</v>
      </c>
      <c r="M68" s="14">
        <v>1740</v>
      </c>
      <c r="N68" s="14">
        <v>1789.9</v>
      </c>
      <c r="O68" s="14">
        <v>1792.4</v>
      </c>
      <c r="P68" s="14">
        <v>1770</v>
      </c>
      <c r="Q68" s="14">
        <v>1851</v>
      </c>
      <c r="R68" s="14">
        <v>1874.5</v>
      </c>
      <c r="S68" s="14">
        <v>1859.7</v>
      </c>
      <c r="T68" s="14">
        <v>1809.4</v>
      </c>
      <c r="U68" s="14">
        <v>1752.9</v>
      </c>
      <c r="V68" s="14">
        <v>1799.7</v>
      </c>
    </row>
    <row r="69" spans="2:47">
      <c r="B69" s="4" t="s">
        <v>75</v>
      </c>
      <c r="J69" s="14">
        <v>479.6</v>
      </c>
      <c r="K69" s="14">
        <v>484.7</v>
      </c>
      <c r="L69" s="14">
        <v>580.1</v>
      </c>
      <c r="M69" s="14">
        <v>550.79999999999995</v>
      </c>
      <c r="N69" s="14">
        <v>568.6</v>
      </c>
      <c r="O69" s="14">
        <v>541.1</v>
      </c>
      <c r="P69" s="14">
        <v>574.9</v>
      </c>
      <c r="Q69" s="14">
        <v>586.29999999999995</v>
      </c>
      <c r="R69" s="14">
        <v>578.5</v>
      </c>
      <c r="S69" s="14">
        <v>588</v>
      </c>
      <c r="T69" s="14">
        <v>582.79999999999995</v>
      </c>
      <c r="U69" s="14">
        <v>640.70000000000005</v>
      </c>
      <c r="V69" s="14">
        <v>554.20000000000005</v>
      </c>
    </row>
    <row r="70" spans="2:47">
      <c r="B70" s="4" t="s">
        <v>76</v>
      </c>
      <c r="J70" s="14">
        <v>781.8</v>
      </c>
      <c r="K70" s="14">
        <v>739.1</v>
      </c>
      <c r="L70" s="14">
        <v>678.7</v>
      </c>
      <c r="M70" s="14">
        <v>599.6</v>
      </c>
      <c r="N70" s="14">
        <v>552.1</v>
      </c>
      <c r="O70" s="14">
        <v>506.4</v>
      </c>
      <c r="P70" s="14">
        <v>444.3</v>
      </c>
      <c r="Q70" s="14">
        <v>398</v>
      </c>
      <c r="R70" s="14">
        <v>349.9</v>
      </c>
      <c r="S70" s="14">
        <v>302.5</v>
      </c>
      <c r="T70" s="14">
        <v>254.7</v>
      </c>
      <c r="U70" s="14">
        <v>203.4</v>
      </c>
      <c r="V70" s="14">
        <v>155.9</v>
      </c>
    </row>
    <row r="71" spans="2:47">
      <c r="B71" s="4" t="s">
        <v>77</v>
      </c>
      <c r="J71" s="14">
        <v>3490.8</v>
      </c>
      <c r="K71" s="14">
        <v>3515.9</v>
      </c>
      <c r="L71" s="14">
        <v>3493</v>
      </c>
      <c r="M71" s="14">
        <v>3510.1</v>
      </c>
      <c r="N71" s="14">
        <v>3597.2</v>
      </c>
      <c r="O71" s="14">
        <v>3706.8</v>
      </c>
      <c r="P71" s="14">
        <v>3658.9</v>
      </c>
      <c r="Q71" s="14">
        <v>3672</v>
      </c>
      <c r="R71" s="14">
        <v>3677.3</v>
      </c>
      <c r="S71" s="14">
        <v>3675.7</v>
      </c>
      <c r="T71" s="14">
        <v>3646.1</v>
      </c>
      <c r="U71" s="14">
        <v>3451.2</v>
      </c>
      <c r="V71" s="14">
        <v>3283.5</v>
      </c>
    </row>
    <row r="72" spans="2:47" s="6" customFormat="1">
      <c r="B72" s="6" t="s">
        <v>63</v>
      </c>
      <c r="C72" s="22"/>
      <c r="D72" s="22"/>
      <c r="E72" s="22"/>
      <c r="F72" s="22"/>
      <c r="G72" s="22"/>
      <c r="H72" s="22"/>
      <c r="I72" s="22"/>
      <c r="J72" s="22">
        <f t="shared" ref="J72:K72" si="137">+SUM(J63:J71)</f>
        <v>19219.599999999999</v>
      </c>
      <c r="K72" s="22">
        <f t="shared" si="137"/>
        <v>27731.300000000003</v>
      </c>
      <c r="L72" s="22">
        <f t="shared" ref="L72:M72" si="138">+SUM(L63:L71)</f>
        <v>27478.9</v>
      </c>
      <c r="M72" s="22">
        <f t="shared" si="138"/>
        <v>29140.599999999995</v>
      </c>
      <c r="N72" s="22">
        <f t="shared" ref="N72:T72" si="139">+SUM(N63:N71)</f>
        <v>29374.5</v>
      </c>
      <c r="O72" s="22">
        <f t="shared" si="139"/>
        <v>29968.399999999998</v>
      </c>
      <c r="P72" s="22">
        <f t="shared" si="139"/>
        <v>28371.7</v>
      </c>
      <c r="Q72" s="22">
        <f t="shared" si="139"/>
        <v>29476.799999999999</v>
      </c>
      <c r="R72" s="22">
        <f t="shared" si="139"/>
        <v>31392.3</v>
      </c>
      <c r="S72" s="22">
        <f t="shared" si="139"/>
        <v>28833.9</v>
      </c>
      <c r="T72" s="22">
        <f t="shared" si="139"/>
        <v>29021.5</v>
      </c>
      <c r="U72" s="22">
        <f t="shared" ref="U72:V72" si="140">+SUM(U63:U71)</f>
        <v>28156.000000000007</v>
      </c>
      <c r="V72" s="22">
        <f t="shared" si="140"/>
        <v>27978.400000000001</v>
      </c>
    </row>
    <row r="74" spans="2:47">
      <c r="B74" s="4" t="s">
        <v>78</v>
      </c>
      <c r="J74" s="14">
        <v>1189.7</v>
      </c>
      <c r="K74" s="14">
        <v>1085.5999999999999</v>
      </c>
      <c r="L74" s="14">
        <v>997.7</v>
      </c>
      <c r="M74" s="14">
        <v>860.8</v>
      </c>
      <c r="N74" s="14">
        <v>997.9</v>
      </c>
      <c r="O74" s="14">
        <v>1050.5999999999999</v>
      </c>
      <c r="P74" s="14">
        <v>1033.5999999999999</v>
      </c>
      <c r="Q74" s="14">
        <v>1127</v>
      </c>
      <c r="R74" s="14">
        <v>1211.5999999999999</v>
      </c>
      <c r="S74" s="14">
        <v>1289.4000000000001</v>
      </c>
      <c r="T74" s="14">
        <v>1329.5</v>
      </c>
      <c r="U74" s="14">
        <v>1489.8</v>
      </c>
      <c r="V74" s="14">
        <v>1441.4</v>
      </c>
    </row>
    <row r="75" spans="2:47">
      <c r="B75" s="4" t="s">
        <v>79</v>
      </c>
      <c r="J75" s="14">
        <v>1753.7</v>
      </c>
      <c r="K75" s="14">
        <v>1637.8</v>
      </c>
      <c r="L75" s="14">
        <v>1539</v>
      </c>
      <c r="M75" s="14">
        <v>1511.7</v>
      </c>
      <c r="N75" s="14">
        <v>1160.7</v>
      </c>
      <c r="O75" s="14">
        <v>1616.9</v>
      </c>
      <c r="P75" s="14">
        <v>1771.6</v>
      </c>
      <c r="Q75" s="14">
        <v>1791.4</v>
      </c>
      <c r="R75" s="14">
        <v>1973.2</v>
      </c>
      <c r="S75" s="14">
        <v>2444.3000000000002</v>
      </c>
      <c r="T75" s="14">
        <v>2092.4</v>
      </c>
      <c r="U75" s="14">
        <v>2068.9</v>
      </c>
      <c r="V75" s="14">
        <v>2137.1</v>
      </c>
    </row>
    <row r="76" spans="2:47">
      <c r="B76" s="4" t="s">
        <v>80</v>
      </c>
      <c r="J76" s="14">
        <v>664.6</v>
      </c>
      <c r="K76" s="14">
        <v>578.5</v>
      </c>
      <c r="L76" s="14">
        <v>596.1</v>
      </c>
      <c r="M76" s="14">
        <v>652.1</v>
      </c>
      <c r="N76" s="14">
        <v>696</v>
      </c>
      <c r="O76" s="14">
        <v>685.3</v>
      </c>
      <c r="P76" s="14">
        <v>646.1</v>
      </c>
      <c r="Q76" s="14">
        <v>741</v>
      </c>
      <c r="R76" s="14">
        <v>772.3</v>
      </c>
      <c r="S76" s="14">
        <v>664.1</v>
      </c>
      <c r="T76" s="14">
        <v>665.9</v>
      </c>
      <c r="U76" s="14">
        <v>706.8</v>
      </c>
      <c r="V76" s="14">
        <v>761.7</v>
      </c>
    </row>
    <row r="77" spans="2:47">
      <c r="B77" s="4" t="s">
        <v>129</v>
      </c>
      <c r="J77" s="14">
        <v>1291.7</v>
      </c>
      <c r="K77" s="14">
        <v>1414</v>
      </c>
      <c r="L77" s="14">
        <v>86.7</v>
      </c>
      <c r="M77" s="14">
        <v>90.9</v>
      </c>
      <c r="N77" s="14">
        <v>98.2</v>
      </c>
      <c r="O77" s="14">
        <v>149.69999999999999</v>
      </c>
      <c r="P77" s="14">
        <v>117</v>
      </c>
      <c r="Q77" s="14">
        <v>204.8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</row>
    <row r="78" spans="2:47">
      <c r="B78" s="4" t="s">
        <v>81</v>
      </c>
      <c r="J78" s="14">
        <v>0</v>
      </c>
      <c r="K78" s="14">
        <v>1268.9000000000001</v>
      </c>
      <c r="L78" s="14">
        <v>1253.5</v>
      </c>
      <c r="M78" s="14">
        <v>1237.0999999999999</v>
      </c>
      <c r="N78" s="14">
        <v>1248.8</v>
      </c>
      <c r="O78" s="14">
        <v>1267.5999999999999</v>
      </c>
      <c r="P78" s="14">
        <v>1296.4000000000001</v>
      </c>
      <c r="Q78" s="14">
        <v>1308.4000000000001</v>
      </c>
      <c r="R78" s="14">
        <v>348</v>
      </c>
      <c r="S78" s="14">
        <v>1253.3</v>
      </c>
      <c r="T78" s="14">
        <v>1236.3</v>
      </c>
      <c r="U78" s="14">
        <v>1214.8</v>
      </c>
      <c r="V78" s="14">
        <v>1245.7</v>
      </c>
    </row>
    <row r="79" spans="2:47">
      <c r="B79" s="4" t="s">
        <v>82</v>
      </c>
      <c r="J79" s="14">
        <v>1269</v>
      </c>
      <c r="K79" s="14">
        <v>1694.1</v>
      </c>
      <c r="L79" s="14">
        <v>1436.3</v>
      </c>
      <c r="M79" s="14">
        <v>1463.3</v>
      </c>
      <c r="N79" s="14">
        <v>1456.5</v>
      </c>
      <c r="O79" s="14">
        <v>1871.2</v>
      </c>
      <c r="P79" s="14">
        <v>1622.1</v>
      </c>
      <c r="Q79" s="14">
        <v>1628.3</v>
      </c>
      <c r="R79" s="14">
        <v>1251.3</v>
      </c>
      <c r="S79" s="14">
        <v>2070.6999999999998</v>
      </c>
      <c r="T79" s="14">
        <v>1781.6</v>
      </c>
      <c r="U79" s="14">
        <v>1723</v>
      </c>
      <c r="V79" s="14">
        <v>1641.9</v>
      </c>
    </row>
    <row r="80" spans="2:47">
      <c r="B80" s="4" t="s">
        <v>83</v>
      </c>
      <c r="J80" s="14">
        <v>0</v>
      </c>
      <c r="K80" s="14">
        <v>497.9</v>
      </c>
      <c r="L80" s="14">
        <v>1107.0999999999999</v>
      </c>
      <c r="M80" s="14">
        <v>936.5</v>
      </c>
      <c r="N80" s="14">
        <v>438.8</v>
      </c>
      <c r="O80" s="14">
        <v>492.6</v>
      </c>
      <c r="P80" s="14">
        <v>18.3</v>
      </c>
      <c r="Q80" s="14">
        <v>0</v>
      </c>
      <c r="R80" s="14">
        <v>1596.1</v>
      </c>
      <c r="S80" s="14">
        <v>200</v>
      </c>
      <c r="T80" s="14">
        <v>0</v>
      </c>
      <c r="U80" s="14">
        <v>200</v>
      </c>
      <c r="V80" s="14">
        <v>175</v>
      </c>
      <c r="AK80" s="4">
        <f>+S80</f>
        <v>200</v>
      </c>
      <c r="AL80" s="4">
        <f t="shared" ref="AL80:AU80" si="141">AK80-(AK80*$AY$48)</f>
        <v>194</v>
      </c>
      <c r="AM80" s="4">
        <f t="shared" si="141"/>
        <v>188.18</v>
      </c>
      <c r="AN80" s="4">
        <f t="shared" si="141"/>
        <v>182.53460000000001</v>
      </c>
      <c r="AO80" s="4">
        <f t="shared" si="141"/>
        <v>177.05856200000002</v>
      </c>
      <c r="AP80" s="4">
        <f t="shared" si="141"/>
        <v>171.74680514000002</v>
      </c>
      <c r="AQ80" s="4">
        <f t="shared" si="141"/>
        <v>166.59440098580001</v>
      </c>
      <c r="AR80" s="4">
        <f t="shared" si="141"/>
        <v>161.59656895622601</v>
      </c>
      <c r="AS80" s="4">
        <f t="shared" si="141"/>
        <v>156.74867188753922</v>
      </c>
      <c r="AT80" s="4">
        <f t="shared" si="141"/>
        <v>152.04621173091303</v>
      </c>
      <c r="AU80" s="4">
        <f t="shared" si="141"/>
        <v>147.48482537898565</v>
      </c>
    </row>
    <row r="81" spans="2:47">
      <c r="B81" s="4" t="s">
        <v>84</v>
      </c>
      <c r="J81" s="14">
        <v>0</v>
      </c>
      <c r="K81" s="14">
        <v>498.7</v>
      </c>
      <c r="L81" s="14">
        <v>1249.4000000000001</v>
      </c>
      <c r="M81" s="14">
        <v>1249.5999999999999</v>
      </c>
      <c r="N81" s="14">
        <v>1249.9000000000001</v>
      </c>
      <c r="O81" s="14">
        <v>750</v>
      </c>
      <c r="P81" s="14">
        <v>0</v>
      </c>
      <c r="Q81" s="14">
        <v>998.9</v>
      </c>
      <c r="R81" s="14">
        <v>998.9</v>
      </c>
      <c r="S81" s="14">
        <v>998.9</v>
      </c>
      <c r="T81" s="14">
        <v>1998.6</v>
      </c>
      <c r="U81" s="14">
        <v>999.1</v>
      </c>
      <c r="V81" s="14">
        <v>1749</v>
      </c>
    </row>
    <row r="82" spans="2:47" s="6" customFormat="1">
      <c r="B82" s="6" t="s">
        <v>61</v>
      </c>
      <c r="C82" s="22"/>
      <c r="D82" s="22"/>
      <c r="E82" s="22"/>
      <c r="F82" s="22"/>
      <c r="G82" s="22"/>
      <c r="H82" s="22"/>
      <c r="I82" s="22"/>
      <c r="J82" s="22">
        <f t="shared" ref="J82:K82" si="142">+SUM(J74:J81)</f>
        <v>6168.7</v>
      </c>
      <c r="K82" s="22">
        <f t="shared" si="142"/>
        <v>8675.5</v>
      </c>
      <c r="L82" s="22">
        <f t="shared" ref="L82:M82" si="143">+SUM(L74:L81)</f>
        <v>8265.7999999999993</v>
      </c>
      <c r="M82" s="22">
        <f t="shared" si="143"/>
        <v>8002</v>
      </c>
      <c r="N82" s="22">
        <f t="shared" ref="N82:T82" si="144">+SUM(N74:N81)</f>
        <v>7346.7999999999993</v>
      </c>
      <c r="O82" s="22">
        <f t="shared" si="144"/>
        <v>7883.9000000000005</v>
      </c>
      <c r="P82" s="22">
        <f t="shared" si="144"/>
        <v>6505.0999999999995</v>
      </c>
      <c r="Q82" s="22">
        <f t="shared" si="144"/>
        <v>7799.8</v>
      </c>
      <c r="R82" s="22">
        <f t="shared" si="144"/>
        <v>8151.4</v>
      </c>
      <c r="S82" s="22">
        <f t="shared" si="144"/>
        <v>8920.7000000000007</v>
      </c>
      <c r="T82" s="22">
        <f t="shared" si="144"/>
        <v>9104.3000000000011</v>
      </c>
      <c r="U82" s="22">
        <f t="shared" ref="U82:V82" si="145">+SUM(U74:U81)</f>
        <v>8402.4</v>
      </c>
      <c r="V82" s="22">
        <f t="shared" si="145"/>
        <v>9151.7999999999993</v>
      </c>
    </row>
    <row r="83" spans="2:47">
      <c r="B83" s="4" t="s">
        <v>85</v>
      </c>
      <c r="J83" s="14">
        <v>11167</v>
      </c>
      <c r="K83" s="14">
        <v>10653.2</v>
      </c>
      <c r="L83" s="14">
        <v>11658.7</v>
      </c>
      <c r="M83" s="14">
        <v>14645.6</v>
      </c>
      <c r="N83" s="14">
        <v>14659.9</v>
      </c>
      <c r="O83" s="14">
        <v>14673.5</v>
      </c>
      <c r="P83" s="14">
        <v>14630.3</v>
      </c>
      <c r="Q83" s="14">
        <v>13619.2</v>
      </c>
      <c r="R83" s="14">
        <v>13616.9</v>
      </c>
      <c r="S83" s="14">
        <v>13586.3</v>
      </c>
      <c r="T83" s="14">
        <v>14014.4</v>
      </c>
      <c r="U83" s="14">
        <v>3930.8</v>
      </c>
      <c r="V83" s="14">
        <v>13119.9</v>
      </c>
      <c r="AK83" s="4">
        <f>+S83</f>
        <v>13586.3</v>
      </c>
      <c r="AL83" s="4">
        <f t="shared" ref="AL83:AU83" si="146">AK83-(AK83*$AY$48)</f>
        <v>13178.710999999999</v>
      </c>
      <c r="AM83" s="4">
        <f t="shared" si="146"/>
        <v>12783.34967</v>
      </c>
      <c r="AN83" s="4">
        <f t="shared" si="146"/>
        <v>12399.8491799</v>
      </c>
      <c r="AO83" s="4">
        <f t="shared" si="146"/>
        <v>12027.853704503001</v>
      </c>
      <c r="AP83" s="4">
        <f t="shared" si="146"/>
        <v>11667.018093367911</v>
      </c>
      <c r="AQ83" s="4">
        <f t="shared" si="146"/>
        <v>11317.007550566874</v>
      </c>
      <c r="AR83" s="4">
        <f t="shared" si="146"/>
        <v>10977.497324049868</v>
      </c>
      <c r="AS83" s="4">
        <f t="shared" si="146"/>
        <v>10648.172404328372</v>
      </c>
      <c r="AT83" s="4">
        <f t="shared" si="146"/>
        <v>10328.72723219852</v>
      </c>
      <c r="AU83" s="4">
        <f t="shared" si="146"/>
        <v>10018.865415232565</v>
      </c>
    </row>
    <row r="84" spans="2:47">
      <c r="B84" s="4" t="s">
        <v>86</v>
      </c>
      <c r="J84" s="14">
        <v>0</v>
      </c>
      <c r="K84" s="14">
        <v>7711.7</v>
      </c>
      <c r="L84" s="14">
        <v>7650.4</v>
      </c>
      <c r="M84" s="14">
        <v>7653.6</v>
      </c>
      <c r="N84" s="14">
        <v>7661.7</v>
      </c>
      <c r="O84" s="14">
        <v>7754.5</v>
      </c>
      <c r="P84" s="14">
        <v>7577.7</v>
      </c>
      <c r="Q84" s="14">
        <v>7597.8</v>
      </c>
      <c r="R84" s="14">
        <v>7738</v>
      </c>
      <c r="S84" s="14">
        <v>7708</v>
      </c>
      <c r="T84" s="14">
        <v>7668.5</v>
      </c>
      <c r="U84" s="14">
        <v>7554.4</v>
      </c>
      <c r="V84" s="14">
        <v>7515.2</v>
      </c>
    </row>
    <row r="85" spans="2:47">
      <c r="B85" s="4" t="s">
        <v>87</v>
      </c>
      <c r="J85" s="14">
        <v>6744.4</v>
      </c>
      <c r="K85" s="14">
        <v>6748.8</v>
      </c>
      <c r="L85" s="14">
        <v>6685.5</v>
      </c>
      <c r="M85" s="14">
        <v>6642.6</v>
      </c>
      <c r="N85" s="14">
        <v>6598.5</v>
      </c>
      <c r="O85" s="14">
        <v>6597.7</v>
      </c>
      <c r="P85" s="14">
        <v>6532.1</v>
      </c>
      <c r="Q85" s="14">
        <v>6491.4</v>
      </c>
      <c r="R85" s="14">
        <v>6463</v>
      </c>
      <c r="S85" s="14">
        <v>6447.7</v>
      </c>
      <c r="T85" s="14">
        <v>6381.9</v>
      </c>
      <c r="U85" s="14">
        <v>6333.1</v>
      </c>
      <c r="V85" s="14">
        <v>6279.7</v>
      </c>
    </row>
    <row r="86" spans="2:47">
      <c r="B86" s="4" t="s">
        <v>88</v>
      </c>
      <c r="J86" s="14">
        <v>1370.5</v>
      </c>
      <c r="K86" s="14">
        <v>701.2</v>
      </c>
      <c r="L86" s="14">
        <v>751.4</v>
      </c>
      <c r="M86" s="14">
        <v>821.1</v>
      </c>
      <c r="N86" s="14">
        <v>907.3</v>
      </c>
      <c r="O86" s="14">
        <v>962.8</v>
      </c>
      <c r="P86" s="14">
        <v>774.8</v>
      </c>
      <c r="Q86" s="14">
        <v>762.9</v>
      </c>
      <c r="R86" s="14">
        <v>737.8</v>
      </c>
      <c r="S86" s="14">
        <v>621.1</v>
      </c>
      <c r="T86" s="14">
        <v>613.6</v>
      </c>
      <c r="U86" s="14">
        <v>594.4</v>
      </c>
      <c r="V86" s="14">
        <v>610.5</v>
      </c>
    </row>
    <row r="87" spans="2:47" s="6" customFormat="1">
      <c r="B87" s="6" t="s">
        <v>60</v>
      </c>
      <c r="C87" s="22"/>
      <c r="D87" s="22"/>
      <c r="E87" s="22"/>
      <c r="F87" s="22"/>
      <c r="G87" s="22"/>
      <c r="H87" s="22"/>
      <c r="I87" s="22"/>
      <c r="J87" s="22">
        <f t="shared" ref="J87:K87" si="147">+SUM(J82:J86)</f>
        <v>25450.6</v>
      </c>
      <c r="K87" s="22">
        <f t="shared" si="147"/>
        <v>34490.400000000001</v>
      </c>
      <c r="L87" s="22">
        <f t="shared" ref="L87:M87" si="148">+SUM(L82:L86)</f>
        <v>35011.800000000003</v>
      </c>
      <c r="M87" s="22">
        <f t="shared" si="148"/>
        <v>37764.899999999994</v>
      </c>
      <c r="N87" s="22">
        <f t="shared" ref="N87:T87" si="149">+SUM(N82:N86)</f>
        <v>37174.199999999997</v>
      </c>
      <c r="O87" s="22">
        <f t="shared" si="149"/>
        <v>37872.400000000001</v>
      </c>
      <c r="P87" s="22">
        <f t="shared" si="149"/>
        <v>36020</v>
      </c>
      <c r="Q87" s="22">
        <f t="shared" si="149"/>
        <v>36271.1</v>
      </c>
      <c r="R87" s="22">
        <f t="shared" si="149"/>
        <v>36707.100000000006</v>
      </c>
      <c r="S87" s="22">
        <f t="shared" si="149"/>
        <v>37283.799999999996</v>
      </c>
      <c r="T87" s="22">
        <f t="shared" si="149"/>
        <v>37782.699999999997</v>
      </c>
      <c r="U87" s="22">
        <f t="shared" ref="U87:V87" si="150">+SUM(U82:U86)</f>
        <v>26815.1</v>
      </c>
      <c r="V87" s="22">
        <f t="shared" si="150"/>
        <v>36677.1</v>
      </c>
    </row>
    <row r="88" spans="2:47">
      <c r="B88" s="4" t="s">
        <v>59</v>
      </c>
      <c r="J88" s="14">
        <v>-6231</v>
      </c>
      <c r="K88" s="14">
        <v>-6759.1</v>
      </c>
      <c r="L88" s="14">
        <v>-7532.9</v>
      </c>
      <c r="M88" s="14">
        <v>-8624.2999999999993</v>
      </c>
      <c r="N88" s="14">
        <v>-7799.4</v>
      </c>
      <c r="O88" s="14">
        <v>-7904</v>
      </c>
      <c r="P88" s="14">
        <v>-7648.3</v>
      </c>
      <c r="Q88" s="14">
        <v>-6794.3</v>
      </c>
      <c r="R88" s="14">
        <v>-5314.5</v>
      </c>
      <c r="S88" s="14">
        <v>-8450.2999999999993</v>
      </c>
      <c r="T88" s="14">
        <v>-8761.2000000000007</v>
      </c>
      <c r="U88" s="14">
        <v>-8658.9</v>
      </c>
      <c r="V88" s="14">
        <v>-8698.7000000000007</v>
      </c>
    </row>
    <row r="89" spans="2:47" s="6" customFormat="1">
      <c r="B89" s="6" t="s">
        <v>58</v>
      </c>
      <c r="C89" s="22"/>
      <c r="D89" s="22"/>
      <c r="E89" s="22"/>
      <c r="F89" s="22"/>
      <c r="G89" s="22"/>
      <c r="H89" s="22"/>
      <c r="I89" s="22"/>
      <c r="J89" s="22">
        <f t="shared" ref="J89:K89" si="151">+J87+J88</f>
        <v>19219.599999999999</v>
      </c>
      <c r="K89" s="22">
        <f t="shared" si="151"/>
        <v>27731.300000000003</v>
      </c>
      <c r="L89" s="22">
        <f t="shared" ref="L89:M89" si="152">+L87+L88</f>
        <v>27478.9</v>
      </c>
      <c r="M89" s="22">
        <f t="shared" si="152"/>
        <v>29140.599999999995</v>
      </c>
      <c r="N89" s="22">
        <f t="shared" ref="N89:T89" si="153">+N87+N88</f>
        <v>29374.799999999996</v>
      </c>
      <c r="O89" s="22">
        <f t="shared" si="153"/>
        <v>29968.400000000001</v>
      </c>
      <c r="P89" s="22">
        <f t="shared" si="153"/>
        <v>28371.7</v>
      </c>
      <c r="Q89" s="22">
        <f t="shared" si="153"/>
        <v>29476.799999999999</v>
      </c>
      <c r="R89" s="22">
        <f t="shared" si="153"/>
        <v>31392.600000000006</v>
      </c>
      <c r="S89" s="22">
        <f t="shared" si="153"/>
        <v>28833.499999999996</v>
      </c>
      <c r="T89" s="22">
        <f t="shared" si="153"/>
        <v>29021.499999999996</v>
      </c>
      <c r="U89" s="22">
        <f t="shared" ref="U89:V89" si="154">+U87+U88</f>
        <v>18156.199999999997</v>
      </c>
      <c r="V89" s="22">
        <f t="shared" si="154"/>
        <v>27978.399999999998</v>
      </c>
    </row>
    <row r="90" spans="2:47" s="6" customFormat="1"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</row>
    <row r="91" spans="2:47">
      <c r="B91" s="4" t="s">
        <v>120</v>
      </c>
      <c r="J91" s="14">
        <f>+J63-J82</f>
        <v>-514.79999999999927</v>
      </c>
      <c r="K91" s="14">
        <f>+K63-K82</f>
        <v>-2775.8</v>
      </c>
      <c r="L91" s="14">
        <f>+L63-L82</f>
        <v>-2515.8999999999987</v>
      </c>
      <c r="M91" s="14">
        <f>+M63-M82</f>
        <v>-420.99999999999909</v>
      </c>
      <c r="N91" s="14">
        <f>+N63-N82</f>
        <v>459.60000000000036</v>
      </c>
      <c r="O91" s="14">
        <f t="shared" ref="O91:S91" si="155">+O63-O82</f>
        <v>473.59999999999945</v>
      </c>
      <c r="P91" s="14">
        <f t="shared" si="155"/>
        <v>474.40000000000055</v>
      </c>
      <c r="Q91" s="14">
        <f t="shared" si="155"/>
        <v>131.90000000000055</v>
      </c>
      <c r="R91" s="14">
        <f t="shared" si="155"/>
        <v>1605</v>
      </c>
      <c r="S91" s="14">
        <f t="shared" si="155"/>
        <v>-1665.6000000000004</v>
      </c>
      <c r="T91" s="14">
        <f t="shared" ref="T91:U91" si="156">+T63-T82</f>
        <v>-1563.2000000000016</v>
      </c>
      <c r="U91" s="14">
        <f t="shared" si="156"/>
        <v>-1334.8999999999996</v>
      </c>
      <c r="V91" s="14">
        <f t="shared" ref="V91" si="157">+V63-V82</f>
        <v>-2133.0999999999995</v>
      </c>
    </row>
    <row r="92" spans="2:47" s="11" customFormat="1">
      <c r="B92" s="11" t="s">
        <v>151</v>
      </c>
      <c r="C92" s="26"/>
      <c r="D92" s="26"/>
      <c r="E92" s="26"/>
      <c r="F92" s="26"/>
      <c r="G92" s="26"/>
      <c r="H92" s="26"/>
      <c r="I92" s="26"/>
      <c r="J92" s="28">
        <f t="shared" ref="J92:R92" si="158">+J25/(SUM(I61:J61)/2)</f>
        <v>2.7979599843075711</v>
      </c>
      <c r="K92" s="28">
        <f t="shared" si="158"/>
        <v>1.522344372213335</v>
      </c>
      <c r="L92" s="28">
        <f t="shared" si="158"/>
        <v>1.3772967010238202</v>
      </c>
      <c r="M92" s="28">
        <f t="shared" si="158"/>
        <v>0.96488946684005206</v>
      </c>
      <c r="N92" s="28">
        <f t="shared" si="158"/>
        <v>1.2610359785659608</v>
      </c>
      <c r="O92" s="28">
        <f t="shared" si="158"/>
        <v>1.3557180191207119</v>
      </c>
      <c r="P92" s="28">
        <f t="shared" si="158"/>
        <v>1.3393835501327687</v>
      </c>
      <c r="Q92" s="28">
        <f t="shared" si="158"/>
        <v>1.4457041745854904</v>
      </c>
      <c r="R92" s="28">
        <f t="shared" si="158"/>
        <v>1.5805970622759429</v>
      </c>
      <c r="S92" s="28">
        <f>+S25/(SUM(R61:S61)/2)</f>
        <v>1.5593335390311633</v>
      </c>
      <c r="T92" s="28">
        <f>+T25/(SUM(S61:T61)/2)</f>
        <v>1.3864102780354786</v>
      </c>
      <c r="U92" s="28">
        <f>+U25/(SUM(T61:U61)/2)</f>
        <v>1.2897431468824792</v>
      </c>
      <c r="V92" s="28">
        <f>+V25/(SUM(U61:V61)/2)</f>
        <v>1.2581505975171134</v>
      </c>
    </row>
    <row r="93" spans="2:47">
      <c r="B93" s="4" t="s">
        <v>152</v>
      </c>
      <c r="J93" s="14">
        <f t="shared" ref="J93:R93" si="159">+(J61/J25)*365</f>
        <v>260.90437464946717</v>
      </c>
      <c r="K93" s="14">
        <f t="shared" si="159"/>
        <v>229.9121355750313</v>
      </c>
      <c r="L93" s="14">
        <f t="shared" si="159"/>
        <v>272.64003604144767</v>
      </c>
      <c r="M93" s="14">
        <f t="shared" si="159"/>
        <v>389.54649595687329</v>
      </c>
      <c r="N93" s="14">
        <f t="shared" si="159"/>
        <v>286.45335896398223</v>
      </c>
      <c r="O93" s="14">
        <f t="shared" si="159"/>
        <v>262.11385486311065</v>
      </c>
      <c r="P93" s="14">
        <f t="shared" si="159"/>
        <v>275.45372415177673</v>
      </c>
      <c r="Q93" s="14">
        <f t="shared" si="159"/>
        <v>256.16183136899366</v>
      </c>
      <c r="R93" s="14">
        <f t="shared" si="159"/>
        <v>235.00602143631332</v>
      </c>
      <c r="S93" s="14">
        <f>+(S61/S25)*365</f>
        <v>236.47215956310103</v>
      </c>
      <c r="T93" s="14">
        <f>+(T61/T25)*365</f>
        <v>284.2079649606618</v>
      </c>
      <c r="U93" s="14">
        <f>+(U61/U25)*365</f>
        <v>297.86826599326605</v>
      </c>
      <c r="V93" s="14">
        <f>+(V61/V25)*365</f>
        <v>293.05016599040943</v>
      </c>
    </row>
    <row r="94" spans="2:47" s="8" customFormat="1">
      <c r="B94" s="8" t="s">
        <v>153</v>
      </c>
      <c r="C94" s="23"/>
      <c r="D94" s="23"/>
      <c r="E94" s="23"/>
      <c r="F94" s="23"/>
      <c r="G94" s="23"/>
      <c r="H94" s="23"/>
      <c r="I94" s="23"/>
      <c r="J94" s="23">
        <f t="shared" ref="J94:R94" si="160">+SUM(G44:J44)/(SUM(I72:J72)/2)</f>
        <v>0.37456554767008682</v>
      </c>
      <c r="K94" s="23">
        <f t="shared" si="160"/>
        <v>0.15865936542217504</v>
      </c>
      <c r="L94" s="23">
        <f t="shared" si="160"/>
        <v>0.12279614998677779</v>
      </c>
      <c r="M94" s="23">
        <f t="shared" si="160"/>
        <v>4.7284062911187794E-2</v>
      </c>
      <c r="N94" s="23">
        <f t="shared" si="160"/>
        <v>3.1728562371080286E-2</v>
      </c>
      <c r="O94" s="23">
        <f t="shared" si="160"/>
        <v>2.2405376211813054E-2</v>
      </c>
      <c r="P94" s="23">
        <f t="shared" si="160"/>
        <v>3.413775430621481E-2</v>
      </c>
      <c r="Q94" s="23">
        <f t="shared" si="160"/>
        <v>9.7758801006076299E-2</v>
      </c>
      <c r="R94" s="23">
        <f t="shared" si="160"/>
        <v>0.13798134028595793</v>
      </c>
      <c r="S94" s="23">
        <f>+SUM(P44:S44)/(SUM(R72:S72)/2)</f>
        <v>0.14589331553377105</v>
      </c>
      <c r="T94" s="23">
        <f>+SUM(Q44:T44)/(SUM(S72:T72)/2)</f>
        <v>0.15239372642830229</v>
      </c>
      <c r="U94" s="23">
        <f>+SUM(R44:U44)/(SUM(T72:U72)/2)</f>
        <v>0.14578811595470242</v>
      </c>
      <c r="V94" s="23">
        <f>+SUM(S44:V44)/(SUM(U72:V72)/2)</f>
        <v>0.11692651921103629</v>
      </c>
    </row>
    <row r="95" spans="2:47" s="6" customFormat="1"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</row>
    <row r="96" spans="2:47" s="6" customFormat="1"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</row>
    <row r="97" spans="2:19" hidden="1" outlineLevel="1">
      <c r="B97" s="4" t="s">
        <v>15</v>
      </c>
      <c r="N97" s="23">
        <f t="shared" ref="N97:N128" si="161">+N58/N$72</f>
        <v>0.14811826584282284</v>
      </c>
      <c r="O97" s="23">
        <f t="shared" ref="O97:S97" si="162">+O58/O$72</f>
        <v>0.16778006166495377</v>
      </c>
      <c r="P97" s="23">
        <f t="shared" si="162"/>
        <v>0.13678066524036275</v>
      </c>
      <c r="Q97" s="23">
        <f t="shared" si="162"/>
        <v>0.16124884655050753</v>
      </c>
      <c r="R97" s="23">
        <f t="shared" si="162"/>
        <v>0.20564597050869163</v>
      </c>
      <c r="S97" s="23">
        <f t="shared" si="162"/>
        <v>0.1376643464810518</v>
      </c>
    </row>
    <row r="98" spans="2:19" hidden="1" outlineLevel="1">
      <c r="B98" s="4" t="s">
        <v>66</v>
      </c>
      <c r="N98" s="23">
        <f t="shared" si="161"/>
        <v>9.5729289009174618E-3</v>
      </c>
      <c r="O98" s="23">
        <f t="shared" ref="O98:S107" si="163">+O59/O$72</f>
        <v>7.8582773855127401E-3</v>
      </c>
      <c r="P98" s="23">
        <f t="shared" si="163"/>
        <v>4.3353059562874271E-3</v>
      </c>
      <c r="Q98" s="23">
        <f t="shared" si="163"/>
        <v>5.2108777072138084E-3</v>
      </c>
      <c r="R98" s="23">
        <f t="shared" si="163"/>
        <v>5.1668721310639864E-3</v>
      </c>
      <c r="S98" s="23">
        <f t="shared" si="163"/>
        <v>3.0311543010137373E-3</v>
      </c>
    </row>
    <row r="99" spans="2:19" hidden="1" outlineLevel="1">
      <c r="B99" s="4" t="s">
        <v>67</v>
      </c>
      <c r="N99" s="23">
        <f t="shared" si="161"/>
        <v>3.0073703382185228E-2</v>
      </c>
      <c r="O99" s="23">
        <f t="shared" si="163"/>
        <v>2.9631211542825112E-2</v>
      </c>
      <c r="P99" s="23">
        <f t="shared" si="163"/>
        <v>3.1023872379871493E-2</v>
      </c>
      <c r="Q99" s="23">
        <f t="shared" si="163"/>
        <v>3.0912446398523585E-2</v>
      </c>
      <c r="R99" s="23">
        <f t="shared" si="163"/>
        <v>2.9943648601727175E-2</v>
      </c>
      <c r="S99" s="23">
        <f t="shared" si="163"/>
        <v>3.5759990844110572E-2</v>
      </c>
    </row>
    <row r="100" spans="2:19" hidden="1" outlineLevel="1">
      <c r="B100" s="4" t="s">
        <v>68</v>
      </c>
      <c r="N100" s="23">
        <f t="shared" si="161"/>
        <v>5.2814515991761568E-2</v>
      </c>
      <c r="O100" s="23">
        <f t="shared" si="163"/>
        <v>4.9101720478904452E-2</v>
      </c>
      <c r="P100" s="23">
        <f t="shared" si="163"/>
        <v>5.2996471836372155E-2</v>
      </c>
      <c r="Q100" s="23">
        <f t="shared" si="163"/>
        <v>5.2522661890028771E-2</v>
      </c>
      <c r="R100" s="23">
        <f t="shared" si="163"/>
        <v>5.1092146800330022E-2</v>
      </c>
      <c r="S100" s="23">
        <f t="shared" si="163"/>
        <v>5.6776918835121155E-2</v>
      </c>
    </row>
    <row r="101" spans="2:19" hidden="1" outlineLevel="1">
      <c r="B101" s="4" t="s">
        <v>69</v>
      </c>
      <c r="N101" s="23">
        <f t="shared" si="161"/>
        <v>2.5174896593984579E-2</v>
      </c>
      <c r="O101" s="23">
        <f t="shared" si="163"/>
        <v>2.4505812789471577E-2</v>
      </c>
      <c r="P101" s="23">
        <f t="shared" si="163"/>
        <v>2.0865862814001275E-2</v>
      </c>
      <c r="Q101" s="23">
        <f t="shared" si="163"/>
        <v>1.9187971557292516E-2</v>
      </c>
      <c r="R101" s="23">
        <f t="shared" si="163"/>
        <v>1.8940950487858488E-2</v>
      </c>
      <c r="S101" s="23">
        <f t="shared" si="163"/>
        <v>1.8384609782235495E-2</v>
      </c>
    </row>
    <row r="102" spans="2:19" hidden="1" outlineLevel="1">
      <c r="B102" s="4" t="s">
        <v>62</v>
      </c>
      <c r="N102" s="23">
        <f t="shared" si="161"/>
        <v>0.26575431071167166</v>
      </c>
      <c r="O102" s="23">
        <f t="shared" si="163"/>
        <v>0.27887708386166765</v>
      </c>
      <c r="P102" s="23">
        <f t="shared" si="163"/>
        <v>0.2460021782268951</v>
      </c>
      <c r="Q102" s="23">
        <f t="shared" si="163"/>
        <v>0.26908280410356622</v>
      </c>
      <c r="R102" s="23">
        <f t="shared" si="163"/>
        <v>0.31078958852967126</v>
      </c>
      <c r="S102" s="23">
        <f t="shared" si="163"/>
        <v>0.25161702024353277</v>
      </c>
    </row>
    <row r="103" spans="2:19" hidden="1" outlineLevel="1">
      <c r="B103" s="4" t="s">
        <v>70</v>
      </c>
      <c r="N103" s="23">
        <f t="shared" si="161"/>
        <v>7.0162896389725782E-3</v>
      </c>
      <c r="O103" s="23">
        <f t="shared" si="163"/>
        <v>6.3700431120780566E-3</v>
      </c>
      <c r="P103" s="23">
        <f t="shared" si="163"/>
        <v>1.0038171840249263E-2</v>
      </c>
      <c r="Q103" s="23">
        <f t="shared" si="163"/>
        <v>9.6991532323725781E-3</v>
      </c>
      <c r="R103" s="23">
        <f t="shared" si="163"/>
        <v>8.9735380969218573E-3</v>
      </c>
      <c r="S103" s="23">
        <f t="shared" si="163"/>
        <v>1.0390547237799952E-2</v>
      </c>
    </row>
    <row r="104" spans="2:19" hidden="1" outlineLevel="1">
      <c r="B104" s="4" t="s">
        <v>71</v>
      </c>
      <c r="N104" s="23">
        <f t="shared" si="161"/>
        <v>1.6296447599108071E-2</v>
      </c>
      <c r="O104" s="23">
        <f t="shared" si="163"/>
        <v>1.6550766807704117E-2</v>
      </c>
      <c r="P104" s="23">
        <f t="shared" si="163"/>
        <v>1.7602047110324724E-2</v>
      </c>
      <c r="Q104" s="23">
        <f t="shared" si="163"/>
        <v>1.8160044509580416E-2</v>
      </c>
      <c r="R104" s="23">
        <f t="shared" si="163"/>
        <v>8.5530528186848372E-3</v>
      </c>
      <c r="S104" s="23">
        <f t="shared" si="163"/>
        <v>8.7362444899926825E-3</v>
      </c>
    </row>
    <row r="105" spans="2:19" hidden="1" outlineLevel="1">
      <c r="B105" s="4" t="s">
        <v>72</v>
      </c>
      <c r="N105" s="23">
        <f t="shared" si="161"/>
        <v>0.21247680811588282</v>
      </c>
      <c r="O105" s="23">
        <f t="shared" si="163"/>
        <v>0.20614714165587752</v>
      </c>
      <c r="P105" s="23">
        <f t="shared" si="163"/>
        <v>0.21581716992637029</v>
      </c>
      <c r="Q105" s="23">
        <f t="shared" si="163"/>
        <v>0.20868615317809258</v>
      </c>
      <c r="R105" s="23">
        <f t="shared" si="163"/>
        <v>0.20290007422202261</v>
      </c>
      <c r="S105" s="23">
        <f t="shared" si="163"/>
        <v>0.22189159288198959</v>
      </c>
    </row>
    <row r="106" spans="2:19" hidden="1" outlineLevel="1">
      <c r="B106" s="4" t="s">
        <v>73</v>
      </c>
      <c r="N106" s="23">
        <f t="shared" si="161"/>
        <v>0.27691024528077074</v>
      </c>
      <c r="O106" s="23">
        <f t="shared" si="163"/>
        <v>0.27360152694171197</v>
      </c>
      <c r="P106" s="23">
        <f t="shared" si="163"/>
        <v>0.28326818625602274</v>
      </c>
      <c r="Q106" s="23">
        <f t="shared" si="163"/>
        <v>0.27361178961081256</v>
      </c>
      <c r="R106" s="23">
        <f t="shared" si="163"/>
        <v>0.26235732966364361</v>
      </c>
      <c r="S106" s="23">
        <f t="shared" si="163"/>
        <v>0.28450539122352508</v>
      </c>
    </row>
    <row r="107" spans="2:19" hidden="1" outlineLevel="1">
      <c r="B107" s="4" t="s">
        <v>74</v>
      </c>
      <c r="N107" s="23">
        <f t="shared" si="161"/>
        <v>6.093380312856389E-2</v>
      </c>
      <c r="O107" s="23">
        <f t="shared" si="163"/>
        <v>5.9809666181711407E-2</v>
      </c>
      <c r="P107" s="23">
        <f t="shared" si="163"/>
        <v>6.2386110102672733E-2</v>
      </c>
      <c r="Q107" s="23">
        <f t="shared" si="163"/>
        <v>6.2795147370135154E-2</v>
      </c>
      <c r="R107" s="23">
        <f t="shared" si="163"/>
        <v>5.9712095004188927E-2</v>
      </c>
      <c r="S107" s="23">
        <f t="shared" si="163"/>
        <v>6.4496998324888408E-2</v>
      </c>
    </row>
    <row r="108" spans="2:19" hidden="1" outlineLevel="1">
      <c r="B108" s="4" t="s">
        <v>75</v>
      </c>
      <c r="N108" s="23">
        <f t="shared" si="161"/>
        <v>1.9356925224259136E-2</v>
      </c>
      <c r="O108" s="23">
        <f t="shared" ref="O108:S117" si="164">+O69/O$72</f>
        <v>1.8055685321872374E-2</v>
      </c>
      <c r="P108" s="23">
        <f t="shared" si="164"/>
        <v>2.0263149546907656E-2</v>
      </c>
      <c r="Q108" s="23">
        <f t="shared" si="164"/>
        <v>1.989021874830375E-2</v>
      </c>
      <c r="R108" s="23">
        <f t="shared" si="164"/>
        <v>1.8428085868190607E-2</v>
      </c>
      <c r="S108" s="23">
        <f t="shared" si="164"/>
        <v>2.0392662803158781E-2</v>
      </c>
    </row>
    <row r="109" spans="2:19" hidden="1" outlineLevel="1">
      <c r="B109" s="4" t="s">
        <v>76</v>
      </c>
      <c r="N109" s="23">
        <f t="shared" si="161"/>
        <v>1.879521353554954E-2</v>
      </c>
      <c r="O109" s="23">
        <f t="shared" si="164"/>
        <v>1.6897799014962429E-2</v>
      </c>
      <c r="P109" s="23">
        <f t="shared" si="164"/>
        <v>1.5659971027467513E-2</v>
      </c>
      <c r="Q109" s="23">
        <f t="shared" si="164"/>
        <v>1.3502144059056614E-2</v>
      </c>
      <c r="R109" s="23">
        <f t="shared" si="164"/>
        <v>1.1146045367813126E-2</v>
      </c>
      <c r="S109" s="23">
        <f t="shared" si="164"/>
        <v>1.0491123295842741E-2</v>
      </c>
    </row>
    <row r="110" spans="2:19" hidden="1" outlineLevel="1">
      <c r="B110" s="4" t="s">
        <v>77</v>
      </c>
      <c r="N110" s="23">
        <f t="shared" si="161"/>
        <v>0.12245995676522153</v>
      </c>
      <c r="O110" s="23">
        <f t="shared" si="164"/>
        <v>0.12369028710241456</v>
      </c>
      <c r="P110" s="23">
        <f t="shared" si="164"/>
        <v>0.12896301596308998</v>
      </c>
      <c r="Q110" s="23">
        <f t="shared" si="164"/>
        <v>0.12457254518808011</v>
      </c>
      <c r="R110" s="23">
        <f t="shared" si="164"/>
        <v>0.11714019042886313</v>
      </c>
      <c r="S110" s="23">
        <f t="shared" si="164"/>
        <v>0.12747841949926994</v>
      </c>
    </row>
    <row r="111" spans="2:19" hidden="1" outlineLevel="1">
      <c r="B111" s="4" t="s">
        <v>63</v>
      </c>
      <c r="N111" s="23">
        <f t="shared" si="161"/>
        <v>1</v>
      </c>
      <c r="O111" s="23">
        <f t="shared" si="164"/>
        <v>1</v>
      </c>
      <c r="P111" s="23">
        <f t="shared" si="164"/>
        <v>1</v>
      </c>
      <c r="Q111" s="23">
        <f t="shared" si="164"/>
        <v>1</v>
      </c>
      <c r="R111" s="23">
        <f t="shared" si="164"/>
        <v>1</v>
      </c>
      <c r="S111" s="23">
        <f t="shared" si="164"/>
        <v>1</v>
      </c>
    </row>
    <row r="112" spans="2:19" hidden="1" outlineLevel="1">
      <c r="N112" s="23">
        <f t="shared" si="161"/>
        <v>0</v>
      </c>
      <c r="O112" s="23">
        <f t="shared" si="164"/>
        <v>0</v>
      </c>
      <c r="P112" s="23">
        <f t="shared" si="164"/>
        <v>0</v>
      </c>
      <c r="Q112" s="23">
        <f t="shared" si="164"/>
        <v>0</v>
      </c>
      <c r="R112" s="23">
        <f t="shared" si="164"/>
        <v>0</v>
      </c>
      <c r="S112" s="23">
        <f t="shared" si="164"/>
        <v>0</v>
      </c>
    </row>
    <row r="113" spans="2:19" hidden="1" outlineLevel="1">
      <c r="B113" s="4" t="s">
        <v>78</v>
      </c>
      <c r="N113" s="23">
        <f t="shared" si="161"/>
        <v>3.3971642070503329E-2</v>
      </c>
      <c r="O113" s="23">
        <f t="shared" si="164"/>
        <v>3.5056926629382951E-2</v>
      </c>
      <c r="P113" s="23">
        <f t="shared" si="164"/>
        <v>3.6430668588769789E-2</v>
      </c>
      <c r="Q113" s="23">
        <f t="shared" si="164"/>
        <v>3.8233458177278405E-2</v>
      </c>
      <c r="R113" s="23">
        <f t="shared" si="164"/>
        <v>3.8595451750907069E-2</v>
      </c>
      <c r="S113" s="23">
        <f t="shared" si="164"/>
        <v>4.47181962897839E-2</v>
      </c>
    </row>
    <row r="114" spans="2:19" hidden="1" outlineLevel="1">
      <c r="B114" s="4" t="s">
        <v>79</v>
      </c>
      <c r="N114" s="23">
        <f t="shared" si="161"/>
        <v>3.9513864065771336E-2</v>
      </c>
      <c r="O114" s="23">
        <f t="shared" si="164"/>
        <v>5.3953497684227393E-2</v>
      </c>
      <c r="P114" s="23">
        <f t="shared" si="164"/>
        <v>6.2442504326494355E-2</v>
      </c>
      <c r="Q114" s="23">
        <f t="shared" si="164"/>
        <v>6.0773218259783969E-2</v>
      </c>
      <c r="R114" s="23">
        <f t="shared" si="164"/>
        <v>6.2856178107370278E-2</v>
      </c>
      <c r="S114" s="23">
        <f t="shared" si="164"/>
        <v>8.4771744370341851E-2</v>
      </c>
    </row>
    <row r="115" spans="2:19" hidden="1" outlineLevel="1">
      <c r="B115" s="4" t="s">
        <v>80</v>
      </c>
      <c r="N115" s="23">
        <f t="shared" si="161"/>
        <v>2.3694020323750193E-2</v>
      </c>
      <c r="O115" s="23">
        <f t="shared" si="164"/>
        <v>2.2867420349434738E-2</v>
      </c>
      <c r="P115" s="23">
        <f t="shared" si="164"/>
        <v>2.2772692506969974E-2</v>
      </c>
      <c r="Q115" s="23">
        <f t="shared" si="164"/>
        <v>2.5138413939097867E-2</v>
      </c>
      <c r="R115" s="23">
        <f t="shared" si="164"/>
        <v>2.4601574271397763E-2</v>
      </c>
      <c r="S115" s="23">
        <f t="shared" si="164"/>
        <v>2.303191729179889E-2</v>
      </c>
    </row>
    <row r="116" spans="2:19" hidden="1" outlineLevel="1">
      <c r="B116" s="4" t="s">
        <v>118</v>
      </c>
      <c r="N116" s="23">
        <f t="shared" si="161"/>
        <v>3.3430356261383173E-3</v>
      </c>
      <c r="O116" s="23">
        <f t="shared" si="164"/>
        <v>4.9952616756316652E-3</v>
      </c>
      <c r="P116" s="23">
        <f t="shared" si="164"/>
        <v>4.1238276169563333E-3</v>
      </c>
      <c r="Q116" s="23">
        <f t="shared" si="164"/>
        <v>6.947836942951746E-3</v>
      </c>
      <c r="R116" s="23">
        <f t="shared" si="164"/>
        <v>0</v>
      </c>
      <c r="S116" s="23">
        <f t="shared" si="164"/>
        <v>0</v>
      </c>
    </row>
    <row r="117" spans="2:19" hidden="1" outlineLevel="1">
      <c r="B117" s="4" t="s">
        <v>81</v>
      </c>
      <c r="N117" s="23">
        <f t="shared" si="161"/>
        <v>4.2513064052154076E-2</v>
      </c>
      <c r="O117" s="23">
        <f t="shared" si="164"/>
        <v>4.22978871077535E-2</v>
      </c>
      <c r="P117" s="23">
        <f t="shared" si="164"/>
        <v>4.5693419851471712E-2</v>
      </c>
      <c r="Q117" s="23">
        <f t="shared" si="164"/>
        <v>4.4387450469521798E-2</v>
      </c>
      <c r="R117" s="23">
        <f t="shared" si="164"/>
        <v>1.1085520971703252E-2</v>
      </c>
      <c r="S117" s="23">
        <f t="shared" si="164"/>
        <v>4.3466197774147786E-2</v>
      </c>
    </row>
    <row r="118" spans="2:19" hidden="1" outlineLevel="1">
      <c r="B118" s="4" t="s">
        <v>82</v>
      </c>
      <c r="N118" s="23">
        <f t="shared" si="161"/>
        <v>4.9583822703365164E-2</v>
      </c>
      <c r="O118" s="23">
        <f t="shared" ref="O118:S127" si="165">+O79/O$72</f>
        <v>6.2439102521322468E-2</v>
      </c>
      <c r="P118" s="23">
        <f t="shared" si="165"/>
        <v>5.7173169038161262E-2</v>
      </c>
      <c r="Q118" s="23">
        <f t="shared" si="165"/>
        <v>5.5240053194376595E-2</v>
      </c>
      <c r="R118" s="23">
        <f t="shared" si="165"/>
        <v>3.9860093080150226E-2</v>
      </c>
      <c r="S118" s="23">
        <f t="shared" si="165"/>
        <v>7.181477358248449E-2</v>
      </c>
    </row>
    <row r="119" spans="2:19" hidden="1" outlineLevel="1">
      <c r="B119" s="4" t="s">
        <v>83</v>
      </c>
      <c r="N119" s="23">
        <f t="shared" si="161"/>
        <v>1.4938126606410322E-2</v>
      </c>
      <c r="O119" s="23">
        <f t="shared" si="165"/>
        <v>1.6437313970715822E-2</v>
      </c>
      <c r="P119" s="23">
        <f t="shared" si="165"/>
        <v>6.4500893495983674E-4</v>
      </c>
      <c r="Q119" s="23">
        <f t="shared" si="165"/>
        <v>0</v>
      </c>
      <c r="R119" s="23">
        <f t="shared" si="165"/>
        <v>5.0843678226826325E-2</v>
      </c>
      <c r="S119" s="23">
        <f t="shared" si="165"/>
        <v>6.9362798650199932E-3</v>
      </c>
    </row>
    <row r="120" spans="2:19" hidden="1" outlineLevel="1">
      <c r="B120" s="4" t="s">
        <v>84</v>
      </c>
      <c r="N120" s="23">
        <f t="shared" si="161"/>
        <v>4.2550511498068058E-2</v>
      </c>
      <c r="O120" s="23">
        <f t="shared" si="165"/>
        <v>2.5026361100359048E-2</v>
      </c>
      <c r="P120" s="23">
        <f t="shared" si="165"/>
        <v>0</v>
      </c>
      <c r="Q120" s="23">
        <f t="shared" si="165"/>
        <v>3.3887667589426261E-2</v>
      </c>
      <c r="R120" s="23">
        <f t="shared" si="165"/>
        <v>3.1819904881133274E-2</v>
      </c>
      <c r="S120" s="23">
        <f t="shared" si="165"/>
        <v>3.4643249785842357E-2</v>
      </c>
    </row>
    <row r="121" spans="2:19" hidden="1" outlineLevel="1">
      <c r="B121" s="4" t="s">
        <v>61</v>
      </c>
      <c r="N121" s="23">
        <f t="shared" si="161"/>
        <v>0.25010808694616077</v>
      </c>
      <c r="O121" s="23">
        <f t="shared" si="165"/>
        <v>0.26307377103882762</v>
      </c>
      <c r="P121" s="23">
        <f t="shared" si="165"/>
        <v>0.22928129086378324</v>
      </c>
      <c r="Q121" s="23">
        <f t="shared" si="165"/>
        <v>0.26460809857243667</v>
      </c>
      <c r="R121" s="23">
        <f t="shared" si="165"/>
        <v>0.2596624012894882</v>
      </c>
      <c r="S121" s="23">
        <f t="shared" si="165"/>
        <v>0.30938235895941929</v>
      </c>
    </row>
    <row r="122" spans="2:19" hidden="1" outlineLevel="1">
      <c r="B122" s="4" t="s">
        <v>85</v>
      </c>
      <c r="N122" s="23">
        <f t="shared" si="161"/>
        <v>0.49906892032204803</v>
      </c>
      <c r="O122" s="23">
        <f t="shared" si="165"/>
        <v>0.48963241280815795</v>
      </c>
      <c r="P122" s="23">
        <f t="shared" si="165"/>
        <v>0.51566525798595075</v>
      </c>
      <c r="Q122" s="23">
        <f t="shared" si="165"/>
        <v>0.46203115670629108</v>
      </c>
      <c r="R122" s="23">
        <f t="shared" si="165"/>
        <v>0.43376560494133909</v>
      </c>
      <c r="S122" s="23">
        <f t="shared" si="165"/>
        <v>0.47119189565060565</v>
      </c>
    </row>
    <row r="123" spans="2:19" hidden="1" outlineLevel="1">
      <c r="B123" s="4" t="s">
        <v>86</v>
      </c>
      <c r="N123" s="23">
        <f t="shared" si="161"/>
        <v>0.26082826941735177</v>
      </c>
      <c r="O123" s="23">
        <f t="shared" si="165"/>
        <v>0.25875588953697898</v>
      </c>
      <c r="P123" s="23">
        <f t="shared" si="165"/>
        <v>0.26708656865820518</v>
      </c>
      <c r="Q123" s="23">
        <f t="shared" si="165"/>
        <v>0.2577552515876893</v>
      </c>
      <c r="R123" s="23">
        <f t="shared" si="165"/>
        <v>0.24649356689379243</v>
      </c>
      <c r="S123" s="23">
        <f t="shared" si="165"/>
        <v>0.26732422599787053</v>
      </c>
    </row>
    <row r="124" spans="2:19" hidden="1" outlineLevel="1">
      <c r="B124" s="4" t="s">
        <v>87</v>
      </c>
      <c r="N124" s="23">
        <f t="shared" si="161"/>
        <v>0.22463361078486443</v>
      </c>
      <c r="O124" s="23">
        <f t="shared" si="165"/>
        <v>0.22015523017578517</v>
      </c>
      <c r="P124" s="23">
        <f t="shared" si="165"/>
        <v>0.23023294339077321</v>
      </c>
      <c r="Q124" s="23">
        <f t="shared" si="165"/>
        <v>0.22022064810291483</v>
      </c>
      <c r="R124" s="23">
        <f t="shared" si="165"/>
        <v>0.20587851160953483</v>
      </c>
      <c r="S124" s="23">
        <f t="shared" si="165"/>
        <v>0.22361525842844707</v>
      </c>
    </row>
    <row r="125" spans="2:19" hidden="1" outlineLevel="1">
      <c r="B125" s="4" t="s">
        <v>88</v>
      </c>
      <c r="N125" s="23">
        <f t="shared" si="161"/>
        <v>3.0887334252497914E-2</v>
      </c>
      <c r="O125" s="23">
        <f t="shared" si="165"/>
        <v>3.2127173956567584E-2</v>
      </c>
      <c r="P125" s="23">
        <f t="shared" si="165"/>
        <v>2.7308902885621936E-2</v>
      </c>
      <c r="Q125" s="23">
        <f t="shared" si="165"/>
        <v>2.588137111219671E-2</v>
      </c>
      <c r="R125" s="23">
        <f t="shared" si="165"/>
        <v>2.3502578657823733E-2</v>
      </c>
      <c r="S125" s="23">
        <f t="shared" si="165"/>
        <v>2.1540617120819592E-2</v>
      </c>
    </row>
    <row r="126" spans="2:19" hidden="1" outlineLevel="1">
      <c r="B126" s="4" t="s">
        <v>60</v>
      </c>
      <c r="N126" s="23">
        <f t="shared" si="161"/>
        <v>1.2655262217229228</v>
      </c>
      <c r="O126" s="23">
        <f t="shared" si="165"/>
        <v>1.2637444775163174</v>
      </c>
      <c r="P126" s="23">
        <f t="shared" si="165"/>
        <v>1.2695749637843343</v>
      </c>
      <c r="Q126" s="23">
        <f t="shared" si="165"/>
        <v>1.2304965260815286</v>
      </c>
      <c r="R126" s="23">
        <f t="shared" si="165"/>
        <v>1.1693026633919785</v>
      </c>
      <c r="S126" s="23">
        <f t="shared" si="165"/>
        <v>1.2930543561571619</v>
      </c>
    </row>
    <row r="127" spans="2:19" hidden="1" outlineLevel="1">
      <c r="B127" s="4" t="s">
        <v>59</v>
      </c>
      <c r="N127" s="23">
        <f t="shared" si="161"/>
        <v>-0.2655160087831282</v>
      </c>
      <c r="O127" s="23">
        <f t="shared" si="165"/>
        <v>-0.26374447751631719</v>
      </c>
      <c r="P127" s="23">
        <f t="shared" si="165"/>
        <v>-0.26957496378433438</v>
      </c>
      <c r="Q127" s="23">
        <f t="shared" si="165"/>
        <v>-0.23049652608152854</v>
      </c>
      <c r="R127" s="23">
        <f t="shared" si="165"/>
        <v>-0.16929310690838201</v>
      </c>
      <c r="S127" s="23">
        <f t="shared" si="165"/>
        <v>-0.29306822871689225</v>
      </c>
    </row>
    <row r="128" spans="2:19" hidden="1" outlineLevel="1">
      <c r="B128" s="4" t="s">
        <v>58</v>
      </c>
      <c r="N128" s="23">
        <f t="shared" si="161"/>
        <v>1.0000102129397945</v>
      </c>
      <c r="O128" s="23">
        <f t="shared" ref="O128:S128" si="166">+O89/O$72</f>
        <v>1.0000000000000002</v>
      </c>
      <c r="P128" s="23">
        <f t="shared" si="166"/>
        <v>1</v>
      </c>
      <c r="Q128" s="23">
        <f t="shared" si="166"/>
        <v>1</v>
      </c>
      <c r="R128" s="23">
        <f t="shared" si="166"/>
        <v>1.0000095564835965</v>
      </c>
      <c r="S128" s="23">
        <f t="shared" si="166"/>
        <v>0.99998612744026982</v>
      </c>
    </row>
    <row r="129" spans="2:37" collapsed="1"/>
    <row r="130" spans="2:37">
      <c r="B130" s="4" t="s">
        <v>90</v>
      </c>
      <c r="O130" s="14">
        <v>622.20000000000005</v>
      </c>
      <c r="P130" s="14">
        <f>1281.6-O130</f>
        <v>659.39999999999986</v>
      </c>
      <c r="Q130" s="14">
        <f>2435.7-SUM(O130:P130)</f>
        <v>1154.0999999999999</v>
      </c>
      <c r="R130" s="14">
        <f>4200.3-SUM(O130:Q130)</f>
        <v>1764.6000000000004</v>
      </c>
      <c r="S130" s="14">
        <v>816.1</v>
      </c>
    </row>
    <row r="131" spans="2:37">
      <c r="B131" s="4" t="s">
        <v>36</v>
      </c>
      <c r="O131" s="14">
        <v>388.4</v>
      </c>
      <c r="P131" s="14">
        <f>772.9-O131</f>
        <v>384.5</v>
      </c>
      <c r="Q131" s="14">
        <f>1146.2-SUM(O131:P131)</f>
        <v>373.30000000000007</v>
      </c>
      <c r="R131" s="14">
        <f>1524.1-SUM(O131:Q131)</f>
        <v>377.89999999999986</v>
      </c>
      <c r="S131" s="14">
        <v>386.4</v>
      </c>
    </row>
    <row r="132" spans="2:37">
      <c r="B132" s="4" t="s">
        <v>74</v>
      </c>
      <c r="O132" s="14">
        <v>-6.1</v>
      </c>
      <c r="P132" s="14">
        <f>+-25.2-O132</f>
        <v>-19.100000000000001</v>
      </c>
      <c r="Q132" s="14">
        <f>-113.2-SUM(O132:P132)</f>
        <v>-88</v>
      </c>
      <c r="R132" s="14">
        <f>+-146.2-SUM(O132:Q132)</f>
        <v>-32.999999999999986</v>
      </c>
      <c r="S132" s="14">
        <f>+-0.3</f>
        <v>-0.3</v>
      </c>
    </row>
    <row r="133" spans="2:37">
      <c r="B133" s="4" t="s">
        <v>91</v>
      </c>
      <c r="O133" s="14">
        <v>-69</v>
      </c>
      <c r="P133" s="14">
        <f>+-131.3-O133</f>
        <v>-62.300000000000011</v>
      </c>
      <c r="Q133" s="14">
        <f>+-238.3-SUM(O133:P133)</f>
        <v>-107</v>
      </c>
      <c r="R133" s="14">
        <f>+-347.3-SUM(O133:Q133)</f>
        <v>-109</v>
      </c>
      <c r="S133" s="14">
        <f>+-46.6</f>
        <v>-46.6</v>
      </c>
    </row>
    <row r="134" spans="2:37">
      <c r="B134" s="4" t="s">
        <v>92</v>
      </c>
      <c r="O134" s="14">
        <v>77.2</v>
      </c>
      <c r="P134" s="14">
        <f>130.2-O134</f>
        <v>52.999999999999986</v>
      </c>
      <c r="Q134" s="14">
        <f>226.7-SUM(O134:P134)</f>
        <v>96.5</v>
      </c>
      <c r="R134" s="14">
        <f>336-SUM(O134:Q134)</f>
        <v>109.30000000000001</v>
      </c>
      <c r="S134" s="14">
        <v>44.9</v>
      </c>
    </row>
    <row r="135" spans="2:37">
      <c r="B135" s="4" t="s">
        <v>25</v>
      </c>
      <c r="P135" s="14">
        <v>0</v>
      </c>
      <c r="Q135" s="14">
        <v>0</v>
      </c>
      <c r="R135" s="14">
        <f>+-864.5-SUM(O135:Q135)</f>
        <v>-864.5</v>
      </c>
    </row>
    <row r="136" spans="2:37">
      <c r="B136" s="4" t="s">
        <v>93</v>
      </c>
      <c r="O136" s="14">
        <v>99.3</v>
      </c>
      <c r="P136" s="14">
        <f>175.3-O136</f>
        <v>76.000000000000014</v>
      </c>
      <c r="Q136" s="14">
        <f>255.3-SUM(O136:P136)</f>
        <v>80</v>
      </c>
      <c r="R136" s="14">
        <f>319.1-SUM(O136:Q136)</f>
        <v>63.800000000000011</v>
      </c>
      <c r="S136" s="14">
        <v>95.8</v>
      </c>
    </row>
    <row r="137" spans="2:37">
      <c r="B137" s="4" t="s">
        <v>119</v>
      </c>
      <c r="P137" s="14">
        <v>0</v>
      </c>
      <c r="Q137" s="14">
        <v>0</v>
      </c>
      <c r="R137" s="14">
        <f>0-SUM(O137:Q137)</f>
        <v>0</v>
      </c>
      <c r="AH137" s="4">
        <v>250.3</v>
      </c>
      <c r="AI137" s="4">
        <v>308</v>
      </c>
      <c r="AJ137" s="4">
        <v>248.6</v>
      </c>
      <c r="AK137" s="4">
        <v>319.10000000000002</v>
      </c>
    </row>
    <row r="138" spans="2:37">
      <c r="B138" s="4" t="s">
        <v>94</v>
      </c>
      <c r="O138" s="14">
        <v>308.3</v>
      </c>
      <c r="P138" s="14">
        <f>617.9-O138</f>
        <v>309.59999999999997</v>
      </c>
      <c r="Q138" s="14">
        <f>931.7-SUM(O138:P138)</f>
        <v>313.80000000000007</v>
      </c>
      <c r="R138" s="14">
        <f>1248.6-SUM(O138:Q138)</f>
        <v>316.89999999999986</v>
      </c>
      <c r="S138" s="14">
        <v>330.4</v>
      </c>
    </row>
    <row r="139" spans="2:37">
      <c r="B139" s="4" t="s">
        <v>95</v>
      </c>
      <c r="O139" s="14">
        <v>132.6</v>
      </c>
      <c r="P139" s="14">
        <f>175.4-O139</f>
        <v>42.800000000000011</v>
      </c>
      <c r="Q139" s="14">
        <f>204.7-SUM(O139:P139)</f>
        <v>29.299999999999983</v>
      </c>
      <c r="R139" s="14">
        <f>226.2-SUM(O139:Q139)</f>
        <v>21.5</v>
      </c>
      <c r="S139" s="14">
        <v>50.7</v>
      </c>
    </row>
    <row r="140" spans="2:37">
      <c r="B140" s="4" t="s">
        <v>96</v>
      </c>
      <c r="O140" s="14">
        <v>-10.199999999999999</v>
      </c>
      <c r="P140" s="14">
        <f>+-15.4-O140</f>
        <v>-5.2000000000000011</v>
      </c>
      <c r="Q140" s="14">
        <f>+-6.8-SUM(O140:P140)</f>
        <v>8.6000000000000014</v>
      </c>
      <c r="R140" s="14">
        <f>+-6-SUM(O140:Q140)</f>
        <v>0.79999999999999893</v>
      </c>
      <c r="S140" s="14">
        <v>-4.9000000000000004</v>
      </c>
    </row>
    <row r="141" spans="2:37">
      <c r="B141" s="4" t="s">
        <v>67</v>
      </c>
      <c r="O141" s="14">
        <v>19.600000000000001</v>
      </c>
      <c r="P141" s="14">
        <f>12.8-O141</f>
        <v>-6.8000000000000007</v>
      </c>
      <c r="Q141" s="14">
        <f>+-13.1-SUM(O141:P141)</f>
        <v>-25.9</v>
      </c>
      <c r="R141" s="14">
        <f>+-43-SUM(O141:Q141)</f>
        <v>-29.900000000000002</v>
      </c>
      <c r="S141" s="14">
        <v>-91.6</v>
      </c>
    </row>
    <row r="142" spans="2:37">
      <c r="B142" s="4" t="s">
        <v>68</v>
      </c>
      <c r="O142" s="14">
        <v>90.1</v>
      </c>
      <c r="P142" s="14">
        <f>51.3-O142</f>
        <v>-38.799999999999997</v>
      </c>
      <c r="Q142" s="14">
        <f>8.4-SUM(O142:P142)</f>
        <v>-42.9</v>
      </c>
      <c r="R142" s="14">
        <f>+-49.8-SUM(O142:Q142)</f>
        <v>-58.199999999999996</v>
      </c>
      <c r="S142" s="14">
        <v>-36</v>
      </c>
    </row>
    <row r="143" spans="2:37">
      <c r="B143" s="4" t="s">
        <v>97</v>
      </c>
      <c r="O143" s="14">
        <v>5.2</v>
      </c>
      <c r="P143" s="14">
        <f>139.7-O143</f>
        <v>134.5</v>
      </c>
      <c r="Q143" s="14">
        <f>216.8-SUM(O143:P143)</f>
        <v>77.100000000000023</v>
      </c>
      <c r="R143" s="14">
        <f>251.1-SUM(O143:Q143)</f>
        <v>34.299999999999983</v>
      </c>
      <c r="S143" s="14">
        <v>64.599999999999994</v>
      </c>
    </row>
    <row r="144" spans="2:37">
      <c r="B144" s="4" t="s">
        <v>78</v>
      </c>
      <c r="O144" s="14">
        <v>24.8</v>
      </c>
      <c r="P144" s="14">
        <f>21.3-O144</f>
        <v>-3.5</v>
      </c>
      <c r="Q144" s="14">
        <f>108.2-SUM(O144:P144)</f>
        <v>86.9</v>
      </c>
      <c r="R144" s="14">
        <f>189.9-SUM(O144:Q144)</f>
        <v>81.7</v>
      </c>
      <c r="S144" s="14">
        <v>84</v>
      </c>
    </row>
    <row r="145" spans="2:38">
      <c r="B145" s="4" t="s">
        <v>98</v>
      </c>
      <c r="O145" s="14">
        <v>398.9</v>
      </c>
      <c r="P145" s="14">
        <f>89.8-O145</f>
        <v>-309.09999999999997</v>
      </c>
      <c r="Q145" s="14">
        <f>52.4-SUM(O145:P145)</f>
        <v>-37.400000000000013</v>
      </c>
      <c r="R145" s="14">
        <f>+-6.1-SUM(O145:Q145)</f>
        <v>-58.5</v>
      </c>
      <c r="S145" s="14">
        <v>461.3</v>
      </c>
    </row>
    <row r="146" spans="2:38">
      <c r="B146" s="4" t="s">
        <v>86</v>
      </c>
      <c r="O146" s="14">
        <v>-314.8</v>
      </c>
      <c r="P146" s="14">
        <f>+-676.3-O146</f>
        <v>-361.49999999999994</v>
      </c>
      <c r="Q146" s="14">
        <f>+-1029.8-SUM(O146:P146)</f>
        <v>-353.5</v>
      </c>
      <c r="R146" s="14">
        <f>+-1488.1-SUM(O146:Q146)</f>
        <v>-458.29999999999995</v>
      </c>
      <c r="S146" s="14">
        <v>-363.3</v>
      </c>
    </row>
    <row r="147" spans="2:38">
      <c r="B147" s="4" t="s">
        <v>99</v>
      </c>
      <c r="O147" s="14">
        <v>69.2</v>
      </c>
      <c r="P147" s="14">
        <f>59.5-O147</f>
        <v>-9.7000000000000028</v>
      </c>
      <c r="Q147" s="14">
        <f>154.6-SUM(O147:P147)</f>
        <v>95.1</v>
      </c>
      <c r="R147" s="14">
        <f>358.7-SUM(O147:Q147)</f>
        <v>204.1</v>
      </c>
      <c r="S147" s="14">
        <v>79.400000000000006</v>
      </c>
    </row>
    <row r="148" spans="2:38" s="6" customFormat="1">
      <c r="B148" s="6" t="s">
        <v>89</v>
      </c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>
        <f>+SUM(O130:O147)</f>
        <v>1835.6999999999998</v>
      </c>
      <c r="P148" s="22">
        <f>+SUM(P130:P147)</f>
        <v>843.8</v>
      </c>
      <c r="Q148" s="22">
        <f>+SUM(Q130:Q147)</f>
        <v>1660</v>
      </c>
      <c r="R148" s="22">
        <f>+SUM(R130:R147)</f>
        <v>1363.4999999999998</v>
      </c>
      <c r="S148" s="22">
        <f>+SUM(S130:S147)</f>
        <v>1870.9000000000003</v>
      </c>
      <c r="T148" s="22"/>
      <c r="U148" s="22"/>
      <c r="AH148" s="6">
        <v>11937.8</v>
      </c>
      <c r="AI148" s="6">
        <v>5047</v>
      </c>
      <c r="AJ148" s="6">
        <v>1597.8</v>
      </c>
      <c r="AK148" s="6">
        <v>5989.1</v>
      </c>
      <c r="AL148" s="6">
        <v>4397.3</v>
      </c>
    </row>
    <row r="150" spans="2:38">
      <c r="B150" s="4" t="s">
        <v>100</v>
      </c>
      <c r="O150" s="14">
        <v>-135.5</v>
      </c>
      <c r="P150" s="14">
        <f>+-321.7-O150</f>
        <v>-186.2</v>
      </c>
      <c r="Q150" s="14">
        <f>+-367.3-SUM(O150:P150)</f>
        <v>-45.600000000000023</v>
      </c>
      <c r="R150" s="14">
        <f>+-432-SUM(O150:Q150)</f>
        <v>-64.699999999999989</v>
      </c>
      <c r="S150" s="14">
        <v>-61</v>
      </c>
    </row>
    <row r="151" spans="2:38">
      <c r="B151" s="4" t="s">
        <v>101</v>
      </c>
      <c r="O151" s="14">
        <v>91.2</v>
      </c>
      <c r="P151" s="14">
        <f>121.7-O151</f>
        <v>30.5</v>
      </c>
      <c r="Q151" s="14">
        <f>130.4-SUM(O151:P151)</f>
        <v>8.7000000000000028</v>
      </c>
      <c r="R151" s="14">
        <f>143.2-SUM(O151:Q151)</f>
        <v>12.799999999999983</v>
      </c>
      <c r="S151" s="14">
        <v>72.599999999999994</v>
      </c>
    </row>
    <row r="152" spans="2:38">
      <c r="B152" s="4" t="s">
        <v>102</v>
      </c>
      <c r="O152" s="14">
        <v>113.7</v>
      </c>
      <c r="P152" s="14">
        <f>289-O152</f>
        <v>175.3</v>
      </c>
      <c r="Q152" s="14">
        <f>298.7-SUM(O152:P152)</f>
        <v>9.6999999999999886</v>
      </c>
      <c r="R152" s="14">
        <f>345.5-SUM(O152:Q152)</f>
        <v>46.800000000000011</v>
      </c>
      <c r="S152" s="14">
        <v>45.6</v>
      </c>
    </row>
    <row r="153" spans="2:38">
      <c r="B153" s="4" t="s">
        <v>103</v>
      </c>
      <c r="O153" s="14">
        <v>-324.2</v>
      </c>
      <c r="P153" s="14">
        <f>+-647.9-O153</f>
        <v>-323.7</v>
      </c>
      <c r="Q153" s="14">
        <f>+-985.7-SUM(O153:P153)</f>
        <v>-337.80000000000007</v>
      </c>
      <c r="R153" s="14">
        <f>+-1470-SUM(O153:Q153)</f>
        <v>-484.29999999999995</v>
      </c>
      <c r="S153" s="14">
        <v>-416.8</v>
      </c>
      <c r="AH153" s="4">
        <v>-1976.4</v>
      </c>
      <c r="AI153" s="4">
        <v>-1806.6</v>
      </c>
      <c r="AJ153" s="4">
        <v>-1483.6</v>
      </c>
      <c r="AK153" s="4">
        <v>-1470</v>
      </c>
      <c r="AL153" s="4">
        <v>-1841.3</v>
      </c>
    </row>
    <row r="154" spans="2:38">
      <c r="B154" s="4" t="s">
        <v>96</v>
      </c>
      <c r="O154" s="14">
        <v>-17.7</v>
      </c>
      <c r="P154" s="14">
        <f>+-20.1-O154</f>
        <v>-2.4000000000000021</v>
      </c>
      <c r="Q154" s="14">
        <f>+-62.3-SUM(O154:P154)</f>
        <v>-42.199999999999996</v>
      </c>
      <c r="R154" s="14">
        <f>+-81.2-SUM(O154:Q154)</f>
        <v>-18.900000000000006</v>
      </c>
      <c r="S154" s="14">
        <v>-41.4</v>
      </c>
    </row>
    <row r="155" spans="2:38" s="6" customFormat="1">
      <c r="B155" s="6" t="s">
        <v>104</v>
      </c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>
        <f>+SUM(O150:O154)</f>
        <v>-272.5</v>
      </c>
      <c r="P155" s="22">
        <f>+SUM(P150:P154)</f>
        <v>-306.49999999999994</v>
      </c>
      <c r="Q155" s="22">
        <f>+SUM(Q150:Q154)</f>
        <v>-407.2000000000001</v>
      </c>
      <c r="R155" s="22">
        <f>+SUM(R150:R154)</f>
        <v>-508.29999999999995</v>
      </c>
      <c r="S155" s="22">
        <f>+SUM(S150:S154)</f>
        <v>-401</v>
      </c>
      <c r="T155" s="22"/>
      <c r="U155" s="22"/>
    </row>
    <row r="157" spans="2:38">
      <c r="B157" s="4" t="s">
        <v>105</v>
      </c>
      <c r="O157" s="14">
        <v>0</v>
      </c>
      <c r="P157" s="14">
        <f>+-296.5-O157</f>
        <v>-296.5</v>
      </c>
      <c r="Q157" s="14">
        <f>+-296.5-SUM(O157:P157)</f>
        <v>0</v>
      </c>
      <c r="R157" s="14">
        <f>+-296.5-SUM(O157:Q157)</f>
        <v>0</v>
      </c>
      <c r="S157" s="14">
        <v>200</v>
      </c>
    </row>
    <row r="158" spans="2:38">
      <c r="B158" s="4" t="s">
        <v>106</v>
      </c>
      <c r="O158" s="14">
        <v>192.9</v>
      </c>
      <c r="P158" s="14">
        <f>203.3-O158</f>
        <v>10.400000000000006</v>
      </c>
      <c r="Q158" s="14">
        <f>215.6-SUM(O158:P158)</f>
        <v>12.299999999999983</v>
      </c>
      <c r="R158" s="14">
        <f>215.1-SUM(O158:Q158)</f>
        <v>-0.5</v>
      </c>
      <c r="S158" s="14">
        <v>0</v>
      </c>
    </row>
    <row r="159" spans="2:38">
      <c r="B159" s="4" t="s">
        <v>107</v>
      </c>
      <c r="O159" s="14">
        <v>-144.69999999999999</v>
      </c>
      <c r="P159" s="14">
        <f>+-320.5-O159</f>
        <v>-175.8</v>
      </c>
      <c r="Q159" s="14">
        <f>+-346.2-SUM(O159:P159)</f>
        <v>-25.699999999999989</v>
      </c>
      <c r="R159" s="14">
        <f>+-349.8-SUM(O159:Q159)</f>
        <v>-3.6000000000000227</v>
      </c>
      <c r="S159" s="14">
        <v>0</v>
      </c>
    </row>
    <row r="160" spans="2:38">
      <c r="B160" s="4" t="s">
        <v>108</v>
      </c>
      <c r="O160" s="14">
        <v>-500</v>
      </c>
      <c r="P160" s="14">
        <f>0-O160</f>
        <v>500</v>
      </c>
      <c r="Q160" s="14">
        <f>0-SUM(O160:P160)</f>
        <v>0</v>
      </c>
      <c r="R160" s="14">
        <f>+-1250-SUM(O160:Q160)</f>
        <v>-1250</v>
      </c>
      <c r="S160" s="14">
        <v>0</v>
      </c>
    </row>
    <row r="161" spans="2:38">
      <c r="B161" s="4" t="s">
        <v>109</v>
      </c>
      <c r="O161" s="14">
        <v>102.8</v>
      </c>
      <c r="P161" s="14">
        <f>134.4-O161</f>
        <v>31.600000000000009</v>
      </c>
      <c r="Q161" s="14">
        <f>191.6-SUM(O161:P161)</f>
        <v>57.199999999999989</v>
      </c>
      <c r="R161" s="14">
        <f>246.2-SUM(O161:Q161)</f>
        <v>54.599999999999994</v>
      </c>
      <c r="S161" s="14">
        <v>41.3</v>
      </c>
    </row>
    <row r="162" spans="2:38">
      <c r="B162" s="4" t="s">
        <v>110</v>
      </c>
      <c r="O162" s="14">
        <v>-528.20000000000005</v>
      </c>
      <c r="P162" s="14">
        <f>+-1058-O162</f>
        <v>-529.79999999999995</v>
      </c>
      <c r="Q162" s="14">
        <f>+-1588.2-SUM(O162:P162)</f>
        <v>-530.20000000000005</v>
      </c>
      <c r="R162" s="14">
        <f>+-2119-SUM(O162:Q162)</f>
        <v>-530.79999999999995</v>
      </c>
      <c r="S162" s="14">
        <v>-576</v>
      </c>
    </row>
    <row r="163" spans="2:38">
      <c r="B163" s="4" t="s">
        <v>111</v>
      </c>
      <c r="O163" s="14">
        <v>0</v>
      </c>
      <c r="P163" s="14">
        <f>0-O163</f>
        <v>0</v>
      </c>
      <c r="Q163" s="14">
        <f>0-SUM(O163:P163)</f>
        <v>0</v>
      </c>
      <c r="R163" s="14">
        <f>0-SUM(O163:Q163)</f>
        <v>0</v>
      </c>
      <c r="S163" s="14">
        <v>-3520.9</v>
      </c>
    </row>
    <row r="164" spans="2:38">
      <c r="B164" s="4" t="s">
        <v>112</v>
      </c>
      <c r="O164" s="14">
        <v>-88.6</v>
      </c>
      <c r="P164" s="14">
        <f>+-90.1-O164</f>
        <v>-1.5</v>
      </c>
      <c r="Q164" s="14">
        <f>+-94.2-SUM(O164:P164)</f>
        <v>-4.1000000000000085</v>
      </c>
      <c r="R164" s="14">
        <f>97-SUM(O164:Q164)</f>
        <v>191.2</v>
      </c>
      <c r="S164" s="14">
        <v>-113.6</v>
      </c>
    </row>
    <row r="165" spans="2:38" s="6" customFormat="1">
      <c r="B165" s="6" t="s">
        <v>113</v>
      </c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>
        <f>+SUM(O157:O164)</f>
        <v>-965.80000000000007</v>
      </c>
      <c r="P165" s="22">
        <f>+SUM(P157:P164)</f>
        <v>-461.59999999999997</v>
      </c>
      <c r="Q165" s="22">
        <f>+SUM(Q157:Q164)</f>
        <v>-490.50000000000011</v>
      </c>
      <c r="R165" s="22">
        <f>+SUM(R157:R164)</f>
        <v>-1539.1</v>
      </c>
      <c r="S165" s="22">
        <f>+SUM(S157:S164)</f>
        <v>-3969.2</v>
      </c>
      <c r="T165" s="22"/>
      <c r="U165" s="22"/>
    </row>
    <row r="166" spans="2:38">
      <c r="B166" s="4" t="s">
        <v>114</v>
      </c>
      <c r="O166" s="14">
        <v>79.8</v>
      </c>
      <c r="P166" s="14">
        <v>66.7</v>
      </c>
      <c r="Q166" s="14">
        <v>87.9</v>
      </c>
      <c r="R166" s="14">
        <v>86.2</v>
      </c>
      <c r="S166" s="14">
        <v>13</v>
      </c>
    </row>
    <row r="167" spans="2:38" s="6" customFormat="1">
      <c r="B167" s="6" t="s">
        <v>115</v>
      </c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>
        <f>+O148+O155+O165+O166</f>
        <v>677.1999999999997</v>
      </c>
      <c r="P167" s="22">
        <f>+P148+P155+P165+P166</f>
        <v>142.39999999999998</v>
      </c>
      <c r="Q167" s="22">
        <f>+Q148+Q155+Q165+Q166</f>
        <v>850.19999999999982</v>
      </c>
      <c r="R167" s="22">
        <f>+R148+R155+R165+R166</f>
        <v>-597.70000000000005</v>
      </c>
      <c r="S167" s="22">
        <f>+S148+S155+S165+S166</f>
        <v>-2486.2999999999993</v>
      </c>
      <c r="T167" s="22"/>
      <c r="U167" s="22"/>
    </row>
    <row r="169" spans="2:38" s="6" customFormat="1">
      <c r="B169" s="6" t="s">
        <v>116</v>
      </c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>
        <f t="shared" ref="O169:Q169" si="167">+O148+O153+O136</f>
        <v>1610.7999999999997</v>
      </c>
      <c r="P169" s="22">
        <f t="shared" si="167"/>
        <v>596.09999999999991</v>
      </c>
      <c r="Q169" s="22">
        <f t="shared" si="167"/>
        <v>1402.1999999999998</v>
      </c>
      <c r="R169" s="22">
        <f>+R148+R153+R136</f>
        <v>942.99999999999977</v>
      </c>
      <c r="S169" s="22">
        <f>+S148+S153+S136</f>
        <v>1549.9000000000003</v>
      </c>
      <c r="T169" s="22"/>
      <c r="U169" s="22"/>
      <c r="AH169" s="6">
        <f>+AH148+AH153-AH137</f>
        <v>9711.1</v>
      </c>
      <c r="AI169" s="6">
        <f t="shared" ref="AI169:AJ169" si="168">+AI148+AI153-AI137</f>
        <v>2932.4</v>
      </c>
      <c r="AJ169" s="6">
        <f t="shared" si="168"/>
        <v>-134.39999999999995</v>
      </c>
      <c r="AK169" s="6">
        <f>+AK148+AK153-AK137</f>
        <v>4200</v>
      </c>
      <c r="AL169" s="6">
        <f>+AL148+AL153-AL137</f>
        <v>2556</v>
      </c>
    </row>
    <row r="170" spans="2:38">
      <c r="B170" s="4" t="s">
        <v>90</v>
      </c>
      <c r="O170" s="14">
        <f t="shared" ref="O170:R170" si="169">+O44</f>
        <v>622.20000000000016</v>
      </c>
      <c r="P170" s="14">
        <f t="shared" si="169"/>
        <v>659.4</v>
      </c>
      <c r="Q170" s="14">
        <f t="shared" si="169"/>
        <v>1153.4000000000008</v>
      </c>
      <c r="R170" s="14">
        <f t="shared" si="169"/>
        <v>1764.3999999999999</v>
      </c>
      <c r="S170" s="14">
        <f>+S44</f>
        <v>816.10000000000014</v>
      </c>
      <c r="AH170" s="4">
        <f t="shared" ref="AH170:AK170" si="170">+AH44</f>
        <v>4517.6199999999944</v>
      </c>
      <c r="AI170" s="4">
        <f t="shared" si="170"/>
        <v>3599.5</v>
      </c>
      <c r="AJ170" s="4">
        <f t="shared" si="170"/>
        <v>928.3</v>
      </c>
      <c r="AK170" s="4">
        <f t="shared" si="170"/>
        <v>4199.4000000000005</v>
      </c>
      <c r="AL170" s="4">
        <f>+AL44</f>
        <v>3281.7999999999984</v>
      </c>
    </row>
    <row r="172" spans="2:38">
      <c r="B172" s="4" t="s">
        <v>147</v>
      </c>
      <c r="R172" s="14">
        <f t="shared" ref="R172:R173" si="171">+SUM(O169:R169)</f>
        <v>4552.0999999999995</v>
      </c>
      <c r="S172" s="14">
        <f>+SUM(P169:S169)</f>
        <v>4491.2</v>
      </c>
    </row>
    <row r="173" spans="2:38">
      <c r="B173" s="4" t="s">
        <v>148</v>
      </c>
      <c r="R173" s="14">
        <f t="shared" si="171"/>
        <v>4199.4000000000005</v>
      </c>
      <c r="S173" s="14">
        <f>+SUM(P170:S170)</f>
        <v>4393.3000000000011</v>
      </c>
    </row>
  </sheetData>
  <pageMargins left="0.7" right="0.7" top="0.75" bottom="0.75" header="0.3" footer="0.3"/>
  <ignoredErrors>
    <ignoredError sqref="AI25:AK27 AI38:AK43 AI21:AK23 N57:R57 AI32:AK34 AI36:AK36 AI28:AK30 F32 I57:K57 M57 L57 C32:E32 J92:S92" formulaRange="1"/>
    <ignoredError sqref="AI44:AK45" formula="1" formulaRange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7B4B9-B3A4-8B4B-9F4D-296896D83C00}">
  <dimension ref="A1"/>
  <sheetViews>
    <sheetView workbookViewId="0"/>
  </sheetViews>
  <sheetFormatPr baseColWidth="10" defaultRowHeight="1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Brannon, Jameel A.</dc:creator>
  <cp:lastModifiedBy>Brannon, Jameel A.</cp:lastModifiedBy>
  <dcterms:created xsi:type="dcterms:W3CDTF">2021-11-02T00:20:43Z</dcterms:created>
  <dcterms:modified xsi:type="dcterms:W3CDTF">2022-11-10T03:55:51Z</dcterms:modified>
</cp:coreProperties>
</file>