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Dropbox/Models/"/>
    </mc:Choice>
  </mc:AlternateContent>
  <xr:revisionPtr revIDLastSave="0" documentId="13_ncr:1_{5CD5C377-A2FA-2147-8CF8-849897CCEFB1}" xr6:coauthVersionLast="47" xr6:coauthVersionMax="47" xr10:uidLastSave="{00000000-0000-0000-0000-000000000000}"/>
  <bookViews>
    <workbookView xWindow="2380" yWindow="500" windowWidth="42420" windowHeight="24700" xr2:uid="{090B4484-B806-7242-BFB2-29EB67FBF0DE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4" i="2" l="1"/>
  <c r="J124" i="2"/>
  <c r="I124" i="2"/>
  <c r="H124" i="2"/>
  <c r="G124" i="2"/>
  <c r="L124" i="2"/>
  <c r="K123" i="2"/>
  <c r="J123" i="2"/>
  <c r="I123" i="2"/>
  <c r="H123" i="2"/>
  <c r="G123" i="2"/>
  <c r="L123" i="2"/>
  <c r="K77" i="2"/>
  <c r="J77" i="2"/>
  <c r="I77" i="2"/>
  <c r="H77" i="2"/>
  <c r="G77" i="2"/>
  <c r="G81" i="2" s="1"/>
  <c r="F77" i="2"/>
  <c r="F81" i="2" s="1"/>
  <c r="E77" i="2"/>
  <c r="E81" i="2" s="1"/>
  <c r="D77" i="2"/>
  <c r="C77" i="2"/>
  <c r="L77" i="2"/>
  <c r="J81" i="2"/>
  <c r="I81" i="2"/>
  <c r="H81" i="2"/>
  <c r="I57" i="2"/>
  <c r="I65" i="2" s="1"/>
  <c r="L50" i="2"/>
  <c r="L57" i="2" s="1"/>
  <c r="L113" i="2"/>
  <c r="L112" i="2"/>
  <c r="L111" i="2"/>
  <c r="H111" i="2"/>
  <c r="I111" i="2" s="1"/>
  <c r="H112" i="2"/>
  <c r="I112" i="2" s="1"/>
  <c r="J112" i="2" s="1"/>
  <c r="I119" i="2"/>
  <c r="H92" i="2"/>
  <c r="J119" i="2"/>
  <c r="G119" i="2"/>
  <c r="H119" i="2"/>
  <c r="G115" i="2"/>
  <c r="G108" i="2"/>
  <c r="G105" i="2"/>
  <c r="K119" i="2"/>
  <c r="K115" i="2"/>
  <c r="K108" i="2"/>
  <c r="K105" i="2"/>
  <c r="H117" i="2"/>
  <c r="I117" i="2" s="1"/>
  <c r="J117" i="2" s="1"/>
  <c r="H114" i="2"/>
  <c r="H113" i="2"/>
  <c r="I113" i="2" s="1"/>
  <c r="J113" i="2" s="1"/>
  <c r="H110" i="2"/>
  <c r="I110" i="2" s="1"/>
  <c r="H107" i="2"/>
  <c r="H108" i="2" s="1"/>
  <c r="H104" i="2"/>
  <c r="H103" i="2"/>
  <c r="I103" i="2" s="1"/>
  <c r="H102" i="2"/>
  <c r="H101" i="2"/>
  <c r="I101" i="2" s="1"/>
  <c r="H100" i="2"/>
  <c r="H99" i="2"/>
  <c r="I99" i="2" s="1"/>
  <c r="J99" i="2" s="1"/>
  <c r="H98" i="2"/>
  <c r="I98" i="2" s="1"/>
  <c r="J98" i="2" s="1"/>
  <c r="H97" i="2"/>
  <c r="I97" i="2" s="1"/>
  <c r="H96" i="2"/>
  <c r="H95" i="2"/>
  <c r="H94" i="2"/>
  <c r="H93" i="2"/>
  <c r="L119" i="2"/>
  <c r="L117" i="2"/>
  <c r="L114" i="2"/>
  <c r="L110" i="2"/>
  <c r="L107" i="2"/>
  <c r="L108" i="2" s="1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C87" i="2"/>
  <c r="C81" i="2"/>
  <c r="C57" i="2"/>
  <c r="C65" i="2" s="1"/>
  <c r="G87" i="2"/>
  <c r="G57" i="2"/>
  <c r="G65" i="2" s="1"/>
  <c r="D87" i="2"/>
  <c r="D81" i="2"/>
  <c r="D57" i="2"/>
  <c r="D65" i="2" s="1"/>
  <c r="H87" i="2"/>
  <c r="H57" i="2"/>
  <c r="H65" i="2" s="1"/>
  <c r="E87" i="2"/>
  <c r="E57" i="2"/>
  <c r="E65" i="2" s="1"/>
  <c r="F87" i="2"/>
  <c r="F57" i="2"/>
  <c r="F65" i="2" s="1"/>
  <c r="I87" i="2"/>
  <c r="K87" i="2"/>
  <c r="K81" i="2"/>
  <c r="K57" i="2"/>
  <c r="K65" i="2" s="1"/>
  <c r="J87" i="2"/>
  <c r="J57" i="2"/>
  <c r="L87" i="2"/>
  <c r="L81" i="2"/>
  <c r="AL41" i="2"/>
  <c r="AL39" i="2"/>
  <c r="AL37" i="2"/>
  <c r="W9" i="2"/>
  <c r="W12" i="2" s="1"/>
  <c r="W6" i="2"/>
  <c r="W5" i="2"/>
  <c r="W4" i="2"/>
  <c r="X9" i="2"/>
  <c r="X12" i="2" s="1"/>
  <c r="X6" i="2"/>
  <c r="X5" i="2"/>
  <c r="X4" i="2"/>
  <c r="Y9" i="2"/>
  <c r="Z9" i="2" s="1"/>
  <c r="Y6" i="2"/>
  <c r="Y5" i="2"/>
  <c r="Y4" i="2"/>
  <c r="Z4" i="2" s="1"/>
  <c r="AA4" i="2" s="1"/>
  <c r="AB4" i="2" s="1"/>
  <c r="AC4" i="2" s="1"/>
  <c r="AD4" i="2" s="1"/>
  <c r="AE4" i="2" s="1"/>
  <c r="AF4" i="2" s="1"/>
  <c r="AG4" i="2" s="1"/>
  <c r="AH4" i="2" s="1"/>
  <c r="M33" i="2"/>
  <c r="N33" i="2" s="1"/>
  <c r="M31" i="2"/>
  <c r="N31" i="2" s="1"/>
  <c r="J16" i="2"/>
  <c r="N7" i="2"/>
  <c r="M7" i="2"/>
  <c r="Y21" i="2"/>
  <c r="L12" i="2"/>
  <c r="K12" i="2"/>
  <c r="I12" i="2"/>
  <c r="M12" i="2" s="1"/>
  <c r="H12" i="2"/>
  <c r="G12" i="2"/>
  <c r="E12" i="2"/>
  <c r="D12" i="2"/>
  <c r="C12" i="2"/>
  <c r="K7" i="2"/>
  <c r="K11" i="2" s="1"/>
  <c r="J7" i="2"/>
  <c r="I7" i="2"/>
  <c r="I11" i="2" s="1"/>
  <c r="M11" i="2" s="1"/>
  <c r="H7" i="2"/>
  <c r="H11" i="2" s="1"/>
  <c r="G7" i="2"/>
  <c r="G11" i="2" s="1"/>
  <c r="F7" i="2"/>
  <c r="E7" i="2"/>
  <c r="E11" i="2" s="1"/>
  <c r="D7" i="2"/>
  <c r="D11" i="2" s="1"/>
  <c r="C7" i="2"/>
  <c r="C11" i="2" s="1"/>
  <c r="L7" i="2"/>
  <c r="L11" i="2" s="1"/>
  <c r="W38" i="2"/>
  <c r="V38" i="2"/>
  <c r="U38" i="2"/>
  <c r="W37" i="2"/>
  <c r="V37" i="2"/>
  <c r="U37" i="2"/>
  <c r="W36" i="2"/>
  <c r="V36" i="2"/>
  <c r="U36" i="2"/>
  <c r="X38" i="2"/>
  <c r="X37" i="2"/>
  <c r="X36" i="2"/>
  <c r="T24" i="2"/>
  <c r="T19" i="2"/>
  <c r="X43" i="2"/>
  <c r="W43" i="2"/>
  <c r="V43" i="2"/>
  <c r="X42" i="2"/>
  <c r="W42" i="2"/>
  <c r="V42" i="2"/>
  <c r="X41" i="2"/>
  <c r="W41" i="2"/>
  <c r="V41" i="2"/>
  <c r="U43" i="2"/>
  <c r="U42" i="2"/>
  <c r="U41" i="2"/>
  <c r="U24" i="2"/>
  <c r="U19" i="2"/>
  <c r="V24" i="2"/>
  <c r="V19" i="2"/>
  <c r="L43" i="2"/>
  <c r="K43" i="2"/>
  <c r="I43" i="2"/>
  <c r="H43" i="2"/>
  <c r="G43" i="2"/>
  <c r="E43" i="2"/>
  <c r="D43" i="2"/>
  <c r="L42" i="2"/>
  <c r="K42" i="2"/>
  <c r="I42" i="2"/>
  <c r="H42" i="2"/>
  <c r="G42" i="2"/>
  <c r="E42" i="2"/>
  <c r="D42" i="2"/>
  <c r="L41" i="2"/>
  <c r="K41" i="2"/>
  <c r="I41" i="2"/>
  <c r="H41" i="2"/>
  <c r="G41" i="2"/>
  <c r="E41" i="2"/>
  <c r="D41" i="2"/>
  <c r="C43" i="2"/>
  <c r="C41" i="2"/>
  <c r="C42" i="2"/>
  <c r="I38" i="2"/>
  <c r="H38" i="2"/>
  <c r="G38" i="2"/>
  <c r="I37" i="2"/>
  <c r="H37" i="2"/>
  <c r="G37" i="2"/>
  <c r="I36" i="2"/>
  <c r="H36" i="2"/>
  <c r="G36" i="2"/>
  <c r="F31" i="2"/>
  <c r="F29" i="2"/>
  <c r="F27" i="2"/>
  <c r="F26" i="2"/>
  <c r="F23" i="2"/>
  <c r="F22" i="2"/>
  <c r="F21" i="2"/>
  <c r="F20" i="2"/>
  <c r="F18" i="2"/>
  <c r="F12" i="2" s="1"/>
  <c r="F17" i="2"/>
  <c r="F16" i="2"/>
  <c r="C24" i="2"/>
  <c r="C19" i="2"/>
  <c r="D24" i="2"/>
  <c r="D19" i="2"/>
  <c r="I24" i="2"/>
  <c r="I19" i="2"/>
  <c r="E24" i="2"/>
  <c r="E19" i="2"/>
  <c r="J31" i="2"/>
  <c r="J29" i="2"/>
  <c r="J27" i="2"/>
  <c r="J26" i="2"/>
  <c r="J23" i="2"/>
  <c r="J22" i="2"/>
  <c r="J21" i="2"/>
  <c r="J20" i="2"/>
  <c r="J18" i="2"/>
  <c r="J12" i="2" s="1"/>
  <c r="N12" i="2" s="1"/>
  <c r="J17" i="2"/>
  <c r="N17" i="2" s="1"/>
  <c r="W24" i="2"/>
  <c r="W19" i="2"/>
  <c r="X24" i="2"/>
  <c r="X19" i="2"/>
  <c r="G24" i="2"/>
  <c r="G19" i="2"/>
  <c r="K38" i="2"/>
  <c r="K37" i="2"/>
  <c r="K36" i="2"/>
  <c r="K24" i="2"/>
  <c r="K19" i="2"/>
  <c r="L38" i="2"/>
  <c r="L37" i="2"/>
  <c r="M17" i="2" s="1"/>
  <c r="L36" i="2"/>
  <c r="H24" i="2"/>
  <c r="H19" i="2"/>
  <c r="L24" i="2"/>
  <c r="L19" i="2"/>
  <c r="F9" i="1"/>
  <c r="F6" i="1"/>
  <c r="G8" i="1"/>
  <c r="G7" i="1"/>
  <c r="R3" i="2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J65" i="2" l="1"/>
  <c r="L65" i="2"/>
  <c r="I107" i="2"/>
  <c r="I108" i="2" s="1"/>
  <c r="K118" i="2"/>
  <c r="K120" i="2" s="1"/>
  <c r="J97" i="2"/>
  <c r="I100" i="2"/>
  <c r="J100" i="2" s="1"/>
  <c r="I94" i="2"/>
  <c r="J94" i="2" s="1"/>
  <c r="I102" i="2"/>
  <c r="J102" i="2" s="1"/>
  <c r="I114" i="2"/>
  <c r="J114" i="2" s="1"/>
  <c r="J111" i="2"/>
  <c r="I92" i="2"/>
  <c r="I95" i="2"/>
  <c r="J95" i="2" s="1"/>
  <c r="I96" i="2"/>
  <c r="J96" i="2" s="1"/>
  <c r="I104" i="2"/>
  <c r="J104" i="2" s="1"/>
  <c r="J103" i="2"/>
  <c r="J110" i="2"/>
  <c r="J101" i="2"/>
  <c r="G118" i="2"/>
  <c r="G120" i="2" s="1"/>
  <c r="I93" i="2"/>
  <c r="L88" i="2"/>
  <c r="H105" i="2"/>
  <c r="L115" i="2"/>
  <c r="L105" i="2"/>
  <c r="H115" i="2"/>
  <c r="C88" i="2"/>
  <c r="G88" i="2"/>
  <c r="D88" i="2"/>
  <c r="H88" i="2"/>
  <c r="E88" i="2"/>
  <c r="F88" i="2"/>
  <c r="I88" i="2"/>
  <c r="J41" i="2"/>
  <c r="M18" i="2"/>
  <c r="M23" i="2" s="1"/>
  <c r="M16" i="2"/>
  <c r="M20" i="2" s="1"/>
  <c r="K88" i="2"/>
  <c r="J88" i="2"/>
  <c r="X7" i="2"/>
  <c r="X11" i="2" s="1"/>
  <c r="G13" i="2"/>
  <c r="K14" i="2"/>
  <c r="L14" i="2"/>
  <c r="Y7" i="2"/>
  <c r="F11" i="2"/>
  <c r="L13" i="2"/>
  <c r="Y31" i="2"/>
  <c r="Z31" i="2" s="1"/>
  <c r="AA31" i="2" s="1"/>
  <c r="AB31" i="2" s="1"/>
  <c r="G14" i="2"/>
  <c r="H14" i="2"/>
  <c r="W7" i="2"/>
  <c r="W11" i="2" s="1"/>
  <c r="H13" i="2"/>
  <c r="AA9" i="2"/>
  <c r="X14" i="2"/>
  <c r="I13" i="2"/>
  <c r="K13" i="2"/>
  <c r="I14" i="2"/>
  <c r="Z5" i="2"/>
  <c r="J14" i="2"/>
  <c r="J11" i="2"/>
  <c r="N11" i="2" s="1"/>
  <c r="N18" i="2"/>
  <c r="N38" i="2" s="1"/>
  <c r="M36" i="2"/>
  <c r="J36" i="2"/>
  <c r="J19" i="2"/>
  <c r="J38" i="2"/>
  <c r="U39" i="2"/>
  <c r="X39" i="2"/>
  <c r="H39" i="2"/>
  <c r="V39" i="2"/>
  <c r="F41" i="2"/>
  <c r="G39" i="2"/>
  <c r="F42" i="2"/>
  <c r="J24" i="2"/>
  <c r="J42" i="2"/>
  <c r="I39" i="2"/>
  <c r="F43" i="2"/>
  <c r="L25" i="2"/>
  <c r="F19" i="2"/>
  <c r="J43" i="2"/>
  <c r="W39" i="2"/>
  <c r="T25" i="2"/>
  <c r="T28" i="2" s="1"/>
  <c r="T30" i="2" s="1"/>
  <c r="T32" i="2" s="1"/>
  <c r="T34" i="2" s="1"/>
  <c r="U25" i="2"/>
  <c r="V25" i="2"/>
  <c r="J37" i="2"/>
  <c r="F24" i="2"/>
  <c r="C25" i="2"/>
  <c r="D25" i="2"/>
  <c r="I25" i="2"/>
  <c r="E25" i="2"/>
  <c r="L39" i="2"/>
  <c r="W25" i="2"/>
  <c r="X25" i="2"/>
  <c r="G25" i="2"/>
  <c r="K39" i="2"/>
  <c r="K25" i="2"/>
  <c r="H25" i="2"/>
  <c r="H44" i="2" s="1"/>
  <c r="J107" i="2" l="1"/>
  <c r="J108" i="2" s="1"/>
  <c r="J115" i="2"/>
  <c r="M38" i="2"/>
  <c r="J93" i="2"/>
  <c r="I115" i="2"/>
  <c r="I105" i="2"/>
  <c r="J92" i="2"/>
  <c r="H118" i="2"/>
  <c r="H120" i="2" s="1"/>
  <c r="L118" i="2"/>
  <c r="X13" i="2"/>
  <c r="J13" i="2"/>
  <c r="Y18" i="2"/>
  <c r="Y12" i="2" s="1"/>
  <c r="N23" i="2"/>
  <c r="Y23" i="2" s="1"/>
  <c r="AB9" i="2"/>
  <c r="AA5" i="2"/>
  <c r="Z7" i="2"/>
  <c r="AC31" i="2"/>
  <c r="N16" i="2"/>
  <c r="L28" i="2"/>
  <c r="J39" i="2"/>
  <c r="U28" i="2"/>
  <c r="U30" i="2" s="1"/>
  <c r="U32" i="2" s="1"/>
  <c r="U34" i="2" s="1"/>
  <c r="U44" i="2"/>
  <c r="X28" i="2"/>
  <c r="X30" i="2" s="1"/>
  <c r="X32" i="2" s="1"/>
  <c r="X34" i="2" s="1"/>
  <c r="X44" i="2"/>
  <c r="W28" i="2"/>
  <c r="W30" i="2" s="1"/>
  <c r="W32" i="2" s="1"/>
  <c r="W34" i="2" s="1"/>
  <c r="W44" i="2"/>
  <c r="L44" i="2"/>
  <c r="V28" i="2"/>
  <c r="V30" i="2" s="1"/>
  <c r="V32" i="2" s="1"/>
  <c r="V34" i="2" s="1"/>
  <c r="V44" i="2"/>
  <c r="E28" i="2"/>
  <c r="E30" i="2" s="1"/>
  <c r="E32" i="2" s="1"/>
  <c r="E44" i="2"/>
  <c r="I28" i="2"/>
  <c r="I30" i="2" s="1"/>
  <c r="I32" i="2" s="1"/>
  <c r="I44" i="2"/>
  <c r="G28" i="2"/>
  <c r="G30" i="2" s="1"/>
  <c r="G32" i="2" s="1"/>
  <c r="G44" i="2"/>
  <c r="K28" i="2"/>
  <c r="K30" i="2" s="1"/>
  <c r="K32" i="2" s="1"/>
  <c r="K34" i="2" s="1"/>
  <c r="K44" i="2"/>
  <c r="D28" i="2"/>
  <c r="D30" i="2" s="1"/>
  <c r="D32" i="2" s="1"/>
  <c r="D44" i="2"/>
  <c r="C28" i="2"/>
  <c r="F25" i="2"/>
  <c r="F44" i="2" s="1"/>
  <c r="C44" i="2"/>
  <c r="H28" i="2"/>
  <c r="J25" i="2"/>
  <c r="J44" i="2" s="1"/>
  <c r="Y43" i="2" l="1"/>
  <c r="Y38" i="2"/>
  <c r="J105" i="2"/>
  <c r="I118" i="2"/>
  <c r="I120" i="2" s="1"/>
  <c r="D34" i="2"/>
  <c r="E34" i="2"/>
  <c r="I34" i="2"/>
  <c r="G34" i="2"/>
  <c r="AB5" i="2"/>
  <c r="AA7" i="2"/>
  <c r="AC9" i="2"/>
  <c r="Y14" i="2"/>
  <c r="Z12" i="2"/>
  <c r="AD31" i="2"/>
  <c r="Y16" i="2"/>
  <c r="N36" i="2"/>
  <c r="N20" i="2"/>
  <c r="Y20" i="2" s="1"/>
  <c r="L30" i="2"/>
  <c r="C30" i="2"/>
  <c r="F28" i="2"/>
  <c r="H30" i="2"/>
  <c r="J28" i="2"/>
  <c r="J118" i="2" l="1"/>
  <c r="J120" i="2" s="1"/>
  <c r="Y36" i="2"/>
  <c r="Y11" i="2"/>
  <c r="Y41" i="2"/>
  <c r="AA12" i="2"/>
  <c r="Z18" i="2"/>
  <c r="Z38" i="2" s="1"/>
  <c r="AB7" i="2"/>
  <c r="AC5" i="2"/>
  <c r="AD9" i="2"/>
  <c r="AE31" i="2"/>
  <c r="L32" i="2"/>
  <c r="C32" i="2"/>
  <c r="F30" i="2"/>
  <c r="H32" i="2"/>
  <c r="J30" i="2"/>
  <c r="AD5" i="2" l="1"/>
  <c r="AC7" i="2"/>
  <c r="AB12" i="2"/>
  <c r="AA18" i="2"/>
  <c r="Y13" i="2"/>
  <c r="Z11" i="2"/>
  <c r="AE9" i="2"/>
  <c r="AF31" i="2"/>
  <c r="L34" i="2"/>
  <c r="C34" i="2"/>
  <c r="F34" i="2" s="1"/>
  <c r="F32" i="2"/>
  <c r="H34" i="2"/>
  <c r="J34" i="2" s="1"/>
  <c r="J32" i="2"/>
  <c r="L90" i="2" s="1"/>
  <c r="I90" i="2" l="1"/>
  <c r="G90" i="2"/>
  <c r="H90" i="2"/>
  <c r="J90" i="2"/>
  <c r="K90" i="2"/>
  <c r="AF9" i="2"/>
  <c r="AA11" i="2"/>
  <c r="Z16" i="2"/>
  <c r="AA38" i="2"/>
  <c r="AA23" i="2"/>
  <c r="AC12" i="2"/>
  <c r="AB18" i="2"/>
  <c r="AE5" i="2"/>
  <c r="AD7" i="2"/>
  <c r="AG31" i="2"/>
  <c r="J33" i="2"/>
  <c r="F33" i="2"/>
  <c r="M22" i="2"/>
  <c r="M24" i="2" s="1"/>
  <c r="M19" i="2"/>
  <c r="AB23" i="2" l="1"/>
  <c r="AB38" i="2"/>
  <c r="AD12" i="2"/>
  <c r="AC18" i="2"/>
  <c r="Z36" i="2"/>
  <c r="AB11" i="2"/>
  <c r="AA16" i="2"/>
  <c r="AF5" i="2"/>
  <c r="AE7" i="2"/>
  <c r="AG9" i="2"/>
  <c r="AH31" i="2"/>
  <c r="M25" i="2"/>
  <c r="M26" i="2"/>
  <c r="M39" i="2"/>
  <c r="AE12" i="2" l="1"/>
  <c r="AD18" i="2"/>
  <c r="AC23" i="2"/>
  <c r="AC38" i="2"/>
  <c r="AF7" i="2"/>
  <c r="AG5" i="2"/>
  <c r="AC11" i="2"/>
  <c r="AB16" i="2"/>
  <c r="AH9" i="2"/>
  <c r="AA20" i="2"/>
  <c r="AA36" i="2"/>
  <c r="M27" i="2"/>
  <c r="M28" i="2" s="1"/>
  <c r="AG7" i="2" l="1"/>
  <c r="AH5" i="2"/>
  <c r="AH7" i="2" s="1"/>
  <c r="AD23" i="2"/>
  <c r="AD38" i="2"/>
  <c r="AD11" i="2"/>
  <c r="AC16" i="2"/>
  <c r="AF12" i="2"/>
  <c r="AE18" i="2"/>
  <c r="AB20" i="2"/>
  <c r="AB36" i="2"/>
  <c r="M29" i="2"/>
  <c r="M30" i="2" s="1"/>
  <c r="AC36" i="2" l="1"/>
  <c r="AC20" i="2"/>
  <c r="AE11" i="2"/>
  <c r="AD16" i="2"/>
  <c r="AE38" i="2"/>
  <c r="AE23" i="2"/>
  <c r="AG12" i="2"/>
  <c r="AF18" i="2"/>
  <c r="M32" i="2"/>
  <c r="AD20" i="2" l="1"/>
  <c r="AD36" i="2"/>
  <c r="AF11" i="2"/>
  <c r="AE16" i="2"/>
  <c r="AF38" i="2"/>
  <c r="AF23" i="2"/>
  <c r="AH12" i="2"/>
  <c r="AH18" i="2" s="1"/>
  <c r="AG18" i="2"/>
  <c r="M34" i="2"/>
  <c r="N22" i="2"/>
  <c r="N24" i="2" s="1"/>
  <c r="Y17" i="2"/>
  <c r="N19" i="2"/>
  <c r="N26" i="2" s="1"/>
  <c r="Y26" i="2" s="1"/>
  <c r="Y22" i="2" l="1"/>
  <c r="Y42" i="2" s="1"/>
  <c r="AH23" i="2"/>
  <c r="AH38" i="2"/>
  <c r="Z17" i="2"/>
  <c r="AE36" i="2"/>
  <c r="AE20" i="2"/>
  <c r="AG11" i="2"/>
  <c r="AF16" i="2"/>
  <c r="AG38" i="2"/>
  <c r="AG23" i="2"/>
  <c r="N39" i="2"/>
  <c r="Y19" i="2"/>
  <c r="Y39" i="2" s="1"/>
  <c r="Y24" i="2"/>
  <c r="N25" i="2"/>
  <c r="AH11" i="2" l="1"/>
  <c r="AH16" i="2" s="1"/>
  <c r="AG16" i="2"/>
  <c r="Z22" i="2"/>
  <c r="AA17" i="2"/>
  <c r="Z19" i="2"/>
  <c r="AF36" i="2"/>
  <c r="AF20" i="2"/>
  <c r="N27" i="2"/>
  <c r="Y27" i="2" s="1"/>
  <c r="Y25" i="2"/>
  <c r="Y44" i="2" s="1"/>
  <c r="Z39" i="2" l="1"/>
  <c r="Z26" i="2"/>
  <c r="AA22" i="2"/>
  <c r="AA24" i="2" s="1"/>
  <c r="AB17" i="2"/>
  <c r="AA19" i="2"/>
  <c r="AG20" i="2"/>
  <c r="AG36" i="2"/>
  <c r="AH36" i="2"/>
  <c r="AH20" i="2"/>
  <c r="N28" i="2"/>
  <c r="N29" i="2" s="1"/>
  <c r="Y28" i="2" l="1"/>
  <c r="AA39" i="2"/>
  <c r="AA26" i="2"/>
  <c r="AB22" i="2"/>
  <c r="AB24" i="2" s="1"/>
  <c r="AC17" i="2"/>
  <c r="AB19" i="2"/>
  <c r="AA25" i="2"/>
  <c r="Y29" i="2"/>
  <c r="N30" i="2"/>
  <c r="Y30" i="2" s="1"/>
  <c r="AB26" i="2" l="1"/>
  <c r="AB39" i="2"/>
  <c r="AB25" i="2"/>
  <c r="AC22" i="2"/>
  <c r="AC24" i="2" s="1"/>
  <c r="AD17" i="2"/>
  <c r="AC19" i="2"/>
  <c r="N32" i="2"/>
  <c r="N34" i="2" s="1"/>
  <c r="Y34" i="2" s="1"/>
  <c r="Y32" i="2" l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C39" i="2"/>
  <c r="AC25" i="2"/>
  <c r="AD22" i="2"/>
  <c r="AD24" i="2" s="1"/>
  <c r="AE17" i="2"/>
  <c r="AD19" i="2"/>
  <c r="AC26" i="2"/>
  <c r="Z20" i="2"/>
  <c r="Z23" i="2"/>
  <c r="AD25" i="2" l="1"/>
  <c r="AD39" i="2"/>
  <c r="AD26" i="2"/>
  <c r="AE22" i="2"/>
  <c r="AE24" i="2" s="1"/>
  <c r="AF17" i="2"/>
  <c r="AE19" i="2"/>
  <c r="Z24" i="2"/>
  <c r="Z25" i="2" s="1"/>
  <c r="AE26" i="2" l="1"/>
  <c r="AE39" i="2"/>
  <c r="AF22" i="2"/>
  <c r="AF24" i="2" s="1"/>
  <c r="AG17" i="2"/>
  <c r="AF19" i="2"/>
  <c r="Z27" i="2"/>
  <c r="AA27" i="2" s="1"/>
  <c r="AE25" i="2"/>
  <c r="Z28" i="2" l="1"/>
  <c r="AG22" i="2"/>
  <c r="AG24" i="2" s="1"/>
  <c r="AH17" i="2"/>
  <c r="AG19" i="2"/>
  <c r="AA28" i="2"/>
  <c r="AB27" i="2"/>
  <c r="AF26" i="2"/>
  <c r="AF39" i="2"/>
  <c r="AF25" i="2"/>
  <c r="AH22" i="2" l="1"/>
  <c r="AH24" i="2" s="1"/>
  <c r="AH19" i="2"/>
  <c r="AC27" i="2"/>
  <c r="AB28" i="2"/>
  <c r="AG25" i="2"/>
  <c r="AG26" i="2"/>
  <c r="AG39" i="2"/>
  <c r="Z29" i="2"/>
  <c r="Z30" i="2" s="1"/>
  <c r="Z32" i="2" s="1"/>
  <c r="AA29" i="2" l="1"/>
  <c r="AA30" i="2" s="1"/>
  <c r="AA32" i="2" s="1"/>
  <c r="AA34" i="2" s="1"/>
  <c r="AH26" i="2"/>
  <c r="AH39" i="2"/>
  <c r="Z34" i="2"/>
  <c r="AD27" i="2"/>
  <c r="AC28" i="2"/>
  <c r="AH25" i="2"/>
  <c r="AB29" i="2" l="1"/>
  <c r="AB30" i="2" s="1"/>
  <c r="AB32" i="2" s="1"/>
  <c r="AB34" i="2" s="1"/>
  <c r="AE27" i="2"/>
  <c r="AD28" i="2"/>
  <c r="AC29" i="2" l="1"/>
  <c r="AC30" i="2" s="1"/>
  <c r="AC32" i="2" s="1"/>
  <c r="AC34" i="2" s="1"/>
  <c r="AF27" i="2"/>
  <c r="AE28" i="2"/>
  <c r="AD29" i="2" l="1"/>
  <c r="AD30" i="2" s="1"/>
  <c r="AD32" i="2" s="1"/>
  <c r="AD34" i="2" s="1"/>
  <c r="AG27" i="2"/>
  <c r="AF28" i="2"/>
  <c r="AE29" i="2" l="1"/>
  <c r="AE30" i="2" s="1"/>
  <c r="AE32" i="2" s="1"/>
  <c r="AE34" i="2" s="1"/>
  <c r="AH27" i="2"/>
  <c r="AH28" i="2" s="1"/>
  <c r="AG28" i="2"/>
  <c r="AF29" i="2" l="1"/>
  <c r="AF30" i="2" s="1"/>
  <c r="AF32" i="2" s="1"/>
  <c r="AF34" i="2" s="1"/>
  <c r="AG29" i="2" l="1"/>
  <c r="AH29" i="2" s="1"/>
  <c r="AH30" i="2" s="1"/>
  <c r="AH32" i="2" s="1"/>
  <c r="AG30" i="2"/>
  <c r="AG32" i="2" s="1"/>
  <c r="AG34" i="2" s="1"/>
  <c r="AH34" i="2"/>
  <c r="AI32" i="2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FL32" i="2" s="1"/>
  <c r="FM32" i="2" s="1"/>
  <c r="FN32" i="2" s="1"/>
  <c r="FO32" i="2" s="1"/>
  <c r="FP32" i="2" s="1"/>
  <c r="FQ32" i="2" s="1"/>
  <c r="FR32" i="2" s="1"/>
  <c r="FS32" i="2" s="1"/>
  <c r="FT32" i="2" s="1"/>
  <c r="FU32" i="2" s="1"/>
  <c r="FV32" i="2" s="1"/>
  <c r="FW32" i="2" s="1"/>
  <c r="FX32" i="2" s="1"/>
  <c r="FY32" i="2" s="1"/>
  <c r="FZ32" i="2" s="1"/>
  <c r="GA32" i="2" s="1"/>
  <c r="GB32" i="2" s="1"/>
  <c r="GC32" i="2" s="1"/>
  <c r="GD32" i="2" s="1"/>
  <c r="GE32" i="2" s="1"/>
  <c r="GF32" i="2" s="1"/>
  <c r="AL36" i="2" s="1"/>
  <c r="AL38" i="2" s="1"/>
  <c r="AL40" i="2" s="1"/>
  <c r="AL42" i="2" s="1"/>
  <c r="L1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Brannon, Jameel A.</author>
  </authors>
  <commentList>
    <comment ref="B51" authorId="0" shapeId="0" xr:uid="{3B2C6A62-43A6-754B-8F7C-801FC2E565F9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Prepaid expenses related to variable non-lease components</t>
        </r>
      </text>
    </comment>
    <comment ref="B52" authorId="0" shapeId="0" xr:uid="{2D1F8FE5-F6B0-E342-B50C-8691664FEDC8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prepaid fed/state income tx</t>
        </r>
      </text>
    </comment>
    <comment ref="B56" authorId="0" shapeId="0" xr:uid="{E2EE4571-76FA-8147-8C81-72FC35D3FF11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prepaid expenses related to IT maintenance contract</t>
        </r>
      </text>
    </comment>
    <comment ref="B64" authorId="0" shapeId="0" xr:uid="{C2D60FB7-DA33-2440-9720-9FBB52FFAC13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deferred financing costs related to credit facility</t>
        </r>
      </text>
    </comment>
    <comment ref="B71" authorId="0" shapeId="0" xr:uid="{73EF007F-A544-F443-8DF6-542BE9B0E72C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accrued costs associated w/ non lease compoenents</t>
        </r>
      </text>
    </comment>
    <comment ref="B73" authorId="0" shapeId="0" xr:uid="{4FBADCBC-BA00-0E43-8075-06CB1A2B9A48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legal reserve accrual</t>
        </r>
      </text>
    </comment>
  </commentList>
</comments>
</file>

<file path=xl/sharedStrings.xml><?xml version="1.0" encoding="utf-8"?>
<sst xmlns="http://schemas.openxmlformats.org/spreadsheetml/2006/main" count="136" uniqueCount="125">
  <si>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</si>
  <si>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</si>
  <si>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</si>
  <si>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</si>
  <si>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</si>
  <si>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</si>
  <si>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</si>
  <si>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</si>
  <si>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</si>
  <si>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</si>
  <si>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</si>
  <si>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</si>
  <si>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P</t>
  </si>
  <si>
    <t>SH</t>
  </si>
  <si>
    <t>MC</t>
  </si>
  <si>
    <t>C</t>
  </si>
  <si>
    <t>D</t>
  </si>
  <si>
    <t>EV</t>
  </si>
  <si>
    <t>52H</t>
  </si>
  <si>
    <t>52L</t>
  </si>
  <si>
    <t>Q2'22</t>
  </si>
  <si>
    <t>Net retail sales</t>
  </si>
  <si>
    <t>Commercial revenue</t>
  </si>
  <si>
    <t>TR</t>
  </si>
  <si>
    <t xml:space="preserve">Gross Profit </t>
  </si>
  <si>
    <t>Retail costs</t>
  </si>
  <si>
    <t>Commercial costs</t>
  </si>
  <si>
    <t>International franchising</t>
  </si>
  <si>
    <t>TC</t>
  </si>
  <si>
    <t>SGA</t>
  </si>
  <si>
    <t>Interest expense</t>
  </si>
  <si>
    <t>EBT</t>
  </si>
  <si>
    <t>Taxes</t>
  </si>
  <si>
    <t>NI</t>
  </si>
  <si>
    <t>Diluted</t>
  </si>
  <si>
    <t>Shares</t>
  </si>
  <si>
    <t>Fx translation</t>
  </si>
  <si>
    <t>TR y/y</t>
  </si>
  <si>
    <t>Franchising y/y</t>
  </si>
  <si>
    <t>Commercial y/y</t>
  </si>
  <si>
    <t>Retail y/y</t>
  </si>
  <si>
    <t>Impairment</t>
  </si>
  <si>
    <t>Retail Margin</t>
  </si>
  <si>
    <t>Commercial Margin</t>
  </si>
  <si>
    <t>Franchising Margin</t>
  </si>
  <si>
    <t>Gross Margin</t>
  </si>
  <si>
    <t>NA</t>
  </si>
  <si>
    <t>Europe</t>
  </si>
  <si>
    <t>Asia</t>
  </si>
  <si>
    <t>Net Units</t>
  </si>
  <si>
    <t>Franchise Units</t>
  </si>
  <si>
    <t>Retail Rev Per U (RRPU)</t>
  </si>
  <si>
    <t>Franchise Rev Per U (FRPU)</t>
  </si>
  <si>
    <t>RRPU y/y</t>
  </si>
  <si>
    <t>FRPU y/y</t>
  </si>
  <si>
    <t xml:space="preserve">Terminal </t>
  </si>
  <si>
    <t>Disc</t>
  </si>
  <si>
    <t>NPV</t>
  </si>
  <si>
    <t>NC</t>
  </si>
  <si>
    <t>Total Value</t>
  </si>
  <si>
    <t>Estimate</t>
  </si>
  <si>
    <t>Current</t>
  </si>
  <si>
    <t>Delta</t>
  </si>
  <si>
    <t xml:space="preserve">Cash </t>
  </si>
  <si>
    <t>Inv</t>
  </si>
  <si>
    <t>Recievables</t>
  </si>
  <si>
    <t>Prepaid</t>
  </si>
  <si>
    <t>CA</t>
  </si>
  <si>
    <t>Op lease</t>
  </si>
  <si>
    <t>PPE</t>
  </si>
  <si>
    <t>Deferred Tax</t>
  </si>
  <si>
    <t>OA</t>
  </si>
  <si>
    <t>TA</t>
  </si>
  <si>
    <t>A/P</t>
  </si>
  <si>
    <t>Accrued</t>
  </si>
  <si>
    <t>Gift cards</t>
  </si>
  <si>
    <t>Deferred rev</t>
  </si>
  <si>
    <t>CL</t>
  </si>
  <si>
    <t>Other</t>
  </si>
  <si>
    <t>TL</t>
  </si>
  <si>
    <t>Preferred</t>
  </si>
  <si>
    <t>Common</t>
  </si>
  <si>
    <t xml:space="preserve">Additional </t>
  </si>
  <si>
    <t>Acc.</t>
  </si>
  <si>
    <t>Retained Earnings</t>
  </si>
  <si>
    <t xml:space="preserve">Equity </t>
  </si>
  <si>
    <t>TL + E</t>
  </si>
  <si>
    <t>RoE</t>
  </si>
  <si>
    <t>Deferred Franchised rev</t>
  </si>
  <si>
    <t>CFFO</t>
  </si>
  <si>
    <t>D&amp;A</t>
  </si>
  <si>
    <t>SBC</t>
  </si>
  <si>
    <t>Doubtful Acct</t>
  </si>
  <si>
    <t>Loss on PPE</t>
  </si>
  <si>
    <t>Deferred Tx</t>
  </si>
  <si>
    <t>Inventories</t>
  </si>
  <si>
    <t>Rec.</t>
  </si>
  <si>
    <t>Prepaid E</t>
  </si>
  <si>
    <t>Op Lease</t>
  </si>
  <si>
    <t>Gift/deposits</t>
  </si>
  <si>
    <t>Capex</t>
  </si>
  <si>
    <t>CFFI</t>
  </si>
  <si>
    <t>CFFF</t>
  </si>
  <si>
    <t>Issuance of common</t>
  </si>
  <si>
    <t>Cash Dividends</t>
  </si>
  <si>
    <t>Buybacks</t>
  </si>
  <si>
    <t>Fx</t>
  </si>
  <si>
    <t>Cash Increase</t>
  </si>
  <si>
    <t>Cash @ Begin</t>
  </si>
  <si>
    <t xml:space="preserve">Cash @ End </t>
  </si>
  <si>
    <t>Proceeds from options</t>
  </si>
  <si>
    <t>Common foe retirement</t>
  </si>
  <si>
    <t xml:space="preserve">Prepaid Ocupany </t>
  </si>
  <si>
    <t>Prepaid insurance</t>
  </si>
  <si>
    <t>Prepaid gift cards</t>
  </si>
  <si>
    <t>Prepaid royalties</t>
  </si>
  <si>
    <t>Prepaid taxes</t>
  </si>
  <si>
    <t>Entertainment prod asset</t>
  </si>
  <si>
    <t>Deferred comp</t>
  </si>
  <si>
    <t>Accrued wages, bonus</t>
  </si>
  <si>
    <t>Sales/value added tax payable</t>
  </si>
  <si>
    <t>Accrued rent/related</t>
  </si>
  <si>
    <t>Current taxes payable</t>
  </si>
  <si>
    <t>Accrued E, other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</si>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</sst>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"/>
  </numFmts>
  <fonts count="8">
    <font>
      <sz val="10"/>
      <color theme="1"/>
      <name val="IntelClear-Regular"/>
      <family val="2"/>
    </font>
    <font>
      <b/>
      <sz val="10"/>
      <color theme="1"/>
      <name val="IntelClear-Regular"/>
    </font>
    <font>
      <sz val="10"/>
      <color theme="1"/>
      <name val="IntelClear-Regular"/>
    </font>
    <font>
      <sz val="10"/>
      <color rgb="FF0432FF"/>
      <name val="IntelClear-Regular"/>
    </font>
    <font>
      <b/>
      <sz val="10"/>
      <color rgb="FF0432FF"/>
      <name val="IntelClear-Regular"/>
    </font>
    <font>
      <sz val="10"/>
      <color rgb="FF0432FF"/>
      <name val="IntelClear-Regular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9" fontId="4" fillId="0" borderId="0" xfId="0" applyNumberFormat="1" applyFont="1" applyFill="1" applyAlignment="1">
      <alignment horizontal="left"/>
    </xf>
    <xf numFmtId="4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9" fontId="5" fillId="0" borderId="0" xfId="0" applyNumberFormat="1" applyFont="1" applyFill="1" applyAlignment="1">
      <alignment horizontal="left"/>
    </xf>
    <xf numFmtId="8" fontId="0" fillId="0" borderId="0" xfId="0" applyNumberForma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3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10584</xdr:colOff>
      <xdr:row>0</xdr:row>
      <xdr:rowOff>21167</xdr:rowOff>
    </xdr:from>
    <xdr:to>
      <xdr:col>24</xdr:col>
      <xdr:colOff>14514</xdr:colOff>
      <xdr:row>135</xdr:row>
      <xdr:rowOff>108858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C193E9-7178-0544-E4CE-8F1B5BCC3B97}"/>
            </a:ext>
          </a:extLst>
        </xdr:cNvPr>
        <xdr:cNvCxnSpPr/>
      </xdr:nvCxnSpPr>
      <xdr:spPr>
        <a:xfrm>
          <a:off x="14699041" y="21167"/>
          <a:ext cx="3930" cy="2149626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10584</xdr:colOff>
      <xdr:row>136</xdr:row>
      <xdr:rowOff>65314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DF90F72-D010-AD49-8FE2-F1F60FDD3A3B}"/>
            </a:ext>
          </a:extLst>
        </xdr:cNvPr>
        <xdr:cNvCxnSpPr/>
      </xdr:nvCxnSpPr>
      <xdr:spPr>
        <a:xfrm flipH="1">
          <a:off x="7932057" y="0"/>
          <a:ext cx="10584" cy="2165531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DE55-90E3-0443-9B20-7E0EA5175EA3}">
  <dimension ref="E4:G12"/>
  <sheetViews>
    <sheetView tabSelected="1" zoomScale="170" zoomScaleNormal="170" workbookViewId="0">
      <selection activeCell="C4" sqref="C4"/>
    </sheetView>
  </sheetViews>
  <sheetFormatPr baseColWidth="10" defaultRowHeight="14"/>
  <cols>
    <col min="1" max="4" width="10.83203125" style="1"/>
    <col min="5" max="5" width="4.33203125" style="1" bestFit="1" customWidth="1"/>
    <col min="6" max="6" width="4.1640625" style="1" bestFit="1" customWidth="1"/>
    <col min="7" max="7" width="5.83203125" style="1" bestFit="1" customWidth="1"/>
    <col min="8" max="16384" width="10.83203125" style="1"/>
  </cols>
  <sheetData>
    <row r="4" spans="5:7">
      <c r="E4" s="1" t="s">
        <v>12</v>
      </c>
      <c r="F4" s="1">
        <v>18.18</v>
      </c>
    </row>
    <row r="5" spans="5:7">
      <c r="E5" s="1" t="s">
        <v>13</v>
      </c>
      <c r="F5" s="1">
        <v>14.95215</v>
      </c>
      <c r="G5" s="1" t="s">
        <v>20</v>
      </c>
    </row>
    <row r="6" spans="5:7">
      <c r="E6" s="1" t="s">
        <v>14</v>
      </c>
      <c r="F6" s="1">
        <f>+F4*F5</f>
        <v>271.83008699999999</v>
      </c>
    </row>
    <row r="7" spans="5:7">
      <c r="E7" s="1" t="s">
        <v>15</v>
      </c>
      <c r="F7" s="1">
        <v>14.436999999999999</v>
      </c>
      <c r="G7" s="1" t="str">
        <f>+G5</f>
        <v>Q2'22</v>
      </c>
    </row>
    <row r="8" spans="5:7">
      <c r="E8" s="1" t="s">
        <v>16</v>
      </c>
      <c r="F8" s="1">
        <v>0</v>
      </c>
      <c r="G8" s="1" t="str">
        <f>+G7</f>
        <v>Q2'22</v>
      </c>
    </row>
    <row r="9" spans="5:7">
      <c r="E9" s="2" t="s">
        <v>17</v>
      </c>
      <c r="F9" s="2">
        <f>+F6-F7+F8</f>
        <v>257.39308699999998</v>
      </c>
    </row>
    <row r="11" spans="5:7">
      <c r="E11" s="1" t="s">
        <v>18</v>
      </c>
      <c r="F11" s="1">
        <v>23.5</v>
      </c>
    </row>
    <row r="12" spans="5:7">
      <c r="E12" s="1" t="s">
        <v>19</v>
      </c>
      <c r="F12" s="1">
        <v>12.47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D030-A20A-074D-9BEB-A38029930B98}">
  <dimension ref="B1:GF124"/>
  <sheetViews>
    <sheetView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L36" sqref="AL36"/>
    </sheetView>
  </sheetViews>
  <sheetFormatPr baseColWidth="10" defaultRowHeight="14" outlineLevelRow="1"/>
  <cols>
    <col min="1" max="1" width="5.83203125" style="4" customWidth="1"/>
    <col min="2" max="2" width="21.1640625" style="4" bestFit="1" customWidth="1"/>
    <col min="3" max="12" width="7.6640625" style="4" bestFit="1" customWidth="1"/>
    <col min="13" max="14" width="8.83203125" style="4" bestFit="1" customWidth="1"/>
    <col min="15" max="15" width="7" style="4" bestFit="1" customWidth="1"/>
    <col min="16" max="16" width="10.83203125" style="4"/>
    <col min="17" max="19" width="5.1640625" style="4" bestFit="1" customWidth="1"/>
    <col min="20" max="25" width="7.5" style="4" bestFit="1" customWidth="1"/>
    <col min="26" max="34" width="9.83203125" style="4" bestFit="1" customWidth="1"/>
    <col min="35" max="36" width="6.5" style="4" bestFit="1" customWidth="1"/>
    <col min="37" max="37" width="9.5" style="4" bestFit="1" customWidth="1"/>
    <col min="38" max="38" width="11.33203125" style="4" bestFit="1" customWidth="1"/>
    <col min="39" max="78" width="6.5" style="4" bestFit="1" customWidth="1"/>
    <col min="79" max="309" width="7.5" style="4" bestFit="1" customWidth="1"/>
    <col min="310" max="541" width="8.83203125" style="4" bestFit="1" customWidth="1"/>
    <col min="542" max="772" width="9.83203125" style="4" bestFit="1" customWidth="1"/>
    <col min="773" max="1003" width="10.83203125" style="4"/>
    <col min="1004" max="1235" width="12.1640625" style="4" bestFit="1" customWidth="1"/>
    <col min="1236" max="1466" width="13.1640625" style="4" bestFit="1" customWidth="1"/>
    <col min="1467" max="1698" width="14.1640625" style="4" bestFit="1" customWidth="1"/>
    <col min="1699" max="1929" width="15.5" style="4" bestFit="1" customWidth="1"/>
    <col min="1930" max="2160" width="16.6640625" style="4" bestFit="1" customWidth="1"/>
    <col min="2161" max="2392" width="17.6640625" style="4" bestFit="1" customWidth="1"/>
    <col min="2393" max="2623" width="19" style="4" bestFit="1" customWidth="1"/>
    <col min="2624" max="2855" width="20" style="4" bestFit="1" customWidth="1"/>
    <col min="2856" max="3086" width="21" style="4" bestFit="1" customWidth="1"/>
    <col min="3087" max="3317" width="22.5" style="4" bestFit="1" customWidth="1"/>
    <col min="3318" max="3549" width="23.5" style="4" bestFit="1" customWidth="1"/>
    <col min="3550" max="3780" width="24.5" style="4" bestFit="1" customWidth="1"/>
    <col min="3781" max="4012" width="25.83203125" style="4" bestFit="1" customWidth="1"/>
    <col min="4013" max="4243" width="27" style="4" bestFit="1" customWidth="1"/>
    <col min="4244" max="4474" width="28" style="4" bestFit="1" customWidth="1"/>
    <col min="4475" max="4706" width="29.33203125" style="4" bestFit="1" customWidth="1"/>
    <col min="4707" max="4937" width="30.33203125" style="4" bestFit="1" customWidth="1"/>
    <col min="4938" max="5169" width="31.33203125" style="4" bestFit="1" customWidth="1"/>
    <col min="5170" max="5400" width="32.83203125" style="4" bestFit="1" customWidth="1"/>
    <col min="5401" max="5632" width="33.83203125" style="4" bestFit="1" customWidth="1"/>
    <col min="5633" max="5863" width="34.83203125" style="4" bestFit="1" customWidth="1"/>
    <col min="5864" max="6094" width="36.1640625" style="4" bestFit="1" customWidth="1"/>
    <col min="6095" max="6326" width="37.33203125" style="4" bestFit="1" customWidth="1"/>
    <col min="6327" max="6557" width="38.33203125" style="4" bestFit="1" customWidth="1"/>
    <col min="6558" max="6789" width="39.6640625" style="4" bestFit="1" customWidth="1"/>
    <col min="6790" max="7020" width="40.6640625" style="4" bestFit="1" customWidth="1"/>
    <col min="7021" max="7251" width="41.6640625" style="4" bestFit="1" customWidth="1"/>
    <col min="7252" max="7483" width="43.1640625" style="4" bestFit="1" customWidth="1"/>
    <col min="7484" max="7714" width="44.1640625" style="4" bestFit="1" customWidth="1"/>
    <col min="7715" max="7946" width="45.1640625" style="4" bestFit="1" customWidth="1"/>
    <col min="7947" max="8177" width="46.5" style="4" bestFit="1" customWidth="1"/>
    <col min="8178" max="8408" width="47.6640625" style="4" bestFit="1" customWidth="1"/>
    <col min="8409" max="8640" width="48.6640625" style="4" bestFit="1" customWidth="1"/>
    <col min="8641" max="8871" width="50" style="4" bestFit="1" customWidth="1"/>
    <col min="8872" max="9103" width="51" style="4" bestFit="1" customWidth="1"/>
    <col min="9104" max="9334" width="52" style="4" bestFit="1" customWidth="1"/>
    <col min="9335" max="9565" width="53.5" style="4" bestFit="1" customWidth="1"/>
    <col min="9566" max="9797" width="54.5" style="4" bestFit="1" customWidth="1"/>
    <col min="9798" max="10028" width="55.5" style="4" bestFit="1" customWidth="1"/>
    <col min="10029" max="10260" width="56.83203125" style="4" bestFit="1" customWidth="1"/>
    <col min="10261" max="10491" width="58" style="4" bestFit="1" customWidth="1"/>
    <col min="10492" max="10723" width="59" style="4" bestFit="1" customWidth="1"/>
    <col min="10724" max="10954" width="60.33203125" style="4" bestFit="1" customWidth="1"/>
    <col min="10955" max="11185" width="61.33203125" style="4" bestFit="1" customWidth="1"/>
    <col min="11186" max="11417" width="62.33203125" style="4" bestFit="1" customWidth="1"/>
    <col min="11418" max="11648" width="63.83203125" style="4" bestFit="1" customWidth="1"/>
    <col min="11649" max="11880" width="64.83203125" style="4" bestFit="1" customWidth="1"/>
    <col min="11881" max="12111" width="65.83203125" style="4" bestFit="1" customWidth="1"/>
    <col min="12112" max="12342" width="67.1640625" style="4" bestFit="1" customWidth="1"/>
    <col min="12343" max="12574" width="68.33203125" style="4" bestFit="1" customWidth="1"/>
    <col min="12575" max="12805" width="69.33203125" style="4" bestFit="1" customWidth="1"/>
    <col min="12806" max="13037" width="70.6640625" style="4" bestFit="1" customWidth="1"/>
    <col min="13038" max="13268" width="71.6640625" style="4" bestFit="1" customWidth="1"/>
    <col min="13269" max="13499" width="72.6640625" style="4" bestFit="1" customWidth="1"/>
    <col min="13500" max="13731" width="74.1640625" style="4" bestFit="1" customWidth="1"/>
    <col min="13732" max="13962" width="75.1640625" style="4" bestFit="1" customWidth="1"/>
    <col min="13963" max="14194" width="76.1640625" style="4" bestFit="1" customWidth="1"/>
    <col min="14195" max="14425" width="77.5" style="4" bestFit="1" customWidth="1"/>
    <col min="14426" max="14656" width="78.6640625" style="4" bestFit="1" customWidth="1"/>
    <col min="14657" max="14888" width="79.6640625" style="4" bestFit="1" customWidth="1"/>
    <col min="14889" max="15119" width="81" style="4" bestFit="1" customWidth="1"/>
    <col min="15120" max="15351" width="82" style="4" bestFit="1" customWidth="1"/>
    <col min="15352" max="15582" width="83" style="4" bestFit="1" customWidth="1"/>
    <col min="15583" max="15813" width="84.5" style="4" bestFit="1" customWidth="1"/>
    <col min="15814" max="16045" width="85.5" style="4" bestFit="1" customWidth="1"/>
    <col min="16046" max="16276" width="86.5" style="4" bestFit="1" customWidth="1"/>
    <col min="16277" max="16310" width="87.83203125" style="4" bestFit="1" customWidth="1"/>
    <col min="16311" max="16384" width="10.83203125" style="4"/>
  </cols>
  <sheetData>
    <row r="1" spans="2:35" s="3" customFormat="1"/>
    <row r="2" spans="2:35" s="3" customFormat="1">
      <c r="L2" s="20">
        <v>44772</v>
      </c>
      <c r="M2" s="20">
        <v>44895</v>
      </c>
    </row>
    <row r="3" spans="2:35" s="3" customFormat="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4"/>
      <c r="Q3" s="3">
        <v>2014</v>
      </c>
      <c r="R3" s="3">
        <f>+Q3+1</f>
        <v>2015</v>
      </c>
      <c r="S3" s="3">
        <f t="shared" ref="S3:AH3" si="0">+R3+1</f>
        <v>2016</v>
      </c>
      <c r="T3" s="3">
        <f t="shared" si="0"/>
        <v>2017</v>
      </c>
      <c r="U3" s="3">
        <f t="shared" si="0"/>
        <v>2018</v>
      </c>
      <c r="V3" s="3">
        <f t="shared" si="0"/>
        <v>2019</v>
      </c>
      <c r="W3" s="3">
        <f t="shared" si="0"/>
        <v>2020</v>
      </c>
      <c r="X3" s="3">
        <f t="shared" si="0"/>
        <v>2021</v>
      </c>
      <c r="Y3" s="3">
        <f t="shared" si="0"/>
        <v>2022</v>
      </c>
      <c r="Z3" s="3">
        <f t="shared" si="0"/>
        <v>2023</v>
      </c>
      <c r="AA3" s="3">
        <f t="shared" si="0"/>
        <v>2024</v>
      </c>
      <c r="AB3" s="3">
        <f t="shared" si="0"/>
        <v>2025</v>
      </c>
      <c r="AC3" s="3">
        <f t="shared" si="0"/>
        <v>2026</v>
      </c>
      <c r="AD3" s="3">
        <f t="shared" si="0"/>
        <v>2027</v>
      </c>
      <c r="AE3" s="3">
        <f t="shared" si="0"/>
        <v>2028</v>
      </c>
      <c r="AF3" s="3">
        <f t="shared" si="0"/>
        <v>2029</v>
      </c>
      <c r="AG3" s="3">
        <f t="shared" si="0"/>
        <v>2030</v>
      </c>
      <c r="AH3" s="3">
        <f t="shared" si="0"/>
        <v>2031</v>
      </c>
    </row>
    <row r="4" spans="2:35" s="3" customFormat="1">
      <c r="B4" s="3" t="s">
        <v>46</v>
      </c>
      <c r="C4" s="3">
        <v>313</v>
      </c>
      <c r="D4" s="3">
        <v>307</v>
      </c>
      <c r="E4" s="3">
        <v>306</v>
      </c>
      <c r="F4" s="3">
        <v>305</v>
      </c>
      <c r="G4" s="3">
        <v>306</v>
      </c>
      <c r="H4" s="3">
        <v>305</v>
      </c>
      <c r="I4" s="3">
        <v>305</v>
      </c>
      <c r="J4" s="3">
        <v>305</v>
      </c>
      <c r="K4" s="3">
        <v>306</v>
      </c>
      <c r="L4" s="3">
        <v>307</v>
      </c>
      <c r="M4" s="3">
        <v>308</v>
      </c>
      <c r="N4" s="3">
        <v>309</v>
      </c>
      <c r="O4" s="4"/>
      <c r="W4" s="3">
        <f>+F4</f>
        <v>305</v>
      </c>
      <c r="X4" s="3">
        <f>+J4</f>
        <v>305</v>
      </c>
      <c r="Y4" s="3">
        <f>+N4</f>
        <v>309</v>
      </c>
      <c r="Z4" s="3">
        <f>+Y4+1</f>
        <v>310</v>
      </c>
      <c r="AA4" s="3">
        <f t="shared" ref="AA4:AH4" si="1">+Z4+1</f>
        <v>311</v>
      </c>
      <c r="AB4" s="3">
        <f t="shared" si="1"/>
        <v>312</v>
      </c>
      <c r="AC4" s="3">
        <f t="shared" si="1"/>
        <v>313</v>
      </c>
      <c r="AD4" s="3">
        <f t="shared" si="1"/>
        <v>314</v>
      </c>
      <c r="AE4" s="3">
        <f t="shared" si="1"/>
        <v>315</v>
      </c>
      <c r="AF4" s="3">
        <f t="shared" si="1"/>
        <v>316</v>
      </c>
      <c r="AG4" s="3">
        <f t="shared" si="1"/>
        <v>317</v>
      </c>
      <c r="AH4" s="3">
        <f t="shared" si="1"/>
        <v>318</v>
      </c>
    </row>
    <row r="5" spans="2:35" s="3" customFormat="1">
      <c r="B5" s="3" t="s">
        <v>47</v>
      </c>
      <c r="C5" s="3">
        <v>55</v>
      </c>
      <c r="D5" s="3">
        <v>51</v>
      </c>
      <c r="E5" s="3">
        <v>51</v>
      </c>
      <c r="F5" s="3">
        <v>48</v>
      </c>
      <c r="G5" s="3">
        <v>48</v>
      </c>
      <c r="H5" s="3">
        <v>47</v>
      </c>
      <c r="I5" s="3">
        <v>44</v>
      </c>
      <c r="J5" s="3">
        <v>41</v>
      </c>
      <c r="K5" s="3">
        <v>39</v>
      </c>
      <c r="L5" s="3">
        <v>39</v>
      </c>
      <c r="M5" s="3">
        <v>39</v>
      </c>
      <c r="N5" s="3">
        <v>39</v>
      </c>
      <c r="O5" s="4"/>
      <c r="W5" s="3">
        <f>+F5</f>
        <v>48</v>
      </c>
      <c r="X5" s="3">
        <f>+J5</f>
        <v>41</v>
      </c>
      <c r="Y5" s="3">
        <f>+N5</f>
        <v>39</v>
      </c>
      <c r="Z5" s="3">
        <f>+Y5</f>
        <v>39</v>
      </c>
      <c r="AA5" s="3">
        <f t="shared" ref="AA5:AH5" si="2">+Z5</f>
        <v>39</v>
      </c>
      <c r="AB5" s="3">
        <f t="shared" si="2"/>
        <v>39</v>
      </c>
      <c r="AC5" s="3">
        <f t="shared" si="2"/>
        <v>39</v>
      </c>
      <c r="AD5" s="3">
        <f t="shared" si="2"/>
        <v>39</v>
      </c>
      <c r="AE5" s="3">
        <f t="shared" si="2"/>
        <v>39</v>
      </c>
      <c r="AF5" s="3">
        <f t="shared" si="2"/>
        <v>39</v>
      </c>
      <c r="AG5" s="3">
        <f t="shared" si="2"/>
        <v>39</v>
      </c>
      <c r="AH5" s="3">
        <f t="shared" si="2"/>
        <v>39</v>
      </c>
    </row>
    <row r="6" spans="2:35" s="3" customFormat="1">
      <c r="B6" s="3" t="s">
        <v>48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/>
      <c r="W6" s="3">
        <f>+F6</f>
        <v>1</v>
      </c>
      <c r="X6" s="3">
        <f>+J6</f>
        <v>0</v>
      </c>
      <c r="Y6" s="3">
        <f>+N6</f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2:35" s="5" customFormat="1">
      <c r="B7" s="5" t="s">
        <v>49</v>
      </c>
      <c r="C7" s="5">
        <f t="shared" ref="C7:K7" si="3">+SUM(C4:C6)</f>
        <v>369</v>
      </c>
      <c r="D7" s="5">
        <f t="shared" si="3"/>
        <v>359</v>
      </c>
      <c r="E7" s="5">
        <f t="shared" si="3"/>
        <v>358</v>
      </c>
      <c r="F7" s="5">
        <f t="shared" si="3"/>
        <v>354</v>
      </c>
      <c r="G7" s="5">
        <f t="shared" si="3"/>
        <v>355</v>
      </c>
      <c r="H7" s="5">
        <f t="shared" si="3"/>
        <v>352</v>
      </c>
      <c r="I7" s="5">
        <f t="shared" si="3"/>
        <v>349</v>
      </c>
      <c r="J7" s="5">
        <f t="shared" si="3"/>
        <v>346</v>
      </c>
      <c r="K7" s="5">
        <f t="shared" si="3"/>
        <v>345</v>
      </c>
      <c r="L7" s="5">
        <f>+SUM(L4:L6)</f>
        <v>346</v>
      </c>
      <c r="M7" s="5">
        <f t="shared" ref="M7:N7" si="4">+SUM(M4:M6)</f>
        <v>347</v>
      </c>
      <c r="N7" s="5">
        <f t="shared" si="4"/>
        <v>348</v>
      </c>
      <c r="O7" s="6"/>
      <c r="W7" s="5">
        <f t="shared" ref="W7:Y7" si="5">+SUM(W4:W6)</f>
        <v>354</v>
      </c>
      <c r="X7" s="5">
        <f t="shared" si="5"/>
        <v>346</v>
      </c>
      <c r="Y7" s="5">
        <f t="shared" si="5"/>
        <v>348</v>
      </c>
      <c r="Z7" s="5">
        <f>+SUM(Z4:Z6)</f>
        <v>349</v>
      </c>
      <c r="AA7" s="5">
        <f t="shared" ref="AA7:AH7" si="6">+SUM(AA4:AA6)</f>
        <v>350</v>
      </c>
      <c r="AB7" s="5">
        <f t="shared" si="6"/>
        <v>351</v>
      </c>
      <c r="AC7" s="5">
        <f t="shared" si="6"/>
        <v>352</v>
      </c>
      <c r="AD7" s="5">
        <f t="shared" si="6"/>
        <v>353</v>
      </c>
      <c r="AE7" s="5">
        <f t="shared" si="6"/>
        <v>354</v>
      </c>
      <c r="AF7" s="5">
        <f t="shared" si="6"/>
        <v>355</v>
      </c>
      <c r="AG7" s="5">
        <f t="shared" si="6"/>
        <v>356</v>
      </c>
      <c r="AH7" s="5">
        <f t="shared" si="6"/>
        <v>357</v>
      </c>
    </row>
    <row r="8" spans="2:35" s="5" customFormat="1">
      <c r="O8" s="6"/>
      <c r="W8" s="3"/>
      <c r="X8" s="3"/>
      <c r="Y8" s="3"/>
    </row>
    <row r="9" spans="2:35" s="5" customFormat="1">
      <c r="B9" s="5" t="s">
        <v>50</v>
      </c>
      <c r="C9" s="5">
        <v>80</v>
      </c>
      <c r="D9" s="5">
        <v>78</v>
      </c>
      <c r="E9" s="5">
        <v>75</v>
      </c>
      <c r="F9" s="5">
        <v>71</v>
      </c>
      <c r="G9" s="5">
        <v>72</v>
      </c>
      <c r="H9" s="5">
        <v>74</v>
      </c>
      <c r="I9" s="5">
        <v>73</v>
      </c>
      <c r="J9" s="5">
        <v>72</v>
      </c>
      <c r="K9" s="5">
        <v>64</v>
      </c>
      <c r="L9" s="5">
        <v>62</v>
      </c>
      <c r="M9" s="5">
        <v>62</v>
      </c>
      <c r="N9" s="5">
        <v>62</v>
      </c>
      <c r="O9" s="6"/>
      <c r="W9" s="3">
        <f>+F9</f>
        <v>71</v>
      </c>
      <c r="X9" s="3">
        <f>+J9</f>
        <v>72</v>
      </c>
      <c r="Y9" s="3">
        <f>+N9</f>
        <v>62</v>
      </c>
      <c r="Z9" s="5">
        <f>+Y9</f>
        <v>62</v>
      </c>
      <c r="AA9" s="5">
        <f t="shared" ref="AA9:AH9" si="7">+Z9</f>
        <v>62</v>
      </c>
      <c r="AB9" s="5">
        <f t="shared" si="7"/>
        <v>62</v>
      </c>
      <c r="AC9" s="5">
        <f t="shared" si="7"/>
        <v>62</v>
      </c>
      <c r="AD9" s="5">
        <f t="shared" si="7"/>
        <v>62</v>
      </c>
      <c r="AE9" s="5">
        <f t="shared" si="7"/>
        <v>62</v>
      </c>
      <c r="AF9" s="5">
        <f t="shared" si="7"/>
        <v>62</v>
      </c>
      <c r="AG9" s="5">
        <f t="shared" si="7"/>
        <v>62</v>
      </c>
      <c r="AH9" s="5">
        <f t="shared" si="7"/>
        <v>62</v>
      </c>
    </row>
    <row r="10" spans="2:35" s="5" customFormat="1">
      <c r="O10" s="6"/>
      <c r="W10" s="3"/>
    </row>
    <row r="11" spans="2:35" s="6" customFormat="1">
      <c r="B11" s="7" t="s">
        <v>51</v>
      </c>
      <c r="C11" s="7">
        <f>+C16/C7</f>
        <v>123.70460704607046</v>
      </c>
      <c r="D11" s="7">
        <f t="shared" ref="D11:L11" si="8">+D16/D7</f>
        <v>109.57938718662953</v>
      </c>
      <c r="E11" s="7">
        <f t="shared" si="8"/>
        <v>202.14525139664804</v>
      </c>
      <c r="F11" s="7">
        <f t="shared" si="8"/>
        <v>259.48022598870057</v>
      </c>
      <c r="G11" s="7">
        <f t="shared" si="8"/>
        <v>251.30140845070423</v>
      </c>
      <c r="H11" s="7">
        <f t="shared" si="8"/>
        <v>259.34375</v>
      </c>
      <c r="I11" s="7">
        <f t="shared" si="8"/>
        <v>262.32378223495704</v>
      </c>
      <c r="J11" s="7">
        <f>+J16/J7</f>
        <v>363.11560693641616</v>
      </c>
      <c r="K11" s="7">
        <f t="shared" si="8"/>
        <v>327.21739130434781</v>
      </c>
      <c r="L11" s="7">
        <f t="shared" si="8"/>
        <v>277.11560693641616</v>
      </c>
      <c r="M11" s="7">
        <f>+I11*(1+M13)</f>
        <v>249.20759312320916</v>
      </c>
      <c r="N11" s="7">
        <f>+J11*(1+N13)</f>
        <v>344.95982658959531</v>
      </c>
      <c r="O11" s="7"/>
      <c r="W11" s="7">
        <f>+W16/W7</f>
        <v>703.98305084745766</v>
      </c>
      <c r="X11" s="7">
        <f>+X16/X7</f>
        <v>1149.3930635838151</v>
      </c>
      <c r="Y11" s="7">
        <f>+Y16/Y7</f>
        <v>1193.3708461693468</v>
      </c>
      <c r="Z11" s="6">
        <f>+Y11*(1+Z13)</f>
        <v>1241.1056800161207</v>
      </c>
      <c r="AA11" s="6">
        <f t="shared" ref="AA11:AH11" si="9">+Z11*(1+AA13)</f>
        <v>1290.7499072167655</v>
      </c>
      <c r="AB11" s="6">
        <f t="shared" si="9"/>
        <v>1342.379903505436</v>
      </c>
      <c r="AC11" s="6">
        <f t="shared" si="9"/>
        <v>1396.0750996456534</v>
      </c>
      <c r="AD11" s="6">
        <f t="shared" si="9"/>
        <v>1451.9181036314797</v>
      </c>
      <c r="AE11" s="6">
        <f t="shared" si="9"/>
        <v>1509.9948277767389</v>
      </c>
      <c r="AF11" s="6">
        <f t="shared" si="9"/>
        <v>1570.3946208878085</v>
      </c>
      <c r="AG11" s="6">
        <f t="shared" si="9"/>
        <v>1633.2104057233209</v>
      </c>
      <c r="AH11" s="6">
        <f t="shared" si="9"/>
        <v>1698.5388219522538</v>
      </c>
    </row>
    <row r="12" spans="2:35" s="6" customFormat="1">
      <c r="B12" s="7" t="s">
        <v>52</v>
      </c>
      <c r="C12" s="7">
        <f>+C18/C9</f>
        <v>8.0500000000000007</v>
      </c>
      <c r="D12" s="7">
        <f t="shared" ref="D12:L12" si="10">+D18/D9</f>
        <v>1.9102564102564104</v>
      </c>
      <c r="E12" s="7">
        <f t="shared" si="10"/>
        <v>5.96</v>
      </c>
      <c r="F12" s="7">
        <f t="shared" si="10"/>
        <v>6.112676056338028</v>
      </c>
      <c r="G12" s="7">
        <f t="shared" si="10"/>
        <v>5.166666666666667</v>
      </c>
      <c r="H12" s="7">
        <f t="shared" si="10"/>
        <v>6.6621621621621623</v>
      </c>
      <c r="I12" s="7">
        <f t="shared" si="10"/>
        <v>11.493150684931507</v>
      </c>
      <c r="J12" s="7">
        <f t="shared" si="10"/>
        <v>20.305555555555557</v>
      </c>
      <c r="K12" s="7">
        <f t="shared" si="10"/>
        <v>7.59375</v>
      </c>
      <c r="L12" s="7">
        <f t="shared" si="10"/>
        <v>12.080645161290322</v>
      </c>
      <c r="M12" s="7">
        <f>+I12*(1+M14)</f>
        <v>5.7465753424657535</v>
      </c>
      <c r="N12" s="7">
        <f>+J12*(1+N14)</f>
        <v>10.152777777777779</v>
      </c>
      <c r="O12" s="7"/>
      <c r="W12" s="7">
        <f>+W18/W9</f>
        <v>23.577464788732396</v>
      </c>
      <c r="X12" s="7">
        <f>+X18/X9</f>
        <v>32.319444444444443</v>
      </c>
      <c r="Y12" s="7">
        <f>+Y18/Y9</f>
        <v>109.06819855648844</v>
      </c>
      <c r="Z12" s="6">
        <f>+Y12*(1+Z14)</f>
        <v>110.15888054205332</v>
      </c>
      <c r="AA12" s="6">
        <f t="shared" ref="AA12:AH12" si="11">+Z12*(1+AA14)</f>
        <v>111.26046934747386</v>
      </c>
      <c r="AB12" s="6">
        <f t="shared" si="11"/>
        <v>112.37307404094859</v>
      </c>
      <c r="AC12" s="6">
        <f t="shared" si="11"/>
        <v>113.49680478135808</v>
      </c>
      <c r="AD12" s="6">
        <f t="shared" si="11"/>
        <v>114.63177282917167</v>
      </c>
      <c r="AE12" s="6">
        <f t="shared" si="11"/>
        <v>115.77809055746339</v>
      </c>
      <c r="AF12" s="6">
        <f t="shared" si="11"/>
        <v>116.93587146303803</v>
      </c>
      <c r="AG12" s="6">
        <f t="shared" si="11"/>
        <v>118.1052301776684</v>
      </c>
      <c r="AH12" s="6">
        <f t="shared" si="11"/>
        <v>119.28628247944509</v>
      </c>
    </row>
    <row r="13" spans="2:35" s="5" customFormat="1">
      <c r="B13" s="8" t="s">
        <v>53</v>
      </c>
      <c r="D13" s="9"/>
      <c r="E13" s="9"/>
      <c r="F13" s="9"/>
      <c r="G13" s="9">
        <f t="shared" ref="G13:K13" si="12">+G11/C11-1</f>
        <v>1.0314636168490781</v>
      </c>
      <c r="H13" s="9">
        <f t="shared" si="12"/>
        <v>1.366720207681944</v>
      </c>
      <c r="I13" s="9">
        <f t="shared" si="12"/>
        <v>0.29769945335113057</v>
      </c>
      <c r="J13" s="9">
        <f t="shared" si="12"/>
        <v>0.39939606400770034</v>
      </c>
      <c r="K13" s="9">
        <f t="shared" si="12"/>
        <v>0.30209135444831947</v>
      </c>
      <c r="L13" s="9">
        <f>+L11/H11-1</f>
        <v>6.8526258822185548E-2</v>
      </c>
      <c r="M13" s="10">
        <v>-0.05</v>
      </c>
      <c r="N13" s="10">
        <v>-0.05</v>
      </c>
      <c r="O13" s="6"/>
      <c r="W13" s="8"/>
      <c r="X13" s="9">
        <f t="shared" ref="X13:Y13" si="13">+X11/W11-1</f>
        <v>0.63269990974949053</v>
      </c>
      <c r="Y13" s="10">
        <f>+Y11/X11-1</f>
        <v>3.8261743505227708E-2</v>
      </c>
      <c r="Z13" s="10">
        <v>0.04</v>
      </c>
      <c r="AA13" s="10">
        <v>0.04</v>
      </c>
      <c r="AB13" s="10">
        <v>0.04</v>
      </c>
      <c r="AC13" s="10">
        <v>0.04</v>
      </c>
      <c r="AD13" s="10">
        <v>0.04</v>
      </c>
      <c r="AE13" s="10">
        <v>0.04</v>
      </c>
      <c r="AF13" s="10">
        <v>0.04</v>
      </c>
      <c r="AG13" s="10">
        <v>0.04</v>
      </c>
      <c r="AH13" s="10">
        <v>0.04</v>
      </c>
    </row>
    <row r="14" spans="2:35" s="3" customFormat="1">
      <c r="B14" s="8" t="s">
        <v>54</v>
      </c>
      <c r="D14" s="9"/>
      <c r="E14" s="9"/>
      <c r="F14" s="9"/>
      <c r="G14" s="9">
        <f t="shared" ref="G14:K14" si="14">+G12/C12-1</f>
        <v>-0.35817805383022772</v>
      </c>
      <c r="H14" s="9">
        <f t="shared" si="14"/>
        <v>2.4875748231452928</v>
      </c>
      <c r="I14" s="9">
        <f t="shared" si="14"/>
        <v>0.92838098740461539</v>
      </c>
      <c r="J14" s="9">
        <f t="shared" si="14"/>
        <v>2.3218766001024069</v>
      </c>
      <c r="K14" s="9">
        <f t="shared" si="14"/>
        <v>0.469758064516129</v>
      </c>
      <c r="L14" s="9">
        <f>+L12/H12-1</f>
        <v>0.8133219917555452</v>
      </c>
      <c r="M14" s="10">
        <v>-0.5</v>
      </c>
      <c r="N14" s="10">
        <v>-0.5</v>
      </c>
      <c r="O14" s="4"/>
      <c r="Q14" s="8"/>
      <c r="R14" s="8"/>
      <c r="S14" s="8"/>
      <c r="T14" s="8"/>
      <c r="U14" s="8"/>
      <c r="V14" s="8"/>
      <c r="W14" s="8"/>
      <c r="X14" s="9">
        <f>+X12/W12-1</f>
        <v>0.37077691490773912</v>
      </c>
      <c r="Y14" s="10">
        <f>+Y12/X12-1</f>
        <v>2.3746928646614389</v>
      </c>
      <c r="Z14" s="10">
        <v>0.01</v>
      </c>
      <c r="AA14" s="10">
        <v>0.01</v>
      </c>
      <c r="AB14" s="10">
        <v>0.01</v>
      </c>
      <c r="AC14" s="10">
        <v>0.01</v>
      </c>
      <c r="AD14" s="10">
        <v>0.01</v>
      </c>
      <c r="AE14" s="10">
        <v>0.01</v>
      </c>
      <c r="AF14" s="10">
        <v>0.01</v>
      </c>
      <c r="AG14" s="10">
        <v>0.01</v>
      </c>
      <c r="AH14" s="10">
        <v>0.01</v>
      </c>
      <c r="AI14" s="10"/>
    </row>
    <row r="15" spans="2:35" s="3" customFormat="1">
      <c r="O15" s="4"/>
    </row>
    <row r="16" spans="2:35">
      <c r="B16" s="4" t="s">
        <v>21</v>
      </c>
      <c r="C16" s="4">
        <v>45647</v>
      </c>
      <c r="D16" s="4">
        <v>39339</v>
      </c>
      <c r="E16" s="4">
        <v>72368</v>
      </c>
      <c r="F16" s="4">
        <f>+W16-SUM(C16:E16)</f>
        <v>91856</v>
      </c>
      <c r="G16" s="4">
        <v>89212</v>
      </c>
      <c r="H16" s="4">
        <v>91289</v>
      </c>
      <c r="I16" s="4">
        <v>91551</v>
      </c>
      <c r="J16" s="4">
        <f>+X16-SUM(G16:I16)</f>
        <v>125638</v>
      </c>
      <c r="K16" s="4">
        <v>112890</v>
      </c>
      <c r="L16" s="4">
        <v>95882</v>
      </c>
      <c r="M16" s="4">
        <f>+M7*M11</f>
        <v>86475.034813753577</v>
      </c>
      <c r="N16" s="4">
        <f>+N7*N11</f>
        <v>120046.01965317917</v>
      </c>
      <c r="T16" s="4">
        <v>349408</v>
      </c>
      <c r="U16" s="4">
        <v>326304</v>
      </c>
      <c r="V16" s="4">
        <v>323491</v>
      </c>
      <c r="W16" s="4">
        <v>249210</v>
      </c>
      <c r="X16" s="4">
        <v>397690</v>
      </c>
      <c r="Y16" s="4">
        <f>+SUM(K16:N16)</f>
        <v>415293.05446693272</v>
      </c>
      <c r="Z16" s="4">
        <f>+Z7*Z11</f>
        <v>433145.88232562609</v>
      </c>
      <c r="AA16" s="4">
        <f t="shared" ref="AA16:AH16" si="15">+AA7*AA11</f>
        <v>451762.46752586792</v>
      </c>
      <c r="AB16" s="4">
        <f t="shared" si="15"/>
        <v>471175.34613040806</v>
      </c>
      <c r="AC16" s="4">
        <f t="shared" si="15"/>
        <v>491418.43507527001</v>
      </c>
      <c r="AD16" s="4">
        <f t="shared" si="15"/>
        <v>512527.09058191231</v>
      </c>
      <c r="AE16" s="4">
        <f t="shared" si="15"/>
        <v>534538.16903296555</v>
      </c>
      <c r="AF16" s="4">
        <f t="shared" si="15"/>
        <v>557490.09041517205</v>
      </c>
      <c r="AG16" s="4">
        <f t="shared" si="15"/>
        <v>581422.90443750226</v>
      </c>
      <c r="AH16" s="4">
        <f t="shared" si="15"/>
        <v>606378.3594369546</v>
      </c>
    </row>
    <row r="17" spans="2:188">
      <c r="B17" s="4" t="s">
        <v>22</v>
      </c>
      <c r="C17" s="4">
        <v>333</v>
      </c>
      <c r="D17" s="4">
        <v>865</v>
      </c>
      <c r="E17" s="4">
        <v>1858</v>
      </c>
      <c r="F17" s="4">
        <f>+W17-SUM(C17:E17)</f>
        <v>1370</v>
      </c>
      <c r="G17" s="4">
        <v>2109</v>
      </c>
      <c r="H17" s="4">
        <v>2946</v>
      </c>
      <c r="I17" s="4">
        <v>2749</v>
      </c>
      <c r="J17" s="4">
        <f>+X17-SUM(G17:H17)</f>
        <v>6450</v>
      </c>
      <c r="K17" s="4">
        <v>4286</v>
      </c>
      <c r="L17" s="4">
        <v>4054</v>
      </c>
      <c r="M17" s="4">
        <f>+I17*(1+L37)</f>
        <v>3782.9076714188732</v>
      </c>
      <c r="N17" s="4">
        <f>+J17*(1+M37)</f>
        <v>6450</v>
      </c>
      <c r="T17" s="4">
        <v>6007</v>
      </c>
      <c r="U17" s="4">
        <v>6560</v>
      </c>
      <c r="V17" s="4">
        <v>11892</v>
      </c>
      <c r="W17" s="4">
        <v>4426</v>
      </c>
      <c r="X17" s="4">
        <v>11505</v>
      </c>
      <c r="Y17" s="4">
        <f>+SUM(K17:N17)</f>
        <v>18572.907671418874</v>
      </c>
      <c r="Z17" s="4">
        <f>+Y17*(1+Y37)</f>
        <v>18758.636748133064</v>
      </c>
      <c r="AA17" s="4">
        <f t="shared" ref="AA17:AH17" si="16">+Z17*(1+Z37)</f>
        <v>18946.223115614393</v>
      </c>
      <c r="AB17" s="4">
        <f t="shared" si="16"/>
        <v>19135.685346770537</v>
      </c>
      <c r="AC17" s="4">
        <f t="shared" si="16"/>
        <v>19327.042200238244</v>
      </c>
      <c r="AD17" s="4">
        <f t="shared" si="16"/>
        <v>19520.312622240628</v>
      </c>
      <c r="AE17" s="4">
        <f t="shared" si="16"/>
        <v>19715.515748463036</v>
      </c>
      <c r="AF17" s="4">
        <f t="shared" si="16"/>
        <v>19912.670905947667</v>
      </c>
      <c r="AG17" s="4">
        <f t="shared" si="16"/>
        <v>20111.797615007144</v>
      </c>
      <c r="AH17" s="4">
        <f t="shared" si="16"/>
        <v>20312.915591157216</v>
      </c>
    </row>
    <row r="18" spans="2:188">
      <c r="B18" s="4" t="s">
        <v>27</v>
      </c>
      <c r="C18" s="4">
        <v>644</v>
      </c>
      <c r="D18" s="4">
        <v>149</v>
      </c>
      <c r="E18" s="4">
        <v>447</v>
      </c>
      <c r="F18" s="4">
        <f>+W18-SUM(C18:E18)</f>
        <v>434</v>
      </c>
      <c r="G18" s="4">
        <v>372</v>
      </c>
      <c r="H18" s="4">
        <v>493</v>
      </c>
      <c r="I18" s="4">
        <v>839</v>
      </c>
      <c r="J18" s="4">
        <f>+X18-SUM(G18:H18)</f>
        <v>1462</v>
      </c>
      <c r="K18" s="4">
        <v>486</v>
      </c>
      <c r="L18" s="4">
        <v>749</v>
      </c>
      <c r="M18" s="4">
        <f>+M7*M12</f>
        <v>1994.0616438356165</v>
      </c>
      <c r="N18" s="4">
        <f>+N7*N12</f>
        <v>3533.166666666667</v>
      </c>
      <c r="T18" s="4">
        <v>2451</v>
      </c>
      <c r="U18" s="4">
        <v>3721</v>
      </c>
      <c r="V18" s="4">
        <v>3160</v>
      </c>
      <c r="W18" s="4">
        <v>1674</v>
      </c>
      <c r="X18" s="4">
        <v>2327</v>
      </c>
      <c r="Y18" s="4">
        <f>+SUM(K18:N18)</f>
        <v>6762.2283105022834</v>
      </c>
      <c r="Z18" s="4">
        <f>+Z9*Z12</f>
        <v>6829.8505936073061</v>
      </c>
      <c r="AA18" s="4">
        <f t="shared" ref="AA18:AH18" si="17">+AA9*AA12</f>
        <v>6898.1490995433796</v>
      </c>
      <c r="AB18" s="4">
        <f t="shared" si="17"/>
        <v>6967.1305905388126</v>
      </c>
      <c r="AC18" s="4">
        <f t="shared" si="17"/>
        <v>7036.8018964442008</v>
      </c>
      <c r="AD18" s="4">
        <f t="shared" si="17"/>
        <v>7107.1699154086436</v>
      </c>
      <c r="AE18" s="4">
        <f t="shared" si="17"/>
        <v>7178.2416145627303</v>
      </c>
      <c r="AF18" s="4">
        <f t="shared" si="17"/>
        <v>7250.0240307083577</v>
      </c>
      <c r="AG18" s="4">
        <f t="shared" si="17"/>
        <v>7322.5242710154407</v>
      </c>
      <c r="AH18" s="4">
        <f t="shared" si="17"/>
        <v>7395.7495137255955</v>
      </c>
    </row>
    <row r="19" spans="2:188" s="6" customFormat="1">
      <c r="B19" s="6" t="s">
        <v>23</v>
      </c>
      <c r="C19" s="6">
        <f>+SUM(C16:C18)</f>
        <v>46624</v>
      </c>
      <c r="D19" s="6">
        <f>+SUM(D16:D18)</f>
        <v>40353</v>
      </c>
      <c r="E19" s="6">
        <f>+SUM(E16:E18)</f>
        <v>74673</v>
      </c>
      <c r="F19" s="6">
        <f>+W19-SUM(C19:E19)</f>
        <v>93660</v>
      </c>
      <c r="G19" s="6">
        <f>+SUM(G16:G18)</f>
        <v>91693</v>
      </c>
      <c r="H19" s="6">
        <f>+SUM(H16:H18)</f>
        <v>94728</v>
      </c>
      <c r="I19" s="6">
        <f>+SUM(I16:I18)</f>
        <v>95139</v>
      </c>
      <c r="J19" s="6">
        <f>+X19-SUM(G19:H19)</f>
        <v>225101</v>
      </c>
      <c r="K19" s="6">
        <f>+SUM(K16:K18)</f>
        <v>117662</v>
      </c>
      <c r="L19" s="6">
        <f>+SUM(L16:L18)</f>
        <v>100685</v>
      </c>
      <c r="M19" s="6">
        <f t="shared" ref="M19:N19" si="18">+SUM(M16:M18)</f>
        <v>92252.00412900807</v>
      </c>
      <c r="N19" s="6">
        <f t="shared" si="18"/>
        <v>130029.18631984584</v>
      </c>
      <c r="T19" s="6">
        <f>+SUM(T16:T18)</f>
        <v>357866</v>
      </c>
      <c r="U19" s="6">
        <f>+SUM(U16:U18)</f>
        <v>336585</v>
      </c>
      <c r="V19" s="6">
        <f>+SUM(V16:V18)</f>
        <v>338543</v>
      </c>
      <c r="W19" s="6">
        <f>+SUM(W16:W18)</f>
        <v>255310</v>
      </c>
      <c r="X19" s="6">
        <f>+SUM(X16:X18)</f>
        <v>411522</v>
      </c>
      <c r="Y19" s="6">
        <f>+SUM(K19:N19)</f>
        <v>440628.19044885389</v>
      </c>
      <c r="Z19" s="6">
        <f>SUM(Z16:Z18)</f>
        <v>458734.36966736644</v>
      </c>
      <c r="AA19" s="6">
        <f t="shared" ref="AA19:AH19" si="19">SUM(AA16:AA18)</f>
        <v>477606.8397410257</v>
      </c>
      <c r="AB19" s="6">
        <f t="shared" si="19"/>
        <v>497278.16206771735</v>
      </c>
      <c r="AC19" s="6">
        <f t="shared" si="19"/>
        <v>517782.27917195245</v>
      </c>
      <c r="AD19" s="6">
        <f t="shared" si="19"/>
        <v>539154.57311956154</v>
      </c>
      <c r="AE19" s="6">
        <f t="shared" si="19"/>
        <v>561431.92639599124</v>
      </c>
      <c r="AF19" s="6">
        <f t="shared" si="19"/>
        <v>584652.78535182809</v>
      </c>
      <c r="AG19" s="6">
        <f t="shared" si="19"/>
        <v>608857.22632352484</v>
      </c>
      <c r="AH19" s="6">
        <f t="shared" si="19"/>
        <v>634087.02454183751</v>
      </c>
    </row>
    <row r="20" spans="2:188">
      <c r="B20" s="4" t="s">
        <v>25</v>
      </c>
      <c r="C20" s="4">
        <v>33352</v>
      </c>
      <c r="D20" s="4">
        <v>30233</v>
      </c>
      <c r="E20" s="4">
        <v>38715</v>
      </c>
      <c r="F20" s="4">
        <f>+W20-SUM(C20:E20)</f>
        <v>45483</v>
      </c>
      <c r="G20" s="4">
        <v>42093</v>
      </c>
      <c r="H20" s="4">
        <v>42677</v>
      </c>
      <c r="I20" s="4">
        <v>43918</v>
      </c>
      <c r="J20" s="4">
        <f>+X20-SUM(G20:H20)</f>
        <v>101612</v>
      </c>
      <c r="K20" s="4">
        <v>53600</v>
      </c>
      <c r="L20" s="4">
        <v>48387</v>
      </c>
      <c r="M20" s="13">
        <f>+M16*(1-M41)</f>
        <v>43237.517406876788</v>
      </c>
      <c r="N20" s="13">
        <f>+N16*(1-N41)</f>
        <v>60023.009826589587</v>
      </c>
      <c r="T20" s="4">
        <v>185460</v>
      </c>
      <c r="U20" s="4">
        <v>186834</v>
      </c>
      <c r="V20" s="4">
        <v>176652</v>
      </c>
      <c r="W20" s="4">
        <v>147783</v>
      </c>
      <c r="X20" s="4">
        <v>186382</v>
      </c>
      <c r="Y20" s="4">
        <f>+SUM(K20:N20)</f>
        <v>205247.52723346636</v>
      </c>
      <c r="Z20" s="13">
        <f>+Z16*(1-Z41)</f>
        <v>212241.48233955679</v>
      </c>
      <c r="AA20" s="13">
        <f t="shared" ref="AA20:AH20" si="20">+AA16*(1-AA41)</f>
        <v>221363.60908767529</v>
      </c>
      <c r="AB20" s="13">
        <f t="shared" si="20"/>
        <v>226164.16614259584</v>
      </c>
      <c r="AC20" s="13">
        <f t="shared" si="20"/>
        <v>235880.84883612959</v>
      </c>
      <c r="AD20" s="13">
        <f t="shared" si="20"/>
        <v>240887.73257349877</v>
      </c>
      <c r="AE20" s="13">
        <f t="shared" si="20"/>
        <v>251232.9394454938</v>
      </c>
      <c r="AF20" s="13">
        <f t="shared" si="20"/>
        <v>262020.34249513084</v>
      </c>
      <c r="AG20" s="13">
        <f t="shared" si="20"/>
        <v>267454.53604125103</v>
      </c>
      <c r="AH20" s="13">
        <f t="shared" si="20"/>
        <v>278934.04534099909</v>
      </c>
    </row>
    <row r="21" spans="2:188">
      <c r="B21" s="4" t="s">
        <v>41</v>
      </c>
      <c r="C21" s="4">
        <v>4819</v>
      </c>
      <c r="D21" s="4">
        <v>2063</v>
      </c>
      <c r="E21" s="4">
        <v>162</v>
      </c>
      <c r="F21" s="4">
        <f>+W21-SUM(C21:E21)</f>
        <v>302</v>
      </c>
      <c r="I21" s="4">
        <v>0</v>
      </c>
      <c r="J21" s="4">
        <f>+X21-SUM(G21:H21)</f>
        <v>0</v>
      </c>
      <c r="T21" s="4">
        <v>21</v>
      </c>
      <c r="U21" s="4">
        <v>5195</v>
      </c>
      <c r="V21" s="4">
        <v>0</v>
      </c>
      <c r="W21" s="4">
        <v>7346</v>
      </c>
      <c r="Y21" s="4">
        <f>+SUM(K21:N21)</f>
        <v>0</v>
      </c>
    </row>
    <row r="22" spans="2:188">
      <c r="B22" s="4" t="s">
        <v>26</v>
      </c>
      <c r="C22" s="4">
        <v>140</v>
      </c>
      <c r="D22" s="4">
        <v>387</v>
      </c>
      <c r="E22" s="4">
        <v>782</v>
      </c>
      <c r="F22" s="4">
        <f>+W22-SUM(C22:E22)</f>
        <v>528</v>
      </c>
      <c r="G22" s="4">
        <v>904</v>
      </c>
      <c r="H22" s="4">
        <v>1286</v>
      </c>
      <c r="I22" s="4">
        <v>1060</v>
      </c>
      <c r="J22" s="4">
        <f>+X22-SUM(G22:H22)</f>
        <v>3458</v>
      </c>
      <c r="K22" s="4">
        <v>1946</v>
      </c>
      <c r="L22" s="4">
        <v>1949</v>
      </c>
      <c r="M22" s="13">
        <f>+M17*(1-M42)</f>
        <v>1815.795682281059</v>
      </c>
      <c r="N22" s="13">
        <f>+N17*(1-N42)</f>
        <v>3096</v>
      </c>
      <c r="T22" s="4">
        <v>2867</v>
      </c>
      <c r="U22" s="4">
        <v>3317</v>
      </c>
      <c r="V22" s="4">
        <v>5432</v>
      </c>
      <c r="W22" s="4">
        <v>1837</v>
      </c>
      <c r="X22" s="4">
        <v>5648</v>
      </c>
      <c r="Y22" s="4">
        <f>+SUM(K22:N22)</f>
        <v>8806.7956822810593</v>
      </c>
      <c r="Z22" s="13">
        <f>+Z17*(1-Z42)</f>
        <v>9004.1456391038701</v>
      </c>
      <c r="AA22" s="13">
        <f t="shared" ref="AA22:AH22" si="21">+AA17*(1-AA42)</f>
        <v>8904.7248643387647</v>
      </c>
      <c r="AB22" s="13">
        <f t="shared" si="21"/>
        <v>8993.7721129821512</v>
      </c>
      <c r="AC22" s="13">
        <f t="shared" si="21"/>
        <v>9083.7098341119745</v>
      </c>
      <c r="AD22" s="13">
        <f t="shared" si="21"/>
        <v>9174.546932453095</v>
      </c>
      <c r="AE22" s="13">
        <f t="shared" si="21"/>
        <v>9266.2924017776259</v>
      </c>
      <c r="AF22" s="13">
        <f t="shared" si="21"/>
        <v>9358.955325795403</v>
      </c>
      <c r="AG22" s="13">
        <f t="shared" si="21"/>
        <v>9452.5448790533574</v>
      </c>
      <c r="AH22" s="13">
        <f t="shared" si="21"/>
        <v>9547.0703278438905</v>
      </c>
    </row>
    <row r="23" spans="2:188">
      <c r="B23" s="4" t="s">
        <v>27</v>
      </c>
      <c r="C23" s="4">
        <v>255</v>
      </c>
      <c r="D23" s="4">
        <v>130</v>
      </c>
      <c r="E23" s="4">
        <v>251</v>
      </c>
      <c r="F23" s="4">
        <f>+W23-SUM(C23:E23)</f>
        <v>299</v>
      </c>
      <c r="G23" s="4">
        <v>268</v>
      </c>
      <c r="H23" s="4">
        <v>365</v>
      </c>
      <c r="I23" s="4">
        <v>547</v>
      </c>
      <c r="J23" s="4">
        <f>+X23-SUM(G23:H23)</f>
        <v>904</v>
      </c>
      <c r="K23" s="4">
        <v>288</v>
      </c>
      <c r="L23" s="4">
        <v>437</v>
      </c>
      <c r="M23" s="13">
        <f>+M18*(1-M43)</f>
        <v>1196.4369863013699</v>
      </c>
      <c r="N23" s="13">
        <f>+N18*(1-N43)</f>
        <v>2119.9</v>
      </c>
      <c r="T23" s="4">
        <v>545</v>
      </c>
      <c r="U23" s="4">
        <v>2485</v>
      </c>
      <c r="V23" s="4">
        <v>2836</v>
      </c>
      <c r="W23" s="4">
        <v>935</v>
      </c>
      <c r="X23" s="4">
        <v>1537</v>
      </c>
      <c r="Y23" s="4">
        <f>+SUM(K23:N23)</f>
        <v>4041.33698630137</v>
      </c>
      <c r="Z23" s="13">
        <f>+Z18*(1-Z43)</f>
        <v>4166.2088621004568</v>
      </c>
      <c r="AA23" s="13">
        <f t="shared" ref="AA23:AH23" si="22">+AA18*(1-AA43)</f>
        <v>4138.8894597260278</v>
      </c>
      <c r="AB23" s="13">
        <f t="shared" si="22"/>
        <v>4180.2783543232872</v>
      </c>
      <c r="AC23" s="13">
        <f t="shared" si="22"/>
        <v>4222.0811378665203</v>
      </c>
      <c r="AD23" s="13">
        <f t="shared" si="22"/>
        <v>4193.2302500911001</v>
      </c>
      <c r="AE23" s="13">
        <f t="shared" si="22"/>
        <v>4235.1625525920117</v>
      </c>
      <c r="AF23" s="13">
        <f t="shared" si="22"/>
        <v>4277.5141781179318</v>
      </c>
      <c r="AG23" s="13">
        <f t="shared" si="22"/>
        <v>4320.2893198991105</v>
      </c>
      <c r="AH23" s="13">
        <f t="shared" si="22"/>
        <v>4363.4922130981022</v>
      </c>
    </row>
    <row r="24" spans="2:188">
      <c r="B24" s="4" t="s">
        <v>28</v>
      </c>
      <c r="C24" s="4">
        <f>+SUM(C20:C23)</f>
        <v>38566</v>
      </c>
      <c r="D24" s="4">
        <f>+SUM(D20:D23)</f>
        <v>32813</v>
      </c>
      <c r="E24" s="4">
        <f>+SUM(E20:E23)</f>
        <v>39910</v>
      </c>
      <c r="F24" s="4">
        <f>+W24-SUM(C24:E24)</f>
        <v>46612</v>
      </c>
      <c r="G24" s="4">
        <f>+SUM(G20:G23)</f>
        <v>43265</v>
      </c>
      <c r="H24" s="4">
        <f>+SUM(H20:H23)</f>
        <v>44328</v>
      </c>
      <c r="I24" s="4">
        <f>+SUM(I20:I23)</f>
        <v>45525</v>
      </c>
      <c r="J24" s="4">
        <f>+X24-SUM(G24:H24)</f>
        <v>105974</v>
      </c>
      <c r="K24" s="4">
        <f>+SUM(K20:K23)</f>
        <v>55834</v>
      </c>
      <c r="L24" s="4">
        <f>+SUM(L20:L23)</f>
        <v>50773</v>
      </c>
      <c r="M24" s="4">
        <f t="shared" ref="M24:N24" si="23">+SUM(M20:M23)</f>
        <v>46249.750075459218</v>
      </c>
      <c r="N24" s="4">
        <f t="shared" si="23"/>
        <v>65238.909826589588</v>
      </c>
      <c r="T24" s="4">
        <f>+SUM(T20:T23)</f>
        <v>188893</v>
      </c>
      <c r="U24" s="4">
        <f>+SUM(U20:U23)</f>
        <v>197831</v>
      </c>
      <c r="V24" s="4">
        <f>+SUM(V20:V23)</f>
        <v>184920</v>
      </c>
      <c r="W24" s="4">
        <f>+SUM(W20:W23)</f>
        <v>157901</v>
      </c>
      <c r="X24" s="4">
        <f>+SUM(X20:X23)</f>
        <v>193567</v>
      </c>
      <c r="Y24" s="4">
        <f>+SUM(K24:N24)</f>
        <v>218095.65990204882</v>
      </c>
      <c r="Z24" s="4">
        <f>+SUM(Z20:Z23)</f>
        <v>225411.83684076113</v>
      </c>
      <c r="AA24" s="4">
        <f t="shared" ref="AA24:AH24" si="24">+SUM(AA20:AA23)</f>
        <v>234407.22341174007</v>
      </c>
      <c r="AB24" s="4">
        <f t="shared" si="24"/>
        <v>239338.21660990128</v>
      </c>
      <c r="AC24" s="4">
        <f t="shared" si="24"/>
        <v>249186.63980810807</v>
      </c>
      <c r="AD24" s="4">
        <f t="shared" si="24"/>
        <v>254255.50975604294</v>
      </c>
      <c r="AE24" s="4">
        <f t="shared" si="24"/>
        <v>264734.39439986343</v>
      </c>
      <c r="AF24" s="4">
        <f t="shared" si="24"/>
        <v>275656.81199904415</v>
      </c>
      <c r="AG24" s="4">
        <f t="shared" si="24"/>
        <v>281227.37024020351</v>
      </c>
      <c r="AH24" s="4">
        <f t="shared" si="24"/>
        <v>292844.60788194108</v>
      </c>
    </row>
    <row r="25" spans="2:188" s="6" customFormat="1">
      <c r="B25" s="6" t="s">
        <v>24</v>
      </c>
      <c r="C25" s="6">
        <f>+C19-C24</f>
        <v>8058</v>
      </c>
      <c r="D25" s="6">
        <f>+D19-D24</f>
        <v>7540</v>
      </c>
      <c r="E25" s="6">
        <f>+E19-E24</f>
        <v>34763</v>
      </c>
      <c r="F25" s="6">
        <f>+W25-SUM(C25:E25)</f>
        <v>47048</v>
      </c>
      <c r="G25" s="6">
        <f>+G19-G24</f>
        <v>48428</v>
      </c>
      <c r="H25" s="6">
        <f>+H19-H24</f>
        <v>50400</v>
      </c>
      <c r="I25" s="6">
        <f>+I19-I24</f>
        <v>49614</v>
      </c>
      <c r="J25" s="6">
        <f>+X25-SUM(G25:H25)</f>
        <v>119127</v>
      </c>
      <c r="K25" s="6">
        <f>+K19-K24</f>
        <v>61828</v>
      </c>
      <c r="L25" s="6">
        <f>+L19-L24</f>
        <v>49912</v>
      </c>
      <c r="M25" s="6">
        <f t="shared" ref="M25:N25" si="25">+M19-M24</f>
        <v>46002.254053548852</v>
      </c>
      <c r="N25" s="6">
        <f t="shared" si="25"/>
        <v>64790.276493256257</v>
      </c>
      <c r="T25" s="6">
        <f>+T19-T24</f>
        <v>168973</v>
      </c>
      <c r="U25" s="6">
        <f>+U19-U24</f>
        <v>138754</v>
      </c>
      <c r="V25" s="6">
        <f>+V19-V24</f>
        <v>153623</v>
      </c>
      <c r="W25" s="6">
        <f>+W19-W24</f>
        <v>97409</v>
      </c>
      <c r="X25" s="6">
        <f>+X19-X24</f>
        <v>217955</v>
      </c>
      <c r="Y25" s="4">
        <f>+SUM(K25:N25)</f>
        <v>222532.53054680512</v>
      </c>
      <c r="Z25" s="6">
        <f>+Z19-Z24</f>
        <v>233322.53282660531</v>
      </c>
      <c r="AA25" s="6">
        <f t="shared" ref="AA25:AH25" si="26">+AA19-AA24</f>
        <v>243199.61632928564</v>
      </c>
      <c r="AB25" s="6">
        <f t="shared" si="26"/>
        <v>257939.94545781607</v>
      </c>
      <c r="AC25" s="6">
        <f t="shared" si="26"/>
        <v>268595.63936384441</v>
      </c>
      <c r="AD25" s="6">
        <f t="shared" si="26"/>
        <v>284899.06336351857</v>
      </c>
      <c r="AE25" s="6">
        <f t="shared" si="26"/>
        <v>296697.5319961278</v>
      </c>
      <c r="AF25" s="6">
        <f t="shared" si="26"/>
        <v>308995.97335278394</v>
      </c>
      <c r="AG25" s="6">
        <f t="shared" si="26"/>
        <v>327629.85608332133</v>
      </c>
      <c r="AH25" s="6">
        <f t="shared" si="26"/>
        <v>341242.41665989644</v>
      </c>
    </row>
    <row r="26" spans="2:188">
      <c r="B26" s="4" t="s">
        <v>29</v>
      </c>
      <c r="C26" s="4">
        <v>26725</v>
      </c>
      <c r="D26" s="4">
        <v>21516</v>
      </c>
      <c r="E26" s="4">
        <v>33091</v>
      </c>
      <c r="F26" s="4">
        <f>+W26-SUM(C26:E26)</f>
        <v>36253</v>
      </c>
      <c r="G26" s="4">
        <v>35242</v>
      </c>
      <c r="H26" s="4">
        <v>40919</v>
      </c>
      <c r="I26" s="4">
        <v>41709</v>
      </c>
      <c r="J26" s="4">
        <f>+X26-SUM(G26:H26)</f>
        <v>91089</v>
      </c>
      <c r="K26" s="4">
        <v>43620</v>
      </c>
      <c r="L26" s="4">
        <v>42264</v>
      </c>
      <c r="M26" s="4">
        <f>+M19*(L26/L19)</f>
        <v>38724.126756799888</v>
      </c>
      <c r="N26" s="4">
        <f>+N19*(M26/M19)</f>
        <v>54581.650996890945</v>
      </c>
      <c r="T26" s="4">
        <v>155149</v>
      </c>
      <c r="U26" s="4">
        <v>157176</v>
      </c>
      <c r="V26" s="4">
        <v>152047</v>
      </c>
      <c r="W26" s="4">
        <v>117585</v>
      </c>
      <c r="X26" s="4">
        <v>167250</v>
      </c>
      <c r="Y26" s="4">
        <f>+SUM(K26:N26)</f>
        <v>179189.77775369084</v>
      </c>
      <c r="Z26" s="4">
        <f>+Z19*(Y26/Y19)</f>
        <v>186552.99758497023</v>
      </c>
      <c r="AA26" s="4">
        <f t="shared" ref="AA26:AH26" si="27">+AA19*(Z26/Z19)</f>
        <v>194227.84406884431</v>
      </c>
      <c r="AB26" s="4">
        <f t="shared" si="27"/>
        <v>202227.55891289545</v>
      </c>
      <c r="AC26" s="4">
        <f t="shared" si="27"/>
        <v>210565.94548593977</v>
      </c>
      <c r="AD26" s="4">
        <f t="shared" si="27"/>
        <v>219257.39257346594</v>
      </c>
      <c r="AE26" s="4">
        <f t="shared" si="27"/>
        <v>228316.89913494469</v>
      </c>
      <c r="AF26" s="4">
        <f t="shared" si="27"/>
        <v>237760.1001051495</v>
      </c>
      <c r="AG26" s="4">
        <f t="shared" si="27"/>
        <v>247603.29328339919</v>
      </c>
      <c r="AH26" s="4">
        <f t="shared" si="27"/>
        <v>257863.46735647562</v>
      </c>
    </row>
    <row r="27" spans="2:188">
      <c r="B27" s="4" t="s">
        <v>30</v>
      </c>
      <c r="C27" s="4">
        <v>-3</v>
      </c>
      <c r="D27" s="4">
        <v>7</v>
      </c>
      <c r="E27" s="4">
        <v>2</v>
      </c>
      <c r="F27" s="4">
        <f>+W27-SUM(C27:E27)</f>
        <v>4</v>
      </c>
      <c r="G27" s="4">
        <v>5</v>
      </c>
      <c r="H27" s="4">
        <v>8</v>
      </c>
      <c r="I27" s="4">
        <v>-2</v>
      </c>
      <c r="J27" s="4">
        <f>+X27-SUM(G27:H27)</f>
        <v>-18</v>
      </c>
      <c r="K27" s="4">
        <v>18</v>
      </c>
      <c r="L27" s="4">
        <v>3</v>
      </c>
      <c r="M27" s="4">
        <f>+M25*(L27/L25)</f>
        <v>2.7650016461100848</v>
      </c>
      <c r="N27" s="4">
        <f>+N25*(M27/M25)</f>
        <v>3.8942705056853817</v>
      </c>
      <c r="T27" s="4">
        <v>11</v>
      </c>
      <c r="U27" s="4">
        <v>85</v>
      </c>
      <c r="V27" s="4">
        <v>15</v>
      </c>
      <c r="W27" s="4">
        <v>10</v>
      </c>
      <c r="X27" s="4">
        <v>-5</v>
      </c>
      <c r="Y27" s="4">
        <f>+SUM(K27:N27)</f>
        <v>27.659272151795466</v>
      </c>
      <c r="Z27" s="4">
        <f>+Z25*(Y27/Y25)</f>
        <v>29.000395666825625</v>
      </c>
      <c r="AA27" s="4">
        <f t="shared" ref="AA27:AH27" si="28">+AA25*(Z27/Z25)</f>
        <v>30.228049619240387</v>
      </c>
      <c r="AB27" s="4">
        <f t="shared" si="28"/>
        <v>32.060171754243513</v>
      </c>
      <c r="AC27" s="4">
        <f t="shared" si="28"/>
        <v>33.384601656644129</v>
      </c>
      <c r="AD27" s="4">
        <f t="shared" si="28"/>
        <v>35.411005797670398</v>
      </c>
      <c r="AE27" s="4">
        <f t="shared" si="28"/>
        <v>36.877474785740986</v>
      </c>
      <c r="AF27" s="4">
        <f t="shared" si="28"/>
        <v>38.40608696523131</v>
      </c>
      <c r="AG27" s="4">
        <f t="shared" si="28"/>
        <v>40.722151193783155</v>
      </c>
      <c r="AH27" s="4">
        <f t="shared" si="28"/>
        <v>42.414099408029074</v>
      </c>
    </row>
    <row r="28" spans="2:188">
      <c r="B28" s="4" t="s">
        <v>31</v>
      </c>
      <c r="C28" s="4">
        <f>+C25-SUM(C26:C27)</f>
        <v>-18664</v>
      </c>
      <c r="D28" s="4">
        <f>+D25-SUM(D26:D27)</f>
        <v>-13983</v>
      </c>
      <c r="E28" s="4">
        <f>+E25-SUM(E26:E27)</f>
        <v>1670</v>
      </c>
      <c r="F28" s="4">
        <f>+W28-SUM(C28:E28)</f>
        <v>10791</v>
      </c>
      <c r="G28" s="4">
        <f>+G25-SUM(G26:G27)</f>
        <v>13181</v>
      </c>
      <c r="H28" s="4">
        <f>+H25-SUM(H26:H27)</f>
        <v>9473</v>
      </c>
      <c r="I28" s="4">
        <f>+I25-SUM(I26:I27)</f>
        <v>7907</v>
      </c>
      <c r="J28" s="4">
        <f>+X28-SUM(G28:H28)</f>
        <v>28056</v>
      </c>
      <c r="K28" s="4">
        <f>+K25-SUM(K26:K27)</f>
        <v>18190</v>
      </c>
      <c r="L28" s="4">
        <f>+L25-SUM(L26:L27)</f>
        <v>7645</v>
      </c>
      <c r="M28" s="4">
        <f t="shared" ref="M28:N28" si="29">+M25-SUM(M26:M27)</f>
        <v>7275.3622951028519</v>
      </c>
      <c r="N28" s="4">
        <f t="shared" si="29"/>
        <v>10204.731225859628</v>
      </c>
      <c r="T28" s="4">
        <f>+T25-SUM(T26:T27)</f>
        <v>13813</v>
      </c>
      <c r="U28" s="4">
        <f>+U25-SUM(U26:U27)</f>
        <v>-18507</v>
      </c>
      <c r="V28" s="4">
        <f>+V25-SUM(V26:V27)</f>
        <v>1561</v>
      </c>
      <c r="W28" s="4">
        <f>+W25-SUM(W26:W27)</f>
        <v>-20186</v>
      </c>
      <c r="X28" s="4">
        <f>+X25-SUM(X26:X27)</f>
        <v>50710</v>
      </c>
      <c r="Y28" s="4">
        <f>+SUM(K28:N28)</f>
        <v>43315.09352096248</v>
      </c>
      <c r="Z28" s="4">
        <f>+Z25-SUM(Z26:Z27)</f>
        <v>46740.534845968243</v>
      </c>
      <c r="AA28" s="4">
        <f t="shared" ref="AA28:AH28" si="30">+AA25-SUM(AA26:AA27)</f>
        <v>48941.544210822089</v>
      </c>
      <c r="AB28" s="4">
        <f t="shared" si="30"/>
        <v>55680.326373166376</v>
      </c>
      <c r="AC28" s="4">
        <f t="shared" si="30"/>
        <v>57996.309276248008</v>
      </c>
      <c r="AD28" s="4">
        <f t="shared" si="30"/>
        <v>65606.259784254944</v>
      </c>
      <c r="AE28" s="4">
        <f t="shared" si="30"/>
        <v>68343.755386397359</v>
      </c>
      <c r="AF28" s="4">
        <f t="shared" si="30"/>
        <v>71197.467160669214</v>
      </c>
      <c r="AG28" s="4">
        <f t="shared" si="30"/>
        <v>79985.840648728336</v>
      </c>
      <c r="AH28" s="4">
        <f t="shared" si="30"/>
        <v>83336.535204012791</v>
      </c>
    </row>
    <row r="29" spans="2:188">
      <c r="B29" s="4" t="s">
        <v>32</v>
      </c>
      <c r="C29" s="4">
        <v>2540</v>
      </c>
      <c r="D29" s="4">
        <v>-74</v>
      </c>
      <c r="E29" s="4">
        <v>10</v>
      </c>
      <c r="F29" s="4">
        <f>+W29-SUM(C29:E29)</f>
        <v>321</v>
      </c>
      <c r="G29" s="4">
        <v>2801</v>
      </c>
      <c r="H29" s="4">
        <v>2638</v>
      </c>
      <c r="I29" s="4">
        <v>1984</v>
      </c>
      <c r="J29" s="4">
        <f>+X29-SUM(G29:H29)</f>
        <v>-1994</v>
      </c>
      <c r="K29" s="4">
        <v>3999</v>
      </c>
      <c r="L29" s="4">
        <v>1815</v>
      </c>
      <c r="M29" s="4">
        <f>+M28*(L29/L28)</f>
        <v>1727.2442858877273</v>
      </c>
      <c r="N29" s="4">
        <f>+N28*(M29/M28)</f>
        <v>2422.7059744846601</v>
      </c>
      <c r="T29" s="4">
        <v>5897</v>
      </c>
      <c r="U29" s="4">
        <v>-574</v>
      </c>
      <c r="V29" s="4">
        <v>1300</v>
      </c>
      <c r="W29" s="4">
        <v>2797</v>
      </c>
      <c r="X29" s="4">
        <v>3445</v>
      </c>
      <c r="Y29" s="4">
        <f>+SUM(K29:N29)</f>
        <v>9963.9502603723886</v>
      </c>
      <c r="Z29" s="4">
        <f>+Z28*(Y29/Y28)</f>
        <v>10751.918707575758</v>
      </c>
      <c r="AA29" s="4">
        <f t="shared" ref="AA29:AH29" si="31">+AA28*(Z29/Z28)</f>
        <v>11258.226002593005</v>
      </c>
      <c r="AB29" s="4">
        <f t="shared" si="31"/>
        <v>12808.375957794837</v>
      </c>
      <c r="AC29" s="4">
        <f t="shared" si="31"/>
        <v>13341.131091730087</v>
      </c>
      <c r="AD29" s="4">
        <f t="shared" si="31"/>
        <v>15091.679507583809</v>
      </c>
      <c r="AE29" s="4">
        <f t="shared" si="31"/>
        <v>15721.396952486353</v>
      </c>
      <c r="AF29" s="4">
        <f t="shared" si="31"/>
        <v>16377.848084527033</v>
      </c>
      <c r="AG29" s="4">
        <f t="shared" si="31"/>
        <v>18399.474016425764</v>
      </c>
      <c r="AH29" s="4">
        <f t="shared" si="31"/>
        <v>19170.248154784662</v>
      </c>
    </row>
    <row r="30" spans="2:188">
      <c r="B30" s="4" t="s">
        <v>33</v>
      </c>
      <c r="C30" s="4">
        <f>+C28-C29</f>
        <v>-21204</v>
      </c>
      <c r="D30" s="4">
        <f>+D28-D29</f>
        <v>-13909</v>
      </c>
      <c r="E30" s="4">
        <f>+E28-E29</f>
        <v>1660</v>
      </c>
      <c r="F30" s="4">
        <f>+W30-SUM(C30:E30)</f>
        <v>10470</v>
      </c>
      <c r="G30" s="4">
        <f>+G28-G29</f>
        <v>10380</v>
      </c>
      <c r="H30" s="4">
        <f>+H28-H29</f>
        <v>6835</v>
      </c>
      <c r="I30" s="4">
        <f>+I28-I29</f>
        <v>5923</v>
      </c>
      <c r="J30" s="4">
        <f>+X30-SUM(G30:H30)</f>
        <v>30050</v>
      </c>
      <c r="K30" s="4">
        <f>+K28-K29</f>
        <v>14191</v>
      </c>
      <c r="L30" s="4">
        <f>+L28-L29</f>
        <v>5830</v>
      </c>
      <c r="M30" s="4">
        <f t="shared" ref="M30:N30" si="32">+M28-M29</f>
        <v>5548.1180092151244</v>
      </c>
      <c r="N30" s="4">
        <f t="shared" si="32"/>
        <v>7782.0252513749683</v>
      </c>
      <c r="T30" s="4">
        <f>+T28-T29</f>
        <v>7916</v>
      </c>
      <c r="U30" s="4">
        <f>+U28-U29</f>
        <v>-17933</v>
      </c>
      <c r="V30" s="4">
        <f>+V28-V29</f>
        <v>261</v>
      </c>
      <c r="W30" s="4">
        <f>+W28-W29</f>
        <v>-22983</v>
      </c>
      <c r="X30" s="4">
        <f>+X28-X29</f>
        <v>47265</v>
      </c>
      <c r="Y30" s="4">
        <f>+SUM(K30:N30)</f>
        <v>33351.143260590092</v>
      </c>
      <c r="Z30" s="4">
        <f>+Z28-Z29</f>
        <v>35988.616138392485</v>
      </c>
      <c r="AA30" s="4">
        <f t="shared" ref="AA30:AH30" si="33">+AA28-AA29</f>
        <v>37683.318208229088</v>
      </c>
      <c r="AB30" s="4">
        <f t="shared" si="33"/>
        <v>42871.950415371539</v>
      </c>
      <c r="AC30" s="4">
        <f t="shared" si="33"/>
        <v>44655.178184517921</v>
      </c>
      <c r="AD30" s="4">
        <f t="shared" si="33"/>
        <v>50514.580276671135</v>
      </c>
      <c r="AE30" s="4">
        <f t="shared" si="33"/>
        <v>52622.358433911009</v>
      </c>
      <c r="AF30" s="4">
        <f t="shared" si="33"/>
        <v>54819.619076142182</v>
      </c>
      <c r="AG30" s="4">
        <f t="shared" si="33"/>
        <v>61586.366632302568</v>
      </c>
      <c r="AH30" s="4">
        <f t="shared" si="33"/>
        <v>64166.287049228129</v>
      </c>
    </row>
    <row r="31" spans="2:188">
      <c r="B31" s="4" t="s">
        <v>36</v>
      </c>
      <c r="C31" s="4">
        <v>170</v>
      </c>
      <c r="D31" s="4">
        <v>-429</v>
      </c>
      <c r="E31" s="4">
        <v>26</v>
      </c>
      <c r="F31" s="4">
        <f>+W31-SUM(C31:E31)</f>
        <v>-368</v>
      </c>
      <c r="G31" s="4">
        <v>83</v>
      </c>
      <c r="H31" s="4">
        <v>-47</v>
      </c>
      <c r="I31" s="4">
        <v>84</v>
      </c>
      <c r="J31" s="4">
        <f>+X31-SUM(G31:H31)</f>
        <v>109</v>
      </c>
      <c r="K31" s="4">
        <v>18</v>
      </c>
      <c r="L31" s="4">
        <v>67</v>
      </c>
      <c r="M31" s="4">
        <f>+L31</f>
        <v>67</v>
      </c>
      <c r="N31" s="4">
        <f>+M31</f>
        <v>67</v>
      </c>
      <c r="T31" s="4">
        <v>1165</v>
      </c>
      <c r="U31" s="4">
        <v>-1218</v>
      </c>
      <c r="V31" s="4">
        <v>-60</v>
      </c>
      <c r="W31" s="4">
        <v>-601</v>
      </c>
      <c r="X31" s="4">
        <v>145</v>
      </c>
      <c r="Y31" s="4">
        <f>+SUM(K31:N31)</f>
        <v>219</v>
      </c>
      <c r="Z31" s="4">
        <f>+Y31</f>
        <v>219</v>
      </c>
      <c r="AA31" s="4">
        <f t="shared" ref="AA31:AH31" si="34">+Z31</f>
        <v>219</v>
      </c>
      <c r="AB31" s="4">
        <f t="shared" si="34"/>
        <v>219</v>
      </c>
      <c r="AC31" s="4">
        <f t="shared" si="34"/>
        <v>219</v>
      </c>
      <c r="AD31" s="4">
        <f t="shared" si="34"/>
        <v>219</v>
      </c>
      <c r="AE31" s="4">
        <f t="shared" si="34"/>
        <v>219</v>
      </c>
      <c r="AF31" s="4">
        <f t="shared" si="34"/>
        <v>219</v>
      </c>
      <c r="AG31" s="4">
        <f t="shared" si="34"/>
        <v>219</v>
      </c>
      <c r="AH31" s="4">
        <f t="shared" si="34"/>
        <v>219</v>
      </c>
    </row>
    <row r="32" spans="2:188" s="6" customFormat="1">
      <c r="B32" s="6" t="s">
        <v>33</v>
      </c>
      <c r="C32" s="6">
        <f>+C30+C31</f>
        <v>-21034</v>
      </c>
      <c r="D32" s="6">
        <f>+D30+D31</f>
        <v>-14338</v>
      </c>
      <c r="E32" s="6">
        <f>+E30+E31</f>
        <v>1686</v>
      </c>
      <c r="F32" s="6">
        <f>+W32-SUM(C32:E32)</f>
        <v>10102</v>
      </c>
      <c r="G32" s="6">
        <f>+G30+G31</f>
        <v>10463</v>
      </c>
      <c r="H32" s="6">
        <f>+H30+H31</f>
        <v>6788</v>
      </c>
      <c r="I32" s="6">
        <f>+I30+I31</f>
        <v>6007</v>
      </c>
      <c r="J32" s="6">
        <f>+X32-SUM(G32:H32)</f>
        <v>30159</v>
      </c>
      <c r="K32" s="6">
        <f>+K30+K31</f>
        <v>14209</v>
      </c>
      <c r="L32" s="6">
        <f>+L30+L31</f>
        <v>5897</v>
      </c>
      <c r="M32" s="6">
        <f>+M30+M31</f>
        <v>5615.1180092151244</v>
      </c>
      <c r="N32" s="6">
        <f>+N30+N31</f>
        <v>7849.0252513749683</v>
      </c>
      <c r="T32" s="6">
        <f>+T30+T31</f>
        <v>9081</v>
      </c>
      <c r="U32" s="6">
        <f>+U30+U31</f>
        <v>-19151</v>
      </c>
      <c r="V32" s="6">
        <f>+V30+V31</f>
        <v>201</v>
      </c>
      <c r="W32" s="6">
        <f>+W30+W31</f>
        <v>-23584</v>
      </c>
      <c r="X32" s="6">
        <f>+X30+X31</f>
        <v>47410</v>
      </c>
      <c r="Y32" s="6">
        <f>+SUM(K32:N32)</f>
        <v>33570.143260590092</v>
      </c>
      <c r="Z32" s="6">
        <f>+Z30+Z31</f>
        <v>36207.616138392485</v>
      </c>
      <c r="AA32" s="6">
        <f t="shared" ref="AA32:AH32" si="35">+AA30+AA31</f>
        <v>37902.318208229088</v>
      </c>
      <c r="AB32" s="6">
        <f t="shared" si="35"/>
        <v>43090.950415371539</v>
      </c>
      <c r="AC32" s="6">
        <f t="shared" si="35"/>
        <v>44874.178184517921</v>
      </c>
      <c r="AD32" s="6">
        <f t="shared" si="35"/>
        <v>50733.580276671135</v>
      </c>
      <c r="AE32" s="6">
        <f t="shared" si="35"/>
        <v>52841.358433911009</v>
      </c>
      <c r="AF32" s="6">
        <f t="shared" si="35"/>
        <v>55038.619076142182</v>
      </c>
      <c r="AG32" s="6">
        <f t="shared" si="35"/>
        <v>61805.366632302568</v>
      </c>
      <c r="AH32" s="6">
        <f t="shared" si="35"/>
        <v>64385.287049228129</v>
      </c>
      <c r="AI32" s="6">
        <f>+AH32*(1+$AL$34)</f>
        <v>63741.43417873585</v>
      </c>
      <c r="AJ32" s="6">
        <f>+AI32*(1+$AL$34)</f>
        <v>63104.019836948493</v>
      </c>
      <c r="AK32" s="6">
        <f t="shared" ref="AK32:CV32" si="36">+AJ32*(1+$AL$34)</f>
        <v>62472.97963857901</v>
      </c>
      <c r="AL32" s="6">
        <f t="shared" si="36"/>
        <v>61848.249842193218</v>
      </c>
      <c r="AM32" s="6">
        <f t="shared" si="36"/>
        <v>61229.767343771287</v>
      </c>
      <c r="AN32" s="6">
        <f t="shared" si="36"/>
        <v>60617.469670333572</v>
      </c>
      <c r="AO32" s="6">
        <f t="shared" si="36"/>
        <v>60011.294973630233</v>
      </c>
      <c r="AP32" s="6">
        <f t="shared" si="36"/>
        <v>59411.182023893933</v>
      </c>
      <c r="AQ32" s="6">
        <f t="shared" si="36"/>
        <v>58817.070203654992</v>
      </c>
      <c r="AR32" s="6">
        <f t="shared" si="36"/>
        <v>58228.899501618442</v>
      </c>
      <c r="AS32" s="6">
        <f t="shared" si="36"/>
        <v>57646.610506602257</v>
      </c>
      <c r="AT32" s="6">
        <f t="shared" si="36"/>
        <v>57070.144401536236</v>
      </c>
      <c r="AU32" s="6">
        <f t="shared" si="36"/>
        <v>56499.442957520871</v>
      </c>
      <c r="AV32" s="6">
        <f t="shared" si="36"/>
        <v>55934.448527945664</v>
      </c>
      <c r="AW32" s="6">
        <f t="shared" si="36"/>
        <v>55375.104042666208</v>
      </c>
      <c r="AX32" s="6">
        <f t="shared" si="36"/>
        <v>54821.353002239543</v>
      </c>
      <c r="AY32" s="6">
        <f t="shared" si="36"/>
        <v>54273.139472217146</v>
      </c>
      <c r="AZ32" s="6">
        <f t="shared" si="36"/>
        <v>53730.408077494976</v>
      </c>
      <c r="BA32" s="6">
        <f t="shared" si="36"/>
        <v>53193.103996720027</v>
      </c>
      <c r="BB32" s="6">
        <f t="shared" si="36"/>
        <v>52661.172956752824</v>
      </c>
      <c r="BC32" s="6">
        <f t="shared" si="36"/>
        <v>52134.561227185295</v>
      </c>
      <c r="BD32" s="6">
        <f t="shared" si="36"/>
        <v>51613.215614913439</v>
      </c>
      <c r="BE32" s="6">
        <f t="shared" si="36"/>
        <v>51097.083458764304</v>
      </c>
      <c r="BF32" s="6">
        <f t="shared" si="36"/>
        <v>50586.112624176661</v>
      </c>
      <c r="BG32" s="6">
        <f t="shared" si="36"/>
        <v>50080.251497934893</v>
      </c>
      <c r="BH32" s="6">
        <f t="shared" si="36"/>
        <v>49579.448982955546</v>
      </c>
      <c r="BI32" s="6">
        <f t="shared" si="36"/>
        <v>49083.654493125992</v>
      </c>
      <c r="BJ32" s="6">
        <f t="shared" si="36"/>
        <v>48592.81794819473</v>
      </c>
      <c r="BK32" s="6">
        <f t="shared" si="36"/>
        <v>48106.889768712783</v>
      </c>
      <c r="BL32" s="6">
        <f t="shared" si="36"/>
        <v>47625.820871025651</v>
      </c>
      <c r="BM32" s="6">
        <f t="shared" si="36"/>
        <v>47149.562662315395</v>
      </c>
      <c r="BN32" s="6">
        <f t="shared" si="36"/>
        <v>46678.067035692242</v>
      </c>
      <c r="BO32" s="6">
        <f t="shared" si="36"/>
        <v>46211.28636533532</v>
      </c>
      <c r="BP32" s="6">
        <f t="shared" si="36"/>
        <v>45749.173501681966</v>
      </c>
      <c r="BQ32" s="6">
        <f t="shared" si="36"/>
        <v>45291.681766665148</v>
      </c>
      <c r="BR32" s="6">
        <f t="shared" si="36"/>
        <v>44838.764948998498</v>
      </c>
      <c r="BS32" s="6">
        <f t="shared" si="36"/>
        <v>44390.377299508509</v>
      </c>
      <c r="BT32" s="6">
        <f t="shared" si="36"/>
        <v>43946.473526513422</v>
      </c>
      <c r="BU32" s="6">
        <f t="shared" si="36"/>
        <v>43507.008791248285</v>
      </c>
      <c r="BV32" s="6">
        <f t="shared" si="36"/>
        <v>43071.9387033358</v>
      </c>
      <c r="BW32" s="6">
        <f t="shared" si="36"/>
        <v>42641.219316302442</v>
      </c>
      <c r="BX32" s="6">
        <f t="shared" si="36"/>
        <v>42214.807123139421</v>
      </c>
      <c r="BY32" s="6">
        <f t="shared" si="36"/>
        <v>41792.659051908027</v>
      </c>
      <c r="BZ32" s="6">
        <f t="shared" si="36"/>
        <v>41374.732461388943</v>
      </c>
      <c r="CA32" s="6">
        <f t="shared" si="36"/>
        <v>40960.985136775053</v>
      </c>
      <c r="CB32" s="6">
        <f t="shared" si="36"/>
        <v>40551.375285407303</v>
      </c>
      <c r="CC32" s="6">
        <f t="shared" si="36"/>
        <v>40145.86153255323</v>
      </c>
      <c r="CD32" s="6">
        <f t="shared" si="36"/>
        <v>39744.402917227701</v>
      </c>
      <c r="CE32" s="6">
        <f t="shared" si="36"/>
        <v>39346.958888055422</v>
      </c>
      <c r="CF32" s="6">
        <f t="shared" si="36"/>
        <v>38953.489299174864</v>
      </c>
      <c r="CG32" s="6">
        <f t="shared" si="36"/>
        <v>38563.954406183118</v>
      </c>
      <c r="CH32" s="6">
        <f t="shared" si="36"/>
        <v>38178.314862121289</v>
      </c>
      <c r="CI32" s="6">
        <f t="shared" si="36"/>
        <v>37796.531713500073</v>
      </c>
      <c r="CJ32" s="6">
        <f t="shared" si="36"/>
        <v>37418.566396365073</v>
      </c>
      <c r="CK32" s="6">
        <f t="shared" si="36"/>
        <v>37044.38073240142</v>
      </c>
      <c r="CL32" s="6">
        <f t="shared" si="36"/>
        <v>36673.936925077403</v>
      </c>
      <c r="CM32" s="6">
        <f t="shared" si="36"/>
        <v>36307.197555826628</v>
      </c>
      <c r="CN32" s="6">
        <f t="shared" si="36"/>
        <v>35944.125580268359</v>
      </c>
      <c r="CO32" s="6">
        <f t="shared" si="36"/>
        <v>35584.684324465677</v>
      </c>
      <c r="CP32" s="6">
        <f t="shared" si="36"/>
        <v>35228.837481221017</v>
      </c>
      <c r="CQ32" s="6">
        <f t="shared" si="36"/>
        <v>34876.549106408806</v>
      </c>
      <c r="CR32" s="6">
        <f t="shared" si="36"/>
        <v>34527.783615344721</v>
      </c>
      <c r="CS32" s="6">
        <f t="shared" si="36"/>
        <v>34182.50577919127</v>
      </c>
      <c r="CT32" s="6">
        <f t="shared" si="36"/>
        <v>33840.68072139936</v>
      </c>
      <c r="CU32" s="6">
        <f t="shared" si="36"/>
        <v>33502.273914185367</v>
      </c>
      <c r="CV32" s="6">
        <f t="shared" si="36"/>
        <v>33167.251175043515</v>
      </c>
      <c r="CW32" s="6">
        <f t="shared" ref="CW32:FH32" si="37">+CV32*(1+$AL$34)</f>
        <v>32835.578663293083</v>
      </c>
      <c r="CX32" s="6">
        <f t="shared" si="37"/>
        <v>32507.222876660151</v>
      </c>
      <c r="CY32" s="6">
        <f t="shared" si="37"/>
        <v>32182.150647893548</v>
      </c>
      <c r="CZ32" s="6">
        <f t="shared" si="37"/>
        <v>31860.329141414612</v>
      </c>
      <c r="DA32" s="6">
        <f t="shared" si="37"/>
        <v>31541.725850000465</v>
      </c>
      <c r="DB32" s="6">
        <f t="shared" si="37"/>
        <v>31226.308591500459</v>
      </c>
      <c r="DC32" s="6">
        <f t="shared" si="37"/>
        <v>30914.045505585455</v>
      </c>
      <c r="DD32" s="6">
        <f t="shared" si="37"/>
        <v>30604.9050505296</v>
      </c>
      <c r="DE32" s="6">
        <f t="shared" si="37"/>
        <v>30298.856000024305</v>
      </c>
      <c r="DF32" s="6">
        <f t="shared" si="37"/>
        <v>29995.867440024063</v>
      </c>
      <c r="DG32" s="6">
        <f t="shared" si="37"/>
        <v>29695.908765623823</v>
      </c>
      <c r="DH32" s="6">
        <f t="shared" si="37"/>
        <v>29398.949677967583</v>
      </c>
      <c r="DI32" s="6">
        <f t="shared" si="37"/>
        <v>29104.960181187907</v>
      </c>
      <c r="DJ32" s="6">
        <f t="shared" si="37"/>
        <v>28813.910579376028</v>
      </c>
      <c r="DK32" s="6">
        <f t="shared" si="37"/>
        <v>28525.771473582266</v>
      </c>
      <c r="DL32" s="6">
        <f t="shared" si="37"/>
        <v>28240.513758846442</v>
      </c>
      <c r="DM32" s="6">
        <f t="shared" si="37"/>
        <v>27958.108621257976</v>
      </c>
      <c r="DN32" s="6">
        <f t="shared" si="37"/>
        <v>27678.527535045396</v>
      </c>
      <c r="DO32" s="6">
        <f t="shared" si="37"/>
        <v>27401.74225969494</v>
      </c>
      <c r="DP32" s="6">
        <f t="shared" si="37"/>
        <v>27127.724837097991</v>
      </c>
      <c r="DQ32" s="6">
        <f t="shared" si="37"/>
        <v>26856.447588727009</v>
      </c>
      <c r="DR32" s="6">
        <f t="shared" si="37"/>
        <v>26587.88311283974</v>
      </c>
      <c r="DS32" s="6">
        <f t="shared" si="37"/>
        <v>26322.004281711343</v>
      </c>
      <c r="DT32" s="6">
        <f t="shared" si="37"/>
        <v>26058.78423889423</v>
      </c>
      <c r="DU32" s="6">
        <f t="shared" si="37"/>
        <v>25798.196396505289</v>
      </c>
      <c r="DV32" s="6">
        <f t="shared" si="37"/>
        <v>25540.214432540237</v>
      </c>
      <c r="DW32" s="6">
        <f t="shared" si="37"/>
        <v>25284.812288214835</v>
      </c>
      <c r="DX32" s="6">
        <f t="shared" si="37"/>
        <v>25031.964165332687</v>
      </c>
      <c r="DY32" s="6">
        <f t="shared" si="37"/>
        <v>24781.644523679359</v>
      </c>
      <c r="DZ32" s="6">
        <f t="shared" si="37"/>
        <v>24533.828078442566</v>
      </c>
      <c r="EA32" s="6">
        <f t="shared" si="37"/>
        <v>24288.489797658141</v>
      </c>
      <c r="EB32" s="6">
        <f t="shared" si="37"/>
        <v>24045.604899681559</v>
      </c>
      <c r="EC32" s="6">
        <f t="shared" si="37"/>
        <v>23805.148850684742</v>
      </c>
      <c r="ED32" s="6">
        <f t="shared" si="37"/>
        <v>23567.097362177894</v>
      </c>
      <c r="EE32" s="6">
        <f t="shared" si="37"/>
        <v>23331.426388556116</v>
      </c>
      <c r="EF32" s="6">
        <f t="shared" si="37"/>
        <v>23098.112124670555</v>
      </c>
      <c r="EG32" s="6">
        <f t="shared" si="37"/>
        <v>22867.131003423849</v>
      </c>
      <c r="EH32" s="6">
        <f t="shared" si="37"/>
        <v>22638.45969338961</v>
      </c>
      <c r="EI32" s="6">
        <f t="shared" si="37"/>
        <v>22412.075096455716</v>
      </c>
      <c r="EJ32" s="6">
        <f t="shared" si="37"/>
        <v>22187.954345491158</v>
      </c>
      <c r="EK32" s="6">
        <f t="shared" si="37"/>
        <v>21966.074802036248</v>
      </c>
      <c r="EL32" s="6">
        <f t="shared" si="37"/>
        <v>21746.414054015884</v>
      </c>
      <c r="EM32" s="6">
        <f t="shared" si="37"/>
        <v>21528.949913475724</v>
      </c>
      <c r="EN32" s="6">
        <f t="shared" si="37"/>
        <v>21313.660414340968</v>
      </c>
      <c r="EO32" s="6">
        <f t="shared" si="37"/>
        <v>21100.523810197559</v>
      </c>
      <c r="EP32" s="6">
        <f t="shared" si="37"/>
        <v>20889.518572095585</v>
      </c>
      <c r="EQ32" s="6">
        <f t="shared" si="37"/>
        <v>20680.623386374627</v>
      </c>
      <c r="ER32" s="6">
        <f t="shared" si="37"/>
        <v>20473.817152510881</v>
      </c>
      <c r="ES32" s="6">
        <f t="shared" si="37"/>
        <v>20269.078980985771</v>
      </c>
      <c r="ET32" s="6">
        <f t="shared" si="37"/>
        <v>20066.388191175913</v>
      </c>
      <c r="EU32" s="6">
        <f t="shared" si="37"/>
        <v>19865.724309264155</v>
      </c>
      <c r="EV32" s="6">
        <f t="shared" si="37"/>
        <v>19667.067066171512</v>
      </c>
      <c r="EW32" s="6">
        <f t="shared" si="37"/>
        <v>19470.396395509797</v>
      </c>
      <c r="EX32" s="6">
        <f t="shared" si="37"/>
        <v>19275.6924315547</v>
      </c>
      <c r="EY32" s="6">
        <f t="shared" si="37"/>
        <v>19082.935507239152</v>
      </c>
      <c r="EZ32" s="6">
        <f t="shared" si="37"/>
        <v>18892.106152166762</v>
      </c>
      <c r="FA32" s="6">
        <f t="shared" si="37"/>
        <v>18703.185090645093</v>
      </c>
      <c r="FB32" s="6">
        <f t="shared" si="37"/>
        <v>18516.15323973864</v>
      </c>
      <c r="FC32" s="6">
        <f t="shared" si="37"/>
        <v>18330.991707341254</v>
      </c>
      <c r="FD32" s="6">
        <f t="shared" si="37"/>
        <v>18147.681790267841</v>
      </c>
      <c r="FE32" s="6">
        <f t="shared" si="37"/>
        <v>17966.204972365162</v>
      </c>
      <c r="FF32" s="6">
        <f t="shared" si="37"/>
        <v>17786.542922641511</v>
      </c>
      <c r="FG32" s="6">
        <f t="shared" si="37"/>
        <v>17608.677493415096</v>
      </c>
      <c r="FH32" s="6">
        <f t="shared" si="37"/>
        <v>17432.590718480944</v>
      </c>
      <c r="FI32" s="6">
        <f>+FH32*(1+$AL$34)</f>
        <v>17258.264811296136</v>
      </c>
      <c r="FJ32" s="6">
        <f>+FI32*(1+$AL$34)</f>
        <v>17085.682163183174</v>
      </c>
      <c r="FK32" s="6">
        <f>+FJ32*(1+$AL$34)</f>
        <v>16914.825341551343</v>
      </c>
      <c r="FL32" s="6">
        <f>+FK32*(1+$AL$34)</f>
        <v>16745.677088135828</v>
      </c>
      <c r="FM32" s="6">
        <f>+FL32*(1+$AL$34)</f>
        <v>16578.220317254469</v>
      </c>
      <c r="FN32" s="6">
        <f>+FM32*(1+$AL$34)</f>
        <v>16412.438114081924</v>
      </c>
      <c r="FO32" s="6">
        <f>+FN32*(1+$AL$34)</f>
        <v>16248.313732941106</v>
      </c>
      <c r="FP32" s="6">
        <f>+FO32*(1+$AL$34)</f>
        <v>16085.830595611695</v>
      </c>
      <c r="FQ32" s="6">
        <f>+FP32*(1+$AL$34)</f>
        <v>15924.972289655578</v>
      </c>
      <c r="FR32" s="6">
        <f>+FQ32*(1+$AL$34)</f>
        <v>15765.722566759021</v>
      </c>
      <c r="FS32" s="6">
        <f>+FR32*(1+$AL$34)</f>
        <v>15608.065341091431</v>
      </c>
      <c r="FT32" s="6">
        <f>+FS32*(1+$AL$34)</f>
        <v>15451.984687680517</v>
      </c>
      <c r="FU32" s="6">
        <f>+FT32*(1+$AL$34)</f>
        <v>15297.464840803712</v>
      </c>
      <c r="FV32" s="6">
        <f>+FU32*(1+$AL$34)</f>
        <v>15144.490192395675</v>
      </c>
      <c r="FW32" s="6">
        <f>+FV32*(1+$AL$34)</f>
        <v>14993.045290471719</v>
      </c>
      <c r="FX32" s="6">
        <f>+FW32*(1+$AL$34)</f>
        <v>14843.114837567002</v>
      </c>
      <c r="FY32" s="6">
        <f>+FX32*(1+$AL$34)</f>
        <v>14694.683689191332</v>
      </c>
      <c r="FZ32" s="6">
        <f>+FY32*(1+$AL$34)</f>
        <v>14547.736852299418</v>
      </c>
      <c r="GA32" s="6">
        <f>+FZ32*(1+$AL$34)</f>
        <v>14402.259483776425</v>
      </c>
      <c r="GB32" s="6">
        <f>+GA32*(1+$AL$34)</f>
        <v>14258.23688893866</v>
      </c>
      <c r="GC32" s="6">
        <f>+GB32*(1+$AL$34)</f>
        <v>14115.654520049273</v>
      </c>
      <c r="GD32" s="6">
        <f>+GC32*(1+$AL$34)</f>
        <v>13974.49797484878</v>
      </c>
      <c r="GE32" s="6">
        <f>+GD32*(1+$AL$34)</f>
        <v>13834.752995100293</v>
      </c>
      <c r="GF32" s="6">
        <f>+GE32*(1+$AL$34)</f>
        <v>13696.40546514929</v>
      </c>
    </row>
    <row r="33" spans="2:38">
      <c r="B33" s="4" t="s">
        <v>35</v>
      </c>
      <c r="C33" s="4">
        <v>14926.097</v>
      </c>
      <c r="D33" s="4">
        <v>14999.786</v>
      </c>
      <c r="E33" s="4">
        <v>15220.432000000001</v>
      </c>
      <c r="F33" s="4">
        <f>+F32/F34</f>
        <v>14988.781699236093</v>
      </c>
      <c r="G33" s="4">
        <v>15757.032999999999</v>
      </c>
      <c r="H33" s="4">
        <v>16111.587</v>
      </c>
      <c r="I33" s="4">
        <v>16236.901</v>
      </c>
      <c r="J33" s="4">
        <f>+J32/J34</f>
        <v>16255.914812719509</v>
      </c>
      <c r="K33" s="4">
        <v>15964.433000000001</v>
      </c>
      <c r="L33" s="4">
        <v>15536.308000000001</v>
      </c>
      <c r="M33" s="4">
        <f>+L33</f>
        <v>15536.308000000001</v>
      </c>
      <c r="N33" s="4">
        <f>+M33</f>
        <v>15536.308000000001</v>
      </c>
      <c r="T33" s="4">
        <v>15757.06</v>
      </c>
      <c r="U33" s="4">
        <v>14591.27</v>
      </c>
      <c r="V33" s="4">
        <v>14759.81</v>
      </c>
      <c r="W33" s="4">
        <v>14923.304</v>
      </c>
      <c r="X33" s="4">
        <v>16122.583000000001</v>
      </c>
      <c r="Y33" s="4">
        <f>+Y32/Y34</f>
        <v>15714.682604741271</v>
      </c>
      <c r="Z33" s="4">
        <f>+Y33</f>
        <v>15714.682604741271</v>
      </c>
      <c r="AA33" s="4">
        <f t="shared" ref="AA33:AH33" si="38">+Z33</f>
        <v>15714.682604741271</v>
      </c>
      <c r="AB33" s="4">
        <f t="shared" si="38"/>
        <v>15714.682604741271</v>
      </c>
      <c r="AC33" s="4">
        <f t="shared" si="38"/>
        <v>15714.682604741271</v>
      </c>
      <c r="AD33" s="4">
        <f t="shared" si="38"/>
        <v>15714.682604741271</v>
      </c>
      <c r="AE33" s="4">
        <f t="shared" si="38"/>
        <v>15714.682604741271</v>
      </c>
      <c r="AF33" s="4">
        <f t="shared" si="38"/>
        <v>15714.682604741271</v>
      </c>
      <c r="AG33" s="4">
        <f t="shared" si="38"/>
        <v>15714.682604741271</v>
      </c>
      <c r="AH33" s="4">
        <f t="shared" si="38"/>
        <v>15714.682604741271</v>
      </c>
    </row>
    <row r="34" spans="2:38" s="14" customFormat="1">
      <c r="B34" s="14" t="s">
        <v>34</v>
      </c>
      <c r="C34" s="14">
        <f>+C32/C33</f>
        <v>-1.4092096547409547</v>
      </c>
      <c r="D34" s="14">
        <f>+D32/D33</f>
        <v>-0.95588030389233558</v>
      </c>
      <c r="E34" s="14">
        <f>+E32/E33</f>
        <v>0.11077215153945695</v>
      </c>
      <c r="F34" s="14">
        <f>+W34-SUM(C34:E34)</f>
        <v>0.67397072041651329</v>
      </c>
      <c r="G34" s="14">
        <f>+G32/G33</f>
        <v>0.66402094861386662</v>
      </c>
      <c r="H34" s="14">
        <f>+H32/H33</f>
        <v>0.42131169325529511</v>
      </c>
      <c r="I34" s="14">
        <f>+I32/I33</f>
        <v>0.36995976017837395</v>
      </c>
      <c r="J34" s="14">
        <f>+X34-SUM(G34:H34)</f>
        <v>1.8552631671274484</v>
      </c>
      <c r="K34" s="14">
        <f>+K32/K33</f>
        <v>0.89004100552772525</v>
      </c>
      <c r="L34" s="14">
        <f>+L32/L33</f>
        <v>0.37956250609861747</v>
      </c>
      <c r="M34" s="14">
        <f>+M32/M33</f>
        <v>0.36141907132731432</v>
      </c>
      <c r="N34" s="14">
        <f>+N32/N33</f>
        <v>0.50520530690914267</v>
      </c>
      <c r="T34" s="15">
        <f>+T32/T33</f>
        <v>0.57631309394011321</v>
      </c>
      <c r="U34" s="15">
        <f>+U32/U33</f>
        <v>-1.3124971301332919</v>
      </c>
      <c r="V34" s="15">
        <f>+V32/V33</f>
        <v>1.3618061479111182E-2</v>
      </c>
      <c r="W34" s="14">
        <f>+W32/W33</f>
        <v>-1.5803470866773202</v>
      </c>
      <c r="X34" s="14">
        <f>+X32/X33</f>
        <v>2.9405958089966102</v>
      </c>
      <c r="Y34" s="4">
        <f>+SUM(K34:N34)</f>
        <v>2.1362278898627998</v>
      </c>
      <c r="Z34" s="14">
        <f>+Z32/Z33</f>
        <v>2.3040628340446596</v>
      </c>
      <c r="AA34" s="14">
        <f t="shared" ref="AA34:AH34" si="39">+AA32/AA33</f>
        <v>2.4119047874879507</v>
      </c>
      <c r="AB34" s="14">
        <f t="shared" si="39"/>
        <v>2.7420821342182617</v>
      </c>
      <c r="AC34" s="14">
        <f t="shared" si="39"/>
        <v>2.8555573989753347</v>
      </c>
      <c r="AD34" s="14">
        <f t="shared" si="39"/>
        <v>3.228419023961981</v>
      </c>
      <c r="AE34" s="14">
        <f t="shared" si="39"/>
        <v>3.3625469736161433</v>
      </c>
      <c r="AF34" s="14">
        <f t="shared" si="39"/>
        <v>3.5023691194078905</v>
      </c>
      <c r="AG34" s="14">
        <f t="shared" si="39"/>
        <v>3.9329694519986864</v>
      </c>
      <c r="AH34" s="14">
        <f t="shared" si="39"/>
        <v>4.0971420593504364</v>
      </c>
      <c r="AK34" s="14" t="s">
        <v>55</v>
      </c>
      <c r="AL34" s="16">
        <v>-0.01</v>
      </c>
    </row>
    <row r="35" spans="2:38">
      <c r="AK35" s="4" t="s">
        <v>56</v>
      </c>
      <c r="AL35" s="16">
        <v>0.15</v>
      </c>
    </row>
    <row r="36" spans="2:38" s="16" customFormat="1">
      <c r="B36" s="16" t="s">
        <v>40</v>
      </c>
      <c r="G36" s="16">
        <f t="shared" ref="G36:J39" si="40">+G16/C16-1</f>
        <v>0.95438911648082025</v>
      </c>
      <c r="H36" s="16">
        <f t="shared" si="40"/>
        <v>1.3205724598998447</v>
      </c>
      <c r="I36" s="16">
        <f t="shared" si="40"/>
        <v>0.26507572407694013</v>
      </c>
      <c r="J36" s="16">
        <f t="shared" si="40"/>
        <v>0.36777129419961674</v>
      </c>
      <c r="K36" s="16">
        <f>+K16/G16-1</f>
        <v>0.26541272474555</v>
      </c>
      <c r="L36" s="16">
        <f>+L16/H16-1</f>
        <v>5.0312743046807329E-2</v>
      </c>
      <c r="M36" s="10">
        <f>+M16/I16-1</f>
        <v>-5.5444126074498667E-2</v>
      </c>
      <c r="N36" s="10">
        <f t="shared" ref="N36" si="41">+N16/J16-1</f>
        <v>-4.450867052023133E-2</v>
      </c>
      <c r="U36" s="16">
        <f t="shared" ref="U36:W39" si="42">+U16/T16-1</f>
        <v>-6.612327136184637E-2</v>
      </c>
      <c r="V36" s="16">
        <f t="shared" si="42"/>
        <v>-8.6207953319603625E-3</v>
      </c>
      <c r="W36" s="16">
        <f t="shared" si="42"/>
        <v>-0.22962308070394544</v>
      </c>
      <c r="X36" s="16">
        <f>+X16/W16-1</f>
        <v>0.59580273664780714</v>
      </c>
      <c r="Y36" s="17">
        <f t="shared" ref="Y36:AH36" si="43">+Y16/X16-1</f>
        <v>4.4263256473465962E-2</v>
      </c>
      <c r="Z36" s="17">
        <f t="shared" si="43"/>
        <v>4.2988505747126204E-2</v>
      </c>
      <c r="AA36" s="17">
        <f t="shared" si="43"/>
        <v>4.2979942693409878E-2</v>
      </c>
      <c r="AB36" s="17">
        <f t="shared" si="43"/>
        <v>4.2971428571428438E-2</v>
      </c>
      <c r="AC36" s="17">
        <f t="shared" si="43"/>
        <v>4.296296296296287E-2</v>
      </c>
      <c r="AD36" s="17">
        <f t="shared" si="43"/>
        <v>4.2954545454545467E-2</v>
      </c>
      <c r="AE36" s="17">
        <f t="shared" si="43"/>
        <v>4.2946175637393891E-2</v>
      </c>
      <c r="AF36" s="17">
        <f t="shared" si="43"/>
        <v>4.293785310734477E-2</v>
      </c>
      <c r="AG36" s="17">
        <f t="shared" si="43"/>
        <v>4.2929577464788871E-2</v>
      </c>
      <c r="AH36" s="17">
        <f t="shared" si="43"/>
        <v>4.29213483146067E-2</v>
      </c>
      <c r="AK36" s="16" t="s">
        <v>57</v>
      </c>
      <c r="AL36" s="18">
        <f>NPV(AL35,Y32:XCH32)</f>
        <v>320187.96289547044</v>
      </c>
    </row>
    <row r="37" spans="2:38">
      <c r="B37" s="4" t="s">
        <v>39</v>
      </c>
      <c r="G37" s="16">
        <f t="shared" si="40"/>
        <v>5.333333333333333</v>
      </c>
      <c r="H37" s="16">
        <f t="shared" si="40"/>
        <v>2.4057803468208094</v>
      </c>
      <c r="I37" s="16">
        <f t="shared" si="40"/>
        <v>0.47954790096878375</v>
      </c>
      <c r="J37" s="16">
        <f t="shared" si="40"/>
        <v>3.7080291970802923</v>
      </c>
      <c r="K37" s="16">
        <f t="shared" ref="K37:K39" si="44">+K17/G17-1</f>
        <v>1.0322427690848746</v>
      </c>
      <c r="L37" s="16">
        <f>+L17/H17-1</f>
        <v>0.37610319076714194</v>
      </c>
      <c r="M37" s="10">
        <v>0</v>
      </c>
      <c r="N37" s="10">
        <v>0</v>
      </c>
      <c r="U37" s="16">
        <f t="shared" si="42"/>
        <v>9.2059264191776347E-2</v>
      </c>
      <c r="V37" s="16">
        <f t="shared" si="42"/>
        <v>0.81280487804878043</v>
      </c>
      <c r="W37" s="16">
        <f t="shared" si="42"/>
        <v>-0.62781701984527416</v>
      </c>
      <c r="X37" s="16">
        <f t="shared" ref="X37:AH39" si="45">+X17/W17-1</f>
        <v>1.5994125621328514</v>
      </c>
      <c r="Y37" s="17">
        <v>0.01</v>
      </c>
      <c r="Z37" s="17">
        <v>0.01</v>
      </c>
      <c r="AA37" s="17">
        <v>0.01</v>
      </c>
      <c r="AB37" s="17">
        <v>0.01</v>
      </c>
      <c r="AC37" s="17">
        <v>0.01</v>
      </c>
      <c r="AD37" s="17">
        <v>0.01</v>
      </c>
      <c r="AE37" s="17">
        <v>0.01</v>
      </c>
      <c r="AF37" s="17">
        <v>0.01</v>
      </c>
      <c r="AG37" s="17">
        <v>0.01</v>
      </c>
      <c r="AH37" s="17">
        <v>0.01</v>
      </c>
      <c r="AK37" s="4" t="s">
        <v>58</v>
      </c>
      <c r="AL37" s="4">
        <f>+main!F7-main!F8</f>
        <v>14.436999999999999</v>
      </c>
    </row>
    <row r="38" spans="2:38">
      <c r="B38" s="4" t="s">
        <v>38</v>
      </c>
      <c r="G38" s="16">
        <f t="shared" si="40"/>
        <v>-0.42236024844720499</v>
      </c>
      <c r="H38" s="16">
        <f t="shared" si="40"/>
        <v>2.3087248322147653</v>
      </c>
      <c r="I38" s="16">
        <f t="shared" si="40"/>
        <v>0.87695749440715876</v>
      </c>
      <c r="J38" s="16">
        <f t="shared" si="40"/>
        <v>2.3686635944700463</v>
      </c>
      <c r="K38" s="16">
        <f t="shared" si="44"/>
        <v>0.30645161290322576</v>
      </c>
      <c r="L38" s="16">
        <f>+L18/H18-1</f>
        <v>0.51926977687626774</v>
      </c>
      <c r="M38" s="10">
        <f t="shared" ref="M38:N38" si="46">+M18/I18-1</f>
        <v>1.3767123287671232</v>
      </c>
      <c r="N38" s="10">
        <f t="shared" si="46"/>
        <v>1.416666666666667</v>
      </c>
      <c r="U38" s="16">
        <f t="shared" si="42"/>
        <v>0.51815585475316195</v>
      </c>
      <c r="V38" s="16">
        <f t="shared" si="42"/>
        <v>-0.1507659231389411</v>
      </c>
      <c r="W38" s="16">
        <f t="shared" si="42"/>
        <v>-0.47025316455696198</v>
      </c>
      <c r="X38" s="16">
        <f t="shared" si="45"/>
        <v>0.39008363201911589</v>
      </c>
      <c r="Y38" s="17">
        <f t="shared" si="45"/>
        <v>1.9059855223473501</v>
      </c>
      <c r="Z38" s="17">
        <f t="shared" si="45"/>
        <v>1.0000000000000009E-2</v>
      </c>
      <c r="AA38" s="17">
        <f t="shared" si="45"/>
        <v>1.0000000000000009E-2</v>
      </c>
      <c r="AB38" s="17">
        <f t="shared" si="45"/>
        <v>9.9999999999997868E-3</v>
      </c>
      <c r="AC38" s="17">
        <f t="shared" si="45"/>
        <v>1.0000000000000009E-2</v>
      </c>
      <c r="AD38" s="17">
        <f t="shared" si="45"/>
        <v>1.0000000000000231E-2</v>
      </c>
      <c r="AE38" s="17">
        <f t="shared" si="45"/>
        <v>1.0000000000000009E-2</v>
      </c>
      <c r="AF38" s="17">
        <f t="shared" si="45"/>
        <v>1.0000000000000009E-2</v>
      </c>
      <c r="AG38" s="17">
        <f t="shared" si="45"/>
        <v>1.0000000000000009E-2</v>
      </c>
      <c r="AH38" s="17">
        <f t="shared" si="45"/>
        <v>1.0000000000000009E-2</v>
      </c>
      <c r="AK38" s="4" t="s">
        <v>59</v>
      </c>
      <c r="AL38" s="4">
        <f>+AL36+AL37</f>
        <v>320202.39989547041</v>
      </c>
    </row>
    <row r="39" spans="2:38" s="6" customFormat="1">
      <c r="B39" s="6" t="s">
        <v>37</v>
      </c>
      <c r="G39" s="11">
        <f t="shared" si="40"/>
        <v>0.96664807824296495</v>
      </c>
      <c r="H39" s="11">
        <f t="shared" si="40"/>
        <v>1.3474834584789237</v>
      </c>
      <c r="I39" s="11">
        <f t="shared" si="40"/>
        <v>0.27407496685549004</v>
      </c>
      <c r="J39" s="11">
        <f t="shared" si="40"/>
        <v>1.4033845825325648</v>
      </c>
      <c r="K39" s="11">
        <f t="shared" si="44"/>
        <v>0.28321682134950321</v>
      </c>
      <c r="L39" s="11">
        <f>+L19/H19-1</f>
        <v>6.2885313740393523E-2</v>
      </c>
      <c r="M39" s="12">
        <f t="shared" ref="M39:N39" si="47">+M19/I19-1</f>
        <v>-3.0345030649806426E-2</v>
      </c>
      <c r="N39" s="12">
        <f t="shared" si="47"/>
        <v>-0.42235180510150627</v>
      </c>
      <c r="U39" s="16">
        <f t="shared" si="42"/>
        <v>-5.9466392448570105E-2</v>
      </c>
      <c r="V39" s="16">
        <f t="shared" si="42"/>
        <v>5.8172526999122898E-3</v>
      </c>
      <c r="W39" s="16">
        <f t="shared" si="42"/>
        <v>-0.24585650862667374</v>
      </c>
      <c r="X39" s="16">
        <f t="shared" si="45"/>
        <v>0.61185225803924648</v>
      </c>
      <c r="Y39" s="17">
        <f t="shared" si="45"/>
        <v>7.0728151712068588E-2</v>
      </c>
      <c r="Z39" s="17">
        <f>+Z19/Y19-1</f>
        <v>4.1091740408321087E-2</v>
      </c>
      <c r="AA39" s="17">
        <f>+AA19/Z19-1</f>
        <v>4.114030105776445E-2</v>
      </c>
      <c r="AB39" s="17">
        <f>+AB19/AA19-1</f>
        <v>4.1187270972413481E-2</v>
      </c>
      <c r="AC39" s="17">
        <f>+AC19/AB19-1</f>
        <v>4.1232691616654771E-2</v>
      </c>
      <c r="AD39" s="17">
        <f>+AD19/AC19-1</f>
        <v>4.1276603714186733E-2</v>
      </c>
      <c r="AE39" s="17">
        <f t="shared" si="45"/>
        <v>4.1319047240075069E-2</v>
      </c>
      <c r="AF39" s="17">
        <f t="shared" si="45"/>
        <v>4.1360061414567051E-2</v>
      </c>
      <c r="AG39" s="17">
        <f t="shared" si="45"/>
        <v>4.1399684698553374E-2</v>
      </c>
      <c r="AH39" s="17">
        <f t="shared" si="45"/>
        <v>4.1437954790580767E-2</v>
      </c>
      <c r="AK39" s="6" t="s">
        <v>35</v>
      </c>
      <c r="AL39" s="6">
        <f>+main!F5*1000</f>
        <v>14952.15</v>
      </c>
    </row>
    <row r="40" spans="2:38">
      <c r="M40" s="19"/>
      <c r="N40" s="19"/>
      <c r="AK40" s="4" t="s">
        <v>60</v>
      </c>
      <c r="AL40" s="4">
        <f>+AL38/AL39</f>
        <v>21.415140959358382</v>
      </c>
    </row>
    <row r="41" spans="2:38">
      <c r="B41" s="4" t="s">
        <v>42</v>
      </c>
      <c r="C41" s="16">
        <f>(C16-C20)/C$16</f>
        <v>0.26934957390409009</v>
      </c>
      <c r="D41" s="16">
        <f t="shared" ref="D41:L41" si="48">(D16-D20)/D$16</f>
        <v>0.23147512646483134</v>
      </c>
      <c r="E41" s="16">
        <f t="shared" si="48"/>
        <v>0.46502597833296483</v>
      </c>
      <c r="F41" s="16">
        <f t="shared" si="48"/>
        <v>0.5048445392788713</v>
      </c>
      <c r="G41" s="16">
        <f t="shared" si="48"/>
        <v>0.52816885620768506</v>
      </c>
      <c r="H41" s="16">
        <f t="shared" si="48"/>
        <v>0.53250665469005032</v>
      </c>
      <c r="I41" s="16">
        <f t="shared" si="48"/>
        <v>0.52028923769265223</v>
      </c>
      <c r="J41" s="16">
        <f>(J16-J20)/J$16</f>
        <v>0.1912319521163979</v>
      </c>
      <c r="K41" s="16">
        <f t="shared" si="48"/>
        <v>0.52520152360705108</v>
      </c>
      <c r="L41" s="16">
        <f t="shared" si="48"/>
        <v>0.49534844913539561</v>
      </c>
      <c r="M41" s="10">
        <v>0.5</v>
      </c>
      <c r="N41" s="10">
        <v>0.5</v>
      </c>
      <c r="U41" s="16">
        <f t="shared" ref="U41:X41" si="49">(U16-U20)/U$16</f>
        <v>0.42742350691379816</v>
      </c>
      <c r="V41" s="16">
        <f t="shared" si="49"/>
        <v>0.4539198926708935</v>
      </c>
      <c r="W41" s="16">
        <f t="shared" si="49"/>
        <v>0.40699410136029857</v>
      </c>
      <c r="X41" s="16">
        <f t="shared" si="49"/>
        <v>0.53133847972038517</v>
      </c>
      <c r="Y41" s="17">
        <f t="shared" ref="Y41:AH41" si="50">(Y16-Y20)/Y$16</f>
        <v>0.50577664368377007</v>
      </c>
      <c r="Z41" s="17">
        <v>0.51</v>
      </c>
      <c r="AA41" s="17">
        <v>0.51</v>
      </c>
      <c r="AB41" s="17">
        <v>0.52</v>
      </c>
      <c r="AC41" s="17">
        <v>0.52</v>
      </c>
      <c r="AD41" s="17">
        <v>0.53</v>
      </c>
      <c r="AE41" s="17">
        <v>0.53</v>
      </c>
      <c r="AF41" s="17">
        <v>0.53</v>
      </c>
      <c r="AG41" s="17">
        <v>0.54</v>
      </c>
      <c r="AH41" s="17">
        <v>0.54</v>
      </c>
      <c r="AK41" s="4" t="s">
        <v>61</v>
      </c>
      <c r="AL41" s="4">
        <f>+main!F4</f>
        <v>18.18</v>
      </c>
    </row>
    <row r="42" spans="2:38">
      <c r="B42" s="4" t="s">
        <v>43</v>
      </c>
      <c r="C42" s="16">
        <f>(C17-C22)/C$17</f>
        <v>0.57957957957957962</v>
      </c>
      <c r="D42" s="16">
        <f t="shared" ref="D42:L42" si="51">(D17-D22)/D$17</f>
        <v>0.55260115606936411</v>
      </c>
      <c r="E42" s="16">
        <f t="shared" si="51"/>
        <v>0.57911733046286329</v>
      </c>
      <c r="F42" s="16">
        <f t="shared" si="51"/>
        <v>0.61459854014598536</v>
      </c>
      <c r="G42" s="16">
        <f t="shared" si="51"/>
        <v>0.57136083451872921</v>
      </c>
      <c r="H42" s="16">
        <f t="shared" si="51"/>
        <v>0.56347589952477939</v>
      </c>
      <c r="I42" s="16">
        <f t="shared" si="51"/>
        <v>0.61440523826846127</v>
      </c>
      <c r="J42" s="16">
        <f t="shared" si="51"/>
        <v>0.46387596899224809</v>
      </c>
      <c r="K42" s="16">
        <f t="shared" si="51"/>
        <v>0.54596360242650488</v>
      </c>
      <c r="L42" s="16">
        <f t="shared" si="51"/>
        <v>0.51924025653675387</v>
      </c>
      <c r="M42" s="10">
        <v>0.52</v>
      </c>
      <c r="N42" s="10">
        <v>0.52</v>
      </c>
      <c r="U42" s="16">
        <f t="shared" ref="U42:X42" si="52">(U17-U22)/U$17</f>
        <v>0.494359756097561</v>
      </c>
      <c r="V42" s="16">
        <f t="shared" si="52"/>
        <v>0.54322233434241507</v>
      </c>
      <c r="W42" s="16">
        <f t="shared" si="52"/>
        <v>0.58495255309534566</v>
      </c>
      <c r="X42" s="16">
        <f t="shared" si="52"/>
        <v>0.50908300738809209</v>
      </c>
      <c r="Y42" s="17">
        <f t="shared" ref="Y42:AH42" si="53">(Y17-Y22)/Y$17</f>
        <v>0.52582568986580946</v>
      </c>
      <c r="Z42" s="17">
        <v>0.52</v>
      </c>
      <c r="AA42" s="17">
        <v>0.53</v>
      </c>
      <c r="AB42" s="17">
        <v>0.53</v>
      </c>
      <c r="AC42" s="17">
        <v>0.53</v>
      </c>
      <c r="AD42" s="17">
        <v>0.53</v>
      </c>
      <c r="AE42" s="17">
        <v>0.53</v>
      </c>
      <c r="AF42" s="17">
        <v>0.53</v>
      </c>
      <c r="AG42" s="17">
        <v>0.53</v>
      </c>
      <c r="AH42" s="17">
        <v>0.53</v>
      </c>
      <c r="AK42" s="4" t="s">
        <v>62</v>
      </c>
      <c r="AL42" s="16">
        <f>+AL40/AL41-1</f>
        <v>0.17795054781949293</v>
      </c>
    </row>
    <row r="43" spans="2:38">
      <c r="B43" s="4" t="s">
        <v>44</v>
      </c>
      <c r="C43" s="16">
        <f>(C18-C23)/C$18</f>
        <v>0.60403726708074534</v>
      </c>
      <c r="D43" s="16">
        <f t="shared" ref="D43:L43" si="54">(D18-D23)/D$18</f>
        <v>0.12751677852348994</v>
      </c>
      <c r="E43" s="16">
        <f t="shared" si="54"/>
        <v>0.43847874720357943</v>
      </c>
      <c r="F43" s="16">
        <f t="shared" si="54"/>
        <v>0.31105990783410137</v>
      </c>
      <c r="G43" s="16">
        <f t="shared" si="54"/>
        <v>0.27956989247311825</v>
      </c>
      <c r="H43" s="16">
        <f t="shared" si="54"/>
        <v>0.25963488843813387</v>
      </c>
      <c r="I43" s="16">
        <f t="shared" si="54"/>
        <v>0.34803337306317045</v>
      </c>
      <c r="J43" s="16">
        <f t="shared" si="54"/>
        <v>0.38166894664842682</v>
      </c>
      <c r="K43" s="16">
        <f t="shared" si="54"/>
        <v>0.40740740740740738</v>
      </c>
      <c r="L43" s="16">
        <f t="shared" si="54"/>
        <v>0.41655540720961282</v>
      </c>
      <c r="M43" s="10">
        <v>0.4</v>
      </c>
      <c r="N43" s="10">
        <v>0.4</v>
      </c>
      <c r="U43" s="16">
        <f t="shared" ref="U43:X43" si="55">(U18-U23)/U$18</f>
        <v>0.33216877183552806</v>
      </c>
      <c r="V43" s="16">
        <f t="shared" si="55"/>
        <v>0.10253164556962026</v>
      </c>
      <c r="W43" s="16">
        <f t="shared" si="55"/>
        <v>0.44145758661887696</v>
      </c>
      <c r="X43" s="16">
        <f t="shared" si="55"/>
        <v>0.33949290932531156</v>
      </c>
      <c r="Y43" s="17">
        <f t="shared" ref="Y43:AH43" si="56">(Y18-Y23)/Y$18</f>
        <v>0.40236608396897083</v>
      </c>
      <c r="Z43" s="17">
        <v>0.39</v>
      </c>
      <c r="AA43" s="17">
        <v>0.4</v>
      </c>
      <c r="AB43" s="17">
        <v>0.4</v>
      </c>
      <c r="AC43" s="17">
        <v>0.4</v>
      </c>
      <c r="AD43" s="17">
        <v>0.41</v>
      </c>
      <c r="AE43" s="17">
        <v>0.41</v>
      </c>
      <c r="AF43" s="17">
        <v>0.41</v>
      </c>
      <c r="AG43" s="17">
        <v>0.41</v>
      </c>
      <c r="AH43" s="17">
        <v>0.41</v>
      </c>
    </row>
    <row r="44" spans="2:38" s="16" customFormat="1">
      <c r="B44" s="16" t="s">
        <v>45</v>
      </c>
      <c r="C44" s="16">
        <f>+C25/C19</f>
        <v>0.17282944406314343</v>
      </c>
      <c r="D44" s="16">
        <f t="shared" ref="D44:L44" si="57">+D25/D19</f>
        <v>0.18685103957574406</v>
      </c>
      <c r="E44" s="16">
        <f t="shared" si="57"/>
        <v>0.46553640539418534</v>
      </c>
      <c r="F44" s="16">
        <f t="shared" si="57"/>
        <v>0.50232756779841981</v>
      </c>
      <c r="G44" s="16">
        <f t="shared" si="57"/>
        <v>0.52815373038290814</v>
      </c>
      <c r="H44" s="16">
        <f t="shared" si="57"/>
        <v>0.53204965796807702</v>
      </c>
      <c r="I44" s="16">
        <f t="shared" si="57"/>
        <v>0.52148960993914173</v>
      </c>
      <c r="J44" s="16">
        <f t="shared" si="57"/>
        <v>0.5292157742524467</v>
      </c>
      <c r="K44" s="16">
        <f>+K25/K19</f>
        <v>0.52547126514932607</v>
      </c>
      <c r="L44" s="16">
        <f t="shared" si="57"/>
        <v>0.49572428862293288</v>
      </c>
      <c r="M44" s="10">
        <v>0.5</v>
      </c>
      <c r="N44" s="10">
        <v>0.5</v>
      </c>
      <c r="U44" s="16">
        <f t="shared" ref="U44:X44" si="58">+U25/U19</f>
        <v>0.41224059301513732</v>
      </c>
      <c r="V44" s="16">
        <f t="shared" si="58"/>
        <v>0.45377692050935925</v>
      </c>
      <c r="W44" s="16">
        <f t="shared" si="58"/>
        <v>0.38153225490580078</v>
      </c>
      <c r="X44" s="16">
        <f t="shared" si="58"/>
        <v>0.52963146563245711</v>
      </c>
      <c r="Y44" s="17">
        <f t="shared" ref="Y44" si="59">+Y25/Y19</f>
        <v>0.50503471037592562</v>
      </c>
      <c r="Z44" s="17">
        <v>0.51</v>
      </c>
      <c r="AA44" s="17">
        <v>0.51</v>
      </c>
      <c r="AB44" s="17">
        <v>0.51</v>
      </c>
      <c r="AC44" s="17">
        <v>0.52</v>
      </c>
      <c r="AD44" s="17">
        <v>0.52</v>
      </c>
      <c r="AE44" s="17">
        <v>0.52</v>
      </c>
      <c r="AF44" s="17">
        <v>0.53</v>
      </c>
      <c r="AG44" s="17">
        <v>0.53</v>
      </c>
      <c r="AH44" s="17">
        <v>0.53</v>
      </c>
    </row>
    <row r="46" spans="2:38">
      <c r="M46" s="16"/>
    </row>
    <row r="47" spans="2:38">
      <c r="B47" s="4" t="s">
        <v>63</v>
      </c>
      <c r="C47" s="4">
        <v>21851</v>
      </c>
      <c r="D47" s="4">
        <v>25274</v>
      </c>
      <c r="E47" s="4">
        <v>25809</v>
      </c>
      <c r="F47" s="4">
        <v>34840</v>
      </c>
      <c r="G47" s="4">
        <v>45931</v>
      </c>
      <c r="H47" s="4">
        <v>51136</v>
      </c>
      <c r="I47" s="4">
        <v>48501</v>
      </c>
      <c r="J47" s="4">
        <v>32845</v>
      </c>
      <c r="K47" s="4">
        <v>26093</v>
      </c>
      <c r="L47" s="4">
        <v>14437</v>
      </c>
    </row>
    <row r="48" spans="2:38">
      <c r="B48" s="4" t="s">
        <v>64</v>
      </c>
      <c r="C48" s="4">
        <v>53238</v>
      </c>
      <c r="D48" s="4">
        <v>55509</v>
      </c>
      <c r="E48" s="4">
        <v>51501</v>
      </c>
      <c r="F48" s="4">
        <v>46947</v>
      </c>
      <c r="G48" s="4">
        <v>43754</v>
      </c>
      <c r="H48" s="4">
        <v>47342</v>
      </c>
      <c r="I48" s="4">
        <v>61912</v>
      </c>
      <c r="J48" s="4">
        <v>71809</v>
      </c>
      <c r="K48" s="4">
        <v>77366</v>
      </c>
      <c r="L48" s="4">
        <v>87722</v>
      </c>
    </row>
    <row r="49" spans="2:12">
      <c r="B49" s="4" t="s">
        <v>65</v>
      </c>
      <c r="C49" s="4">
        <v>7099</v>
      </c>
      <c r="D49" s="4">
        <v>6314</v>
      </c>
      <c r="E49" s="4">
        <v>7950</v>
      </c>
      <c r="F49" s="4">
        <v>8295</v>
      </c>
      <c r="G49" s="4">
        <v>8280</v>
      </c>
      <c r="H49" s="4">
        <v>8648</v>
      </c>
      <c r="I49" s="4">
        <v>12788</v>
      </c>
      <c r="J49" s="4">
        <v>11701</v>
      </c>
      <c r="K49" s="4">
        <v>11838</v>
      </c>
      <c r="L49" s="4">
        <v>15337</v>
      </c>
    </row>
    <row r="50" spans="2:12">
      <c r="B50" s="4" t="s">
        <v>66</v>
      </c>
      <c r="C50" s="4">
        <v>5896</v>
      </c>
      <c r="D50" s="4">
        <v>5400</v>
      </c>
      <c r="E50" s="4">
        <v>5427</v>
      </c>
      <c r="F50" s="4">
        <v>10111</v>
      </c>
      <c r="G50" s="4">
        <v>9798</v>
      </c>
      <c r="H50" s="4">
        <v>8841</v>
      </c>
      <c r="I50" s="4">
        <v>11186</v>
      </c>
      <c r="J50" s="4">
        <v>13643</v>
      </c>
      <c r="K50" s="4">
        <v>12436</v>
      </c>
      <c r="L50" s="4">
        <f>+SUM(L51:L56)</f>
        <v>12910</v>
      </c>
    </row>
    <row r="51" spans="2:12" hidden="1" outlineLevel="1">
      <c r="B51" s="4" t="s">
        <v>112</v>
      </c>
      <c r="H51" s="4">
        <v>1642</v>
      </c>
      <c r="J51" s="4">
        <v>2656</v>
      </c>
      <c r="L51" s="4">
        <v>3610</v>
      </c>
    </row>
    <row r="52" spans="2:12" hidden="1" outlineLevel="1">
      <c r="B52" s="4" t="s">
        <v>116</v>
      </c>
      <c r="H52" s="4">
        <v>0</v>
      </c>
      <c r="J52" s="4">
        <v>178</v>
      </c>
      <c r="L52" s="4">
        <v>1355</v>
      </c>
    </row>
    <row r="53" spans="2:12" hidden="1" outlineLevel="1">
      <c r="B53" s="4" t="s">
        <v>113</v>
      </c>
      <c r="H53" s="4">
        <v>422</v>
      </c>
      <c r="J53" s="4">
        <v>929</v>
      </c>
      <c r="L53" s="4">
        <v>878</v>
      </c>
    </row>
    <row r="54" spans="2:12" hidden="1" outlineLevel="1">
      <c r="B54" s="4" t="s">
        <v>114</v>
      </c>
      <c r="H54" s="4">
        <v>1168</v>
      </c>
      <c r="J54" s="4">
        <v>1545</v>
      </c>
      <c r="L54" s="4">
        <v>1188</v>
      </c>
    </row>
    <row r="55" spans="2:12" hidden="1" outlineLevel="1">
      <c r="B55" s="4" t="s">
        <v>115</v>
      </c>
      <c r="H55" s="4">
        <v>226</v>
      </c>
      <c r="J55" s="4">
        <v>607</v>
      </c>
      <c r="L55" s="4">
        <v>620</v>
      </c>
    </row>
    <row r="56" spans="2:12" hidden="1" outlineLevel="1">
      <c r="B56" s="4" t="s">
        <v>78</v>
      </c>
      <c r="H56" s="4">
        <v>5383</v>
      </c>
      <c r="J56" s="4">
        <v>7728</v>
      </c>
      <c r="L56" s="4">
        <v>5259</v>
      </c>
    </row>
    <row r="57" spans="2:12" s="6" customFormat="1" collapsed="1">
      <c r="B57" s="6" t="s">
        <v>67</v>
      </c>
      <c r="C57" s="6">
        <f>+SUM(C47:C50)</f>
        <v>88084</v>
      </c>
      <c r="D57" s="6">
        <f>+SUM(D47:D50)</f>
        <v>92497</v>
      </c>
      <c r="E57" s="6">
        <f>+SUM(E47:E50)</f>
        <v>90687</v>
      </c>
      <c r="F57" s="6">
        <f>+SUM(F47:F50)</f>
        <v>100193</v>
      </c>
      <c r="G57" s="6">
        <f>+SUM(G47:G50)</f>
        <v>107763</v>
      </c>
      <c r="H57" s="6">
        <f>+SUM(H47:H50)</f>
        <v>115967</v>
      </c>
      <c r="I57" s="6">
        <f>+SUM(I47:I50)</f>
        <v>134387</v>
      </c>
      <c r="J57" s="6">
        <f>+SUM(J47:J50)</f>
        <v>129998</v>
      </c>
      <c r="K57" s="6">
        <f>+SUM(K47:K50)</f>
        <v>127733</v>
      </c>
      <c r="L57" s="6">
        <f>+SUM(L47:L50)</f>
        <v>130406</v>
      </c>
    </row>
    <row r="58" spans="2:12">
      <c r="B58" s="4" t="s">
        <v>68</v>
      </c>
      <c r="C58" s="4">
        <v>124112</v>
      </c>
      <c r="D58" s="4">
        <v>114709</v>
      </c>
      <c r="E58" s="4">
        <v>109757</v>
      </c>
      <c r="F58" s="4">
        <v>104825</v>
      </c>
      <c r="G58" s="4">
        <v>99518</v>
      </c>
      <c r="H58" s="4">
        <v>93087</v>
      </c>
      <c r="I58" s="4">
        <v>86888</v>
      </c>
      <c r="J58" s="4">
        <v>77671</v>
      </c>
      <c r="K58" s="4">
        <v>72126</v>
      </c>
      <c r="L58" s="4">
        <v>76560</v>
      </c>
    </row>
    <row r="59" spans="2:12">
      <c r="B59" s="4" t="s">
        <v>69</v>
      </c>
      <c r="C59" s="4">
        <v>61626</v>
      </c>
      <c r="D59" s="4">
        <v>58085</v>
      </c>
      <c r="E59" s="4">
        <v>55421</v>
      </c>
      <c r="F59" s="4">
        <v>52973</v>
      </c>
      <c r="G59" s="4">
        <v>50417</v>
      </c>
      <c r="H59" s="4">
        <v>48161</v>
      </c>
      <c r="I59" s="4">
        <v>48221</v>
      </c>
      <c r="J59" s="4">
        <v>48966</v>
      </c>
      <c r="K59" s="4">
        <v>46691</v>
      </c>
      <c r="L59" s="4">
        <v>46689</v>
      </c>
    </row>
    <row r="60" spans="2:12">
      <c r="B60" s="4" t="s">
        <v>70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7613</v>
      </c>
      <c r="K60" s="4">
        <v>7609</v>
      </c>
      <c r="L60" s="4">
        <v>7596</v>
      </c>
    </row>
    <row r="61" spans="2:12">
      <c r="B61" s="4" t="s">
        <v>71</v>
      </c>
      <c r="C61" s="4">
        <v>3005</v>
      </c>
      <c r="D61" s="4">
        <v>2972</v>
      </c>
      <c r="E61" s="4">
        <v>3572</v>
      </c>
      <c r="F61" s="4">
        <v>3381</v>
      </c>
      <c r="G61" s="4">
        <v>6685</v>
      </c>
      <c r="H61" s="4">
        <v>7060</v>
      </c>
      <c r="I61" s="4">
        <v>2076</v>
      </c>
      <c r="J61" s="4">
        <v>2076</v>
      </c>
      <c r="K61" s="4">
        <v>2266</v>
      </c>
      <c r="L61" s="4">
        <v>2184</v>
      </c>
    </row>
    <row r="62" spans="2:12" hidden="1" outlineLevel="1">
      <c r="B62" s="4" t="s">
        <v>117</v>
      </c>
      <c r="H62" s="4">
        <v>5312</v>
      </c>
      <c r="J62" s="4">
        <v>833</v>
      </c>
      <c r="L62" s="4">
        <v>1098</v>
      </c>
    </row>
    <row r="63" spans="2:12" hidden="1" outlineLevel="1">
      <c r="B63" s="4" t="s">
        <v>118</v>
      </c>
      <c r="H63" s="4">
        <v>1187</v>
      </c>
      <c r="J63" s="4">
        <v>697</v>
      </c>
      <c r="L63" s="4">
        <v>602</v>
      </c>
    </row>
    <row r="64" spans="2:12" hidden="1" outlineLevel="1">
      <c r="B64" s="4" t="s">
        <v>78</v>
      </c>
      <c r="H64" s="4">
        <v>561</v>
      </c>
      <c r="J64" s="4">
        <v>546</v>
      </c>
      <c r="L64" s="4">
        <v>484</v>
      </c>
    </row>
    <row r="65" spans="2:12" s="6" customFormat="1" collapsed="1">
      <c r="B65" s="6" t="s">
        <v>72</v>
      </c>
      <c r="C65" s="6">
        <f>+SUM(C57:C61)</f>
        <v>276827</v>
      </c>
      <c r="D65" s="6">
        <f>+SUM(D57:D61)</f>
        <v>268263</v>
      </c>
      <c r="E65" s="6">
        <f>+SUM(E57:E61)</f>
        <v>259437</v>
      </c>
      <c r="F65" s="6">
        <f>+SUM(F57:F61)</f>
        <v>261372</v>
      </c>
      <c r="G65" s="6">
        <f>+SUM(G57:G61)</f>
        <v>264383</v>
      </c>
      <c r="H65" s="6">
        <f>+SUM(H57:H61)</f>
        <v>264275</v>
      </c>
      <c r="I65" s="6">
        <f>+SUM(I57:I61)</f>
        <v>271572</v>
      </c>
      <c r="J65" s="6">
        <f>+SUM(J57:J61)</f>
        <v>266324</v>
      </c>
      <c r="K65" s="6">
        <f>+SUM(K57:K61)</f>
        <v>256425</v>
      </c>
      <c r="L65" s="6">
        <f>+SUM(L57:L61)</f>
        <v>263435</v>
      </c>
    </row>
    <row r="67" spans="2:12">
      <c r="B67" s="4" t="s">
        <v>73</v>
      </c>
      <c r="C67" s="4">
        <v>22905</v>
      </c>
      <c r="D67" s="4">
        <v>23267</v>
      </c>
      <c r="E67" s="4">
        <v>14527</v>
      </c>
      <c r="F67" s="4">
        <v>17901</v>
      </c>
      <c r="G67" s="4">
        <v>19438</v>
      </c>
      <c r="H67" s="4">
        <v>16028</v>
      </c>
      <c r="I67" s="4">
        <v>25830</v>
      </c>
      <c r="J67" s="4">
        <v>21849</v>
      </c>
      <c r="K67" s="4">
        <v>19930</v>
      </c>
      <c r="L67" s="4">
        <v>29086</v>
      </c>
    </row>
    <row r="68" spans="2:12">
      <c r="B68" s="4" t="s">
        <v>74</v>
      </c>
      <c r="C68" s="4">
        <v>10395</v>
      </c>
      <c r="D68" s="4">
        <v>15911</v>
      </c>
      <c r="E68" s="4">
        <v>19856</v>
      </c>
      <c r="F68" s="4">
        <v>17551</v>
      </c>
      <c r="G68" s="4">
        <v>16629</v>
      </c>
      <c r="H68" s="4">
        <v>20972</v>
      </c>
      <c r="I68" s="4">
        <v>20378</v>
      </c>
      <c r="J68" s="4">
        <v>25543</v>
      </c>
      <c r="K68" s="4">
        <v>23444</v>
      </c>
      <c r="L68" s="4">
        <v>22873</v>
      </c>
    </row>
    <row r="69" spans="2:12">
      <c r="B69" s="4" t="s">
        <v>119</v>
      </c>
      <c r="H69" s="4">
        <v>14893</v>
      </c>
      <c r="J69" s="4">
        <v>21688</v>
      </c>
      <c r="L69" s="4">
        <v>15063</v>
      </c>
    </row>
    <row r="70" spans="2:12">
      <c r="B70" s="4" t="s">
        <v>120</v>
      </c>
      <c r="H70" s="4">
        <v>3186</v>
      </c>
      <c r="J70" s="4">
        <v>2146</v>
      </c>
      <c r="L70" s="4">
        <v>2266</v>
      </c>
    </row>
    <row r="71" spans="2:12">
      <c r="B71" s="4" t="s">
        <v>121</v>
      </c>
      <c r="H71" s="4">
        <v>1111</v>
      </c>
      <c r="J71" s="4">
        <v>1093</v>
      </c>
      <c r="L71" s="4">
        <v>1295</v>
      </c>
    </row>
    <row r="72" spans="2:12">
      <c r="B72" s="4" t="s">
        <v>122</v>
      </c>
      <c r="H72" s="4">
        <v>1782</v>
      </c>
      <c r="J72" s="4">
        <v>616</v>
      </c>
      <c r="L72" s="4">
        <v>149</v>
      </c>
    </row>
    <row r="73" spans="2:12">
      <c r="B73" s="4" t="s">
        <v>123</v>
      </c>
      <c r="H73" s="4">
        <v>0</v>
      </c>
      <c r="J73" s="4">
        <v>0</v>
      </c>
      <c r="L73" s="4">
        <v>4100</v>
      </c>
    </row>
    <row r="74" spans="2:12">
      <c r="B74" s="4" t="s">
        <v>68</v>
      </c>
      <c r="C74" s="4">
        <v>32963</v>
      </c>
      <c r="D74" s="4">
        <v>39917</v>
      </c>
      <c r="E74" s="4">
        <v>35489</v>
      </c>
      <c r="F74" s="4">
        <v>32402</v>
      </c>
      <c r="G74" s="4">
        <v>30631</v>
      </c>
      <c r="H74" s="4">
        <v>28019</v>
      </c>
      <c r="I74" s="4">
        <v>26815</v>
      </c>
      <c r="J74" s="4">
        <v>25245</v>
      </c>
      <c r="K74" s="4">
        <v>23470</v>
      </c>
      <c r="L74" s="4">
        <v>25244</v>
      </c>
    </row>
    <row r="75" spans="2:12">
      <c r="B75" s="4" t="s">
        <v>75</v>
      </c>
      <c r="C75" s="4">
        <v>18530</v>
      </c>
      <c r="D75" s="4">
        <v>17988</v>
      </c>
      <c r="E75" s="4">
        <v>19070</v>
      </c>
      <c r="F75" s="4">
        <v>19029</v>
      </c>
      <c r="G75" s="4">
        <v>18210</v>
      </c>
      <c r="H75" s="4">
        <v>18096</v>
      </c>
      <c r="I75" s="4">
        <v>18197</v>
      </c>
      <c r="J75" s="4">
        <v>20937</v>
      </c>
      <c r="K75" s="4">
        <v>18770</v>
      </c>
      <c r="L75" s="4">
        <v>17969</v>
      </c>
    </row>
    <row r="76" spans="2:12">
      <c r="B76" s="4" t="s">
        <v>76</v>
      </c>
      <c r="C76" s="4">
        <v>2603</v>
      </c>
      <c r="D76" s="4">
        <v>2659</v>
      </c>
      <c r="E76" s="4">
        <v>2364</v>
      </c>
      <c r="F76" s="4">
        <v>2445</v>
      </c>
      <c r="G76" s="4">
        <v>2489</v>
      </c>
      <c r="H76" s="4">
        <v>2723</v>
      </c>
      <c r="I76" s="4">
        <v>2690</v>
      </c>
      <c r="J76" s="4">
        <v>3808</v>
      </c>
      <c r="K76" s="4">
        <v>3881</v>
      </c>
      <c r="L76" s="4">
        <v>4416</v>
      </c>
    </row>
    <row r="77" spans="2:12" s="6" customFormat="1">
      <c r="B77" s="6" t="s">
        <v>77</v>
      </c>
      <c r="C77" s="6">
        <f t="shared" ref="C77:K77" si="60">SUM(C67:C68,C74:C76)</f>
        <v>87396</v>
      </c>
      <c r="D77" s="6">
        <f t="shared" si="60"/>
        <v>99742</v>
      </c>
      <c r="E77" s="6">
        <f t="shared" si="60"/>
        <v>91306</v>
      </c>
      <c r="F77" s="6">
        <f t="shared" si="60"/>
        <v>89328</v>
      </c>
      <c r="G77" s="6">
        <f t="shared" si="60"/>
        <v>87397</v>
      </c>
      <c r="H77" s="6">
        <f t="shared" si="60"/>
        <v>85838</v>
      </c>
      <c r="I77" s="6">
        <f t="shared" si="60"/>
        <v>93910</v>
      </c>
      <c r="J77" s="6">
        <f t="shared" si="60"/>
        <v>97382</v>
      </c>
      <c r="K77" s="6">
        <f t="shared" si="60"/>
        <v>89495</v>
      </c>
      <c r="L77" s="6">
        <f>SUM(L67:L68,L74:L76)</f>
        <v>99588</v>
      </c>
    </row>
    <row r="78" spans="2:12">
      <c r="B78" s="4" t="s">
        <v>68</v>
      </c>
      <c r="C78" s="4">
        <v>118416</v>
      </c>
      <c r="D78" s="4">
        <v>111640</v>
      </c>
      <c r="E78" s="4">
        <v>107653</v>
      </c>
      <c r="F78" s="4">
        <v>101462</v>
      </c>
      <c r="G78" s="4">
        <v>95654</v>
      </c>
      <c r="H78" s="4">
        <v>89883</v>
      </c>
      <c r="I78" s="4">
        <v>82700</v>
      </c>
      <c r="J78" s="4">
        <v>73307</v>
      </c>
      <c r="K78" s="4">
        <v>66617</v>
      </c>
      <c r="L78" s="4">
        <v>68291</v>
      </c>
    </row>
    <row r="79" spans="2:12">
      <c r="B79" s="4" t="s">
        <v>78</v>
      </c>
      <c r="C79" s="4">
        <v>915</v>
      </c>
      <c r="D79" s="4">
        <v>916</v>
      </c>
      <c r="E79" s="4">
        <v>866</v>
      </c>
      <c r="F79" s="4">
        <v>920</v>
      </c>
      <c r="G79" s="4">
        <v>884</v>
      </c>
      <c r="H79" s="4">
        <v>847</v>
      </c>
      <c r="I79" s="4">
        <v>791</v>
      </c>
      <c r="J79" s="4">
        <v>1952</v>
      </c>
      <c r="K79" s="4">
        <v>1774</v>
      </c>
      <c r="L79" s="4">
        <v>1692</v>
      </c>
    </row>
    <row r="80" spans="2:12">
      <c r="B80" s="4" t="s">
        <v>88</v>
      </c>
      <c r="C80" s="4">
        <v>1643</v>
      </c>
      <c r="D80" s="4">
        <v>1430</v>
      </c>
      <c r="E80" s="4">
        <v>2913</v>
      </c>
      <c r="F80" s="4">
        <v>2354</v>
      </c>
      <c r="G80" s="4">
        <v>2471</v>
      </c>
      <c r="H80" s="4">
        <v>2572</v>
      </c>
      <c r="I80" s="4">
        <v>1533</v>
      </c>
    </row>
    <row r="81" spans="2:12" s="6" customFormat="1">
      <c r="B81" s="6" t="s">
        <v>79</v>
      </c>
      <c r="C81" s="6">
        <f>+SUM(C77:C80)</f>
        <v>208370</v>
      </c>
      <c r="D81" s="6">
        <f>+SUM(D77:D80)</f>
        <v>213728</v>
      </c>
      <c r="E81" s="6">
        <f>+SUM(E77:E80)</f>
        <v>202738</v>
      </c>
      <c r="F81" s="6">
        <f>+SUM(F77:F80)</f>
        <v>194064</v>
      </c>
      <c r="G81" s="6">
        <f>+SUM(G77:G80)</f>
        <v>186406</v>
      </c>
      <c r="H81" s="6">
        <f>+SUM(H77:H80)</f>
        <v>179140</v>
      </c>
      <c r="I81" s="6">
        <f>+SUM(I77:I80)</f>
        <v>178934</v>
      </c>
      <c r="J81" s="6">
        <f>+SUM(J77:J79)</f>
        <v>172641</v>
      </c>
      <c r="K81" s="6">
        <f>+SUM(K77:K79)</f>
        <v>157886</v>
      </c>
      <c r="L81" s="6">
        <f>+SUM(L77:L79)</f>
        <v>169571</v>
      </c>
    </row>
    <row r="82" spans="2:12">
      <c r="B82" s="4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2:12">
      <c r="B83" s="4" t="s">
        <v>81</v>
      </c>
      <c r="C83" s="4">
        <v>155</v>
      </c>
      <c r="D83" s="4">
        <v>156</v>
      </c>
      <c r="E83" s="4">
        <v>160</v>
      </c>
      <c r="F83" s="4">
        <v>159</v>
      </c>
      <c r="G83" s="4">
        <v>163</v>
      </c>
      <c r="H83" s="4">
        <v>160</v>
      </c>
      <c r="I83" s="4">
        <v>163</v>
      </c>
      <c r="J83" s="4">
        <v>162</v>
      </c>
      <c r="K83" s="4">
        <v>157</v>
      </c>
      <c r="L83" s="4">
        <v>150</v>
      </c>
    </row>
    <row r="84" spans="2:12">
      <c r="B84" s="4" t="s">
        <v>82</v>
      </c>
      <c r="C84" s="4">
        <v>71491</v>
      </c>
      <c r="D84" s="4">
        <v>71906</v>
      </c>
      <c r="E84" s="4">
        <v>72344</v>
      </c>
      <c r="F84" s="4">
        <v>72822</v>
      </c>
      <c r="G84" s="4">
        <v>73024</v>
      </c>
      <c r="H84" s="4">
        <v>73397</v>
      </c>
      <c r="I84" s="4">
        <v>75316</v>
      </c>
      <c r="J84" s="4">
        <v>75490</v>
      </c>
      <c r="K84" s="4">
        <v>71962</v>
      </c>
      <c r="L84" s="4">
        <v>69409</v>
      </c>
    </row>
    <row r="85" spans="2:12">
      <c r="B85" s="4" t="s">
        <v>83</v>
      </c>
      <c r="C85" s="4">
        <v>-11909</v>
      </c>
      <c r="D85" s="4">
        <v>-12339</v>
      </c>
      <c r="E85" s="4">
        <v>-12277</v>
      </c>
      <c r="F85" s="4">
        <v>-12615</v>
      </c>
      <c r="G85" s="4">
        <v>-12532</v>
      </c>
      <c r="H85" s="4">
        <v>-12579</v>
      </c>
      <c r="I85" s="4">
        <v>-12495</v>
      </c>
      <c r="J85" s="4">
        <v>-12470</v>
      </c>
      <c r="K85" s="4">
        <v>-12452</v>
      </c>
      <c r="L85" s="4">
        <v>-12385</v>
      </c>
    </row>
    <row r="86" spans="2:12">
      <c r="B86" s="4" t="s">
        <v>84</v>
      </c>
      <c r="C86" s="4">
        <v>8720</v>
      </c>
      <c r="D86" s="4">
        <v>-5188</v>
      </c>
      <c r="E86" s="4">
        <v>-3528</v>
      </c>
      <c r="F86" s="4">
        <v>6942</v>
      </c>
      <c r="G86" s="4">
        <v>17322</v>
      </c>
      <c r="H86" s="4">
        <v>24157</v>
      </c>
      <c r="I86" s="4">
        <v>30080</v>
      </c>
      <c r="J86" s="4">
        <v>30501</v>
      </c>
      <c r="K86" s="4">
        <v>38872</v>
      </c>
      <c r="L86" s="4">
        <v>36690</v>
      </c>
    </row>
    <row r="87" spans="2:12">
      <c r="B87" s="4" t="s">
        <v>85</v>
      </c>
      <c r="C87" s="4">
        <f>+SUM(C82:C86)</f>
        <v>68457</v>
      </c>
      <c r="D87" s="4">
        <f>+SUM(D82:D86)</f>
        <v>54535</v>
      </c>
      <c r="E87" s="4">
        <f>+SUM(E82:E86)</f>
        <v>56699</v>
      </c>
      <c r="F87" s="4">
        <f>+SUM(F82:F86)</f>
        <v>67308</v>
      </c>
      <c r="G87" s="4">
        <f>+SUM(G82:G86)</f>
        <v>77977</v>
      </c>
      <c r="H87" s="4">
        <f>+SUM(H82:H86)</f>
        <v>85135</v>
      </c>
      <c r="I87" s="4">
        <f>+SUM(I82:I86)</f>
        <v>93064</v>
      </c>
      <c r="J87" s="4">
        <f>+SUM(J82:J86)</f>
        <v>93683</v>
      </c>
      <c r="K87" s="4">
        <f>+SUM(K82:K86)</f>
        <v>98539</v>
      </c>
      <c r="L87" s="4">
        <f>+SUM(L82:L86)</f>
        <v>93864</v>
      </c>
    </row>
    <row r="88" spans="2:12" s="6" customFormat="1">
      <c r="B88" s="6" t="s">
        <v>86</v>
      </c>
      <c r="C88" s="6">
        <f>+C81+C87</f>
        <v>276827</v>
      </c>
      <c r="D88" s="6">
        <f>+D81+D87</f>
        <v>268263</v>
      </c>
      <c r="E88" s="6">
        <f>+E81+E87</f>
        <v>259437</v>
      </c>
      <c r="F88" s="6">
        <f>+F81+F87</f>
        <v>261372</v>
      </c>
      <c r="G88" s="6">
        <f>+G81+G87</f>
        <v>264383</v>
      </c>
      <c r="H88" s="6">
        <f>+H81+H87</f>
        <v>264275</v>
      </c>
      <c r="I88" s="6">
        <f>+I81+I87</f>
        <v>271998</v>
      </c>
      <c r="J88" s="6">
        <f>+J81+J87</f>
        <v>266324</v>
      </c>
      <c r="K88" s="6">
        <f>+K81+K87</f>
        <v>256425</v>
      </c>
      <c r="L88" s="6">
        <f>+L81+L87</f>
        <v>263435</v>
      </c>
    </row>
    <row r="90" spans="2:12" s="16" customFormat="1">
      <c r="B90" s="16" t="s">
        <v>87</v>
      </c>
      <c r="G90" s="16">
        <f>SUM(D32:G32)/G87</f>
        <v>0.1014786411377714</v>
      </c>
      <c r="H90" s="16">
        <f>SUM(E32:H32)/H87</f>
        <v>0.34109355729136076</v>
      </c>
      <c r="I90" s="16">
        <f>SUM(F32:I32)/I87</f>
        <v>0.35846299320897446</v>
      </c>
      <c r="J90" s="16">
        <f>SUM(G32:J32)/J87</f>
        <v>0.57018882828261264</v>
      </c>
      <c r="K90" s="16">
        <f>SUM(H32:K32)/K87</f>
        <v>0.58010533900283134</v>
      </c>
      <c r="L90" s="16">
        <f>SUM(I32:L32)/L87</f>
        <v>0.59950566777465264</v>
      </c>
    </row>
    <row r="92" spans="2:12">
      <c r="B92" s="4" t="s">
        <v>33</v>
      </c>
      <c r="G92" s="4">
        <v>10380</v>
      </c>
      <c r="H92" s="4">
        <f>17215-SUM(G92)</f>
        <v>6835</v>
      </c>
      <c r="I92" s="4">
        <f>23138-SUM(G92:H92)</f>
        <v>5923</v>
      </c>
      <c r="J92" s="4">
        <f>47265-SUM(G92:I92)</f>
        <v>24127</v>
      </c>
      <c r="K92" s="4">
        <v>14190</v>
      </c>
      <c r="L92" s="4">
        <f>20020-SUM(K92)</f>
        <v>5830</v>
      </c>
    </row>
    <row r="93" spans="2:12">
      <c r="B93" s="4" t="s">
        <v>90</v>
      </c>
      <c r="G93" s="4">
        <v>3127</v>
      </c>
      <c r="H93" s="21">
        <f>6120-SUM(G93)</f>
        <v>2993</v>
      </c>
      <c r="I93" s="4">
        <f>9152-SUM(G93:H93)</f>
        <v>3032</v>
      </c>
      <c r="J93" s="4">
        <f>12276-SUM(G93:I93)</f>
        <v>3124</v>
      </c>
      <c r="K93" s="4">
        <v>3250</v>
      </c>
      <c r="L93" s="4">
        <f>6276-SUM(K93)</f>
        <v>3026</v>
      </c>
    </row>
    <row r="94" spans="2:12">
      <c r="B94" s="4" t="s">
        <v>91</v>
      </c>
      <c r="G94" s="4">
        <v>630</v>
      </c>
      <c r="H94" s="4">
        <f>1526-SUM(G94)</f>
        <v>896</v>
      </c>
      <c r="I94" s="4">
        <f>2097-SUM(G94:H94)</f>
        <v>571</v>
      </c>
      <c r="J94" s="4">
        <f>2631-SUM(G94:I94)</f>
        <v>534</v>
      </c>
      <c r="K94" s="4">
        <v>689</v>
      </c>
      <c r="L94" s="4">
        <f>1292-SUM(K94)</f>
        <v>603</v>
      </c>
    </row>
    <row r="95" spans="2:12">
      <c r="B95" s="4" t="s">
        <v>92</v>
      </c>
      <c r="G95" s="4">
        <v>168</v>
      </c>
      <c r="H95" s="4">
        <f>113-SUM(G95)</f>
        <v>-55</v>
      </c>
      <c r="I95" s="4">
        <f>150-SUM(G95:H95)</f>
        <v>37</v>
      </c>
      <c r="J95" s="4">
        <f>+-297-SUM(G95:I95)</f>
        <v>-447</v>
      </c>
      <c r="K95" s="4">
        <v>95</v>
      </c>
      <c r="L95" s="4">
        <f>+-81-SUM(K95)</f>
        <v>-176</v>
      </c>
    </row>
    <row r="96" spans="2:12">
      <c r="B96" s="4" t="s">
        <v>93</v>
      </c>
      <c r="G96" s="4">
        <v>-8</v>
      </c>
      <c r="H96" s="4">
        <f>28-SUM(G96)</f>
        <v>36</v>
      </c>
      <c r="I96" s="4">
        <f>38-SUM(G96:H96)</f>
        <v>10</v>
      </c>
      <c r="J96" s="4">
        <f>97-SUM(G96:I96)</f>
        <v>59</v>
      </c>
      <c r="K96" s="4">
        <v>23</v>
      </c>
      <c r="L96" s="4">
        <f>92-SUM(K96)</f>
        <v>69</v>
      </c>
    </row>
    <row r="97" spans="2:14">
      <c r="B97" s="4" t="s">
        <v>94</v>
      </c>
      <c r="G97" s="4">
        <v>0</v>
      </c>
      <c r="H97" s="4">
        <f>0-SUM(G97)</f>
        <v>0</v>
      </c>
      <c r="I97" s="4">
        <f>0-SUM(G97:H97)</f>
        <v>0</v>
      </c>
      <c r="J97" s="4">
        <f>+-7613-SUM(G97:I97)</f>
        <v>-7613</v>
      </c>
      <c r="K97" s="4">
        <v>0</v>
      </c>
      <c r="L97" s="4">
        <f>16-SUM(K97)</f>
        <v>16</v>
      </c>
    </row>
    <row r="98" spans="2:14">
      <c r="B98" s="4" t="s">
        <v>95</v>
      </c>
      <c r="G98" s="4">
        <v>3277</v>
      </c>
      <c r="H98" s="4">
        <f>+-263-SUM(G98)</f>
        <v>-3540</v>
      </c>
      <c r="I98" s="4">
        <f>+-14992-SUM(G98:H98)</f>
        <v>-14729</v>
      </c>
      <c r="J98" s="4">
        <f>+-25126-SUM(G98:I98)</f>
        <v>-10134</v>
      </c>
      <c r="K98" s="4">
        <v>-6222</v>
      </c>
      <c r="L98" s="4">
        <f>+-16929-SUM(K98)</f>
        <v>-10707</v>
      </c>
    </row>
    <row r="99" spans="2:14">
      <c r="B99" s="4" t="s">
        <v>96</v>
      </c>
      <c r="G99" s="4">
        <v>-181</v>
      </c>
      <c r="H99" s="4">
        <f>-427-SUM(G99)</f>
        <v>-246</v>
      </c>
      <c r="I99" s="4">
        <f>+-4627-SUM(G99:H99)</f>
        <v>-4200</v>
      </c>
      <c r="J99" s="4">
        <f>+-3233-SUM(G99:I99)</f>
        <v>1394</v>
      </c>
      <c r="K99" s="4">
        <v>-369</v>
      </c>
      <c r="L99" s="4">
        <f>-3754-SUM(K99)</f>
        <v>-3385</v>
      </c>
    </row>
    <row r="100" spans="2:14">
      <c r="B100" s="4" t="s">
        <v>97</v>
      </c>
      <c r="G100" s="4">
        <v>-2939</v>
      </c>
      <c r="H100" s="4">
        <f>+-1919-SUM(G100)</f>
        <v>1020</v>
      </c>
      <c r="I100" s="4">
        <f>215-SUM(G100:H100)</f>
        <v>2134</v>
      </c>
      <c r="J100" s="4">
        <f>+-2579-SUM(G100:I100)</f>
        <v>-2794</v>
      </c>
      <c r="K100" s="4">
        <v>479</v>
      </c>
      <c r="L100" s="4">
        <f>+-185-SUM(K100)</f>
        <v>-664</v>
      </c>
    </row>
    <row r="101" spans="2:14">
      <c r="B101" s="4" t="s">
        <v>73</v>
      </c>
      <c r="G101" s="4">
        <v>802</v>
      </c>
      <c r="H101" s="4">
        <f>1108-SUM(G101)</f>
        <v>306</v>
      </c>
      <c r="I101" s="4">
        <f>9209-SUM(G101:H101)</f>
        <v>8101</v>
      </c>
      <c r="J101" s="4">
        <f>9561-SUM(G101:I101)</f>
        <v>352</v>
      </c>
      <c r="K101" s="4">
        <v>-2950</v>
      </c>
      <c r="L101" s="4">
        <f>5804-SUM(K101)</f>
        <v>8754</v>
      </c>
    </row>
    <row r="102" spans="2:14">
      <c r="B102" s="4" t="s">
        <v>98</v>
      </c>
      <c r="G102" s="4">
        <v>-2391</v>
      </c>
      <c r="H102" s="4">
        <f>+-4429-SUM(G102)</f>
        <v>-2038</v>
      </c>
      <c r="I102" s="4">
        <f>+-6547-SUM(G102:H102)</f>
        <v>-2118</v>
      </c>
      <c r="J102" s="4">
        <f>+-8193-SUM(G102:I102)</f>
        <v>-1646</v>
      </c>
      <c r="K102" s="4">
        <v>-2681</v>
      </c>
      <c r="L102" s="4">
        <f>+-3565-SUM(K102)</f>
        <v>-884</v>
      </c>
    </row>
    <row r="103" spans="2:14">
      <c r="B103" s="4" t="s">
        <v>99</v>
      </c>
      <c r="G103" s="4">
        <v>-834</v>
      </c>
      <c r="H103" s="4">
        <f>+-946-SUM(G103)</f>
        <v>-112</v>
      </c>
      <c r="I103" s="4">
        <f>+-841-SUM(G103:H103)</f>
        <v>105</v>
      </c>
      <c r="J103" s="4">
        <f>1917-SUM(G103:I103)</f>
        <v>2758</v>
      </c>
      <c r="K103" s="4">
        <v>-2137</v>
      </c>
      <c r="L103" s="4">
        <f>+-2926-SUM(K103)</f>
        <v>-789</v>
      </c>
    </row>
    <row r="104" spans="2:14">
      <c r="B104" s="4" t="s">
        <v>76</v>
      </c>
      <c r="G104" s="4">
        <v>28</v>
      </c>
      <c r="H104" s="4">
        <f>268-SUM(G104)</f>
        <v>240</v>
      </c>
      <c r="I104" s="4">
        <f>243-SUM(G104:H104)</f>
        <v>-25</v>
      </c>
      <c r="J104" s="4">
        <f>1371-SUM(G104:I104)</f>
        <v>1128</v>
      </c>
      <c r="K104" s="4">
        <v>100</v>
      </c>
      <c r="L104" s="4">
        <f>630-SUM(K104)</f>
        <v>530</v>
      </c>
    </row>
    <row r="105" spans="2:14" s="6" customFormat="1">
      <c r="B105" s="6" t="s">
        <v>89</v>
      </c>
      <c r="G105" s="6">
        <f>+SUM(G92:G104)</f>
        <v>12059</v>
      </c>
      <c r="H105" s="6">
        <f>+SUM(H92:H104)</f>
        <v>6335</v>
      </c>
      <c r="I105" s="6">
        <f>+SUM(I92:I104)</f>
        <v>-1159</v>
      </c>
      <c r="J105" s="6">
        <f>+SUM(J92:J104)</f>
        <v>10842</v>
      </c>
      <c r="K105" s="6">
        <f>+SUM(K92:K104)</f>
        <v>4467</v>
      </c>
      <c r="L105" s="6">
        <f>+SUM(L92:L104)</f>
        <v>2223</v>
      </c>
      <c r="M105" s="4"/>
      <c r="N105" s="4"/>
    </row>
    <row r="107" spans="2:14">
      <c r="B107" s="4" t="s">
        <v>100</v>
      </c>
      <c r="G107" s="4">
        <v>-493</v>
      </c>
      <c r="H107" s="4">
        <f>+-1553-SUM(G107)</f>
        <v>-1060</v>
      </c>
      <c r="I107" s="4">
        <f>4644-SUM(G107:H107)</f>
        <v>6197</v>
      </c>
      <c r="J107" s="4">
        <f>+-8130-SUM(G107:I107)</f>
        <v>-12774</v>
      </c>
      <c r="K107" s="4">
        <v>-1070</v>
      </c>
      <c r="L107" s="4">
        <f>+-4064-SUM(K107)</f>
        <v>-2994</v>
      </c>
    </row>
    <row r="108" spans="2:14" s="6" customFormat="1">
      <c r="B108" s="6" t="s">
        <v>101</v>
      </c>
      <c r="G108" s="6">
        <f>SUM(G107)</f>
        <v>-493</v>
      </c>
      <c r="H108" s="6">
        <f>SUM(H107)</f>
        <v>-1060</v>
      </c>
      <c r="I108" s="6">
        <f>SUM(I107)</f>
        <v>6197</v>
      </c>
      <c r="J108" s="6">
        <f>SUM(J107)</f>
        <v>-12774</v>
      </c>
      <c r="K108" s="6">
        <f>SUM(K107)</f>
        <v>-1070</v>
      </c>
      <c r="L108" s="6">
        <f>SUM(L107)</f>
        <v>-2994</v>
      </c>
      <c r="M108" s="4"/>
      <c r="N108" s="4"/>
    </row>
    <row r="110" spans="2:14">
      <c r="B110" s="4" t="s">
        <v>103</v>
      </c>
      <c r="G110" s="4">
        <v>-625</v>
      </c>
      <c r="H110" s="4">
        <f>+-625-SUM(G110)</f>
        <v>0</v>
      </c>
      <c r="I110" s="4">
        <f>0-SUM(G110:H110)</f>
        <v>625</v>
      </c>
      <c r="J110" s="4">
        <f>0-SUM(G110:I110)</f>
        <v>0</v>
      </c>
      <c r="K110" s="4">
        <v>-2137</v>
      </c>
      <c r="L110" s="4">
        <f>+-1865-SUM(K110)</f>
        <v>272</v>
      </c>
    </row>
    <row r="111" spans="2:14">
      <c r="B111" s="4" t="s">
        <v>110</v>
      </c>
      <c r="G111" s="4">
        <v>0</v>
      </c>
      <c r="H111" s="4">
        <f>0-SUM(G111)</f>
        <v>0</v>
      </c>
      <c r="I111" s="4">
        <f>924-SUM(G111:H111)</f>
        <v>924</v>
      </c>
      <c r="J111" s="4">
        <f>1835-SUM(G111:I111)</f>
        <v>911</v>
      </c>
      <c r="K111" s="4">
        <v>0</v>
      </c>
      <c r="L111" s="4">
        <f>0-SUM(K111)</f>
        <v>0</v>
      </c>
    </row>
    <row r="112" spans="2:14">
      <c r="B112" s="4" t="s">
        <v>111</v>
      </c>
      <c r="G112" s="4">
        <v>0</v>
      </c>
      <c r="H112" s="4">
        <f>0-SUM(G112)</f>
        <v>0</v>
      </c>
      <c r="I112" s="4">
        <f>0-SUM(G112:H112)</f>
        <v>0</v>
      </c>
      <c r="J112" s="4">
        <f>+-4358-SUM(G112:I112)</f>
        <v>-4358</v>
      </c>
      <c r="K112" s="4">
        <v>0</v>
      </c>
      <c r="L112" s="4">
        <f>0-SUM(K112)</f>
        <v>0</v>
      </c>
    </row>
    <row r="113" spans="2:14">
      <c r="B113" s="4" t="s">
        <v>104</v>
      </c>
      <c r="G113" s="4">
        <v>0</v>
      </c>
      <c r="H113" s="4">
        <f>0-SUM(G113)</f>
        <v>0</v>
      </c>
      <c r="I113" s="4">
        <f>0-SUM(G113:H113)</f>
        <v>0</v>
      </c>
      <c r="J113" s="4">
        <f>+-19933-SUM(G113:I113)</f>
        <v>-19933</v>
      </c>
      <c r="K113" s="4">
        <v>-292</v>
      </c>
      <c r="L113" s="4">
        <f>+-292-SUM(K113)</f>
        <v>0</v>
      </c>
    </row>
    <row r="114" spans="2:14">
      <c r="B114" s="4" t="s">
        <v>105</v>
      </c>
      <c r="G114" s="4">
        <v>0</v>
      </c>
      <c r="H114" s="4">
        <f>0-SUM(G114)</f>
        <v>0</v>
      </c>
      <c r="I114" s="4">
        <f>0-SUM(G114:H114)</f>
        <v>0</v>
      </c>
      <c r="J114" s="4">
        <f>0-SUM(G114:I114)</f>
        <v>0</v>
      </c>
      <c r="K114" s="4">
        <v>-8138</v>
      </c>
      <c r="L114" s="4">
        <f>+-19383-SUM(K114)</f>
        <v>-11245</v>
      </c>
    </row>
    <row r="115" spans="2:14" s="6" customFormat="1">
      <c r="B115" s="6" t="s">
        <v>102</v>
      </c>
      <c r="G115" s="6">
        <f>+SUM(G110:G114)</f>
        <v>-625</v>
      </c>
      <c r="H115" s="6">
        <f>+SUM(H110:H114)</f>
        <v>0</v>
      </c>
      <c r="I115" s="6">
        <f>+SUM(I110:I114)</f>
        <v>1549</v>
      </c>
      <c r="J115" s="6">
        <f>+SUM(J110:J114)</f>
        <v>-23380</v>
      </c>
      <c r="K115" s="6">
        <f>+SUM(K110:K114)</f>
        <v>-10567</v>
      </c>
      <c r="L115" s="6">
        <f>+SUM(L110:L114)</f>
        <v>-10973</v>
      </c>
      <c r="M115" s="4"/>
      <c r="N115" s="4"/>
    </row>
    <row r="116" spans="2:14" s="6" customFormat="1">
      <c r="M116" s="4"/>
      <c r="N116" s="4"/>
    </row>
    <row r="117" spans="2:14">
      <c r="B117" s="4" t="s">
        <v>106</v>
      </c>
      <c r="G117" s="4">
        <v>145</v>
      </c>
      <c r="H117" s="4">
        <f>80-SUM(G117)</f>
        <v>-65</v>
      </c>
      <c r="I117" s="4">
        <f>146-SUM(G117:H117)</f>
        <v>66</v>
      </c>
      <c r="J117" s="4">
        <f>514-SUM(G117:I117)</f>
        <v>368</v>
      </c>
      <c r="K117" s="4">
        <v>418</v>
      </c>
      <c r="L117" s="4">
        <f>506-SUM(K117)</f>
        <v>88</v>
      </c>
    </row>
    <row r="118" spans="2:14">
      <c r="B118" s="4" t="s">
        <v>107</v>
      </c>
      <c r="G118" s="4">
        <f>+G105+G108+G115+G117</f>
        <v>11086</v>
      </c>
      <c r="H118" s="4">
        <f>+H105+H108+H115+H117</f>
        <v>5210</v>
      </c>
      <c r="I118" s="4">
        <f>+I105+I108+I115+I117</f>
        <v>6653</v>
      </c>
      <c r="J118" s="4">
        <f>+J105+J108+J115+J117</f>
        <v>-24944</v>
      </c>
      <c r="K118" s="4">
        <f>+K105+K108+K115+K117</f>
        <v>-6752</v>
      </c>
      <c r="L118" s="4">
        <f>+L105+L108+L115+L117</f>
        <v>-11656</v>
      </c>
    </row>
    <row r="119" spans="2:14">
      <c r="B119" s="4" t="s">
        <v>108</v>
      </c>
      <c r="G119" s="4">
        <f>+$F$47</f>
        <v>34840</v>
      </c>
      <c r="H119" s="4">
        <f>+$F$47</f>
        <v>34840</v>
      </c>
      <c r="I119" s="4">
        <f>+$F$47</f>
        <v>34840</v>
      </c>
      <c r="J119" s="4">
        <f>+$F$47</f>
        <v>34840</v>
      </c>
      <c r="K119" s="4">
        <f>+$J$47</f>
        <v>32845</v>
      </c>
      <c r="L119" s="4">
        <f>+$J$47</f>
        <v>32845</v>
      </c>
    </row>
    <row r="120" spans="2:14" s="6" customFormat="1">
      <c r="B120" s="6" t="s">
        <v>109</v>
      </c>
      <c r="G120" s="6">
        <f>+G118+G119</f>
        <v>45926</v>
      </c>
      <c r="H120" s="6">
        <f>+H118+H119</f>
        <v>40050</v>
      </c>
      <c r="I120" s="6">
        <f>+I118+I119</f>
        <v>41493</v>
      </c>
      <c r="J120" s="6">
        <f>+J118+J119</f>
        <v>9896</v>
      </c>
      <c r="K120" s="6">
        <f>+K118+K119</f>
        <v>26093</v>
      </c>
      <c r="L120" s="6">
        <f>+L118+L119</f>
        <v>21189</v>
      </c>
      <c r="M120" s="4"/>
    </row>
    <row r="123" spans="2:14">
      <c r="B123" s="4" t="s">
        <v>124</v>
      </c>
      <c r="G123" s="4">
        <f t="shared" ref="G123:L123" si="61">+G105+G107</f>
        <v>11566</v>
      </c>
      <c r="H123" s="4">
        <f t="shared" si="61"/>
        <v>5275</v>
      </c>
      <c r="I123" s="4">
        <f t="shared" si="61"/>
        <v>5038</v>
      </c>
      <c r="J123" s="4">
        <f t="shared" si="61"/>
        <v>-1932</v>
      </c>
      <c r="K123" s="4">
        <f t="shared" si="61"/>
        <v>3397</v>
      </c>
      <c r="L123" s="4">
        <f>+L105+L107</f>
        <v>-771</v>
      </c>
    </row>
    <row r="124" spans="2:14">
      <c r="B124" s="4" t="s">
        <v>33</v>
      </c>
      <c r="G124" s="4">
        <f t="shared" ref="G124:L124" si="62">+G32</f>
        <v>10463</v>
      </c>
      <c r="H124" s="4">
        <f t="shared" si="62"/>
        <v>6788</v>
      </c>
      <c r="I124" s="4">
        <f t="shared" si="62"/>
        <v>6007</v>
      </c>
      <c r="J124" s="4">
        <f t="shared" si="62"/>
        <v>30159</v>
      </c>
      <c r="K124" s="4">
        <f t="shared" si="62"/>
        <v>14209</v>
      </c>
      <c r="L124" s="4">
        <f>+L32</f>
        <v>5897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Brannon, Jameel A.</cp:lastModifiedBy>
  <dcterms:created xsi:type="dcterms:W3CDTF">2022-11-21T22:51:38Z</dcterms:created>
  <dcterms:modified xsi:type="dcterms:W3CDTF">2022-11-22T22:17:47Z</dcterms:modified>
</cp:coreProperties>
</file>