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1F5AC87C-69F3-3840-B6ED-2342570AB411}" xr6:coauthVersionLast="47" xr6:coauthVersionMax="47" xr10:uidLastSave="{00000000-0000-0000-0000-000000000000}"/>
  <bookViews>
    <workbookView xWindow="17000" yWindow="900" windowWidth="33220" windowHeight="26880" xr2:uid="{BBDA1713-70AC-AB4B-8DC2-C535246A0B99}"/>
  </bookViews>
  <sheets>
    <sheet name="Main" sheetId="1" r:id="rId1"/>
    <sheet name="Model 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2" l="1"/>
  <c r="J43" i="2"/>
  <c r="J62" i="2"/>
  <c r="J51" i="2"/>
  <c r="N64" i="2"/>
  <c r="H69" i="2"/>
  <c r="H70" i="2" s="1"/>
  <c r="H68" i="2"/>
  <c r="L69" i="2"/>
  <c r="L68" i="2"/>
  <c r="M68" i="2" s="1"/>
  <c r="I68" i="2"/>
  <c r="J68" i="2" s="1"/>
  <c r="M69" i="2"/>
  <c r="K70" i="2"/>
  <c r="G70" i="2"/>
  <c r="F70" i="2"/>
  <c r="E70" i="2"/>
  <c r="D70" i="2"/>
  <c r="C70" i="2"/>
  <c r="AR30" i="2"/>
  <c r="AM36" i="2"/>
  <c r="AB1" i="2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N43" i="2"/>
  <c r="O21" i="2" s="1"/>
  <c r="N62" i="2"/>
  <c r="N51" i="2"/>
  <c r="AM34" i="2"/>
  <c r="AM32" i="2"/>
  <c r="X40" i="2"/>
  <c r="X39" i="2"/>
  <c r="W40" i="2"/>
  <c r="W39" i="2"/>
  <c r="V40" i="2"/>
  <c r="V39" i="2"/>
  <c r="V12" i="2"/>
  <c r="V14" i="2" s="1"/>
  <c r="W12" i="2"/>
  <c r="W14" i="2" s="1"/>
  <c r="X12" i="2"/>
  <c r="Y12" i="2"/>
  <c r="Z10" i="2"/>
  <c r="Z9" i="2"/>
  <c r="Z8" i="2"/>
  <c r="N40" i="2"/>
  <c r="M40" i="2"/>
  <c r="L40" i="2"/>
  <c r="K40" i="2"/>
  <c r="J40" i="2"/>
  <c r="I40" i="2"/>
  <c r="H40" i="2"/>
  <c r="G40" i="2"/>
  <c r="F40" i="2"/>
  <c r="E40" i="2"/>
  <c r="D40" i="2"/>
  <c r="N39" i="2"/>
  <c r="M39" i="2"/>
  <c r="L39" i="2"/>
  <c r="K39" i="2"/>
  <c r="J39" i="2"/>
  <c r="I39" i="2"/>
  <c r="H39" i="2"/>
  <c r="G39" i="2"/>
  <c r="F39" i="2"/>
  <c r="E39" i="2"/>
  <c r="D39" i="2"/>
  <c r="C40" i="2"/>
  <c r="C39" i="2"/>
  <c r="O25" i="2"/>
  <c r="P25" i="2" s="1"/>
  <c r="R18" i="2"/>
  <c r="Q18" i="2"/>
  <c r="Q30" i="2" s="1"/>
  <c r="P18" i="2"/>
  <c r="P30" i="2" s="1"/>
  <c r="O18" i="2"/>
  <c r="O19" i="2" s="1"/>
  <c r="Z3" i="2"/>
  <c r="X32" i="2"/>
  <c r="W32" i="2"/>
  <c r="X31" i="2"/>
  <c r="W31" i="2"/>
  <c r="X30" i="2"/>
  <c r="W30" i="2"/>
  <c r="X34" i="2"/>
  <c r="W34" i="2"/>
  <c r="V34" i="2"/>
  <c r="V22" i="2"/>
  <c r="V24" i="2" s="1"/>
  <c r="V26" i="2" s="1"/>
  <c r="W22" i="2"/>
  <c r="W24" i="2" s="1"/>
  <c r="W26" i="2" s="1"/>
  <c r="X22" i="2"/>
  <c r="X24" i="2" s="1"/>
  <c r="X26" i="2" s="1"/>
  <c r="C2" i="2"/>
  <c r="M34" i="2"/>
  <c r="L34" i="2"/>
  <c r="K34" i="2"/>
  <c r="J34" i="2"/>
  <c r="I34" i="2"/>
  <c r="H34" i="2"/>
  <c r="G34" i="2"/>
  <c r="F34" i="2"/>
  <c r="E34" i="2"/>
  <c r="D34" i="2"/>
  <c r="C34" i="2"/>
  <c r="C22" i="2"/>
  <c r="C24" i="2" s="1"/>
  <c r="C26" i="2" s="1"/>
  <c r="D22" i="2"/>
  <c r="D24" i="2" s="1"/>
  <c r="D26" i="2" s="1"/>
  <c r="J32" i="2"/>
  <c r="I32" i="2"/>
  <c r="H32" i="2"/>
  <c r="G32" i="2"/>
  <c r="J31" i="2"/>
  <c r="I31" i="2"/>
  <c r="H31" i="2"/>
  <c r="G31" i="2"/>
  <c r="J30" i="2"/>
  <c r="I30" i="2"/>
  <c r="H30" i="2"/>
  <c r="G30" i="2"/>
  <c r="E22" i="2"/>
  <c r="E24" i="2" s="1"/>
  <c r="E26" i="2" s="1"/>
  <c r="F22" i="2"/>
  <c r="F24" i="2" s="1"/>
  <c r="F26" i="2" s="1"/>
  <c r="Y23" i="2"/>
  <c r="Y21" i="2"/>
  <c r="Y20" i="2"/>
  <c r="Y32" i="2" s="1"/>
  <c r="Y19" i="2"/>
  <c r="Y31" i="2" s="1"/>
  <c r="Y18" i="2"/>
  <c r="Y30" i="2" s="1"/>
  <c r="Z23" i="2"/>
  <c r="Z21" i="2"/>
  <c r="Z20" i="2"/>
  <c r="Z19" i="2"/>
  <c r="Z18" i="2"/>
  <c r="U4" i="2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K32" i="2"/>
  <c r="K31" i="2"/>
  <c r="K30" i="2"/>
  <c r="G22" i="2"/>
  <c r="G24" i="2" s="1"/>
  <c r="G26" i="2" s="1"/>
  <c r="K22" i="2"/>
  <c r="K24" i="2" s="1"/>
  <c r="K26" i="2" s="1"/>
  <c r="L32" i="2"/>
  <c r="L31" i="2"/>
  <c r="L30" i="2"/>
  <c r="H22" i="2"/>
  <c r="H24" i="2" s="1"/>
  <c r="H26" i="2" s="1"/>
  <c r="H2" i="2"/>
  <c r="L22" i="2"/>
  <c r="L24" i="2" s="1"/>
  <c r="L26" i="2" s="1"/>
  <c r="N30" i="2"/>
  <c r="M30" i="2"/>
  <c r="M32" i="2"/>
  <c r="M31" i="2"/>
  <c r="I22" i="2"/>
  <c r="I24" i="2" s="1"/>
  <c r="I26" i="2" s="1"/>
  <c r="N2" i="2"/>
  <c r="M2" i="2"/>
  <c r="L2" i="2"/>
  <c r="K2" i="2"/>
  <c r="J2" i="2"/>
  <c r="I2" i="2"/>
  <c r="G2" i="2"/>
  <c r="F2" i="2"/>
  <c r="E2" i="2"/>
  <c r="D2" i="2"/>
  <c r="M22" i="2"/>
  <c r="M24" i="2" s="1"/>
  <c r="M26" i="2" s="1"/>
  <c r="N34" i="2"/>
  <c r="N32" i="2"/>
  <c r="N31" i="2"/>
  <c r="J22" i="2"/>
  <c r="J24" i="2" s="1"/>
  <c r="J26" i="2" s="1"/>
  <c r="N22" i="2"/>
  <c r="N24" i="2" s="1"/>
  <c r="N26" i="2" s="1"/>
  <c r="K8" i="1"/>
  <c r="K5" i="1"/>
  <c r="G71" i="2" l="1"/>
  <c r="X13" i="2"/>
  <c r="K71" i="2"/>
  <c r="N71" i="2"/>
  <c r="J73" i="2"/>
  <c r="H71" i="2"/>
  <c r="I71" i="2"/>
  <c r="L74" i="2" s="1"/>
  <c r="V35" i="2"/>
  <c r="I69" i="2"/>
  <c r="J69" i="2" s="1"/>
  <c r="J71" i="2"/>
  <c r="Z39" i="2"/>
  <c r="Z40" i="2"/>
  <c r="L71" i="2"/>
  <c r="Y13" i="2"/>
  <c r="M71" i="2"/>
  <c r="N68" i="2"/>
  <c r="N70" i="2" s="1"/>
  <c r="M70" i="2"/>
  <c r="J70" i="2"/>
  <c r="I70" i="2"/>
  <c r="N69" i="2"/>
  <c r="L70" i="2"/>
  <c r="Y14" i="2"/>
  <c r="W35" i="2"/>
  <c r="X35" i="2"/>
  <c r="Y39" i="2"/>
  <c r="Y40" i="2"/>
  <c r="W15" i="2"/>
  <c r="W13" i="2"/>
  <c r="X14" i="2"/>
  <c r="X15" i="2" s="1"/>
  <c r="Z12" i="2"/>
  <c r="O31" i="2"/>
  <c r="O34" i="2"/>
  <c r="O39" i="2"/>
  <c r="P19" i="2"/>
  <c r="R19" i="2"/>
  <c r="R34" i="2" s="1"/>
  <c r="O20" i="2"/>
  <c r="P20" i="2"/>
  <c r="O30" i="2"/>
  <c r="AA18" i="2"/>
  <c r="Q19" i="2"/>
  <c r="Q20" i="2"/>
  <c r="R20" i="2"/>
  <c r="R30" i="2"/>
  <c r="Q25" i="2"/>
  <c r="Z31" i="2"/>
  <c r="V36" i="2"/>
  <c r="K36" i="2"/>
  <c r="G35" i="2"/>
  <c r="E36" i="2"/>
  <c r="W36" i="2"/>
  <c r="Z30" i="2"/>
  <c r="I35" i="2"/>
  <c r="F36" i="2"/>
  <c r="H35" i="2"/>
  <c r="K35" i="2"/>
  <c r="C35" i="2"/>
  <c r="D35" i="2"/>
  <c r="L35" i="2"/>
  <c r="E35" i="2"/>
  <c r="M35" i="2"/>
  <c r="J35" i="2"/>
  <c r="C36" i="2"/>
  <c r="F35" i="2"/>
  <c r="N35" i="2"/>
  <c r="Z26" i="2"/>
  <c r="J36" i="2"/>
  <c r="Z34" i="2"/>
  <c r="D36" i="2"/>
  <c r="L36" i="2"/>
  <c r="M36" i="2"/>
  <c r="Z32" i="2"/>
  <c r="G36" i="2"/>
  <c r="X36" i="2"/>
  <c r="H36" i="2"/>
  <c r="Y34" i="2"/>
  <c r="Y26" i="2"/>
  <c r="I36" i="2"/>
  <c r="Y22" i="2"/>
  <c r="Y35" i="2" s="1"/>
  <c r="Y24" i="2"/>
  <c r="Z24" i="2"/>
  <c r="Z22" i="2"/>
  <c r="Z35" i="2" s="1"/>
  <c r="N36" i="2"/>
  <c r="N73" i="2" l="1"/>
  <c r="J74" i="2"/>
  <c r="J75" i="2" s="1"/>
  <c r="K74" i="2"/>
  <c r="N74" i="2"/>
  <c r="L73" i="2"/>
  <c r="L75" i="2" s="1"/>
  <c r="M73" i="2"/>
  <c r="M75" i="2" s="1"/>
  <c r="M74" i="2"/>
  <c r="K73" i="2"/>
  <c r="AA12" i="2"/>
  <c r="Z13" i="2"/>
  <c r="Y15" i="2"/>
  <c r="Z14" i="2"/>
  <c r="Z15" i="2" s="1"/>
  <c r="O22" i="2"/>
  <c r="AA19" i="2"/>
  <c r="R40" i="2"/>
  <c r="R32" i="2"/>
  <c r="Q32" i="2"/>
  <c r="Q40" i="2"/>
  <c r="P39" i="2"/>
  <c r="P31" i="2"/>
  <c r="Q39" i="2"/>
  <c r="Q31" i="2"/>
  <c r="Q34" i="2"/>
  <c r="P40" i="2"/>
  <c r="P32" i="2"/>
  <c r="P34" i="2"/>
  <c r="AA20" i="2"/>
  <c r="AA40" i="2" s="1"/>
  <c r="O32" i="2"/>
  <c r="O40" i="2"/>
  <c r="AA30" i="2"/>
  <c r="R39" i="2"/>
  <c r="R31" i="2"/>
  <c r="R25" i="2"/>
  <c r="Z25" i="2"/>
  <c r="Z36" i="2"/>
  <c r="Y25" i="2"/>
  <c r="Y36" i="2"/>
  <c r="K75" i="2" l="1"/>
  <c r="N75" i="2"/>
  <c r="AB12" i="2"/>
  <c r="AA13" i="2"/>
  <c r="AA31" i="2"/>
  <c r="AA39" i="2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AA34" i="2"/>
  <c r="O35" i="2"/>
  <c r="O23" i="2"/>
  <c r="O24" i="2" s="1"/>
  <c r="AA32" i="2"/>
  <c r="AB18" i="2" l="1"/>
  <c r="O26" i="2"/>
  <c r="O43" i="2"/>
  <c r="P21" i="2" s="1"/>
  <c r="AA15" i="2"/>
  <c r="AC12" i="2"/>
  <c r="O36" i="2"/>
  <c r="P22" i="2" l="1"/>
  <c r="AB19" i="2"/>
  <c r="AB20" i="2"/>
  <c r="AB34" i="2"/>
  <c r="AB30" i="2"/>
  <c r="AD12" i="2"/>
  <c r="AC18" i="2"/>
  <c r="P35" i="2" l="1"/>
  <c r="P23" i="2"/>
  <c r="P24" i="2" s="1"/>
  <c r="AB39" i="2"/>
  <c r="AB31" i="2"/>
  <c r="AE12" i="2"/>
  <c r="AD18" i="2"/>
  <c r="AC20" i="2"/>
  <c r="AB40" i="2"/>
  <c r="AB32" i="2"/>
  <c r="AC19" i="2"/>
  <c r="AC30" i="2"/>
  <c r="P36" i="2" l="1"/>
  <c r="P43" i="2"/>
  <c r="Q21" i="2" s="1"/>
  <c r="P26" i="2"/>
  <c r="AD19" i="2"/>
  <c r="AC39" i="2"/>
  <c r="AC31" i="2"/>
  <c r="AD34" i="2"/>
  <c r="AD20" i="2"/>
  <c r="AD30" i="2"/>
  <c r="AC40" i="2"/>
  <c r="AC32" i="2"/>
  <c r="AC34" i="2"/>
  <c r="AF12" i="2"/>
  <c r="AE18" i="2"/>
  <c r="Q22" i="2" l="1"/>
  <c r="AD40" i="2"/>
  <c r="AD32" i="2"/>
  <c r="AE20" i="2"/>
  <c r="AE30" i="2"/>
  <c r="AG12" i="2"/>
  <c r="AF18" i="2"/>
  <c r="AE19" i="2"/>
  <c r="AE34" i="2" s="1"/>
  <c r="AD39" i="2"/>
  <c r="AD31" i="2"/>
  <c r="Q35" i="2" l="1"/>
  <c r="Q23" i="2"/>
  <c r="Q24" i="2"/>
  <c r="AH12" i="2"/>
  <c r="AG18" i="2"/>
  <c r="AF20" i="2"/>
  <c r="AF30" i="2"/>
  <c r="AE40" i="2"/>
  <c r="AE32" i="2"/>
  <c r="AF19" i="2"/>
  <c r="AF34" i="2" s="1"/>
  <c r="AE39" i="2"/>
  <c r="AE31" i="2"/>
  <c r="Q43" i="2" l="1"/>
  <c r="R21" i="2" s="1"/>
  <c r="Q36" i="2"/>
  <c r="Q26" i="2"/>
  <c r="AF40" i="2"/>
  <c r="AF32" i="2"/>
  <c r="AG20" i="2"/>
  <c r="AG30" i="2"/>
  <c r="AI12" i="2"/>
  <c r="AH18" i="2"/>
  <c r="AG19" i="2"/>
  <c r="AG34" i="2" s="1"/>
  <c r="AF39" i="2"/>
  <c r="AF31" i="2"/>
  <c r="R22" i="2" l="1"/>
  <c r="AA21" i="2"/>
  <c r="AH19" i="2"/>
  <c r="AG39" i="2"/>
  <c r="AG31" i="2"/>
  <c r="AH34" i="2"/>
  <c r="AH20" i="2"/>
  <c r="AH30" i="2"/>
  <c r="AJ12" i="2"/>
  <c r="AJ18" i="2" s="1"/>
  <c r="AI18" i="2"/>
  <c r="AG40" i="2"/>
  <c r="AG32" i="2"/>
  <c r="R35" i="2" l="1"/>
  <c r="R23" i="2"/>
  <c r="AA23" i="2" s="1"/>
  <c r="R24" i="2"/>
  <c r="AA22" i="2"/>
  <c r="AA35" i="2" s="1"/>
  <c r="AI19" i="2"/>
  <c r="AH39" i="2"/>
  <c r="AH31" i="2"/>
  <c r="AI20" i="2"/>
  <c r="AI30" i="2"/>
  <c r="AJ30" i="2"/>
  <c r="AH40" i="2"/>
  <c r="AH32" i="2"/>
  <c r="R43" i="2" l="1"/>
  <c r="Z43" i="2" s="1"/>
  <c r="R36" i="2"/>
  <c r="R26" i="2"/>
  <c r="AA26" i="2" s="1"/>
  <c r="AA24" i="2"/>
  <c r="AI40" i="2"/>
  <c r="AI32" i="2"/>
  <c r="AJ19" i="2"/>
  <c r="AI39" i="2"/>
  <c r="AI31" i="2"/>
  <c r="AI34" i="2"/>
  <c r="AJ20" i="2"/>
  <c r="AA25" i="2" l="1"/>
  <c r="AB25" i="2"/>
  <c r="AC25" i="2" s="1"/>
  <c r="AD25" i="2" s="1"/>
  <c r="AE25" i="2" s="1"/>
  <c r="AF25" i="2" s="1"/>
  <c r="AG25" i="2" s="1"/>
  <c r="AH25" i="2" s="1"/>
  <c r="AI25" i="2" s="1"/>
  <c r="AJ25" i="2" s="1"/>
  <c r="AA43" i="2"/>
  <c r="AA36" i="2"/>
  <c r="AJ39" i="2"/>
  <c r="AJ31" i="2"/>
  <c r="AJ34" i="2"/>
  <c r="AJ32" i="2"/>
  <c r="AJ40" i="2"/>
  <c r="AB21" i="2" l="1"/>
  <c r="AB22" i="2" s="1"/>
  <c r="AB23" i="2" l="1"/>
  <c r="AB24" i="2" s="1"/>
  <c r="AB35" i="2"/>
  <c r="AB36" i="2" l="1"/>
  <c r="AB26" i="2"/>
  <c r="AB43" i="2"/>
  <c r="AC21" i="2" l="1"/>
  <c r="AC22" i="2" s="1"/>
  <c r="AC35" i="2" l="1"/>
  <c r="AC23" i="2"/>
  <c r="AC24" i="2" s="1"/>
  <c r="AC26" i="2" l="1"/>
  <c r="AC36" i="2"/>
  <c r="AC43" i="2"/>
  <c r="AD21" i="2" l="1"/>
  <c r="AD22" i="2" s="1"/>
  <c r="AD23" i="2" l="1"/>
  <c r="AD24" i="2" s="1"/>
  <c r="AD35" i="2"/>
  <c r="AD26" i="2" l="1"/>
  <c r="AD36" i="2"/>
  <c r="AD43" i="2"/>
  <c r="AE21" i="2" l="1"/>
  <c r="AE22" i="2" s="1"/>
  <c r="AE35" i="2" l="1"/>
  <c r="AE23" i="2"/>
  <c r="AE24" i="2" s="1"/>
  <c r="AE26" i="2" l="1"/>
  <c r="AE36" i="2"/>
  <c r="AE43" i="2"/>
  <c r="AF21" i="2" l="1"/>
  <c r="AF22" i="2" s="1"/>
  <c r="AF35" i="2" l="1"/>
  <c r="AF23" i="2"/>
  <c r="AF24" i="2" s="1"/>
  <c r="AF26" i="2" l="1"/>
  <c r="AF36" i="2"/>
  <c r="AF43" i="2"/>
  <c r="AG21" i="2" l="1"/>
  <c r="AG22" i="2" s="1"/>
  <c r="AG35" i="2" l="1"/>
  <c r="AG23" i="2"/>
  <c r="AG24" i="2" s="1"/>
  <c r="AG36" i="2" l="1"/>
  <c r="AG26" i="2"/>
  <c r="AG43" i="2"/>
  <c r="AH21" i="2" l="1"/>
  <c r="AH22" i="2" s="1"/>
  <c r="AH35" i="2" l="1"/>
  <c r="AH23" i="2"/>
  <c r="AH24" i="2"/>
  <c r="AH36" i="2" l="1"/>
  <c r="AH26" i="2"/>
  <c r="AH43" i="2"/>
  <c r="AI21" i="2" l="1"/>
  <c r="AI22" i="2" s="1"/>
  <c r="AI35" i="2" l="1"/>
  <c r="AI23" i="2"/>
  <c r="AI24" i="2" s="1"/>
  <c r="AI26" i="2" l="1"/>
  <c r="AI36" i="2"/>
  <c r="AI43" i="2"/>
  <c r="AJ21" i="2" l="1"/>
  <c r="AJ22" i="2" s="1"/>
  <c r="AJ35" i="2" l="1"/>
  <c r="AJ23" i="2"/>
  <c r="AJ24" i="2" s="1"/>
  <c r="AK24" i="2" l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GS24" i="2" s="1"/>
  <c r="GT24" i="2" s="1"/>
  <c r="GU24" i="2" s="1"/>
  <c r="GV24" i="2" s="1"/>
  <c r="GW24" i="2" s="1"/>
  <c r="GX24" i="2" s="1"/>
  <c r="GY24" i="2" s="1"/>
  <c r="GZ24" i="2" s="1"/>
  <c r="HA24" i="2" s="1"/>
  <c r="HB24" i="2" s="1"/>
  <c r="HC24" i="2" s="1"/>
  <c r="HD24" i="2" s="1"/>
  <c r="HE24" i="2" s="1"/>
  <c r="HF24" i="2" s="1"/>
  <c r="HG24" i="2" s="1"/>
  <c r="HH24" i="2" s="1"/>
  <c r="HI24" i="2" s="1"/>
  <c r="HJ24" i="2" s="1"/>
  <c r="HK24" i="2" s="1"/>
  <c r="HL24" i="2" s="1"/>
  <c r="HM24" i="2" s="1"/>
  <c r="HN24" i="2" s="1"/>
  <c r="HO24" i="2" s="1"/>
  <c r="HP24" i="2" s="1"/>
  <c r="HQ24" i="2" s="1"/>
  <c r="HR24" i="2" s="1"/>
  <c r="AM31" i="2" s="1"/>
  <c r="AM33" i="2" s="1"/>
  <c r="AM35" i="2" s="1"/>
  <c r="AM37" i="2" s="1"/>
  <c r="AJ26" i="2"/>
  <c r="AJ36" i="2"/>
  <c r="AJ43" i="2"/>
</calcChain>
</file>

<file path=xl/sharedStrings.xml><?xml version="1.0" encoding="utf-8"?>
<sst xmlns="http://schemas.openxmlformats.org/spreadsheetml/2006/main" count="103" uniqueCount="94">
  <si>
    <t>P</t>
  </si>
  <si>
    <t>SHARES</t>
  </si>
  <si>
    <t>MC</t>
  </si>
  <si>
    <t>C</t>
  </si>
  <si>
    <t>D</t>
  </si>
  <si>
    <t>EV</t>
  </si>
  <si>
    <t>Q423</t>
  </si>
  <si>
    <t>$M</t>
  </si>
  <si>
    <t>Q122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</si>
  <si>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</si>
  <si>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</si>
  <si>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</si>
  <si>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</si>
  <si>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</si>
  <si>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</si>
  <si>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</si>
  <si>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</si>
  <si>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</si>
  <si>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Q222</t>
  </si>
  <si>
    <t xml:space="preserve">Net Sales </t>
  </si>
  <si>
    <t>SG&amp;A</t>
  </si>
  <si>
    <t xml:space="preserve">Interest </t>
  </si>
  <si>
    <t>EBT</t>
  </si>
  <si>
    <t>T</t>
  </si>
  <si>
    <t>Net Income</t>
  </si>
  <si>
    <t>EPS</t>
  </si>
  <si>
    <t>Shares</t>
  </si>
  <si>
    <t xml:space="preserve">Growth Y/Y </t>
  </si>
  <si>
    <t xml:space="preserve">GM % </t>
  </si>
  <si>
    <t xml:space="preserve">NM% </t>
  </si>
  <si>
    <t xml:space="preserve">EBT  % </t>
  </si>
  <si>
    <t>Q125</t>
  </si>
  <si>
    <t>Q225</t>
  </si>
  <si>
    <t>Q325</t>
  </si>
  <si>
    <t>Q425</t>
  </si>
  <si>
    <t>% Sales</t>
  </si>
  <si>
    <t>T.J. Maxx</t>
  </si>
  <si>
    <t>Marshalls</t>
  </si>
  <si>
    <t>Sierra</t>
  </si>
  <si>
    <t xml:space="preserve">Total Units </t>
  </si>
  <si>
    <t>Homegoods</t>
  </si>
  <si>
    <t>TJX Canada</t>
  </si>
  <si>
    <t xml:space="preserve">TJX International </t>
  </si>
  <si>
    <t xml:space="preserve">Australia </t>
  </si>
  <si>
    <t>RPU</t>
  </si>
  <si>
    <t>Terminal</t>
  </si>
  <si>
    <t>Discount</t>
  </si>
  <si>
    <t>NPV</t>
  </si>
  <si>
    <t xml:space="preserve">Net Cash </t>
  </si>
  <si>
    <t xml:space="preserve">Total Value </t>
  </si>
  <si>
    <t xml:space="preserve">Estimate </t>
  </si>
  <si>
    <t xml:space="preserve">Cash </t>
  </si>
  <si>
    <t xml:space="preserve">Total Assets </t>
  </si>
  <si>
    <t>A/R</t>
  </si>
  <si>
    <t>Inventories</t>
  </si>
  <si>
    <t>PPE</t>
  </si>
  <si>
    <t>Op lease</t>
  </si>
  <si>
    <t>Goodwill</t>
  </si>
  <si>
    <t>OA</t>
  </si>
  <si>
    <t>A/P</t>
  </si>
  <si>
    <t>Accrued exp</t>
  </si>
  <si>
    <t>Op Lease</t>
  </si>
  <si>
    <t>Debt</t>
  </si>
  <si>
    <t>OLTL</t>
  </si>
  <si>
    <t>Deferred I/T</t>
  </si>
  <si>
    <t>LT Op lease</t>
  </si>
  <si>
    <t>Equity</t>
  </si>
  <si>
    <t>TL  + E</t>
  </si>
  <si>
    <t xml:space="preserve">LT Debt </t>
  </si>
  <si>
    <t>ROIC</t>
  </si>
  <si>
    <t>Current</t>
  </si>
  <si>
    <t xml:space="preserve">Upside </t>
  </si>
  <si>
    <t xml:space="preserve">Founder </t>
  </si>
  <si>
    <t>Founded</t>
  </si>
  <si>
    <t>US 4W</t>
  </si>
  <si>
    <t>US 8W</t>
  </si>
  <si>
    <t xml:space="preserve">Premium </t>
  </si>
  <si>
    <t>Bernard Cammarata</t>
  </si>
  <si>
    <t xml:space="preserve">Segments </t>
  </si>
  <si>
    <t>MARMAXX</t>
  </si>
  <si>
    <t>HOEMGOODS</t>
  </si>
  <si>
    <t>TJX CANADA</t>
  </si>
  <si>
    <t>TJX INTERNATIONAL</t>
  </si>
  <si>
    <t xml:space="preserve">Business Model </t>
  </si>
  <si>
    <t xml:space="preserve">flexible off-price/opportunitic buying </t>
  </si>
  <si>
    <t>CEO</t>
  </si>
  <si>
    <t>Ernie Herrman</t>
  </si>
  <si>
    <t xml:space="preserve">CFFO </t>
  </si>
  <si>
    <t>Capex</t>
  </si>
  <si>
    <t xml:space="preserve">Free Cash Flow </t>
  </si>
  <si>
    <t xml:space="preserve">net Income </t>
  </si>
  <si>
    <t>4Q FCF</t>
  </si>
  <si>
    <t xml:space="preserve">4Q NI 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</si>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</sst>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/d;@"/>
    <numFmt numFmtId="167" formatCode="0.0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theme="1"/>
      <name val="ArialMT"/>
    </font>
    <font>
      <sz val="1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2" fillId="0" borderId="0" xfId="0" applyNumberFormat="1" applyFont="1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3" fontId="0" fillId="2" borderId="0" xfId="0" applyNumberFormat="1" applyFill="1"/>
    <xf numFmtId="3" fontId="3" fillId="0" borderId="0" xfId="0" applyNumberFormat="1" applyFont="1"/>
    <xf numFmtId="3" fontId="4" fillId="0" borderId="0" xfId="0" applyNumberFormat="1" applyFont="1"/>
    <xf numFmtId="9" fontId="0" fillId="2" borderId="0" xfId="0" applyNumberFormat="1" applyFill="1"/>
    <xf numFmtId="3" fontId="0" fillId="0" borderId="0" xfId="0" applyNumberFormat="1" applyFill="1"/>
    <xf numFmtId="10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6882</xdr:colOff>
      <xdr:row>0</xdr:row>
      <xdr:rowOff>21439</xdr:rowOff>
    </xdr:from>
    <xdr:to>
      <xdr:col>14</xdr:col>
      <xdr:colOff>31750</xdr:colOff>
      <xdr:row>104</xdr:row>
      <xdr:rowOff>39688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993B6D1-E9FB-529B-6396-16615EA13D08}"/>
            </a:ext>
          </a:extLst>
        </xdr:cNvPr>
        <xdr:cNvCxnSpPr/>
      </xdr:nvCxnSpPr>
      <xdr:spPr>
        <a:xfrm>
          <a:off x="7499882" y="21439"/>
          <a:ext cx="24868" cy="170203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5247</xdr:colOff>
      <xdr:row>0</xdr:row>
      <xdr:rowOff>35684</xdr:rowOff>
    </xdr:from>
    <xdr:to>
      <xdr:col>26</xdr:col>
      <xdr:colOff>8852</xdr:colOff>
      <xdr:row>58</xdr:row>
      <xdr:rowOff>77010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6023ECC-CA1A-454E-A337-4B64646B2A54}"/>
            </a:ext>
          </a:extLst>
        </xdr:cNvPr>
        <xdr:cNvCxnSpPr/>
      </xdr:nvCxnSpPr>
      <xdr:spPr>
        <a:xfrm flipH="1">
          <a:off x="15005358" y="35684"/>
          <a:ext cx="3605" cy="73438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BF73-88EF-E144-8BA1-227816B3D2A9}">
  <dimension ref="B2:L14"/>
  <sheetViews>
    <sheetView tabSelected="1" zoomScale="189" workbookViewId="0">
      <selection activeCell="G6" sqref="G6"/>
    </sheetView>
  </sheetViews>
  <sheetFormatPr baseColWidth="10" defaultRowHeight="13"/>
  <cols>
    <col min="1" max="1" width="3.6640625" style="1" customWidth="1"/>
    <col min="2" max="2" width="10.83203125" style="1"/>
    <col min="3" max="3" width="16.83203125" style="1" bestFit="1" customWidth="1"/>
    <col min="4" max="9" width="10.83203125" style="1"/>
    <col min="10" max="10" width="8.1640625" style="1" bestFit="1" customWidth="1"/>
    <col min="11" max="11" width="7.6640625" style="1" bestFit="1" customWidth="1"/>
    <col min="12" max="12" width="5.5" style="1" bestFit="1" customWidth="1"/>
    <col min="13" max="16384" width="10.83203125" style="1"/>
  </cols>
  <sheetData>
    <row r="2" spans="2:12">
      <c r="B2" s="1" t="s">
        <v>72</v>
      </c>
      <c r="C2" s="1" t="s">
        <v>77</v>
      </c>
      <c r="J2" s="1" t="s">
        <v>7</v>
      </c>
    </row>
    <row r="3" spans="2:12">
      <c r="B3" s="1" t="s">
        <v>73</v>
      </c>
      <c r="C3" s="6">
        <v>1976</v>
      </c>
      <c r="J3" s="1" t="s">
        <v>0</v>
      </c>
      <c r="K3" s="1">
        <v>99.3</v>
      </c>
    </row>
    <row r="4" spans="2:12">
      <c r="B4" s="1" t="s">
        <v>85</v>
      </c>
      <c r="C4" s="1" t="s">
        <v>86</v>
      </c>
      <c r="J4" s="1" t="s">
        <v>1</v>
      </c>
      <c r="K4" s="1">
        <v>1152</v>
      </c>
      <c r="L4" s="1" t="s">
        <v>6</v>
      </c>
    </row>
    <row r="5" spans="2:12">
      <c r="J5" s="1" t="s">
        <v>2</v>
      </c>
      <c r="K5" s="1">
        <f>+K3*K4</f>
        <v>114393.59999999999</v>
      </c>
    </row>
    <row r="6" spans="2:12">
      <c r="J6" s="1" t="s">
        <v>3</v>
      </c>
      <c r="K6" s="1">
        <v>5600</v>
      </c>
    </row>
    <row r="7" spans="2:12">
      <c r="J7" s="1" t="s">
        <v>4</v>
      </c>
      <c r="K7" s="1">
        <v>2862</v>
      </c>
    </row>
    <row r="8" spans="2:12">
      <c r="B8" s="21" t="s">
        <v>78</v>
      </c>
      <c r="C8" s="22" t="s">
        <v>83</v>
      </c>
      <c r="D8" s="22"/>
      <c r="E8" s="22"/>
      <c r="F8" s="23"/>
      <c r="J8" s="1" t="s">
        <v>5</v>
      </c>
      <c r="K8" s="1">
        <f>+K5-K6+K7</f>
        <v>111655.59999999999</v>
      </c>
    </row>
    <row r="9" spans="2:12">
      <c r="B9" s="15" t="s">
        <v>79</v>
      </c>
      <c r="C9" s="16" t="s">
        <v>84</v>
      </c>
      <c r="D9" s="16"/>
      <c r="E9" s="16"/>
      <c r="F9" s="17"/>
    </row>
    <row r="10" spans="2:12">
      <c r="B10" s="15" t="s">
        <v>80</v>
      </c>
      <c r="C10" s="16"/>
      <c r="D10" s="16"/>
      <c r="E10" s="16"/>
      <c r="F10" s="17"/>
    </row>
    <row r="11" spans="2:12">
      <c r="B11" s="15" t="s">
        <v>81</v>
      </c>
      <c r="C11" s="16"/>
      <c r="D11" s="16"/>
      <c r="E11" s="16"/>
      <c r="F11" s="17"/>
    </row>
    <row r="12" spans="2:12">
      <c r="B12" s="15" t="s">
        <v>82</v>
      </c>
      <c r="C12" s="16"/>
      <c r="D12" s="16"/>
      <c r="E12" s="16"/>
      <c r="F12" s="17"/>
    </row>
    <row r="13" spans="2:12">
      <c r="B13" s="15"/>
      <c r="C13" s="16"/>
      <c r="D13" s="16"/>
      <c r="E13" s="16"/>
      <c r="F13" s="17"/>
    </row>
    <row r="14" spans="2:12">
      <c r="B14" s="18"/>
      <c r="C14" s="19"/>
      <c r="D14" s="19"/>
      <c r="E14" s="19"/>
      <c r="F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0D85-2839-584D-84A0-9781700A3D1D}">
  <dimension ref="A1:HR75"/>
  <sheetViews>
    <sheetView zoomScale="160" zoomScaleNormal="16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W24" sqref="W24:Z24"/>
    </sheetView>
  </sheetViews>
  <sheetFormatPr baseColWidth="10" defaultRowHeight="13"/>
  <cols>
    <col min="1" max="1" width="3.5" style="1" bestFit="1" customWidth="1"/>
    <col min="2" max="2" width="14.83203125" style="1" bestFit="1" customWidth="1"/>
    <col min="3" max="18" width="6.6640625" style="1" bestFit="1" customWidth="1"/>
    <col min="19" max="19" width="10.83203125" style="1"/>
    <col min="20" max="21" width="5.1640625" style="1" bestFit="1" customWidth="1"/>
    <col min="22" max="35" width="6.6640625" style="1" bestFit="1" customWidth="1"/>
    <col min="36" max="36" width="7.6640625" style="1" bestFit="1" customWidth="1"/>
    <col min="37" max="37" width="5.6640625" style="1" bestFit="1" customWidth="1"/>
    <col min="38" max="38" width="10.83203125" style="1"/>
    <col min="39" max="39" width="7.6640625" style="1" bestFit="1" customWidth="1"/>
    <col min="40" max="42" width="5.6640625" style="1" bestFit="1" customWidth="1"/>
    <col min="43" max="43" width="8.33203125" style="1" bestFit="1" customWidth="1"/>
    <col min="44" max="44" width="6.1640625" style="1" bestFit="1" customWidth="1"/>
    <col min="45" max="69" width="5.6640625" style="1" bestFit="1" customWidth="1"/>
    <col min="70" max="226" width="6.6640625" style="1" bestFit="1" customWidth="1"/>
    <col min="227" max="16384" width="10.83203125" style="1"/>
  </cols>
  <sheetData>
    <row r="1" spans="1:226" s="11" customFormat="1">
      <c r="A1" s="11" t="s">
        <v>7</v>
      </c>
      <c r="AA1" s="11">
        <v>1</v>
      </c>
      <c r="AB1" s="11">
        <f>+AA1+1</f>
        <v>2</v>
      </c>
      <c r="AC1" s="11">
        <f t="shared" ref="AC1:CN1" si="0">+AB1+1</f>
        <v>3</v>
      </c>
      <c r="AD1" s="11">
        <f t="shared" si="0"/>
        <v>4</v>
      </c>
      <c r="AE1" s="11">
        <f t="shared" si="0"/>
        <v>5</v>
      </c>
      <c r="AF1" s="11">
        <f t="shared" si="0"/>
        <v>6</v>
      </c>
      <c r="AG1" s="11">
        <f t="shared" si="0"/>
        <v>7</v>
      </c>
      <c r="AH1" s="11">
        <f t="shared" si="0"/>
        <v>8</v>
      </c>
      <c r="AI1" s="11">
        <f t="shared" si="0"/>
        <v>9</v>
      </c>
      <c r="AJ1" s="11">
        <f t="shared" si="0"/>
        <v>10</v>
      </c>
      <c r="AK1" s="11">
        <f t="shared" si="0"/>
        <v>11</v>
      </c>
      <c r="AL1" s="11">
        <f t="shared" si="0"/>
        <v>12</v>
      </c>
      <c r="AM1" s="11">
        <f t="shared" si="0"/>
        <v>13</v>
      </c>
      <c r="AN1" s="11">
        <f t="shared" si="0"/>
        <v>14</v>
      </c>
      <c r="AO1" s="11">
        <f t="shared" si="0"/>
        <v>15</v>
      </c>
      <c r="AP1" s="11">
        <f t="shared" si="0"/>
        <v>16</v>
      </c>
      <c r="AQ1" s="11">
        <f t="shared" si="0"/>
        <v>17</v>
      </c>
      <c r="AR1" s="11">
        <f t="shared" si="0"/>
        <v>18</v>
      </c>
      <c r="AS1" s="11">
        <f t="shared" si="0"/>
        <v>19</v>
      </c>
      <c r="AT1" s="11">
        <f t="shared" si="0"/>
        <v>20</v>
      </c>
      <c r="AU1" s="11">
        <f t="shared" si="0"/>
        <v>21</v>
      </c>
      <c r="AV1" s="11">
        <f t="shared" si="0"/>
        <v>22</v>
      </c>
      <c r="AW1" s="11">
        <f t="shared" si="0"/>
        <v>23</v>
      </c>
      <c r="AX1" s="11">
        <f t="shared" si="0"/>
        <v>24</v>
      </c>
      <c r="AY1" s="11">
        <f t="shared" si="0"/>
        <v>25</v>
      </c>
      <c r="AZ1" s="11">
        <f t="shared" si="0"/>
        <v>26</v>
      </c>
      <c r="BA1" s="11">
        <f t="shared" si="0"/>
        <v>27</v>
      </c>
      <c r="BB1" s="11">
        <f t="shared" si="0"/>
        <v>28</v>
      </c>
      <c r="BC1" s="11">
        <f t="shared" si="0"/>
        <v>29</v>
      </c>
      <c r="BD1" s="11">
        <f t="shared" si="0"/>
        <v>30</v>
      </c>
      <c r="BE1" s="11">
        <f t="shared" si="0"/>
        <v>31</v>
      </c>
      <c r="BF1" s="11">
        <f t="shared" si="0"/>
        <v>32</v>
      </c>
      <c r="BG1" s="11">
        <f t="shared" si="0"/>
        <v>33</v>
      </c>
      <c r="BH1" s="11">
        <f t="shared" si="0"/>
        <v>34</v>
      </c>
      <c r="BI1" s="11">
        <f t="shared" si="0"/>
        <v>35</v>
      </c>
      <c r="BJ1" s="11">
        <f t="shared" si="0"/>
        <v>36</v>
      </c>
      <c r="BK1" s="11">
        <f t="shared" si="0"/>
        <v>37</v>
      </c>
      <c r="BL1" s="11">
        <f t="shared" si="0"/>
        <v>38</v>
      </c>
      <c r="BM1" s="11">
        <f t="shared" si="0"/>
        <v>39</v>
      </c>
      <c r="BN1" s="11">
        <f t="shared" si="0"/>
        <v>40</v>
      </c>
      <c r="BO1" s="11">
        <f t="shared" si="0"/>
        <v>41</v>
      </c>
      <c r="BP1" s="11">
        <f t="shared" si="0"/>
        <v>42</v>
      </c>
      <c r="BQ1" s="11">
        <f t="shared" si="0"/>
        <v>43</v>
      </c>
      <c r="BR1" s="11">
        <f t="shared" si="0"/>
        <v>44</v>
      </c>
      <c r="BS1" s="11">
        <f t="shared" si="0"/>
        <v>45</v>
      </c>
      <c r="BT1" s="11">
        <f t="shared" si="0"/>
        <v>46</v>
      </c>
      <c r="BU1" s="11">
        <f t="shared" si="0"/>
        <v>47</v>
      </c>
      <c r="BV1" s="11">
        <f t="shared" si="0"/>
        <v>48</v>
      </c>
      <c r="BW1" s="11">
        <f t="shared" si="0"/>
        <v>49</v>
      </c>
      <c r="BX1" s="11">
        <f t="shared" si="0"/>
        <v>50</v>
      </c>
      <c r="BY1" s="11">
        <f t="shared" si="0"/>
        <v>51</v>
      </c>
      <c r="BZ1" s="11">
        <f t="shared" si="0"/>
        <v>52</v>
      </c>
      <c r="CA1" s="11">
        <f t="shared" si="0"/>
        <v>53</v>
      </c>
      <c r="CB1" s="11">
        <f t="shared" si="0"/>
        <v>54</v>
      </c>
      <c r="CC1" s="11">
        <f t="shared" si="0"/>
        <v>55</v>
      </c>
      <c r="CD1" s="11">
        <f t="shared" si="0"/>
        <v>56</v>
      </c>
      <c r="CE1" s="11">
        <f t="shared" si="0"/>
        <v>57</v>
      </c>
      <c r="CF1" s="11">
        <f t="shared" si="0"/>
        <v>58</v>
      </c>
      <c r="CG1" s="11">
        <f t="shared" si="0"/>
        <v>59</v>
      </c>
      <c r="CH1" s="11">
        <f t="shared" si="0"/>
        <v>60</v>
      </c>
      <c r="CI1" s="11">
        <f t="shared" si="0"/>
        <v>61</v>
      </c>
      <c r="CJ1" s="11">
        <f t="shared" si="0"/>
        <v>62</v>
      </c>
      <c r="CK1" s="11">
        <f t="shared" si="0"/>
        <v>63</v>
      </c>
      <c r="CL1" s="11">
        <f t="shared" si="0"/>
        <v>64</v>
      </c>
      <c r="CM1" s="11">
        <f t="shared" si="0"/>
        <v>65</v>
      </c>
      <c r="CN1" s="11">
        <f t="shared" si="0"/>
        <v>66</v>
      </c>
      <c r="CO1" s="11">
        <f t="shared" ref="CO1:EZ1" si="1">+CN1+1</f>
        <v>67</v>
      </c>
      <c r="CP1" s="11">
        <f t="shared" si="1"/>
        <v>68</v>
      </c>
      <c r="CQ1" s="11">
        <f t="shared" si="1"/>
        <v>69</v>
      </c>
      <c r="CR1" s="11">
        <f t="shared" si="1"/>
        <v>70</v>
      </c>
      <c r="CS1" s="11">
        <f t="shared" si="1"/>
        <v>71</v>
      </c>
      <c r="CT1" s="11">
        <f t="shared" si="1"/>
        <v>72</v>
      </c>
      <c r="CU1" s="11">
        <f t="shared" si="1"/>
        <v>73</v>
      </c>
      <c r="CV1" s="11">
        <f t="shared" si="1"/>
        <v>74</v>
      </c>
      <c r="CW1" s="11">
        <f t="shared" si="1"/>
        <v>75</v>
      </c>
      <c r="CX1" s="11">
        <f t="shared" si="1"/>
        <v>76</v>
      </c>
      <c r="CY1" s="11">
        <f t="shared" si="1"/>
        <v>77</v>
      </c>
      <c r="CZ1" s="11">
        <f t="shared" si="1"/>
        <v>78</v>
      </c>
      <c r="DA1" s="11">
        <f t="shared" si="1"/>
        <v>79</v>
      </c>
      <c r="DB1" s="11">
        <f t="shared" si="1"/>
        <v>80</v>
      </c>
      <c r="DC1" s="11">
        <f t="shared" si="1"/>
        <v>81</v>
      </c>
      <c r="DD1" s="11">
        <f t="shared" si="1"/>
        <v>82</v>
      </c>
      <c r="DE1" s="11">
        <f t="shared" si="1"/>
        <v>83</v>
      </c>
      <c r="DF1" s="11">
        <f t="shared" si="1"/>
        <v>84</v>
      </c>
      <c r="DG1" s="11">
        <f t="shared" si="1"/>
        <v>85</v>
      </c>
      <c r="DH1" s="11">
        <f t="shared" si="1"/>
        <v>86</v>
      </c>
      <c r="DI1" s="11">
        <f t="shared" si="1"/>
        <v>87</v>
      </c>
      <c r="DJ1" s="11">
        <f t="shared" si="1"/>
        <v>88</v>
      </c>
      <c r="DK1" s="11">
        <f t="shared" si="1"/>
        <v>89</v>
      </c>
      <c r="DL1" s="11">
        <f t="shared" si="1"/>
        <v>90</v>
      </c>
      <c r="DM1" s="11">
        <f t="shared" si="1"/>
        <v>91</v>
      </c>
      <c r="DN1" s="11">
        <f t="shared" si="1"/>
        <v>92</v>
      </c>
      <c r="DO1" s="11">
        <f t="shared" si="1"/>
        <v>93</v>
      </c>
      <c r="DP1" s="11">
        <f t="shared" si="1"/>
        <v>94</v>
      </c>
      <c r="DQ1" s="11">
        <f t="shared" si="1"/>
        <v>95</v>
      </c>
      <c r="DR1" s="11">
        <f t="shared" si="1"/>
        <v>96</v>
      </c>
      <c r="DS1" s="11">
        <f t="shared" si="1"/>
        <v>97</v>
      </c>
      <c r="DT1" s="11">
        <f t="shared" si="1"/>
        <v>98</v>
      </c>
      <c r="DU1" s="11">
        <f t="shared" si="1"/>
        <v>99</v>
      </c>
      <c r="DV1" s="11">
        <f t="shared" si="1"/>
        <v>100</v>
      </c>
      <c r="DW1" s="11">
        <f t="shared" si="1"/>
        <v>101</v>
      </c>
      <c r="DX1" s="11">
        <f t="shared" si="1"/>
        <v>102</v>
      </c>
      <c r="DY1" s="11">
        <f t="shared" si="1"/>
        <v>103</v>
      </c>
      <c r="DZ1" s="11">
        <f t="shared" si="1"/>
        <v>104</v>
      </c>
      <c r="EA1" s="11">
        <f t="shared" si="1"/>
        <v>105</v>
      </c>
      <c r="EB1" s="11">
        <f t="shared" si="1"/>
        <v>106</v>
      </c>
      <c r="EC1" s="11">
        <f t="shared" si="1"/>
        <v>107</v>
      </c>
      <c r="ED1" s="11">
        <f t="shared" si="1"/>
        <v>108</v>
      </c>
      <c r="EE1" s="11">
        <f t="shared" si="1"/>
        <v>109</v>
      </c>
      <c r="EF1" s="11">
        <f t="shared" si="1"/>
        <v>110</v>
      </c>
      <c r="EG1" s="11">
        <f t="shared" si="1"/>
        <v>111</v>
      </c>
      <c r="EH1" s="11">
        <f t="shared" si="1"/>
        <v>112</v>
      </c>
      <c r="EI1" s="11">
        <f t="shared" si="1"/>
        <v>113</v>
      </c>
      <c r="EJ1" s="11">
        <f t="shared" si="1"/>
        <v>114</v>
      </c>
      <c r="EK1" s="11">
        <f t="shared" si="1"/>
        <v>115</v>
      </c>
      <c r="EL1" s="11">
        <f t="shared" si="1"/>
        <v>116</v>
      </c>
      <c r="EM1" s="11">
        <f t="shared" si="1"/>
        <v>117</v>
      </c>
      <c r="EN1" s="11">
        <f t="shared" si="1"/>
        <v>118</v>
      </c>
      <c r="EO1" s="11">
        <f t="shared" si="1"/>
        <v>119</v>
      </c>
      <c r="EP1" s="11">
        <f t="shared" si="1"/>
        <v>120</v>
      </c>
      <c r="EQ1" s="11">
        <f t="shared" si="1"/>
        <v>121</v>
      </c>
      <c r="ER1" s="11">
        <f t="shared" si="1"/>
        <v>122</v>
      </c>
      <c r="ES1" s="11">
        <f t="shared" si="1"/>
        <v>123</v>
      </c>
      <c r="ET1" s="11">
        <f t="shared" si="1"/>
        <v>124</v>
      </c>
      <c r="EU1" s="11">
        <f t="shared" si="1"/>
        <v>125</v>
      </c>
      <c r="EV1" s="11">
        <f t="shared" si="1"/>
        <v>126</v>
      </c>
      <c r="EW1" s="11">
        <f t="shared" si="1"/>
        <v>127</v>
      </c>
      <c r="EX1" s="11">
        <f t="shared" si="1"/>
        <v>128</v>
      </c>
      <c r="EY1" s="11">
        <f t="shared" si="1"/>
        <v>129</v>
      </c>
      <c r="EZ1" s="11">
        <f t="shared" si="1"/>
        <v>130</v>
      </c>
      <c r="FA1" s="11">
        <f t="shared" ref="FA1:GH1" si="2">+EZ1+1</f>
        <v>131</v>
      </c>
      <c r="FB1" s="11">
        <f t="shared" si="2"/>
        <v>132</v>
      </c>
      <c r="FC1" s="11">
        <f t="shared" si="2"/>
        <v>133</v>
      </c>
      <c r="FD1" s="11">
        <f t="shared" si="2"/>
        <v>134</v>
      </c>
      <c r="FE1" s="11">
        <f t="shared" si="2"/>
        <v>135</v>
      </c>
      <c r="FF1" s="11">
        <f t="shared" si="2"/>
        <v>136</v>
      </c>
      <c r="FG1" s="11">
        <f t="shared" si="2"/>
        <v>137</v>
      </c>
      <c r="FH1" s="11">
        <f t="shared" si="2"/>
        <v>138</v>
      </c>
      <c r="FI1" s="11">
        <f t="shared" si="2"/>
        <v>139</v>
      </c>
      <c r="FJ1" s="11">
        <f t="shared" si="2"/>
        <v>140</v>
      </c>
      <c r="FK1" s="11">
        <f t="shared" si="2"/>
        <v>141</v>
      </c>
      <c r="FL1" s="11">
        <f t="shared" si="2"/>
        <v>142</v>
      </c>
      <c r="FM1" s="11">
        <f t="shared" si="2"/>
        <v>143</v>
      </c>
      <c r="FN1" s="11">
        <f t="shared" si="2"/>
        <v>144</v>
      </c>
      <c r="FO1" s="11">
        <f t="shared" si="2"/>
        <v>145</v>
      </c>
      <c r="FP1" s="11">
        <f t="shared" si="2"/>
        <v>146</v>
      </c>
      <c r="FQ1" s="11">
        <f t="shared" si="2"/>
        <v>147</v>
      </c>
      <c r="FR1" s="11">
        <f t="shared" si="2"/>
        <v>148</v>
      </c>
      <c r="FS1" s="11">
        <f t="shared" si="2"/>
        <v>149</v>
      </c>
      <c r="FT1" s="11">
        <f t="shared" si="2"/>
        <v>150</v>
      </c>
      <c r="FU1" s="11">
        <f t="shared" si="2"/>
        <v>151</v>
      </c>
      <c r="FV1" s="11">
        <f t="shared" si="2"/>
        <v>152</v>
      </c>
      <c r="FW1" s="11">
        <f t="shared" si="2"/>
        <v>153</v>
      </c>
      <c r="FX1" s="11">
        <f t="shared" si="2"/>
        <v>154</v>
      </c>
      <c r="FY1" s="11">
        <f t="shared" si="2"/>
        <v>155</v>
      </c>
      <c r="FZ1" s="11">
        <f t="shared" si="2"/>
        <v>156</v>
      </c>
      <c r="GA1" s="11">
        <f t="shared" si="2"/>
        <v>157</v>
      </c>
      <c r="GB1" s="11">
        <f t="shared" si="2"/>
        <v>158</v>
      </c>
      <c r="GC1" s="11">
        <f t="shared" si="2"/>
        <v>159</v>
      </c>
      <c r="GD1" s="11">
        <f t="shared" si="2"/>
        <v>160</v>
      </c>
      <c r="GE1" s="11">
        <f t="shared" si="2"/>
        <v>161</v>
      </c>
      <c r="GF1" s="11">
        <f t="shared" si="2"/>
        <v>162</v>
      </c>
      <c r="GG1" s="11">
        <f t="shared" si="2"/>
        <v>163</v>
      </c>
      <c r="GH1" s="11">
        <f t="shared" si="2"/>
        <v>164</v>
      </c>
      <c r="GI1" s="11">
        <f t="shared" ref="GI1:HT1" si="3">+GH1+1</f>
        <v>165</v>
      </c>
      <c r="GJ1" s="11">
        <f t="shared" si="3"/>
        <v>166</v>
      </c>
      <c r="GK1" s="11">
        <f t="shared" si="3"/>
        <v>167</v>
      </c>
      <c r="GL1" s="11">
        <f t="shared" si="3"/>
        <v>168</v>
      </c>
      <c r="GM1" s="11">
        <f t="shared" si="3"/>
        <v>169</v>
      </c>
      <c r="GN1" s="11">
        <f t="shared" si="3"/>
        <v>170</v>
      </c>
      <c r="GO1" s="11">
        <f t="shared" si="3"/>
        <v>171</v>
      </c>
      <c r="GP1" s="11">
        <f t="shared" si="3"/>
        <v>172</v>
      </c>
      <c r="GQ1" s="11">
        <f t="shared" si="3"/>
        <v>173</v>
      </c>
      <c r="GR1" s="11">
        <f t="shared" si="3"/>
        <v>174</v>
      </c>
      <c r="GS1" s="11">
        <f t="shared" si="3"/>
        <v>175</v>
      </c>
      <c r="GT1" s="11">
        <f t="shared" si="3"/>
        <v>176</v>
      </c>
      <c r="GU1" s="11">
        <f t="shared" si="3"/>
        <v>177</v>
      </c>
      <c r="GV1" s="11">
        <f t="shared" si="3"/>
        <v>178</v>
      </c>
      <c r="GW1" s="11">
        <f t="shared" si="3"/>
        <v>179</v>
      </c>
      <c r="GX1" s="11">
        <f t="shared" si="3"/>
        <v>180</v>
      </c>
      <c r="GY1" s="11">
        <f t="shared" si="3"/>
        <v>181</v>
      </c>
      <c r="GZ1" s="11">
        <f t="shared" si="3"/>
        <v>182</v>
      </c>
      <c r="HA1" s="11">
        <f t="shared" si="3"/>
        <v>183</v>
      </c>
      <c r="HB1" s="11">
        <f t="shared" si="3"/>
        <v>184</v>
      </c>
      <c r="HC1" s="11">
        <f t="shared" si="3"/>
        <v>185</v>
      </c>
      <c r="HD1" s="11">
        <f t="shared" si="3"/>
        <v>186</v>
      </c>
      <c r="HE1" s="11">
        <f t="shared" si="3"/>
        <v>187</v>
      </c>
      <c r="HF1" s="11">
        <f t="shared" si="3"/>
        <v>188</v>
      </c>
      <c r="HG1" s="11">
        <f t="shared" si="3"/>
        <v>189</v>
      </c>
      <c r="HH1" s="11">
        <f t="shared" si="3"/>
        <v>190</v>
      </c>
      <c r="HI1" s="11">
        <f t="shared" si="3"/>
        <v>191</v>
      </c>
      <c r="HJ1" s="11">
        <f t="shared" si="3"/>
        <v>192</v>
      </c>
      <c r="HK1" s="11">
        <f t="shared" si="3"/>
        <v>193</v>
      </c>
      <c r="HL1" s="11">
        <f t="shared" si="3"/>
        <v>194</v>
      </c>
      <c r="HM1" s="11">
        <f t="shared" si="3"/>
        <v>195</v>
      </c>
      <c r="HN1" s="11">
        <f t="shared" si="3"/>
        <v>196</v>
      </c>
      <c r="HO1" s="11">
        <f t="shared" si="3"/>
        <v>197</v>
      </c>
      <c r="HP1" s="11">
        <f t="shared" si="3"/>
        <v>198</v>
      </c>
      <c r="HQ1" s="11">
        <f t="shared" si="3"/>
        <v>199</v>
      </c>
      <c r="HR1" s="11">
        <f t="shared" si="3"/>
        <v>200</v>
      </c>
    </row>
    <row r="2" spans="1:226">
      <c r="A2" s="6"/>
      <c r="B2" s="6"/>
      <c r="C2" s="6">
        <f>IF(C3="","",YEAR(C3))</f>
        <v>2021</v>
      </c>
      <c r="D2" s="6">
        <f>IF(D3="","",YEAR(D3))</f>
        <v>2021</v>
      </c>
      <c r="E2" s="6">
        <f t="shared" ref="E2:N2" si="4">IF(E3="","",YEAR(E3))</f>
        <v>2021</v>
      </c>
      <c r="F2" s="6">
        <f t="shared" si="4"/>
        <v>2022</v>
      </c>
      <c r="G2" s="6">
        <f t="shared" si="4"/>
        <v>2022</v>
      </c>
      <c r="H2" s="6">
        <f t="shared" si="4"/>
        <v>2022</v>
      </c>
      <c r="I2" s="6">
        <f t="shared" si="4"/>
        <v>2022</v>
      </c>
      <c r="J2" s="6">
        <f t="shared" si="4"/>
        <v>2023</v>
      </c>
      <c r="K2" s="6">
        <f t="shared" si="4"/>
        <v>2023</v>
      </c>
      <c r="L2" s="6">
        <f t="shared" si="4"/>
        <v>2023</v>
      </c>
      <c r="M2" s="6">
        <f t="shared" si="4"/>
        <v>2023</v>
      </c>
      <c r="N2" s="6">
        <f t="shared" si="4"/>
        <v>2024</v>
      </c>
      <c r="O2" s="6"/>
      <c r="P2" s="6"/>
      <c r="Q2" s="6"/>
      <c r="R2" s="6"/>
      <c r="S2" s="6"/>
      <c r="HP2" s="6"/>
    </row>
    <row r="3" spans="1:226">
      <c r="A3" s="5"/>
      <c r="B3" s="5"/>
      <c r="C3" s="5">
        <v>44317</v>
      </c>
      <c r="D3" s="5">
        <v>44408</v>
      </c>
      <c r="E3" s="5">
        <v>44499</v>
      </c>
      <c r="F3" s="5">
        <v>44590</v>
      </c>
      <c r="G3" s="5">
        <v>44681</v>
      </c>
      <c r="H3" s="5">
        <v>44772</v>
      </c>
      <c r="I3" s="5">
        <v>44863</v>
      </c>
      <c r="J3" s="5">
        <v>44954</v>
      </c>
      <c r="K3" s="5">
        <v>45045</v>
      </c>
      <c r="L3" s="5">
        <v>45136</v>
      </c>
      <c r="M3" s="5">
        <v>45227</v>
      </c>
      <c r="N3" s="5">
        <v>45325</v>
      </c>
      <c r="O3" s="5"/>
      <c r="P3" s="5"/>
      <c r="Q3" s="5"/>
      <c r="R3" s="5"/>
      <c r="S3" s="5"/>
      <c r="T3" s="5"/>
      <c r="U3" s="5"/>
      <c r="V3" s="5">
        <v>43862</v>
      </c>
      <c r="W3" s="5">
        <v>44226</v>
      </c>
      <c r="X3" s="5">
        <v>44590</v>
      </c>
      <c r="Y3" s="5">
        <v>44954</v>
      </c>
      <c r="Z3" s="5">
        <f>+N3</f>
        <v>45325</v>
      </c>
      <c r="AA3" s="5"/>
      <c r="AB3" s="5"/>
      <c r="AC3" s="5"/>
      <c r="AD3" s="5"/>
      <c r="AE3" s="5"/>
      <c r="AF3" s="5"/>
      <c r="AG3" s="5"/>
      <c r="AH3" s="5"/>
      <c r="AI3" s="5"/>
    </row>
    <row r="4" spans="1:226">
      <c r="C4" s="1" t="s">
        <v>8</v>
      </c>
      <c r="D4" s="1" t="s">
        <v>18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6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31</v>
      </c>
      <c r="P4" s="1" t="s">
        <v>32</v>
      </c>
      <c r="Q4" s="1" t="s">
        <v>33</v>
      </c>
      <c r="R4" s="1" t="s">
        <v>34</v>
      </c>
      <c r="T4" s="6">
        <v>2018</v>
      </c>
      <c r="U4" s="6">
        <f>+T4+1</f>
        <v>2019</v>
      </c>
      <c r="V4" s="6">
        <f t="shared" ref="V4:AI4" si="5">+U4+1</f>
        <v>2020</v>
      </c>
      <c r="W4" s="6">
        <f t="shared" si="5"/>
        <v>2021</v>
      </c>
      <c r="X4" s="6">
        <f t="shared" si="5"/>
        <v>2022</v>
      </c>
      <c r="Y4" s="6">
        <f t="shared" si="5"/>
        <v>2023</v>
      </c>
      <c r="Z4" s="6">
        <f t="shared" si="5"/>
        <v>2024</v>
      </c>
      <c r="AA4" s="6">
        <f t="shared" si="5"/>
        <v>2025</v>
      </c>
      <c r="AB4" s="6">
        <f t="shared" si="5"/>
        <v>2026</v>
      </c>
      <c r="AC4" s="6">
        <f t="shared" si="5"/>
        <v>2027</v>
      </c>
      <c r="AD4" s="6">
        <f t="shared" si="5"/>
        <v>2028</v>
      </c>
      <c r="AE4" s="6">
        <f t="shared" si="5"/>
        <v>2029</v>
      </c>
      <c r="AF4" s="6">
        <f t="shared" si="5"/>
        <v>2030</v>
      </c>
      <c r="AG4" s="6">
        <f t="shared" si="5"/>
        <v>2031</v>
      </c>
      <c r="AH4" s="6">
        <f t="shared" si="5"/>
        <v>2032</v>
      </c>
      <c r="AI4" s="6">
        <f t="shared" si="5"/>
        <v>2033</v>
      </c>
      <c r="AJ4" s="6">
        <f t="shared" ref="AJ4" si="6">+AI4+1</f>
        <v>2034</v>
      </c>
    </row>
    <row r="5" spans="1:226">
      <c r="B5" s="1" t="s">
        <v>36</v>
      </c>
      <c r="V5" s="1">
        <v>1273</v>
      </c>
      <c r="W5" s="1">
        <v>1271</v>
      </c>
      <c r="X5" s="1">
        <v>1284</v>
      </c>
      <c r="Y5" s="1">
        <v>1299</v>
      </c>
      <c r="Z5" s="1">
        <v>1319</v>
      </c>
    </row>
    <row r="6" spans="1:226">
      <c r="B6" s="1" t="s">
        <v>37</v>
      </c>
      <c r="V6" s="1">
        <v>1130</v>
      </c>
      <c r="W6" s="1">
        <v>1131</v>
      </c>
      <c r="X6" s="1">
        <v>1148</v>
      </c>
      <c r="Y6" s="1">
        <v>1183</v>
      </c>
      <c r="Z6" s="1">
        <v>1197</v>
      </c>
    </row>
    <row r="7" spans="1:226">
      <c r="B7" s="1" t="s">
        <v>38</v>
      </c>
      <c r="V7" s="1">
        <v>46</v>
      </c>
      <c r="W7" s="1">
        <v>48</v>
      </c>
      <c r="X7" s="1">
        <v>59</v>
      </c>
      <c r="Y7" s="1">
        <v>78</v>
      </c>
      <c r="Z7" s="1">
        <v>95</v>
      </c>
    </row>
    <row r="8" spans="1:226">
      <c r="B8" s="1" t="s">
        <v>40</v>
      </c>
      <c r="V8" s="1">
        <v>841</v>
      </c>
      <c r="W8" s="1">
        <v>855</v>
      </c>
      <c r="X8" s="1">
        <v>889</v>
      </c>
      <c r="Y8" s="1">
        <v>894</v>
      </c>
      <c r="Z8" s="1">
        <f>919+55</f>
        <v>974</v>
      </c>
    </row>
    <row r="9" spans="1:226">
      <c r="B9" s="1" t="s">
        <v>41</v>
      </c>
      <c r="V9" s="1">
        <v>513</v>
      </c>
      <c r="W9" s="1">
        <v>525</v>
      </c>
      <c r="X9" s="1">
        <v>546</v>
      </c>
      <c r="Y9" s="1">
        <v>554</v>
      </c>
      <c r="Z9" s="1">
        <f>302+158+106</f>
        <v>566</v>
      </c>
    </row>
    <row r="10" spans="1:226">
      <c r="B10" s="1" t="s">
        <v>42</v>
      </c>
      <c r="V10" s="1">
        <v>726</v>
      </c>
      <c r="W10" s="1">
        <v>742</v>
      </c>
      <c r="X10" s="1">
        <v>763</v>
      </c>
      <c r="Y10" s="1">
        <v>781</v>
      </c>
      <c r="Z10" s="1">
        <f>644+79</f>
        <v>723</v>
      </c>
    </row>
    <row r="11" spans="1:226">
      <c r="B11" s="1" t="s">
        <v>43</v>
      </c>
      <c r="Y11" s="1">
        <v>74</v>
      </c>
      <c r="Z11" s="1">
        <v>80</v>
      </c>
    </row>
    <row r="12" spans="1:226" s="2" customFormat="1">
      <c r="B12" s="2" t="s">
        <v>39</v>
      </c>
      <c r="V12" s="2">
        <f>+SUM(V5:V11)</f>
        <v>4529</v>
      </c>
      <c r="W12" s="2">
        <f>+SUM(W5:W11)</f>
        <v>4572</v>
      </c>
      <c r="X12" s="2">
        <f>+SUM(X5:X11)</f>
        <v>4689</v>
      </c>
      <c r="Y12" s="2">
        <f>+SUM(Y5:Y11)</f>
        <v>4863</v>
      </c>
      <c r="Z12" s="2">
        <f>+SUM(Z5:Z11)</f>
        <v>4954</v>
      </c>
      <c r="AA12" s="2">
        <f>+Z12+91</f>
        <v>5045</v>
      </c>
      <c r="AB12" s="2">
        <f t="shared" ref="AB12:AJ12" si="7">+AA12+91</f>
        <v>5136</v>
      </c>
      <c r="AC12" s="2">
        <f t="shared" si="7"/>
        <v>5227</v>
      </c>
      <c r="AD12" s="2">
        <f t="shared" si="7"/>
        <v>5318</v>
      </c>
      <c r="AE12" s="2">
        <f t="shared" si="7"/>
        <v>5409</v>
      </c>
      <c r="AF12" s="2">
        <f t="shared" si="7"/>
        <v>5500</v>
      </c>
      <c r="AG12" s="2">
        <f t="shared" si="7"/>
        <v>5591</v>
      </c>
      <c r="AH12" s="2">
        <f t="shared" si="7"/>
        <v>5682</v>
      </c>
      <c r="AI12" s="2">
        <f t="shared" si="7"/>
        <v>5773</v>
      </c>
      <c r="AJ12" s="2">
        <f t="shared" si="7"/>
        <v>5864</v>
      </c>
    </row>
    <row r="13" spans="1:226">
      <c r="T13" s="6"/>
      <c r="U13" s="6"/>
      <c r="V13" s="6"/>
      <c r="W13" s="6">
        <f>+W12-V12</f>
        <v>43</v>
      </c>
      <c r="X13" s="6">
        <f>+X12-W12</f>
        <v>117</v>
      </c>
      <c r="Y13" s="6">
        <f>+Y12-X12</f>
        <v>174</v>
      </c>
      <c r="Z13" s="6">
        <f>+Z12-Y12</f>
        <v>91</v>
      </c>
      <c r="AA13" s="6">
        <f>+AA12-Z12</f>
        <v>91</v>
      </c>
      <c r="AB13" s="6"/>
      <c r="AD13" s="6"/>
      <c r="AE13" s="6"/>
      <c r="AF13" s="6"/>
      <c r="AG13" s="6"/>
      <c r="AH13" s="6"/>
      <c r="AI13" s="6"/>
      <c r="AJ13" s="6"/>
    </row>
    <row r="14" spans="1:226" s="8" customFormat="1">
      <c r="B14" s="8" t="s">
        <v>44</v>
      </c>
      <c r="V14" s="8">
        <f>+V18/V12</f>
        <v>9.2110790461470522</v>
      </c>
      <c r="W14" s="8">
        <f t="shared" ref="W14:X14" si="8">+W18/W12</f>
        <v>7.0290901137357826</v>
      </c>
      <c r="X14" s="8">
        <f t="shared" si="8"/>
        <v>10.35402004691832</v>
      </c>
      <c r="Y14" s="8">
        <f t="shared" ref="Y14:Z14" si="9">+Y18/Y12</f>
        <v>10.268558502981698</v>
      </c>
      <c r="Z14" s="8">
        <f t="shared" si="9"/>
        <v>10.944085587404118</v>
      </c>
      <c r="AA14" s="8">
        <f t="shared" ref="AA14" si="10">+AA18/AA12</f>
        <v>11.284013875123886</v>
      </c>
      <c r="AB14" s="8">
        <f>+AA14*1.03</f>
        <v>11.622534291377603</v>
      </c>
      <c r="AC14" s="8">
        <f t="shared" ref="AC14:AJ14" si="11">+AB14*1.03</f>
        <v>11.971210320118931</v>
      </c>
      <c r="AD14" s="8">
        <f t="shared" si="11"/>
        <v>12.3303466297225</v>
      </c>
      <c r="AE14" s="8">
        <f t="shared" si="11"/>
        <v>12.700257028614176</v>
      </c>
      <c r="AF14" s="8">
        <f t="shared" si="11"/>
        <v>13.081264739472601</v>
      </c>
      <c r="AG14" s="8">
        <f t="shared" si="11"/>
        <v>13.47370268165678</v>
      </c>
      <c r="AH14" s="8">
        <f t="shared" si="11"/>
        <v>13.877913762106484</v>
      </c>
      <c r="AI14" s="8">
        <f t="shared" si="11"/>
        <v>14.294251174969679</v>
      </c>
      <c r="AJ14" s="8">
        <f t="shared" si="11"/>
        <v>14.72307871021877</v>
      </c>
    </row>
    <row r="15" spans="1:226">
      <c r="T15" s="6"/>
      <c r="U15" s="6"/>
      <c r="V15" s="6"/>
      <c r="W15" s="3">
        <f t="shared" ref="W15:AA15" si="12">+W14/V14-1</f>
        <v>-0.23688743973204573</v>
      </c>
      <c r="X15" s="3">
        <f t="shared" si="12"/>
        <v>0.47302422922209786</v>
      </c>
      <c r="Y15" s="3">
        <f t="shared" si="12"/>
        <v>-8.2539480848367042E-3</v>
      </c>
      <c r="Z15" s="3">
        <f t="shared" si="12"/>
        <v>6.5785970272873806E-2</v>
      </c>
      <c r="AA15" s="3">
        <f t="shared" si="12"/>
        <v>3.1060455896927852E-2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226"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226"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226">
      <c r="B18" s="1" t="s">
        <v>19</v>
      </c>
      <c r="C18" s="1">
        <v>10086.661</v>
      </c>
      <c r="D18" s="1">
        <v>12077.063</v>
      </c>
      <c r="E18" s="1">
        <v>12531.89</v>
      </c>
      <c r="F18" s="1">
        <v>13854</v>
      </c>
      <c r="G18" s="1">
        <v>11406</v>
      </c>
      <c r="H18" s="1">
        <v>11843</v>
      </c>
      <c r="I18" s="1">
        <v>12167</v>
      </c>
      <c r="J18" s="1">
        <v>14520</v>
      </c>
      <c r="K18" s="1">
        <v>11783</v>
      </c>
      <c r="L18" s="1">
        <v>12758</v>
      </c>
      <c r="M18" s="1">
        <v>13265</v>
      </c>
      <c r="N18" s="1">
        <v>16411</v>
      </c>
      <c r="O18" s="1">
        <f>+K18*1.05</f>
        <v>12372.15</v>
      </c>
      <c r="P18" s="1">
        <f t="shared" ref="P18:R18" si="13">+L18*1.05</f>
        <v>13395.900000000001</v>
      </c>
      <c r="Q18" s="1">
        <f t="shared" si="13"/>
        <v>13928.25</v>
      </c>
      <c r="R18" s="1">
        <f t="shared" si="13"/>
        <v>17231.55</v>
      </c>
      <c r="V18" s="1">
        <v>41716.976999999999</v>
      </c>
      <c r="W18" s="1">
        <v>32137</v>
      </c>
      <c r="X18" s="1">
        <v>48550</v>
      </c>
      <c r="Y18" s="1">
        <f>SUM(G18:J18)</f>
        <v>49936</v>
      </c>
      <c r="Z18" s="1">
        <f>SUM(K18:N18)</f>
        <v>54217</v>
      </c>
      <c r="AA18" s="1">
        <f>SUM(O18:R18)</f>
        <v>56927.850000000006</v>
      </c>
      <c r="AB18" s="10">
        <f>+AB12*AB14</f>
        <v>59693.336120515371</v>
      </c>
      <c r="AC18" s="1">
        <f t="shared" ref="AC18:AJ18" si="14">+AC12*AC14</f>
        <v>62573.516343261654</v>
      </c>
      <c r="AD18" s="1">
        <f t="shared" si="14"/>
        <v>65572.783376864259</v>
      </c>
      <c r="AE18" s="1">
        <f t="shared" si="14"/>
        <v>68695.690267774087</v>
      </c>
      <c r="AF18" s="1">
        <f t="shared" si="14"/>
        <v>71946.956067099309</v>
      </c>
      <c r="AG18" s="1">
        <f t="shared" si="14"/>
        <v>75331.471693143059</v>
      </c>
      <c r="AH18" s="1">
        <f t="shared" si="14"/>
        <v>78854.30599628904</v>
      </c>
      <c r="AI18" s="1">
        <f t="shared" si="14"/>
        <v>82520.712033099961</v>
      </c>
      <c r="AJ18" s="1">
        <f t="shared" si="14"/>
        <v>86336.133556722867</v>
      </c>
    </row>
    <row r="19" spans="1:226">
      <c r="B19" s="1" t="s">
        <v>3</v>
      </c>
      <c r="C19" s="1">
        <v>7255.6350000000002</v>
      </c>
      <c r="D19" s="1">
        <v>8528.1299999999992</v>
      </c>
      <c r="E19" s="1">
        <v>8835.5319999999992</v>
      </c>
      <c r="F19" s="1">
        <v>10094</v>
      </c>
      <c r="G19" s="1">
        <v>8223</v>
      </c>
      <c r="H19" s="1">
        <v>8571</v>
      </c>
      <c r="I19" s="1">
        <v>8624</v>
      </c>
      <c r="J19" s="1">
        <v>10731</v>
      </c>
      <c r="K19" s="1">
        <v>8374</v>
      </c>
      <c r="L19" s="1">
        <v>8910</v>
      </c>
      <c r="M19" s="1">
        <v>9139</v>
      </c>
      <c r="N19" s="1">
        <v>11528</v>
      </c>
      <c r="O19" s="1">
        <f>+O$18*(K19/K$18)</f>
        <v>8792.7000000000007</v>
      </c>
      <c r="P19" s="1">
        <f>+P$18*(L19/L$18)</f>
        <v>9355.5000000000018</v>
      </c>
      <c r="Q19" s="1">
        <f>+Q18*0.7</f>
        <v>9749.7749999999996</v>
      </c>
      <c r="R19" s="1">
        <f>+R$18*(N19/N$18)</f>
        <v>12104.4</v>
      </c>
      <c r="V19" s="1">
        <v>29845.78</v>
      </c>
      <c r="W19" s="1">
        <v>24534</v>
      </c>
      <c r="X19" s="1">
        <v>34714</v>
      </c>
      <c r="Y19" s="1">
        <f>SUM(G19:J19)</f>
        <v>36149</v>
      </c>
      <c r="Z19" s="1">
        <f>SUM(K19:N19)</f>
        <v>37951</v>
      </c>
      <c r="AA19" s="1">
        <f>SUM(O19:R19)</f>
        <v>40002.375000000007</v>
      </c>
      <c r="AB19" s="1">
        <f>+AB$18*(AA19/AA$18)</f>
        <v>41945.642009910815</v>
      </c>
      <c r="AC19" s="1">
        <f t="shared" ref="AC19:AJ19" si="15">+AC$18*(AB19/AB$18)</f>
        <v>43969.502902916269</v>
      </c>
      <c r="AD19" s="1">
        <f t="shared" si="15"/>
        <v>46077.044371693133</v>
      </c>
      <c r="AE19" s="1">
        <f t="shared" si="15"/>
        <v>48271.465775983983</v>
      </c>
      <c r="AF19" s="1">
        <f t="shared" si="15"/>
        <v>50556.083124597753</v>
      </c>
      <c r="AG19" s="1">
        <f t="shared" si="15"/>
        <v>52934.333194929968</v>
      </c>
      <c r="AH19" s="1">
        <f t="shared" si="15"/>
        <v>55409.777794669979</v>
      </c>
      <c r="AI19" s="1">
        <f t="shared" si="15"/>
        <v>57986.108170518957</v>
      </c>
      <c r="AJ19" s="1">
        <f t="shared" si="15"/>
        <v>60667.14956890366</v>
      </c>
    </row>
    <row r="20" spans="1:226">
      <c r="B20" s="1" t="s">
        <v>20</v>
      </c>
      <c r="C20" s="1">
        <v>2064.9920000000002</v>
      </c>
      <c r="D20" s="1">
        <v>2223.692</v>
      </c>
      <c r="E20" s="1">
        <v>2296.6489999999999</v>
      </c>
      <c r="F20" s="1">
        <v>2496</v>
      </c>
      <c r="G20" s="1">
        <v>2094</v>
      </c>
      <c r="H20" s="1">
        <v>2175</v>
      </c>
      <c r="I20" s="1">
        <v>2185</v>
      </c>
      <c r="J20" s="1">
        <v>2473</v>
      </c>
      <c r="K20" s="1">
        <v>2238</v>
      </c>
      <c r="L20" s="1">
        <v>2559</v>
      </c>
      <c r="M20" s="1">
        <v>2578</v>
      </c>
      <c r="N20" s="1">
        <v>3094</v>
      </c>
      <c r="O20" s="1">
        <f>+O$18*(K20/K$18)</f>
        <v>2349.9</v>
      </c>
      <c r="P20" s="1">
        <f>+P$18*(L20/L$18)</f>
        <v>2686.9500000000003</v>
      </c>
      <c r="Q20" s="1">
        <f>+Q18*0.2</f>
        <v>2785.65</v>
      </c>
      <c r="R20" s="1">
        <f>+R$18*(N20/N$18)</f>
        <v>3248.7</v>
      </c>
      <c r="V20" s="1">
        <v>7454.9880000000003</v>
      </c>
      <c r="W20" s="1">
        <v>7021</v>
      </c>
      <c r="X20" s="1">
        <v>9081</v>
      </c>
      <c r="Y20" s="1">
        <f>SUM(G20:J20)</f>
        <v>8927</v>
      </c>
      <c r="Z20" s="1">
        <f>SUM(K20:N20)</f>
        <v>10469</v>
      </c>
      <c r="AA20" s="1">
        <f>SUM(O20:R20)</f>
        <v>11071.2</v>
      </c>
      <c r="AB20" s="1">
        <f>+AB$18*(AA20/AA$18)</f>
        <v>11609.025509613479</v>
      </c>
      <c r="AC20" s="1">
        <f t="shared" ref="AB20:AJ20" si="16">+AC$18*(AB20/AB$18)</f>
        <v>12169.156469803767</v>
      </c>
      <c r="AD20" s="1">
        <f t="shared" si="16"/>
        <v>12752.447164646821</v>
      </c>
      <c r="AE20" s="1">
        <f t="shared" si="16"/>
        <v>13359.783060357635</v>
      </c>
      <c r="AF20" s="1">
        <f t="shared" si="16"/>
        <v>13992.081907362914</v>
      </c>
      <c r="AG20" s="1">
        <f t="shared" si="16"/>
        <v>14650.294880434187</v>
      </c>
      <c r="AH20" s="1">
        <f t="shared" si="16"/>
        <v>15335.407758173111</v>
      </c>
      <c r="AI20" s="1">
        <f t="shared" si="16"/>
        <v>16048.442143183982</v>
      </c>
      <c r="AJ20" s="1">
        <f t="shared" si="16"/>
        <v>16790.456724313146</v>
      </c>
    </row>
    <row r="21" spans="1:226">
      <c r="B21" s="1" t="s">
        <v>21</v>
      </c>
      <c r="C21" s="1">
        <v>44.688000000000002</v>
      </c>
      <c r="D21" s="1">
        <v>28.661000000000001</v>
      </c>
      <c r="E21" s="1">
        <v>20.673999999999999</v>
      </c>
      <c r="F21" s="1">
        <v>21</v>
      </c>
      <c r="G21" s="1">
        <v>19</v>
      </c>
      <c r="H21" s="1">
        <v>11</v>
      </c>
      <c r="I21" s="1">
        <v>-1</v>
      </c>
      <c r="J21" s="1">
        <v>-23</v>
      </c>
      <c r="K21" s="1">
        <v>-37</v>
      </c>
      <c r="L21" s="1">
        <v>-38</v>
      </c>
      <c r="M21" s="1">
        <v>-41</v>
      </c>
      <c r="N21" s="1">
        <v>-54</v>
      </c>
      <c r="O21" s="1">
        <f>+-N43*$AM$28</f>
        <v>-27.38</v>
      </c>
      <c r="P21" s="1">
        <f>+-O43*$AM$28</f>
        <v>-36.948490450352672</v>
      </c>
      <c r="Q21" s="1">
        <f>+-P43*$AM$28</f>
        <v>-47.533021552370286</v>
      </c>
      <c r="R21" s="1">
        <f>+-Q43*$AM$28</f>
        <v>-58.497873989906786</v>
      </c>
      <c r="V21" s="1">
        <v>10.026</v>
      </c>
      <c r="W21" s="1">
        <v>181</v>
      </c>
      <c r="X21" s="1">
        <v>115</v>
      </c>
      <c r="Y21" s="1">
        <f>SUM(G21:J21)</f>
        <v>6</v>
      </c>
      <c r="Z21" s="1">
        <f>SUM(K21:N21)</f>
        <v>-170</v>
      </c>
      <c r="AA21" s="1">
        <f>SUM(O21:R21)</f>
        <v>-170.35938599262974</v>
      </c>
      <c r="AB21" s="9">
        <f>+-AA43*$AM$28</f>
        <v>-119.10612092835225</v>
      </c>
      <c r="AC21" s="9">
        <f t="shared" ref="AC21:AJ21" si="17">+-AB43*$AM$28</f>
        <v>-166.74398275609485</v>
      </c>
      <c r="AD21" s="9">
        <f t="shared" si="17"/>
        <v>-216.99925208586527</v>
      </c>
      <c r="AE21" s="9">
        <f t="shared" si="17"/>
        <v>-269.98508172738491</v>
      </c>
      <c r="AF21" s="9">
        <f t="shared" si="17"/>
        <v>-325.81905024590509</v>
      </c>
      <c r="AG21" s="9">
        <f t="shared" si="17"/>
        <v>-384.6233256110408</v>
      </c>
      <c r="AH21" s="9">
        <f t="shared" si="17"/>
        <v>-446.52483468090566</v>
      </c>
      <c r="AI21" s="9">
        <f t="shared" si="17"/>
        <v>-511.6554387243782</v>
      </c>
      <c r="AJ21" s="9">
        <f t="shared" si="17"/>
        <v>-580.15211519124921</v>
      </c>
    </row>
    <row r="22" spans="1:226">
      <c r="B22" s="1" t="s">
        <v>22</v>
      </c>
      <c r="C22" s="1">
        <f>+C18-SUM(C19:C21)</f>
        <v>721.34599999999955</v>
      </c>
      <c r="D22" s="1">
        <f>+D18-SUM(D19:D21)</f>
        <v>1296.58</v>
      </c>
      <c r="E22" s="1">
        <f>+E18-SUM(E19:E21)</f>
        <v>1379.0349999999999</v>
      </c>
      <c r="F22" s="1">
        <f>+F18-SUM(F19:F21)</f>
        <v>1243</v>
      </c>
      <c r="G22" s="1">
        <f>+G18-SUM(G19:G21)</f>
        <v>1070</v>
      </c>
      <c r="H22" s="1">
        <f>+H18-SUM(H19:H21)</f>
        <v>1086</v>
      </c>
      <c r="I22" s="1">
        <f>+I18-SUM(I19:I21)</f>
        <v>1359</v>
      </c>
      <c r="J22" s="1">
        <f>+J18-SUM(J19:J21)</f>
        <v>1339</v>
      </c>
      <c r="K22" s="1">
        <f>+K18-SUM(K19:K21)</f>
        <v>1208</v>
      </c>
      <c r="L22" s="1">
        <f>+L18-SUM(L19:L21)</f>
        <v>1327</v>
      </c>
      <c r="M22" s="1">
        <f>+M18-SUM(M19:M21)</f>
        <v>1589</v>
      </c>
      <c r="N22" s="1">
        <f>+N18-SUM(N19:N21)</f>
        <v>1843</v>
      </c>
      <c r="O22" s="1">
        <f t="shared" ref="O22:R22" si="18">+O18-SUM(O19:O21)</f>
        <v>1256.9299999999985</v>
      </c>
      <c r="P22" s="1">
        <f t="shared" si="18"/>
        <v>1390.3984904503523</v>
      </c>
      <c r="Q22" s="1">
        <f t="shared" si="18"/>
        <v>1440.3580215523707</v>
      </c>
      <c r="R22" s="1">
        <f t="shared" si="18"/>
        <v>1936.9478739899077</v>
      </c>
      <c r="V22" s="1">
        <f>+V18-SUM(V19:V21)</f>
        <v>4406.1830000000045</v>
      </c>
      <c r="W22" s="1">
        <f>+W18-SUM(W19:W21)</f>
        <v>401</v>
      </c>
      <c r="X22" s="1">
        <f>+X18-SUM(X19:X21)</f>
        <v>4640</v>
      </c>
      <c r="Y22" s="1">
        <f>SUM(G22:J22)</f>
        <v>4854</v>
      </c>
      <c r="Z22" s="1">
        <f>SUM(K22:N22)</f>
        <v>5967</v>
      </c>
      <c r="AA22" s="1">
        <f>SUM(O22:R22)</f>
        <v>6024.6343859926292</v>
      </c>
      <c r="AB22" s="1">
        <f>+AB18-SUM(AB19:AB21)</f>
        <v>6257.774721919428</v>
      </c>
      <c r="AC22" s="1">
        <f t="shared" ref="AC22:AJ22" si="19">+AC18-SUM(AC19:AC21)</f>
        <v>6601.6009532977114</v>
      </c>
      <c r="AD22" s="1">
        <f t="shared" si="19"/>
        <v>6960.2910926101686</v>
      </c>
      <c r="AE22" s="1">
        <f t="shared" si="19"/>
        <v>7334.4265131598513</v>
      </c>
      <c r="AF22" s="1">
        <f t="shared" si="19"/>
        <v>7724.6100853845419</v>
      </c>
      <c r="AG22" s="1">
        <f t="shared" si="19"/>
        <v>8131.4669433899398</v>
      </c>
      <c r="AH22" s="1">
        <f t="shared" si="19"/>
        <v>8555.6452781268599</v>
      </c>
      <c r="AI22" s="1">
        <f t="shared" si="19"/>
        <v>8997.8171581213974</v>
      </c>
      <c r="AJ22" s="1">
        <f t="shared" si="19"/>
        <v>9458.6793786972994</v>
      </c>
    </row>
    <row r="23" spans="1:226">
      <c r="B23" s="1" t="s">
        <v>23</v>
      </c>
      <c r="C23" s="1">
        <v>187.416</v>
      </c>
      <c r="D23" s="1">
        <v>268.65100000000001</v>
      </c>
      <c r="E23" s="1">
        <v>356.065</v>
      </c>
      <c r="F23" s="1">
        <v>303</v>
      </c>
      <c r="G23" s="1">
        <v>265</v>
      </c>
      <c r="H23" s="1">
        <v>276</v>
      </c>
      <c r="I23" s="1">
        <v>296</v>
      </c>
      <c r="J23" s="1">
        <v>301</v>
      </c>
      <c r="K23" s="1">
        <v>317</v>
      </c>
      <c r="L23" s="1">
        <v>338</v>
      </c>
      <c r="M23" s="1">
        <v>398</v>
      </c>
      <c r="N23" s="1">
        <v>440</v>
      </c>
      <c r="O23" s="1">
        <f>+O22*(N23/N22)</f>
        <v>300.08095496473106</v>
      </c>
      <c r="P23" s="1">
        <f t="shared" ref="P23:R23" si="20">+P22*(O23/O22)</f>
        <v>331.94538024859196</v>
      </c>
      <c r="Q23" s="1">
        <f t="shared" si="20"/>
        <v>343.87277779872113</v>
      </c>
      <c r="R23" s="1">
        <f t="shared" si="20"/>
        <v>462.42922656297304</v>
      </c>
      <c r="V23" s="1">
        <v>1133.99</v>
      </c>
      <c r="W23" s="1">
        <v>-1</v>
      </c>
      <c r="X23" s="1">
        <v>1115</v>
      </c>
      <c r="Y23" s="1">
        <f>SUM(G23:J23)</f>
        <v>1138</v>
      </c>
      <c r="Z23" s="1">
        <f>SUM(K23:N23)</f>
        <v>1493</v>
      </c>
      <c r="AA23" s="1">
        <f>SUM(O23:R23)</f>
        <v>1438.3283395750173</v>
      </c>
      <c r="AB23" s="1">
        <f>+AB22*(AA23/AA22)</f>
        <v>1493.9885391451699</v>
      </c>
      <c r="AC23" s="1">
        <f t="shared" ref="AC23:AJ23" si="21">+AC22*(AB23/AB22)</f>
        <v>1576.074020320669</v>
      </c>
      <c r="AD23" s="1">
        <f t="shared" si="21"/>
        <v>1661.7081284582061</v>
      </c>
      <c r="AE23" s="1">
        <f t="shared" si="21"/>
        <v>1751.0296613078319</v>
      </c>
      <c r="AF23" s="1">
        <f t="shared" si="21"/>
        <v>1844.1825488709703</v>
      </c>
      <c r="AG23" s="1">
        <f t="shared" si="21"/>
        <v>1941.3160364034582</v>
      </c>
      <c r="AH23" s="1">
        <f t="shared" si="21"/>
        <v>2042.5848737796082</v>
      </c>
      <c r="AI23" s="1">
        <f t="shared" si="21"/>
        <v>2148.1495114342997</v>
      </c>
      <c r="AJ23" s="1">
        <f t="shared" si="21"/>
        <v>2258.176303107331</v>
      </c>
    </row>
    <row r="24" spans="1:226">
      <c r="A24" s="2"/>
      <c r="B24" s="2" t="s">
        <v>24</v>
      </c>
      <c r="C24" s="2">
        <f>+C22-C23</f>
        <v>533.92999999999961</v>
      </c>
      <c r="D24" s="2">
        <f>+D22-D23</f>
        <v>1027.9289999999999</v>
      </c>
      <c r="E24" s="2">
        <f>+E22-E23</f>
        <v>1022.9699999999998</v>
      </c>
      <c r="F24" s="2">
        <f>+F22-F23</f>
        <v>940</v>
      </c>
      <c r="G24" s="2">
        <f>+G22-G23</f>
        <v>805</v>
      </c>
      <c r="H24" s="2">
        <f>+H22-H23</f>
        <v>810</v>
      </c>
      <c r="I24" s="2">
        <f>+I22-I23</f>
        <v>1063</v>
      </c>
      <c r="J24" s="2">
        <f>+J22-J23</f>
        <v>1038</v>
      </c>
      <c r="K24" s="2">
        <f>+K22-K23</f>
        <v>891</v>
      </c>
      <c r="L24" s="2">
        <f>+L22-L23</f>
        <v>989</v>
      </c>
      <c r="M24" s="2">
        <f>+M22-M23</f>
        <v>1191</v>
      </c>
      <c r="N24" s="2">
        <f>+N22-N23</f>
        <v>1403</v>
      </c>
      <c r="O24" s="2">
        <f t="shared" ref="O24:R24" si="22">+O22-O23</f>
        <v>956.84904503526741</v>
      </c>
      <c r="P24" s="2">
        <f t="shared" si="22"/>
        <v>1058.4531102017604</v>
      </c>
      <c r="Q24" s="2">
        <f t="shared" si="22"/>
        <v>1096.4852437536497</v>
      </c>
      <c r="R24" s="2">
        <f t="shared" si="22"/>
        <v>1474.5186474269346</v>
      </c>
      <c r="S24" s="2"/>
      <c r="T24" s="2"/>
      <c r="U24" s="2"/>
      <c r="V24" s="2">
        <f>+V22-V23</f>
        <v>3272.1930000000048</v>
      </c>
      <c r="W24" s="2">
        <f>+W22-W23</f>
        <v>402</v>
      </c>
      <c r="X24" s="2">
        <f>+X22-X23</f>
        <v>3525</v>
      </c>
      <c r="Y24" s="2">
        <f>SUM(G24:J24)</f>
        <v>3716</v>
      </c>
      <c r="Z24" s="2">
        <f>SUM(K24:N24)</f>
        <v>4474</v>
      </c>
      <c r="AA24" s="2">
        <f>SUM(O24:R24)</f>
        <v>4586.3060464176124</v>
      </c>
      <c r="AB24" s="2">
        <f>+AB22-AB23</f>
        <v>4763.7861827742581</v>
      </c>
      <c r="AC24" s="2">
        <f t="shared" ref="AC24:AJ24" si="23">+AC22-AC23</f>
        <v>5025.5269329770426</v>
      </c>
      <c r="AD24" s="2">
        <f t="shared" si="23"/>
        <v>5298.5829641519622</v>
      </c>
      <c r="AE24" s="2">
        <f t="shared" si="23"/>
        <v>5583.3968518520196</v>
      </c>
      <c r="AF24" s="2">
        <f t="shared" si="23"/>
        <v>5880.4275365135718</v>
      </c>
      <c r="AG24" s="2">
        <f t="shared" si="23"/>
        <v>6190.1509069864815</v>
      </c>
      <c r="AH24" s="2">
        <f t="shared" si="23"/>
        <v>6513.0604043472522</v>
      </c>
      <c r="AI24" s="2">
        <f t="shared" si="23"/>
        <v>6849.6676466870977</v>
      </c>
      <c r="AJ24" s="2">
        <f t="shared" si="23"/>
        <v>7200.5030755899679</v>
      </c>
      <c r="AK24" s="1">
        <f>+AJ24*(1+$AM$29)</f>
        <v>7272.5081063458674</v>
      </c>
      <c r="AL24" s="1">
        <f t="shared" ref="AL24:CW24" si="24">+AK24*(1+$AM$29)</f>
        <v>7345.2331874093261</v>
      </c>
      <c r="AM24" s="1">
        <f t="shared" si="24"/>
        <v>7418.6855192834191</v>
      </c>
      <c r="AN24" s="1">
        <f t="shared" si="24"/>
        <v>7492.8723744762538</v>
      </c>
      <c r="AO24" s="1">
        <f t="shared" si="24"/>
        <v>7567.8010982210162</v>
      </c>
      <c r="AP24" s="1">
        <f t="shared" si="24"/>
        <v>7643.4791092032265</v>
      </c>
      <c r="AQ24" s="1">
        <f t="shared" si="24"/>
        <v>7719.9139002952588</v>
      </c>
      <c r="AR24" s="1">
        <f t="shared" si="24"/>
        <v>7797.1130392982113</v>
      </c>
      <c r="AS24" s="1">
        <f t="shared" si="24"/>
        <v>7875.0841696911939</v>
      </c>
      <c r="AT24" s="1">
        <f t="shared" si="24"/>
        <v>7953.8350113881061</v>
      </c>
      <c r="AU24" s="1">
        <f t="shared" si="24"/>
        <v>8033.3733615019873</v>
      </c>
      <c r="AV24" s="1">
        <f t="shared" si="24"/>
        <v>8113.7070951170072</v>
      </c>
      <c r="AW24" s="1">
        <f t="shared" si="24"/>
        <v>8194.8441660681765</v>
      </c>
      <c r="AX24" s="1">
        <f t="shared" si="24"/>
        <v>8276.7926077288575</v>
      </c>
      <c r="AY24" s="1">
        <f t="shared" si="24"/>
        <v>8359.5605338061469</v>
      </c>
      <c r="AZ24" s="1">
        <f t="shared" si="24"/>
        <v>8443.1561391442083</v>
      </c>
      <c r="BA24" s="1">
        <f t="shared" si="24"/>
        <v>8527.5877005356506</v>
      </c>
      <c r="BB24" s="1">
        <f t="shared" si="24"/>
        <v>8612.8635775410075</v>
      </c>
      <c r="BC24" s="1">
        <f t="shared" si="24"/>
        <v>8698.9922133164182</v>
      </c>
      <c r="BD24" s="1">
        <f t="shared" si="24"/>
        <v>8785.9821354495816</v>
      </c>
      <c r="BE24" s="1">
        <f t="shared" si="24"/>
        <v>8873.8419568040772</v>
      </c>
      <c r="BF24" s="1">
        <f t="shared" si="24"/>
        <v>8962.5803763721178</v>
      </c>
      <c r="BG24" s="1">
        <f t="shared" si="24"/>
        <v>9052.2061801358395</v>
      </c>
      <c r="BH24" s="1">
        <f t="shared" si="24"/>
        <v>9142.7282419371986</v>
      </c>
      <c r="BI24" s="1">
        <f t="shared" si="24"/>
        <v>9234.1555243565708</v>
      </c>
      <c r="BJ24" s="1">
        <f t="shared" si="24"/>
        <v>9326.4970796001362</v>
      </c>
      <c r="BK24" s="1">
        <f t="shared" si="24"/>
        <v>9419.7620503961371</v>
      </c>
      <c r="BL24" s="1">
        <f t="shared" si="24"/>
        <v>9513.959670900098</v>
      </c>
      <c r="BM24" s="1">
        <f t="shared" si="24"/>
        <v>9609.0992676090991</v>
      </c>
      <c r="BN24" s="1">
        <f t="shared" si="24"/>
        <v>9705.1902602851897</v>
      </c>
      <c r="BO24" s="1">
        <f t="shared" si="24"/>
        <v>9802.242162888042</v>
      </c>
      <c r="BP24" s="1">
        <f t="shared" si="24"/>
        <v>9900.2645845169227</v>
      </c>
      <c r="BQ24" s="1">
        <f t="shared" si="24"/>
        <v>9999.2672303620911</v>
      </c>
      <c r="BR24" s="1">
        <f t="shared" si="24"/>
        <v>10099.259902665712</v>
      </c>
      <c r="BS24" s="1">
        <f t="shared" si="24"/>
        <v>10200.252501692368</v>
      </c>
      <c r="BT24" s="1">
        <f t="shared" si="24"/>
        <v>10302.255026709292</v>
      </c>
      <c r="BU24" s="1">
        <f t="shared" si="24"/>
        <v>10405.277576976385</v>
      </c>
      <c r="BV24" s="1">
        <f t="shared" si="24"/>
        <v>10509.330352746148</v>
      </c>
      <c r="BW24" s="1">
        <f t="shared" si="24"/>
        <v>10614.42365627361</v>
      </c>
      <c r="BX24" s="1">
        <f t="shared" si="24"/>
        <v>10720.567892836345</v>
      </c>
      <c r="BY24" s="1">
        <f t="shared" si="24"/>
        <v>10827.773571764708</v>
      </c>
      <c r="BZ24" s="1">
        <f t="shared" si="24"/>
        <v>10936.051307482356</v>
      </c>
      <c r="CA24" s="1">
        <f t="shared" si="24"/>
        <v>11045.411820557179</v>
      </c>
      <c r="CB24" s="1">
        <f t="shared" si="24"/>
        <v>11155.865938762752</v>
      </c>
      <c r="CC24" s="1">
        <f t="shared" si="24"/>
        <v>11267.424598150379</v>
      </c>
      <c r="CD24" s="1">
        <f t="shared" si="24"/>
        <v>11380.098844131882</v>
      </c>
      <c r="CE24" s="1">
        <f t="shared" si="24"/>
        <v>11493.899832573201</v>
      </c>
      <c r="CF24" s="1">
        <f t="shared" si="24"/>
        <v>11608.838830898932</v>
      </c>
      <c r="CG24" s="1">
        <f t="shared" si="24"/>
        <v>11724.927219207922</v>
      </c>
      <c r="CH24" s="1">
        <f t="shared" si="24"/>
        <v>11842.176491400001</v>
      </c>
      <c r="CI24" s="1">
        <f t="shared" si="24"/>
        <v>11960.598256314002</v>
      </c>
      <c r="CJ24" s="1">
        <f t="shared" si="24"/>
        <v>12080.204238877142</v>
      </c>
      <c r="CK24" s="1">
        <f t="shared" si="24"/>
        <v>12201.006281265914</v>
      </c>
      <c r="CL24" s="1">
        <f t="shared" si="24"/>
        <v>12323.016344078573</v>
      </c>
      <c r="CM24" s="1">
        <f t="shared" si="24"/>
        <v>12446.246507519358</v>
      </c>
      <c r="CN24" s="1">
        <f t="shared" si="24"/>
        <v>12570.708972594552</v>
      </c>
      <c r="CO24" s="1">
        <f t="shared" si="24"/>
        <v>12696.416062320497</v>
      </c>
      <c r="CP24" s="1">
        <f t="shared" si="24"/>
        <v>12823.380222943702</v>
      </c>
      <c r="CQ24" s="1">
        <f t="shared" si="24"/>
        <v>12951.614025173139</v>
      </c>
      <c r="CR24" s="1">
        <f t="shared" si="24"/>
        <v>13081.130165424871</v>
      </c>
      <c r="CS24" s="1">
        <f t="shared" si="24"/>
        <v>13211.941467079119</v>
      </c>
      <c r="CT24" s="1">
        <f t="shared" si="24"/>
        <v>13344.060881749911</v>
      </c>
      <c r="CU24" s="1">
        <f t="shared" si="24"/>
        <v>13477.501490567411</v>
      </c>
      <c r="CV24" s="1">
        <f t="shared" si="24"/>
        <v>13612.276505473084</v>
      </c>
      <c r="CW24" s="1">
        <f t="shared" si="24"/>
        <v>13748.399270527816</v>
      </c>
      <c r="CX24" s="1">
        <f t="shared" ref="CX24:FI24" si="25">+CW24*(1+$AM$29)</f>
        <v>13885.883263233094</v>
      </c>
      <c r="CY24" s="1">
        <f t="shared" si="25"/>
        <v>14024.742095865426</v>
      </c>
      <c r="CZ24" s="1">
        <f t="shared" si="25"/>
        <v>14164.98951682408</v>
      </c>
      <c r="DA24" s="1">
        <f t="shared" si="25"/>
        <v>14306.639411992321</v>
      </c>
      <c r="DB24" s="1">
        <f t="shared" si="25"/>
        <v>14449.705806112244</v>
      </c>
      <c r="DC24" s="1">
        <f t="shared" si="25"/>
        <v>14594.202864173367</v>
      </c>
      <c r="DD24" s="1">
        <f t="shared" si="25"/>
        <v>14740.1448928151</v>
      </c>
      <c r="DE24" s="1">
        <f t="shared" si="25"/>
        <v>14887.546341743251</v>
      </c>
      <c r="DF24" s="1">
        <f t="shared" si="25"/>
        <v>15036.421805160684</v>
      </c>
      <c r="DG24" s="1">
        <f t="shared" si="25"/>
        <v>15186.786023212291</v>
      </c>
      <c r="DH24" s="1">
        <f t="shared" si="25"/>
        <v>15338.653883444415</v>
      </c>
      <c r="DI24" s="1">
        <f t="shared" si="25"/>
        <v>15492.040422278858</v>
      </c>
      <c r="DJ24" s="1">
        <f t="shared" si="25"/>
        <v>15646.960826501647</v>
      </c>
      <c r="DK24" s="1">
        <f t="shared" si="25"/>
        <v>15803.430434766664</v>
      </c>
      <c r="DL24" s="1">
        <f t="shared" si="25"/>
        <v>15961.46473911433</v>
      </c>
      <c r="DM24" s="1">
        <f t="shared" si="25"/>
        <v>16121.079386505473</v>
      </c>
      <c r="DN24" s="1">
        <f t="shared" si="25"/>
        <v>16282.290180370528</v>
      </c>
      <c r="DO24" s="1">
        <f t="shared" si="25"/>
        <v>16445.113082174234</v>
      </c>
      <c r="DP24" s="1">
        <f t="shared" si="25"/>
        <v>16609.564212995978</v>
      </c>
      <c r="DQ24" s="1">
        <f t="shared" si="25"/>
        <v>16775.659855125938</v>
      </c>
      <c r="DR24" s="1">
        <f t="shared" si="25"/>
        <v>16943.416453677197</v>
      </c>
      <c r="DS24" s="1">
        <f t="shared" si="25"/>
        <v>17112.850618213968</v>
      </c>
      <c r="DT24" s="1">
        <f t="shared" si="25"/>
        <v>17283.979124396108</v>
      </c>
      <c r="DU24" s="1">
        <f t="shared" si="25"/>
        <v>17456.818915640069</v>
      </c>
      <c r="DV24" s="1">
        <f t="shared" si="25"/>
        <v>17631.387104796471</v>
      </c>
      <c r="DW24" s="1">
        <f t="shared" si="25"/>
        <v>17807.700975844436</v>
      </c>
      <c r="DX24" s="1">
        <f t="shared" si="25"/>
        <v>17985.777985602879</v>
      </c>
      <c r="DY24" s="1">
        <f t="shared" si="25"/>
        <v>18165.635765458908</v>
      </c>
      <c r="DZ24" s="1">
        <f t="shared" si="25"/>
        <v>18347.292123113497</v>
      </c>
      <c r="EA24" s="1">
        <f t="shared" si="25"/>
        <v>18530.765044344633</v>
      </c>
      <c r="EB24" s="1">
        <f t="shared" si="25"/>
        <v>18716.072694788079</v>
      </c>
      <c r="EC24" s="1">
        <f t="shared" si="25"/>
        <v>18903.23342173596</v>
      </c>
      <c r="ED24" s="1">
        <f t="shared" si="25"/>
        <v>19092.265755953322</v>
      </c>
      <c r="EE24" s="1">
        <f t="shared" si="25"/>
        <v>19283.188413512857</v>
      </c>
      <c r="EF24" s="1">
        <f t="shared" si="25"/>
        <v>19476.020297647985</v>
      </c>
      <c r="EG24" s="1">
        <f t="shared" si="25"/>
        <v>19670.780500624463</v>
      </c>
      <c r="EH24" s="1">
        <f t="shared" si="25"/>
        <v>19867.488305630708</v>
      </c>
      <c r="EI24" s="1">
        <f t="shared" si="25"/>
        <v>20066.163188687016</v>
      </c>
      <c r="EJ24" s="1">
        <f t="shared" si="25"/>
        <v>20266.824820573886</v>
      </c>
      <c r="EK24" s="1">
        <f t="shared" si="25"/>
        <v>20469.493068779626</v>
      </c>
      <c r="EL24" s="1">
        <f t="shared" si="25"/>
        <v>20674.187999467424</v>
      </c>
      <c r="EM24" s="1">
        <f t="shared" si="25"/>
        <v>20880.929879462099</v>
      </c>
      <c r="EN24" s="1">
        <f t="shared" si="25"/>
        <v>21089.739178256721</v>
      </c>
      <c r="EO24" s="1">
        <f t="shared" si="25"/>
        <v>21300.636570039289</v>
      </c>
      <c r="EP24" s="1">
        <f t="shared" si="25"/>
        <v>21513.642935739681</v>
      </c>
      <c r="EQ24" s="1">
        <f t="shared" si="25"/>
        <v>21728.779365097078</v>
      </c>
      <c r="ER24" s="1">
        <f t="shared" si="25"/>
        <v>21946.06715874805</v>
      </c>
      <c r="ES24" s="1">
        <f t="shared" si="25"/>
        <v>22165.52783033553</v>
      </c>
      <c r="ET24" s="1">
        <f t="shared" si="25"/>
        <v>22387.183108638885</v>
      </c>
      <c r="EU24" s="1">
        <f t="shared" si="25"/>
        <v>22611.054939725273</v>
      </c>
      <c r="EV24" s="1">
        <f t="shared" si="25"/>
        <v>22837.165489122526</v>
      </c>
      <c r="EW24" s="1">
        <f t="shared" si="25"/>
        <v>23065.537144013753</v>
      </c>
      <c r="EX24" s="1">
        <f t="shared" si="25"/>
        <v>23296.192515453891</v>
      </c>
      <c r="EY24" s="1">
        <f t="shared" si="25"/>
        <v>23529.154440608429</v>
      </c>
      <c r="EZ24" s="1">
        <f t="shared" si="25"/>
        <v>23764.445985014514</v>
      </c>
      <c r="FA24" s="1">
        <f t="shared" si="25"/>
        <v>24002.090444864658</v>
      </c>
      <c r="FB24" s="1">
        <f t="shared" si="25"/>
        <v>24242.111349313305</v>
      </c>
      <c r="FC24" s="1">
        <f t="shared" si="25"/>
        <v>24484.532462806437</v>
      </c>
      <c r="FD24" s="1">
        <f t="shared" si="25"/>
        <v>24729.377787434503</v>
      </c>
      <c r="FE24" s="1">
        <f t="shared" si="25"/>
        <v>24976.671565308847</v>
      </c>
      <c r="FF24" s="1">
        <f t="shared" si="25"/>
        <v>25226.438280961935</v>
      </c>
      <c r="FG24" s="1">
        <f t="shared" si="25"/>
        <v>25478.702663771553</v>
      </c>
      <c r="FH24" s="1">
        <f t="shared" si="25"/>
        <v>25733.489690409267</v>
      </c>
      <c r="FI24" s="1">
        <f t="shared" si="25"/>
        <v>25990.82458731336</v>
      </c>
      <c r="FJ24" s="1">
        <f t="shared" ref="FJ24:GH24" si="26">+FI24*(1+$AM$29)</f>
        <v>26250.732833186496</v>
      </c>
      <c r="FK24" s="1">
        <f t="shared" si="26"/>
        <v>26513.240161518359</v>
      </c>
      <c r="FL24" s="1">
        <f t="shared" si="26"/>
        <v>26778.372563133544</v>
      </c>
      <c r="FM24" s="1">
        <f t="shared" si="26"/>
        <v>27046.15628876488</v>
      </c>
      <c r="FN24" s="1">
        <f t="shared" si="26"/>
        <v>27316.617851652529</v>
      </c>
      <c r="FO24" s="1">
        <f t="shared" si="26"/>
        <v>27589.784030169056</v>
      </c>
      <c r="FP24" s="1">
        <f t="shared" si="26"/>
        <v>27865.681870470748</v>
      </c>
      <c r="FQ24" s="1">
        <f t="shared" si="26"/>
        <v>28144.338689175456</v>
      </c>
      <c r="FR24" s="1">
        <f t="shared" si="26"/>
        <v>28425.782076067211</v>
      </c>
      <c r="FS24" s="1">
        <f t="shared" si="26"/>
        <v>28710.039896827882</v>
      </c>
      <c r="FT24" s="1">
        <f t="shared" si="26"/>
        <v>28997.140295796162</v>
      </c>
      <c r="FU24" s="1">
        <f t="shared" si="26"/>
        <v>29287.111698754125</v>
      </c>
      <c r="FV24" s="1">
        <f t="shared" si="26"/>
        <v>29579.982815741667</v>
      </c>
      <c r="FW24" s="1">
        <f t="shared" si="26"/>
        <v>29875.782643899085</v>
      </c>
      <c r="FX24" s="1">
        <f t="shared" si="26"/>
        <v>30174.540470338077</v>
      </c>
      <c r="FY24" s="1">
        <f t="shared" si="26"/>
        <v>30476.28587504146</v>
      </c>
      <c r="FZ24" s="1">
        <f t="shared" si="26"/>
        <v>30781.048733791875</v>
      </c>
      <c r="GA24" s="1">
        <f t="shared" si="26"/>
        <v>31088.859221129795</v>
      </c>
      <c r="GB24" s="1">
        <f t="shared" si="26"/>
        <v>31399.747813341091</v>
      </c>
      <c r="GC24" s="1">
        <f t="shared" si="26"/>
        <v>31713.745291474501</v>
      </c>
      <c r="GD24" s="1">
        <f t="shared" si="26"/>
        <v>32030.882744389248</v>
      </c>
      <c r="GE24" s="1">
        <f t="shared" si="26"/>
        <v>32351.19157183314</v>
      </c>
      <c r="GF24" s="1">
        <f t="shared" si="26"/>
        <v>32674.703487551473</v>
      </c>
      <c r="GG24" s="1">
        <f t="shared" si="26"/>
        <v>33001.450522426989</v>
      </c>
      <c r="GH24" s="1">
        <f t="shared" si="26"/>
        <v>33331.465027651262</v>
      </c>
      <c r="GI24" s="1">
        <f t="shared" ref="GI24:HT24" si="27">+GH24*(1+$AM$29)</f>
        <v>33664.779677927778</v>
      </c>
      <c r="GJ24" s="1">
        <f t="shared" si="27"/>
        <v>34001.427474707059</v>
      </c>
      <c r="GK24" s="1">
        <f t="shared" si="27"/>
        <v>34341.441749454134</v>
      </c>
      <c r="GL24" s="1">
        <f t="shared" si="27"/>
        <v>34684.856166948673</v>
      </c>
      <c r="GM24" s="1">
        <f t="shared" si="27"/>
        <v>35031.704728618162</v>
      </c>
      <c r="GN24" s="1">
        <f t="shared" si="27"/>
        <v>35382.021775904344</v>
      </c>
      <c r="GO24" s="1">
        <f t="shared" si="27"/>
        <v>35735.841993663387</v>
      </c>
      <c r="GP24" s="1">
        <f t="shared" si="27"/>
        <v>36093.200413600025</v>
      </c>
      <c r="GQ24" s="1">
        <f t="shared" si="27"/>
        <v>36454.132417736022</v>
      </c>
      <c r="GR24" s="1">
        <f t="shared" si="27"/>
        <v>36818.673741913386</v>
      </c>
      <c r="GS24" s="1">
        <f t="shared" si="27"/>
        <v>37186.860479332521</v>
      </c>
      <c r="GT24" s="1">
        <f t="shared" si="27"/>
        <v>37558.729084125844</v>
      </c>
      <c r="GU24" s="1">
        <f t="shared" si="27"/>
        <v>37934.3163749671</v>
      </c>
      <c r="GV24" s="1">
        <f t="shared" si="27"/>
        <v>38313.659538716769</v>
      </c>
      <c r="GW24" s="1">
        <f t="shared" si="27"/>
        <v>38696.796134103934</v>
      </c>
      <c r="GX24" s="1">
        <f t="shared" si="27"/>
        <v>39083.764095444974</v>
      </c>
      <c r="GY24" s="1">
        <f t="shared" si="27"/>
        <v>39474.601736399425</v>
      </c>
      <c r="GZ24" s="1">
        <f t="shared" si="27"/>
        <v>39869.347753763417</v>
      </c>
      <c r="HA24" s="1">
        <f t="shared" si="27"/>
        <v>40268.041231301053</v>
      </c>
      <c r="HB24" s="1">
        <f t="shared" si="27"/>
        <v>40670.721643614066</v>
      </c>
      <c r="HC24" s="1">
        <f t="shared" si="27"/>
        <v>41077.428860050204</v>
      </c>
      <c r="HD24" s="1">
        <f t="shared" si="27"/>
        <v>41488.203148650704</v>
      </c>
      <c r="HE24" s="1">
        <f t="shared" si="27"/>
        <v>41903.085180137212</v>
      </c>
      <c r="HF24" s="1">
        <f t="shared" si="27"/>
        <v>42322.116031938582</v>
      </c>
      <c r="HG24" s="1">
        <f t="shared" si="27"/>
        <v>42745.337192257968</v>
      </c>
      <c r="HH24" s="1">
        <f t="shared" si="27"/>
        <v>43172.790564180548</v>
      </c>
      <c r="HI24" s="1">
        <f t="shared" si="27"/>
        <v>43604.518469822353</v>
      </c>
      <c r="HJ24" s="1">
        <f t="shared" si="27"/>
        <v>44040.563654520578</v>
      </c>
      <c r="HK24" s="1">
        <f t="shared" si="27"/>
        <v>44480.969291065783</v>
      </c>
      <c r="HL24" s="1">
        <f t="shared" si="27"/>
        <v>44925.778983976445</v>
      </c>
      <c r="HM24" s="1">
        <f t="shared" si="27"/>
        <v>45375.036773816209</v>
      </c>
      <c r="HN24" s="1">
        <f t="shared" si="27"/>
        <v>45828.78714155437</v>
      </c>
      <c r="HO24" s="1">
        <f t="shared" si="27"/>
        <v>46287.075012969915</v>
      </c>
      <c r="HP24" s="1">
        <f t="shared" si="27"/>
        <v>46749.945763099618</v>
      </c>
      <c r="HQ24" s="1">
        <f t="shared" si="27"/>
        <v>47217.445220730617</v>
      </c>
      <c r="HR24" s="1">
        <f t="shared" si="27"/>
        <v>47689.619672937923</v>
      </c>
    </row>
    <row r="25" spans="1:226" s="5" customFormat="1">
      <c r="A25" s="1"/>
      <c r="B25" s="1" t="s">
        <v>26</v>
      </c>
      <c r="C25" s="1">
        <v>1221.5170000000001</v>
      </c>
      <c r="D25" s="1">
        <v>1220.615</v>
      </c>
      <c r="E25" s="1">
        <v>1215.69</v>
      </c>
      <c r="F25" s="1">
        <v>1205</v>
      </c>
      <c r="G25" s="1">
        <v>1189</v>
      </c>
      <c r="H25" s="1">
        <v>1178</v>
      </c>
      <c r="I25" s="1">
        <v>1172</v>
      </c>
      <c r="J25" s="1">
        <v>1171</v>
      </c>
      <c r="K25" s="1">
        <v>1165</v>
      </c>
      <c r="L25" s="1">
        <v>1161</v>
      </c>
      <c r="M25" s="1">
        <v>1172</v>
      </c>
      <c r="N25" s="1">
        <v>1152</v>
      </c>
      <c r="O25" s="1">
        <f>+N25</f>
        <v>1152</v>
      </c>
      <c r="P25" s="1">
        <f t="shared" ref="P25:R25" si="28">+O25</f>
        <v>1152</v>
      </c>
      <c r="Q25" s="1">
        <f t="shared" si="28"/>
        <v>1152</v>
      </c>
      <c r="R25" s="1">
        <f t="shared" si="28"/>
        <v>1152</v>
      </c>
      <c r="S25" s="1"/>
      <c r="T25" s="1"/>
      <c r="U25" s="1"/>
      <c r="V25" s="1">
        <v>1226.519</v>
      </c>
      <c r="W25" s="1">
        <v>1215</v>
      </c>
      <c r="X25" s="1">
        <v>1216</v>
      </c>
      <c r="Y25" s="1">
        <f>+Y24/Y26</f>
        <v>1176.6702303641571</v>
      </c>
      <c r="Z25" s="1">
        <f>+Z24/Z26</f>
        <v>1161.8509032483466</v>
      </c>
      <c r="AA25" s="1">
        <f>+AA24/AA26</f>
        <v>1152</v>
      </c>
      <c r="AB25" s="1">
        <f>+AA25</f>
        <v>1152</v>
      </c>
      <c r="AC25" s="1">
        <f t="shared" ref="AC25:AJ25" si="29">+AB25</f>
        <v>1152</v>
      </c>
      <c r="AD25" s="1">
        <f t="shared" si="29"/>
        <v>1152</v>
      </c>
      <c r="AE25" s="1">
        <f t="shared" si="29"/>
        <v>1152</v>
      </c>
      <c r="AF25" s="1">
        <f t="shared" si="29"/>
        <v>1152</v>
      </c>
      <c r="AG25" s="1">
        <f t="shared" si="29"/>
        <v>1152</v>
      </c>
      <c r="AH25" s="1">
        <f t="shared" si="29"/>
        <v>1152</v>
      </c>
      <c r="AI25" s="1">
        <f t="shared" si="29"/>
        <v>1152</v>
      </c>
      <c r="AJ25" s="1">
        <f t="shared" si="29"/>
        <v>1152</v>
      </c>
    </row>
    <row r="26" spans="1:226">
      <c r="A26" s="7"/>
      <c r="B26" s="7" t="s">
        <v>25</v>
      </c>
      <c r="C26" s="7">
        <f>+C24/C25</f>
        <v>0.43710402720551544</v>
      </c>
      <c r="D26" s="7">
        <f>+D24/D25</f>
        <v>0.8421402325876709</v>
      </c>
      <c r="E26" s="7">
        <f>+E24/E25</f>
        <v>0.84147274387384918</v>
      </c>
      <c r="F26" s="7">
        <f>+F24/F25</f>
        <v>0.78008298755186722</v>
      </c>
      <c r="G26" s="7">
        <f>+G24/G25</f>
        <v>0.67703952901597986</v>
      </c>
      <c r="H26" s="7">
        <f>+H24/H25</f>
        <v>0.68760611205432942</v>
      </c>
      <c r="I26" s="7">
        <f>+I24/I25</f>
        <v>0.90699658703071673</v>
      </c>
      <c r="J26" s="7">
        <f>+J24/J25</f>
        <v>0.88642186165670367</v>
      </c>
      <c r="K26" s="7">
        <f>+K24/K25</f>
        <v>0.76480686695278965</v>
      </c>
      <c r="L26" s="7">
        <f>+L24/L25</f>
        <v>0.85185185185185186</v>
      </c>
      <c r="M26" s="7">
        <f>+M24/M25</f>
        <v>1.0162116040955631</v>
      </c>
      <c r="N26" s="7">
        <f>+N24/N25</f>
        <v>1.2178819444444444</v>
      </c>
      <c r="O26" s="7">
        <f>+O24/O25</f>
        <v>0.83059812937089184</v>
      </c>
      <c r="P26" s="7">
        <f t="shared" ref="P26:R26" si="30">+P24/P25</f>
        <v>0.91879610260569478</v>
      </c>
      <c r="Q26" s="7">
        <f t="shared" si="30"/>
        <v>0.95181010742504313</v>
      </c>
      <c r="R26" s="7">
        <f t="shared" si="30"/>
        <v>1.2799641036692142</v>
      </c>
      <c r="S26" s="7"/>
      <c r="T26" s="7"/>
      <c r="U26" s="7"/>
      <c r="V26" s="7">
        <f>+V24/V25</f>
        <v>2.667869800630895</v>
      </c>
      <c r="W26" s="7">
        <f>+W24/W25</f>
        <v>0.33086419753086421</v>
      </c>
      <c r="X26" s="7">
        <f>+X24/X25</f>
        <v>2.8988486842105261</v>
      </c>
      <c r="Y26" s="7">
        <f>SUM(G26:J26)</f>
        <v>3.1580640897577297</v>
      </c>
      <c r="Z26" s="7">
        <f>SUM(K26:N26)</f>
        <v>3.8507522673446495</v>
      </c>
      <c r="AA26" s="7">
        <f>SUM(O26:R26)</f>
        <v>3.9811684430708438</v>
      </c>
      <c r="AB26" s="7">
        <f>+AB24/AB25</f>
        <v>4.135231061435988</v>
      </c>
      <c r="AC26" s="7">
        <f t="shared" ref="AC26:AJ26" si="31">+AC24/AC25</f>
        <v>4.3624365737647937</v>
      </c>
      <c r="AD26" s="7">
        <f t="shared" si="31"/>
        <v>4.599464378604134</v>
      </c>
      <c r="AE26" s="7">
        <f t="shared" si="31"/>
        <v>4.8466986561215446</v>
      </c>
      <c r="AF26" s="7">
        <f t="shared" si="31"/>
        <v>5.1045377921124757</v>
      </c>
      <c r="AG26" s="7">
        <f t="shared" si="31"/>
        <v>5.373394884536876</v>
      </c>
      <c r="AH26" s="7">
        <f t="shared" si="31"/>
        <v>5.6536982676625449</v>
      </c>
      <c r="AI26" s="7">
        <f t="shared" si="31"/>
        <v>5.9458920544158831</v>
      </c>
      <c r="AJ26" s="7">
        <f t="shared" si="31"/>
        <v>6.2504366975607359</v>
      </c>
    </row>
    <row r="28" spans="1:226">
      <c r="AJ28" s="6"/>
      <c r="AL28" s="1" t="s">
        <v>69</v>
      </c>
      <c r="AM28" s="3">
        <v>0.01</v>
      </c>
      <c r="AQ28" s="1" t="s">
        <v>74</v>
      </c>
      <c r="AR28" s="14">
        <v>5.4100000000000002E-2</v>
      </c>
    </row>
    <row r="29" spans="1:226">
      <c r="B29" s="4" t="s">
        <v>27</v>
      </c>
      <c r="AL29" s="1" t="s">
        <v>45</v>
      </c>
      <c r="AM29" s="3">
        <v>0.01</v>
      </c>
      <c r="AQ29" s="1" t="s">
        <v>75</v>
      </c>
      <c r="AR29" s="14">
        <v>5.4199999999999998E-2</v>
      </c>
    </row>
    <row r="30" spans="1:226">
      <c r="A30" s="3"/>
      <c r="B30" s="1" t="s">
        <v>19</v>
      </c>
      <c r="C30" s="3"/>
      <c r="D30" s="3"/>
      <c r="E30" s="3"/>
      <c r="F30" s="3"/>
      <c r="G30" s="3">
        <f>+G18/C18-1</f>
        <v>0.13080037090569419</v>
      </c>
      <c r="H30" s="3">
        <f>+H18/D18-1</f>
        <v>-1.9380788193288367E-2</v>
      </c>
      <c r="I30" s="3">
        <f>+I18/E18-1</f>
        <v>-2.9116916921549718E-2</v>
      </c>
      <c r="J30" s="3">
        <f>+J18/F18-1</f>
        <v>4.8072758770030255E-2</v>
      </c>
      <c r="K30" s="3">
        <f>+K18/G18-1</f>
        <v>3.3052779238996965E-2</v>
      </c>
      <c r="L30" s="3">
        <f>+L18/H18-1</f>
        <v>7.726082918179511E-2</v>
      </c>
      <c r="M30" s="3">
        <f>+M18/I18-1</f>
        <v>9.0244102901290368E-2</v>
      </c>
      <c r="N30" s="3">
        <f>+N18/J18-1</f>
        <v>0.13023415977961439</v>
      </c>
      <c r="O30" s="3">
        <f>+O18/K18-1</f>
        <v>5.0000000000000044E-2</v>
      </c>
      <c r="P30" s="3">
        <f>+P18/L18-1</f>
        <v>5.0000000000000044E-2</v>
      </c>
      <c r="Q30" s="3">
        <f>+Q18/M18-1</f>
        <v>5.0000000000000044E-2</v>
      </c>
      <c r="R30" s="3">
        <f>+R18/N18-1</f>
        <v>5.0000000000000044E-2</v>
      </c>
      <c r="S30" s="3"/>
      <c r="T30" s="3"/>
      <c r="U30" s="3"/>
      <c r="V30" s="3"/>
      <c r="W30" s="3">
        <f t="shared" ref="W30:Y32" si="32">+W18/V18-1</f>
        <v>-0.2296421670247103</v>
      </c>
      <c r="X30" s="3">
        <f t="shared" si="32"/>
        <v>0.51071973115100966</v>
      </c>
      <c r="Y30" s="3">
        <f t="shared" si="32"/>
        <v>2.854788877445924E-2</v>
      </c>
      <c r="Z30" s="3">
        <f>+Z18/Y18-1</f>
        <v>8.5729734059596385E-2</v>
      </c>
      <c r="AA30" s="3">
        <f t="shared" ref="AA30:AI30" si="33">+AA18/Z18-1</f>
        <v>5.0000000000000044E-2</v>
      </c>
      <c r="AB30" s="12">
        <f t="shared" si="33"/>
        <v>4.8578790882061407E-2</v>
      </c>
      <c r="AC30" s="12">
        <f t="shared" si="33"/>
        <v>4.824961059190036E-2</v>
      </c>
      <c r="AD30" s="12">
        <f t="shared" si="33"/>
        <v>4.7931892098718398E-2</v>
      </c>
      <c r="AE30" s="12">
        <f t="shared" si="33"/>
        <v>4.7625047010154242E-2</v>
      </c>
      <c r="AF30" s="12">
        <f t="shared" si="33"/>
        <v>4.7328526529857529E-2</v>
      </c>
      <c r="AG30" s="12">
        <f t="shared" si="33"/>
        <v>4.7041818181818185E-2</v>
      </c>
      <c r="AH30" s="12">
        <f t="shared" si="33"/>
        <v>4.6764442854587696E-2</v>
      </c>
      <c r="AI30" s="12">
        <f t="shared" si="33"/>
        <v>4.6495952129532059E-2</v>
      </c>
      <c r="AJ30" s="12">
        <f t="shared" ref="AJ30" si="34">+AJ18/AI18-1</f>
        <v>4.6235925861770388E-2</v>
      </c>
      <c r="AL30" s="1" t="s">
        <v>46</v>
      </c>
      <c r="AM30" s="14">
        <v>7.4999999999999997E-2</v>
      </c>
      <c r="AQ30" s="1" t="s">
        <v>76</v>
      </c>
      <c r="AR30" s="14">
        <f>+AM30-AR29</f>
        <v>2.0799999999999999E-2</v>
      </c>
    </row>
    <row r="31" spans="1:226">
      <c r="B31" s="1" t="s">
        <v>3</v>
      </c>
      <c r="G31" s="3">
        <f>+G19/C19-1</f>
        <v>0.13332602866599541</v>
      </c>
      <c r="H31" s="3">
        <f>+H19/D19-1</f>
        <v>5.0268933517665371E-3</v>
      </c>
      <c r="I31" s="3">
        <f>+I19/E19-1</f>
        <v>-2.3941059802624176E-2</v>
      </c>
      <c r="J31" s="3">
        <f>+J19/F19-1</f>
        <v>6.3106796116504826E-2</v>
      </c>
      <c r="K31" s="3">
        <f>+K19/G19-1</f>
        <v>1.8363127812234037E-2</v>
      </c>
      <c r="L31" s="3">
        <f>+L19/H19-1</f>
        <v>3.9551977598879962E-2</v>
      </c>
      <c r="M31" s="3">
        <f>+M19/I19-1</f>
        <v>5.9717068645640081E-2</v>
      </c>
      <c r="N31" s="3">
        <f>+N19/J19-1</f>
        <v>7.4270804212095864E-2</v>
      </c>
      <c r="O31" s="3">
        <f>+O19/K19-1</f>
        <v>5.0000000000000044E-2</v>
      </c>
      <c r="P31" s="3">
        <f>+P19/L19-1</f>
        <v>5.0000000000000266E-2</v>
      </c>
      <c r="Q31" s="3">
        <f>+Q19/M19-1</f>
        <v>6.683171025276291E-2</v>
      </c>
      <c r="R31" s="3">
        <f>+R19/N19-1</f>
        <v>5.0000000000000044E-2</v>
      </c>
      <c r="W31" s="3">
        <f t="shared" si="32"/>
        <v>-0.17797423957423797</v>
      </c>
      <c r="X31" s="3">
        <f t="shared" si="32"/>
        <v>0.41493437678323963</v>
      </c>
      <c r="Y31" s="3">
        <f t="shared" si="32"/>
        <v>4.133778878838501E-2</v>
      </c>
      <c r="Z31" s="3">
        <f t="shared" ref="Z31:AI32" si="35">+Z19/Y19-1</f>
        <v>4.9849235110238199E-2</v>
      </c>
      <c r="AA31" s="3">
        <f t="shared" si="35"/>
        <v>5.4053252878712321E-2</v>
      </c>
      <c r="AB31" s="3">
        <f t="shared" si="35"/>
        <v>4.8578790882061629E-2</v>
      </c>
      <c r="AC31" s="3">
        <f t="shared" si="35"/>
        <v>4.824961059190036E-2</v>
      </c>
      <c r="AD31" s="3">
        <f t="shared" si="35"/>
        <v>4.7931892098718398E-2</v>
      </c>
      <c r="AE31" s="3">
        <f t="shared" si="35"/>
        <v>4.7625047010154242E-2</v>
      </c>
      <c r="AF31" s="3">
        <f t="shared" si="35"/>
        <v>4.7328526529857529E-2</v>
      </c>
      <c r="AG31" s="3">
        <f t="shared" si="35"/>
        <v>4.7041818181818185E-2</v>
      </c>
      <c r="AH31" s="3">
        <f t="shared" si="35"/>
        <v>4.6764442854587696E-2</v>
      </c>
      <c r="AI31" s="3">
        <f t="shared" si="35"/>
        <v>4.6495952129532059E-2</v>
      </c>
      <c r="AJ31" s="3">
        <f t="shared" ref="AJ31" si="36">+AJ19/AI19-1</f>
        <v>4.6235925861770166E-2</v>
      </c>
      <c r="AL31" s="1" t="s">
        <v>47</v>
      </c>
      <c r="AM31" s="13">
        <f>NPV(AM30,AA24:HR24)</f>
        <v>92835.731838312888</v>
      </c>
    </row>
    <row r="32" spans="1:226">
      <c r="B32" s="1" t="s">
        <v>20</v>
      </c>
      <c r="G32" s="3">
        <f>+G20/C20-1</f>
        <v>1.4047512048472655E-2</v>
      </c>
      <c r="H32" s="3">
        <f>+H20/D20-1</f>
        <v>-2.1896917378845582E-2</v>
      </c>
      <c r="I32" s="3">
        <f>+I20/E20-1</f>
        <v>-4.8613871775791573E-2</v>
      </c>
      <c r="J32" s="3">
        <f>+J20/F20-1</f>
        <v>-9.2147435897436125E-3</v>
      </c>
      <c r="K32" s="3">
        <f>+K20/G20-1</f>
        <v>6.8767908309455672E-2</v>
      </c>
      <c r="L32" s="3">
        <f>+L20/H20-1</f>
        <v>0.17655172413793108</v>
      </c>
      <c r="M32" s="3">
        <f>+M20/I20-1</f>
        <v>0.17986270022883288</v>
      </c>
      <c r="N32" s="3">
        <f>+N20/J20-1</f>
        <v>0.25111200970481207</v>
      </c>
      <c r="O32" s="3">
        <f>+O20/K20-1</f>
        <v>5.0000000000000044E-2</v>
      </c>
      <c r="P32" s="3">
        <f>+P20/L20-1</f>
        <v>5.0000000000000044E-2</v>
      </c>
      <c r="Q32" s="3">
        <f>+Q20/M20-1</f>
        <v>8.0546935608999171E-2</v>
      </c>
      <c r="R32" s="3">
        <f>+R20/N20-1</f>
        <v>5.0000000000000044E-2</v>
      </c>
      <c r="W32" s="3">
        <f t="shared" si="32"/>
        <v>-5.8214446488713323E-2</v>
      </c>
      <c r="X32" s="3">
        <f t="shared" si="32"/>
        <v>0.29340549779233727</v>
      </c>
      <c r="Y32" s="3">
        <f t="shared" si="32"/>
        <v>-1.6958484748375691E-2</v>
      </c>
      <c r="Z32" s="3">
        <f t="shared" si="35"/>
        <v>0.17273440125462081</v>
      </c>
      <c r="AA32" s="3">
        <f t="shared" si="35"/>
        <v>5.7522208424873433E-2</v>
      </c>
      <c r="AB32" s="3">
        <f t="shared" si="35"/>
        <v>4.8578790882061407E-2</v>
      </c>
      <c r="AC32" s="3">
        <f t="shared" si="35"/>
        <v>4.824961059190036E-2</v>
      </c>
      <c r="AD32" s="3">
        <f t="shared" si="35"/>
        <v>4.7931892098718176E-2</v>
      </c>
      <c r="AE32" s="3">
        <f t="shared" si="35"/>
        <v>4.7625047010154242E-2</v>
      </c>
      <c r="AF32" s="3">
        <f t="shared" si="35"/>
        <v>4.7328526529857529E-2</v>
      </c>
      <c r="AG32" s="3">
        <f t="shared" si="35"/>
        <v>4.7041818181818185E-2</v>
      </c>
      <c r="AH32" s="3">
        <f t="shared" si="35"/>
        <v>4.6764442854587696E-2</v>
      </c>
      <c r="AI32" s="3">
        <f t="shared" si="35"/>
        <v>4.6495952129532059E-2</v>
      </c>
      <c r="AJ32" s="3">
        <f t="shared" ref="AJ32" si="37">+AJ20/AI20-1</f>
        <v>4.6235925861770166E-2</v>
      </c>
      <c r="AL32" s="1" t="s">
        <v>48</v>
      </c>
      <c r="AM32" s="1">
        <f>+Main!K6-Main!K7</f>
        <v>2738</v>
      </c>
    </row>
    <row r="33" spans="1:39" s="2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L33" s="2" t="s">
        <v>49</v>
      </c>
      <c r="AM33" s="2">
        <f>+AM31+AM32</f>
        <v>95573.731838312888</v>
      </c>
    </row>
    <row r="34" spans="1:39">
      <c r="B34" s="1" t="s">
        <v>28</v>
      </c>
      <c r="C34" s="3">
        <f t="shared" ref="C34:M34" si="38">(C18-C19)/C18</f>
        <v>0.2806702832582556</v>
      </c>
      <c r="D34" s="3">
        <f t="shared" si="38"/>
        <v>0.29385728964070162</v>
      </c>
      <c r="E34" s="3">
        <f t="shared" si="38"/>
        <v>0.29495614787553998</v>
      </c>
      <c r="F34" s="3">
        <f t="shared" si="38"/>
        <v>0.27140176122419518</v>
      </c>
      <c r="G34" s="3">
        <f t="shared" si="38"/>
        <v>0.27906365071015254</v>
      </c>
      <c r="H34" s="3">
        <f t="shared" si="38"/>
        <v>0.2762813476315123</v>
      </c>
      <c r="I34" s="3">
        <f t="shared" si="38"/>
        <v>0.29119750143831674</v>
      </c>
      <c r="J34" s="3">
        <f t="shared" si="38"/>
        <v>0.2609504132231405</v>
      </c>
      <c r="K34" s="3">
        <f t="shared" si="38"/>
        <v>0.28931511499618096</v>
      </c>
      <c r="L34" s="3">
        <f t="shared" si="38"/>
        <v>0.30161467314626117</v>
      </c>
      <c r="M34" s="3">
        <f t="shared" si="38"/>
        <v>0.31104410101771579</v>
      </c>
      <c r="N34" s="3">
        <f>(N18-N19)/N18</f>
        <v>0.29754433002254588</v>
      </c>
      <c r="O34" s="3">
        <f>(O18-O19)/O18</f>
        <v>0.28931511499618084</v>
      </c>
      <c r="P34" s="3">
        <f>(P18-P19)/P18</f>
        <v>0.30161467314626111</v>
      </c>
      <c r="Q34" s="3">
        <f>(Q18-Q19)/Q18</f>
        <v>0.30000000000000004</v>
      </c>
      <c r="R34" s="3">
        <f>(R18-R19)/R18</f>
        <v>0.29754433002254582</v>
      </c>
      <c r="V34" s="3">
        <f>(V18-V19)/V18</f>
        <v>0.28456513040242587</v>
      </c>
      <c r="W34" s="3">
        <f>(W18-W19)/W18</f>
        <v>0.23658088807293773</v>
      </c>
      <c r="X34" s="3">
        <f>(X18-X19)/X18</f>
        <v>0.28498455200823891</v>
      </c>
      <c r="Y34" s="3">
        <f>(Y18-Y19)/Y18</f>
        <v>0.27609339955142581</v>
      </c>
      <c r="Z34" s="3">
        <f>(Z18-Z19)/Z18</f>
        <v>0.30001659995942231</v>
      </c>
      <c r="AA34" s="3">
        <f>(AA18-AA19)/AA18</f>
        <v>0.29731449545345551</v>
      </c>
      <c r="AB34" s="3">
        <f>(AB18-AB19)/AB18</f>
        <v>0.29731449545345545</v>
      </c>
      <c r="AC34" s="3">
        <f>(AC18-AC19)/AC18</f>
        <v>0.2973144954534554</v>
      </c>
      <c r="AD34" s="3">
        <f>(AD18-AD19)/AD18</f>
        <v>0.29731449545345545</v>
      </c>
      <c r="AE34" s="3">
        <f>(AE18-AE19)/AE18</f>
        <v>0.29731449545345545</v>
      </c>
      <c r="AF34" s="3">
        <f>(AF18-AF19)/AF18</f>
        <v>0.29731449545345545</v>
      </c>
      <c r="AG34" s="3">
        <f>(AG18-AG19)/AG18</f>
        <v>0.29731449545345545</v>
      </c>
      <c r="AH34" s="3">
        <f>(AH18-AH19)/AH18</f>
        <v>0.29731449545345545</v>
      </c>
      <c r="AI34" s="3">
        <f>(AI18-AI19)/AI18</f>
        <v>0.29731449545345545</v>
      </c>
      <c r="AJ34" s="3">
        <f>(AJ18-AJ19)/AJ18</f>
        <v>0.29731449545345551</v>
      </c>
      <c r="AL34" s="1" t="s">
        <v>26</v>
      </c>
      <c r="AM34" s="1">
        <f>+Main!K4</f>
        <v>1152</v>
      </c>
    </row>
    <row r="35" spans="1:39" s="7" customFormat="1">
      <c r="A35" s="1"/>
      <c r="B35" s="1" t="s">
        <v>30</v>
      </c>
      <c r="C35" s="3">
        <f>+C22/C18</f>
        <v>7.1514845200012125E-2</v>
      </c>
      <c r="D35" s="3">
        <f t="shared" ref="D35:N35" si="39">+D22/D18</f>
        <v>0.10735888352987807</v>
      </c>
      <c r="E35" s="3">
        <f t="shared" si="39"/>
        <v>0.11004206069475553</v>
      </c>
      <c r="F35" s="3">
        <f t="shared" si="39"/>
        <v>8.9721380106828355E-2</v>
      </c>
      <c r="G35" s="3">
        <f t="shared" si="39"/>
        <v>9.3810275293705073E-2</v>
      </c>
      <c r="H35" s="3">
        <f t="shared" si="39"/>
        <v>9.1699738241999493E-2</v>
      </c>
      <c r="I35" s="3">
        <f t="shared" si="39"/>
        <v>0.11169556998438399</v>
      </c>
      <c r="J35" s="3">
        <f t="shared" si="39"/>
        <v>9.2217630853994495E-2</v>
      </c>
      <c r="K35" s="3">
        <f t="shared" si="39"/>
        <v>0.10252058049732665</v>
      </c>
      <c r="L35" s="3">
        <f t="shared" si="39"/>
        <v>0.1040131682081831</v>
      </c>
      <c r="M35" s="3">
        <f t="shared" si="39"/>
        <v>0.11978891820580474</v>
      </c>
      <c r="N35" s="3">
        <f t="shared" si="39"/>
        <v>0.11230272378282859</v>
      </c>
      <c r="O35" s="3">
        <f t="shared" ref="O35:R35" si="40">+O22/O18</f>
        <v>0.1015934983006186</v>
      </c>
      <c r="P35" s="3">
        <f t="shared" si="40"/>
        <v>0.10379283888729776</v>
      </c>
      <c r="Q35" s="3">
        <f t="shared" si="40"/>
        <v>0.10341270594312786</v>
      </c>
      <c r="R35" s="3">
        <f t="shared" si="40"/>
        <v>0.11240705995629574</v>
      </c>
      <c r="S35" s="1"/>
      <c r="T35" s="1"/>
      <c r="U35" s="1"/>
      <c r="V35" s="3">
        <f t="shared" ref="V35:Z35" si="41">+V22/V18</f>
        <v>0.10562086030346841</v>
      </c>
      <c r="W35" s="3">
        <f t="shared" si="41"/>
        <v>1.2477829293337897E-2</v>
      </c>
      <c r="X35" s="3">
        <f t="shared" si="41"/>
        <v>9.557157569515963E-2</v>
      </c>
      <c r="Y35" s="3">
        <f t="shared" si="41"/>
        <v>9.7204421659724441E-2</v>
      </c>
      <c r="Z35" s="3">
        <f t="shared" si="41"/>
        <v>0.11005773096999097</v>
      </c>
      <c r="AA35" s="3">
        <f t="shared" ref="AA35:AJ35" si="42">+AA22/AA18</f>
        <v>0.10582929771619039</v>
      </c>
      <c r="AB35" s="3">
        <f t="shared" si="42"/>
        <v>0.10483204874469663</v>
      </c>
      <c r="AC35" s="3">
        <f t="shared" si="42"/>
        <v>0.10550151787991402</v>
      </c>
      <c r="AD35" s="3">
        <f t="shared" si="42"/>
        <v>0.10614603703197287</v>
      </c>
      <c r="AE35" s="3">
        <f t="shared" si="42"/>
        <v>0.1067669090239932</v>
      </c>
      <c r="AF35" s="3">
        <f t="shared" si="42"/>
        <v>0.10736534952473042</v>
      </c>
      <c r="AG35" s="3">
        <f t="shared" si="42"/>
        <v>0.10794249416117667</v>
      </c>
      <c r="AH35" s="3">
        <f t="shared" si="42"/>
        <v>0.10849940494726434</v>
      </c>
      <c r="AI35" s="3">
        <f t="shared" si="42"/>
        <v>0.10903707610414552</v>
      </c>
      <c r="AJ35" s="3">
        <f t="shared" si="42"/>
        <v>0.10955643933814738</v>
      </c>
      <c r="AL35" s="7" t="s">
        <v>50</v>
      </c>
      <c r="AM35" s="7">
        <f>+AM33/AM34</f>
        <v>82.963308887424375</v>
      </c>
    </row>
    <row r="36" spans="1:39">
      <c r="B36" s="1" t="s">
        <v>29</v>
      </c>
      <c r="C36" s="3">
        <f t="shared" ref="C36:M36" si="43">+C24/C18</f>
        <v>5.293426635434656E-2</v>
      </c>
      <c r="D36" s="3">
        <f t="shared" si="43"/>
        <v>8.5114153995884581E-2</v>
      </c>
      <c r="E36" s="3">
        <f t="shared" si="43"/>
        <v>8.1629347209399364E-2</v>
      </c>
      <c r="F36" s="3">
        <f t="shared" si="43"/>
        <v>6.7850440306048795E-2</v>
      </c>
      <c r="G36" s="3">
        <f t="shared" si="43"/>
        <v>7.0576889356479044E-2</v>
      </c>
      <c r="H36" s="3">
        <f t="shared" si="43"/>
        <v>6.8394832390441612E-2</v>
      </c>
      <c r="I36" s="3">
        <f t="shared" si="43"/>
        <v>8.7367469384400431E-2</v>
      </c>
      <c r="J36" s="3">
        <f t="shared" si="43"/>
        <v>7.148760330578513E-2</v>
      </c>
      <c r="K36" s="3">
        <f t="shared" si="43"/>
        <v>7.5617414919799716E-2</v>
      </c>
      <c r="L36" s="3">
        <f t="shared" si="43"/>
        <v>7.7519987458849346E-2</v>
      </c>
      <c r="M36" s="3">
        <f t="shared" si="43"/>
        <v>8.9785148888051267E-2</v>
      </c>
      <c r="N36" s="3">
        <f>+N24/N18</f>
        <v>8.5491438669185307E-2</v>
      </c>
      <c r="O36" s="3">
        <f>+O24/O18</f>
        <v>7.7338946346048779E-2</v>
      </c>
      <c r="P36" s="3">
        <f>+P24/P18</f>
        <v>7.9013213759565257E-2</v>
      </c>
      <c r="Q36" s="3">
        <f>+Q24/Q18</f>
        <v>7.8723834204128276E-2</v>
      </c>
      <c r="R36" s="3">
        <f>+R24/R18</f>
        <v>8.5570865501184437E-2</v>
      </c>
      <c r="V36" s="3">
        <f>+V24/V18</f>
        <v>7.843792228760979E-2</v>
      </c>
      <c r="W36" s="3">
        <f>+W24/W18</f>
        <v>1.2508946074618041E-2</v>
      </c>
      <c r="X36" s="3">
        <f>+X24/X18</f>
        <v>7.2605561277033992E-2</v>
      </c>
      <c r="Y36" s="3">
        <f>+Y24/Y18</f>
        <v>7.4415251521948098E-2</v>
      </c>
      <c r="Z36" s="3">
        <f>+Z24/Z18</f>
        <v>8.2520242728295556E-2</v>
      </c>
      <c r="AA36" s="3">
        <f>+AA24/AA18</f>
        <v>8.0563485998814494E-2</v>
      </c>
      <c r="AB36" s="3">
        <f>+AB24/AB18</f>
        <v>7.9804321426375141E-2</v>
      </c>
      <c r="AC36" s="3">
        <f>+AC24/AC18</f>
        <v>8.0313960708366453E-2</v>
      </c>
      <c r="AD36" s="3">
        <f>+AD24/AD18</f>
        <v>8.0804606595690678E-2</v>
      </c>
      <c r="AE36" s="3">
        <f>+AE24/AE18</f>
        <v>8.1277250873935142E-2</v>
      </c>
      <c r="AF36" s="3">
        <f>+AF24/AF18</f>
        <v>8.17328189816586E-2</v>
      </c>
      <c r="AG36" s="3">
        <f>+AG24/AG18</f>
        <v>8.2172175424921792E-2</v>
      </c>
      <c r="AH36" s="3">
        <f>+AH24/AH18</f>
        <v>8.259612867119473E-2</v>
      </c>
      <c r="AI36" s="3">
        <f>+AI24/AI18</f>
        <v>8.3005435580095585E-2</v>
      </c>
      <c r="AJ36" s="3">
        <f>+AJ24/AJ18</f>
        <v>8.3400805421280935E-2</v>
      </c>
      <c r="AL36" s="1" t="s">
        <v>70</v>
      </c>
      <c r="AM36" s="1">
        <f>+Main!K3</f>
        <v>99.3</v>
      </c>
    </row>
    <row r="37" spans="1:39">
      <c r="AL37" s="1" t="s">
        <v>71</v>
      </c>
      <c r="AM37" s="3">
        <f>+AM35/AM36-1</f>
        <v>-0.16451854091214124</v>
      </c>
    </row>
    <row r="38" spans="1:39">
      <c r="B38" s="4" t="s">
        <v>35</v>
      </c>
    </row>
    <row r="39" spans="1:39" s="3" customFormat="1">
      <c r="A39" s="1"/>
      <c r="B39" s="1" t="s">
        <v>3</v>
      </c>
      <c r="C39" s="3">
        <f>+C19/C$18</f>
        <v>0.7193297167417444</v>
      </c>
      <c r="D39" s="3">
        <f>+D19/D$18</f>
        <v>0.70614271035929843</v>
      </c>
      <c r="E39" s="3">
        <f>+E19/E$18</f>
        <v>0.70504385212446008</v>
      </c>
      <c r="F39" s="3">
        <f>+F19/F$18</f>
        <v>0.72859823877580487</v>
      </c>
      <c r="G39" s="3">
        <f>+G19/G$18</f>
        <v>0.7209363492898474</v>
      </c>
      <c r="H39" s="3">
        <f>+H19/H$18</f>
        <v>0.72371865236848776</v>
      </c>
      <c r="I39" s="3">
        <f>+I19/I$18</f>
        <v>0.7088024985616832</v>
      </c>
      <c r="J39" s="3">
        <f>+J19/J$18</f>
        <v>0.7390495867768595</v>
      </c>
      <c r="K39" s="3">
        <f>+K19/K$18</f>
        <v>0.7106848850038191</v>
      </c>
      <c r="L39" s="3">
        <f>+L19/L$18</f>
        <v>0.69838532685373889</v>
      </c>
      <c r="M39" s="3">
        <f>+M19/M$18</f>
        <v>0.68895589898228415</v>
      </c>
      <c r="N39" s="3">
        <f>+N19/N$18</f>
        <v>0.70245566997745412</v>
      </c>
      <c r="O39" s="3">
        <f>+O19/O$18</f>
        <v>0.7106848850038191</v>
      </c>
      <c r="P39" s="3">
        <f>+P19/P$18</f>
        <v>0.69838532685373889</v>
      </c>
      <c r="Q39" s="3">
        <f>+Q19/Q$18</f>
        <v>0.7</v>
      </c>
      <c r="R39" s="3">
        <f>+R19/R$18</f>
        <v>0.70245566997745412</v>
      </c>
      <c r="S39" s="1"/>
      <c r="V39" s="3">
        <f>+V19/V$18</f>
        <v>0.71543486959757419</v>
      </c>
      <c r="W39" s="3">
        <f>+W19/W$18</f>
        <v>0.76341911192706224</v>
      </c>
      <c r="X39" s="3">
        <f>+X19/X$18</f>
        <v>0.71501544799176109</v>
      </c>
      <c r="Y39" s="3">
        <f>+Y19/Y$18</f>
        <v>0.72390660044857413</v>
      </c>
      <c r="Z39" s="3">
        <f>+Z19/Z$18</f>
        <v>0.69998340004057769</v>
      </c>
      <c r="AA39" s="3">
        <f>+AA19/AA$18</f>
        <v>0.70268550454654455</v>
      </c>
      <c r="AB39" s="3">
        <f>+AB19/AB$18</f>
        <v>0.70268550454654455</v>
      </c>
      <c r="AC39" s="3">
        <f>+AC19/AC$18</f>
        <v>0.70268550454654455</v>
      </c>
      <c r="AD39" s="3">
        <f>+AD19/AD$18</f>
        <v>0.70268550454654455</v>
      </c>
      <c r="AE39" s="3">
        <f>+AE19/AE$18</f>
        <v>0.70268550454654455</v>
      </c>
      <c r="AF39" s="3">
        <f>+AF19/AF$18</f>
        <v>0.70268550454654455</v>
      </c>
      <c r="AG39" s="3">
        <f>+AG19/AG$18</f>
        <v>0.70268550454654455</v>
      </c>
      <c r="AH39" s="3">
        <f>+AH19/AH$18</f>
        <v>0.70268550454654455</v>
      </c>
      <c r="AI39" s="3">
        <f>+AI19/AI$18</f>
        <v>0.70268550454654455</v>
      </c>
      <c r="AJ39" s="3">
        <f>+AJ19/AJ$18</f>
        <v>0.70268550454654455</v>
      </c>
    </row>
    <row r="40" spans="1:39">
      <c r="B40" s="1" t="s">
        <v>20</v>
      </c>
      <c r="C40" s="3">
        <f>+C20/C$18</f>
        <v>0.20472503239674658</v>
      </c>
      <c r="D40" s="3">
        <f>+D20/D$18</f>
        <v>0.18412522978475809</v>
      </c>
      <c r="E40" s="3">
        <f>+E20/E$18</f>
        <v>0.18326437592414233</v>
      </c>
      <c r="F40" s="3">
        <f>+F20/F$18</f>
        <v>0.18016457340840192</v>
      </c>
      <c r="G40" s="3">
        <f>+G20/G$18</f>
        <v>0.18358758548132562</v>
      </c>
      <c r="H40" s="3">
        <f>+H20/H$18</f>
        <v>0.18365279067803766</v>
      </c>
      <c r="I40" s="3">
        <f>+I20/I$18</f>
        <v>0.17958412098298676</v>
      </c>
      <c r="J40" s="3">
        <f>+J20/J$18</f>
        <v>0.17031680440771349</v>
      </c>
      <c r="K40" s="3">
        <f>+K20/K$18</f>
        <v>0.18993465161673598</v>
      </c>
      <c r="L40" s="3">
        <f>+L20/L$18</f>
        <v>0.20058002821758897</v>
      </c>
      <c r="M40" s="3">
        <f>+M20/M$18</f>
        <v>0.19434602336977008</v>
      </c>
      <c r="N40" s="3">
        <f>+N20/N$18</f>
        <v>0.18853208214002803</v>
      </c>
      <c r="O40" s="3">
        <f>+O20/O$18</f>
        <v>0.18993465161673598</v>
      </c>
      <c r="P40" s="3">
        <f>+P20/P$18</f>
        <v>0.20058002821758897</v>
      </c>
      <c r="Q40" s="3">
        <f>+Q20/Q$18</f>
        <v>0.2</v>
      </c>
      <c r="R40" s="3">
        <f>+R20/R$18</f>
        <v>0.18853208214002803</v>
      </c>
      <c r="V40" s="3">
        <f>+V20/V$18</f>
        <v>0.1787039362895351</v>
      </c>
      <c r="W40" s="3">
        <f>+W20/W$18</f>
        <v>0.2184709213678937</v>
      </c>
      <c r="X40" s="3">
        <f>+X20/X$18</f>
        <v>0.18704428424304839</v>
      </c>
      <c r="Y40" s="3">
        <f>+Y20/Y$18</f>
        <v>0.17876882409484141</v>
      </c>
      <c r="Z40" s="3">
        <f>+Z20/Z$18</f>
        <v>0.19309441688031428</v>
      </c>
      <c r="AA40" s="3">
        <f>+AA20/AA$18</f>
        <v>0.19447774683217439</v>
      </c>
      <c r="AB40" s="3">
        <f>+AB20/AB$18</f>
        <v>0.19447774683217439</v>
      </c>
      <c r="AC40" s="3">
        <f>+AC20/AC$18</f>
        <v>0.19447774683217439</v>
      </c>
      <c r="AD40" s="3">
        <f>+AD20/AD$18</f>
        <v>0.19447774683217439</v>
      </c>
      <c r="AE40" s="3">
        <f>+AE20/AE$18</f>
        <v>0.19447774683217439</v>
      </c>
      <c r="AF40" s="3">
        <f>+AF20/AF$18</f>
        <v>0.19447774683217439</v>
      </c>
      <c r="AG40" s="3">
        <f>+AG20/AG$18</f>
        <v>0.19447774683217439</v>
      </c>
      <c r="AH40" s="3">
        <f>+AH20/AH$18</f>
        <v>0.19447774683217439</v>
      </c>
      <c r="AI40" s="3">
        <f>+AI20/AI$18</f>
        <v>0.19447774683217439</v>
      </c>
      <c r="AJ40" s="3">
        <f>+AJ20/AJ$18</f>
        <v>0.19447774683217439</v>
      </c>
    </row>
    <row r="43" spans="1:39">
      <c r="J43" s="1">
        <f>+J44-J56-J60</f>
        <v>2118</v>
      </c>
      <c r="N43" s="1">
        <f>+N44-N56-N60</f>
        <v>2738</v>
      </c>
      <c r="O43" s="1">
        <f>+N43+O24</f>
        <v>3694.8490450352674</v>
      </c>
      <c r="P43" s="1">
        <f t="shared" ref="P43:R43" si="44">+O43+P24</f>
        <v>4753.3021552370283</v>
      </c>
      <c r="Q43" s="1">
        <f t="shared" si="44"/>
        <v>5849.7873989906784</v>
      </c>
      <c r="R43" s="1">
        <f t="shared" si="44"/>
        <v>7324.3060464176133</v>
      </c>
      <c r="Z43" s="1">
        <f>+R43</f>
        <v>7324.3060464176133</v>
      </c>
      <c r="AA43" s="1">
        <f>+Z43+AA24</f>
        <v>11910.612092835225</v>
      </c>
      <c r="AB43" s="1">
        <f t="shared" ref="AB43:AJ43" si="45">+AA43+AB24</f>
        <v>16674.398275609485</v>
      </c>
      <c r="AC43" s="1">
        <f t="shared" si="45"/>
        <v>21699.925208586526</v>
      </c>
      <c r="AD43" s="1">
        <f t="shared" si="45"/>
        <v>26998.50817273849</v>
      </c>
      <c r="AE43" s="1">
        <f t="shared" si="45"/>
        <v>32581.905024590509</v>
      </c>
      <c r="AF43" s="1">
        <f t="shared" si="45"/>
        <v>38462.332561104078</v>
      </c>
      <c r="AG43" s="1">
        <f t="shared" si="45"/>
        <v>44652.483468090562</v>
      </c>
      <c r="AH43" s="1">
        <f t="shared" si="45"/>
        <v>51165.543872437818</v>
      </c>
      <c r="AI43" s="1">
        <f t="shared" si="45"/>
        <v>58015.211519124918</v>
      </c>
      <c r="AJ43" s="1">
        <f t="shared" si="45"/>
        <v>65215.714594714882</v>
      </c>
    </row>
    <row r="44" spans="1:39">
      <c r="B44" s="1" t="s">
        <v>51</v>
      </c>
      <c r="J44" s="1">
        <v>5477</v>
      </c>
      <c r="N44" s="1">
        <v>5600</v>
      </c>
    </row>
    <row r="45" spans="1:39">
      <c r="B45" s="1" t="s">
        <v>53</v>
      </c>
      <c r="J45" s="1">
        <v>1160</v>
      </c>
      <c r="N45" s="1">
        <v>1099</v>
      </c>
    </row>
    <row r="46" spans="1:39">
      <c r="B46" s="1" t="s">
        <v>54</v>
      </c>
      <c r="J46" s="1">
        <v>5819</v>
      </c>
      <c r="N46" s="1">
        <v>5965</v>
      </c>
    </row>
    <row r="47" spans="1:39">
      <c r="B47" s="1" t="s">
        <v>55</v>
      </c>
      <c r="J47" s="1">
        <v>5783</v>
      </c>
      <c r="N47" s="1">
        <v>6571</v>
      </c>
    </row>
    <row r="48" spans="1:39">
      <c r="B48" s="1" t="s">
        <v>56</v>
      </c>
      <c r="J48" s="1">
        <v>9086</v>
      </c>
      <c r="N48" s="1">
        <v>9396</v>
      </c>
    </row>
    <row r="49" spans="2:14">
      <c r="B49" s="1" t="s">
        <v>57</v>
      </c>
      <c r="J49" s="1">
        <v>97</v>
      </c>
      <c r="N49" s="1">
        <v>95</v>
      </c>
    </row>
    <row r="50" spans="2:14">
      <c r="B50" s="1" t="s">
        <v>58</v>
      </c>
      <c r="J50" s="1">
        <v>927</v>
      </c>
      <c r="N50" s="1">
        <v>1021</v>
      </c>
    </row>
    <row r="51" spans="2:14" s="2" customFormat="1">
      <c r="B51" s="2" t="s">
        <v>52</v>
      </c>
      <c r="J51" s="2">
        <f>SUM(J44:J50)</f>
        <v>28349</v>
      </c>
      <c r="N51" s="2">
        <f>SUM(N44:N50)</f>
        <v>29747</v>
      </c>
    </row>
    <row r="53" spans="2:14">
      <c r="B53" s="1" t="s">
        <v>59</v>
      </c>
      <c r="J53" s="1">
        <v>3794</v>
      </c>
      <c r="N53" s="1">
        <v>3862</v>
      </c>
    </row>
    <row r="54" spans="2:14">
      <c r="B54" s="1" t="s">
        <v>60</v>
      </c>
      <c r="J54" s="1">
        <v>4401</v>
      </c>
      <c r="N54" s="1">
        <v>4969</v>
      </c>
    </row>
    <row r="55" spans="2:14">
      <c r="B55" s="1" t="s">
        <v>61</v>
      </c>
      <c r="J55" s="1">
        <v>1610</v>
      </c>
      <c r="N55" s="1">
        <v>1620</v>
      </c>
    </row>
    <row r="56" spans="2:14">
      <c r="B56" s="1" t="s">
        <v>62</v>
      </c>
      <c r="J56" s="1">
        <v>500</v>
      </c>
      <c r="N56" s="1">
        <v>0</v>
      </c>
    </row>
    <row r="57" spans="2:14" s="10" customFormat="1">
      <c r="B57" s="10" t="s">
        <v>63</v>
      </c>
      <c r="J57" s="10">
        <v>919</v>
      </c>
      <c r="N57" s="10">
        <v>924</v>
      </c>
    </row>
    <row r="58" spans="2:14">
      <c r="B58" s="1" t="s">
        <v>64</v>
      </c>
      <c r="J58" s="1">
        <v>127</v>
      </c>
      <c r="N58" s="1">
        <v>148</v>
      </c>
    </row>
    <row r="59" spans="2:14">
      <c r="B59" s="1" t="s">
        <v>65</v>
      </c>
      <c r="J59" s="1">
        <v>7775</v>
      </c>
      <c r="N59" s="1">
        <v>8060</v>
      </c>
    </row>
    <row r="60" spans="2:14">
      <c r="B60" s="1" t="s">
        <v>68</v>
      </c>
      <c r="J60" s="1">
        <v>2859</v>
      </c>
      <c r="N60" s="1">
        <v>2862</v>
      </c>
    </row>
    <row r="61" spans="2:14">
      <c r="B61" s="1" t="s">
        <v>66</v>
      </c>
      <c r="J61" s="1">
        <v>6364</v>
      </c>
      <c r="N61" s="1">
        <v>7302</v>
      </c>
    </row>
    <row r="62" spans="2:14" s="2" customFormat="1">
      <c r="B62" s="2" t="s">
        <v>67</v>
      </c>
      <c r="J62" s="2">
        <f>+SUM(J53:J61)</f>
        <v>28349</v>
      </c>
      <c r="N62" s="2">
        <f>+SUM(N53:N61)</f>
        <v>29747</v>
      </c>
    </row>
    <row r="64" spans="2:14">
      <c r="B64" s="1" t="s">
        <v>93</v>
      </c>
      <c r="J64" s="1">
        <f>SUM(J44:J46)-SUM(J53:J55)</f>
        <v>2651</v>
      </c>
      <c r="N64" s="1">
        <f>SUM(N44:N46)-SUM(N53:N55)</f>
        <v>2213</v>
      </c>
    </row>
    <row r="68" spans="2:14">
      <c r="B68" s="1" t="s">
        <v>87</v>
      </c>
      <c r="G68" s="1">
        <v>-634</v>
      </c>
      <c r="H68" s="1">
        <f>6-G68</f>
        <v>640</v>
      </c>
      <c r="I68" s="1">
        <f>1059-SUM(G68:H68)</f>
        <v>1053</v>
      </c>
      <c r="J68" s="1">
        <f>4084-SUM(G68:I68)</f>
        <v>3025</v>
      </c>
      <c r="K68" s="1">
        <v>745</v>
      </c>
      <c r="L68" s="1">
        <f>2086-K68</f>
        <v>1341</v>
      </c>
      <c r="M68" s="1">
        <f>3257-SUM(K68:L68)</f>
        <v>1171</v>
      </c>
      <c r="N68" s="1">
        <f>6057-SUM(K68:M68)</f>
        <v>2800</v>
      </c>
    </row>
    <row r="69" spans="2:14">
      <c r="B69" s="1" t="s">
        <v>88</v>
      </c>
      <c r="G69" s="1">
        <v>-314</v>
      </c>
      <c r="H69" s="1">
        <f>+-693-G69</f>
        <v>-379</v>
      </c>
      <c r="I69" s="1">
        <f>+-1100-SUM(G69:H69)</f>
        <v>-407</v>
      </c>
      <c r="J69" s="1">
        <f>+-1457-SUM(G69:I69)</f>
        <v>-357</v>
      </c>
      <c r="K69" s="1">
        <v>-361</v>
      </c>
      <c r="L69" s="1">
        <f>+-820-K69</f>
        <v>-459</v>
      </c>
      <c r="M69" s="1">
        <f>+-1280-SUM(K69:L69)</f>
        <v>-460</v>
      </c>
      <c r="N69" s="1">
        <f>+-1722-SUM(K69:M69)</f>
        <v>-442</v>
      </c>
    </row>
    <row r="70" spans="2:14" s="2" customFormat="1">
      <c r="B70" s="2" t="s">
        <v>89</v>
      </c>
      <c r="C70" s="2">
        <f t="shared" ref="C70:M70" si="46">SUM(C68:C69)</f>
        <v>0</v>
      </c>
      <c r="D70" s="2">
        <f t="shared" si="46"/>
        <v>0</v>
      </c>
      <c r="E70" s="2">
        <f t="shared" si="46"/>
        <v>0</v>
      </c>
      <c r="F70" s="2">
        <f t="shared" si="46"/>
        <v>0</v>
      </c>
      <c r="G70" s="2">
        <f t="shared" si="46"/>
        <v>-948</v>
      </c>
      <c r="H70" s="2">
        <f t="shared" si="46"/>
        <v>261</v>
      </c>
      <c r="I70" s="2">
        <f t="shared" si="46"/>
        <v>646</v>
      </c>
      <c r="J70" s="2">
        <f t="shared" si="46"/>
        <v>2668</v>
      </c>
      <c r="K70" s="2">
        <f t="shared" si="46"/>
        <v>384</v>
      </c>
      <c r="L70" s="2">
        <f t="shared" si="46"/>
        <v>882</v>
      </c>
      <c r="M70" s="2">
        <f t="shared" si="46"/>
        <v>711</v>
      </c>
      <c r="N70" s="2">
        <f>SUM(N68:N69)</f>
        <v>2358</v>
      </c>
    </row>
    <row r="71" spans="2:14">
      <c r="B71" s="1" t="s">
        <v>90</v>
      </c>
      <c r="G71" s="1">
        <f>+G24</f>
        <v>805</v>
      </c>
      <c r="H71" s="1">
        <f t="shared" ref="H71:N71" si="47">+H24</f>
        <v>810</v>
      </c>
      <c r="I71" s="1">
        <f t="shared" si="47"/>
        <v>1063</v>
      </c>
      <c r="J71" s="1">
        <f t="shared" si="47"/>
        <v>1038</v>
      </c>
      <c r="K71" s="1">
        <f t="shared" si="47"/>
        <v>891</v>
      </c>
      <c r="L71" s="1">
        <f t="shared" si="47"/>
        <v>989</v>
      </c>
      <c r="M71" s="1">
        <f t="shared" si="47"/>
        <v>1191</v>
      </c>
      <c r="N71" s="1">
        <f t="shared" si="47"/>
        <v>1403</v>
      </c>
    </row>
    <row r="73" spans="2:14">
      <c r="B73" s="1" t="s">
        <v>91</v>
      </c>
      <c r="J73" s="1">
        <f>+SUM(G70:J70)</f>
        <v>2627</v>
      </c>
      <c r="K73" s="1">
        <f>+SUM(H70:K70)</f>
        <v>3959</v>
      </c>
      <c r="L73" s="1">
        <f>+SUM(I70:L70)</f>
        <v>4580</v>
      </c>
      <c r="M73" s="1">
        <f>+SUM(J70:M70)</f>
        <v>4645</v>
      </c>
      <c r="N73" s="1">
        <f>+SUM(K70:N70)</f>
        <v>4335</v>
      </c>
    </row>
    <row r="74" spans="2:14">
      <c r="B74" s="1" t="s">
        <v>92</v>
      </c>
      <c r="J74" s="1">
        <f>+SUM(G71:J71)</f>
        <v>3716</v>
      </c>
      <c r="K74" s="1">
        <f>+SUM(H71:K71)</f>
        <v>3802</v>
      </c>
      <c r="L74" s="1">
        <f>+SUM(I71:L71)</f>
        <v>3981</v>
      </c>
      <c r="M74" s="1">
        <f>+SUM(J71:M71)</f>
        <v>4109</v>
      </c>
      <c r="N74" s="1">
        <f>+SUM(K71:N71)</f>
        <v>4474</v>
      </c>
    </row>
    <row r="75" spans="2:14">
      <c r="J75" s="1">
        <f t="shared" ref="J75:M75" si="48">+J73-J74</f>
        <v>-1089</v>
      </c>
      <c r="K75" s="1">
        <f t="shared" si="48"/>
        <v>157</v>
      </c>
      <c r="L75" s="1">
        <f t="shared" si="48"/>
        <v>599</v>
      </c>
      <c r="M75" s="1">
        <f t="shared" si="48"/>
        <v>536</v>
      </c>
      <c r="N75" s="1">
        <f>+N73-N74</f>
        <v>-139</v>
      </c>
    </row>
  </sheetData>
  <pageMargins left="0.7" right="0.7" top="0.75" bottom="0.75" header="0.3" footer="0.3"/>
  <ignoredErrors>
    <ignoredError sqref="Y26:Z28 N64" formulaRange="1"/>
    <ignoredError sqref="Y18:Z25" formula="1" formulaRange="1"/>
    <ignoredError sqref="W18:X25 W4:AA4 AA18:AA20 AA22:AA2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2024-03-27T02:39:44Z</dcterms:created>
  <dcterms:modified xsi:type="dcterms:W3CDTF">2024-03-27T04:04:58Z</dcterms:modified>
</cp:coreProperties>
</file>