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6492570-279B-C84B-BEF6-629006571D93}" xr6:coauthVersionLast="47" xr6:coauthVersionMax="47" xr10:uidLastSave="{00000000-0000-0000-0000-000000000000}"/>
  <bookViews>
    <workbookView xWindow="22820" yWindow="520" windowWidth="28380" windowHeight="28280" xr2:uid="{3991C303-FDF7-2343-B20E-E26B6CBB280D}"/>
  </bookViews>
  <sheets>
    <sheet name="Main" sheetId="1" r:id="rId1"/>
    <sheet name="Model" sheetId="2" r:id="rId2"/>
    <sheet name="Process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2" l="1"/>
  <c r="AC22" i="2"/>
  <c r="AD22" i="2" s="1"/>
  <c r="AE22" i="2" s="1"/>
  <c r="AF22" i="2" s="1"/>
  <c r="AG22" i="2" s="1"/>
  <c r="AH22" i="2" s="1"/>
  <c r="AI22" i="2" s="1"/>
  <c r="AJ22" i="2" s="1"/>
  <c r="AK22" i="2" s="1"/>
  <c r="AL22" i="2" s="1"/>
  <c r="R50" i="2"/>
  <c r="AB50" i="2" s="1"/>
  <c r="AC21" i="2" s="1"/>
  <c r="R68" i="2"/>
  <c r="R72" i="2" s="1"/>
  <c r="R74" i="2" s="1"/>
  <c r="R56" i="2"/>
  <c r="R63" i="2" s="1"/>
  <c r="AC25" i="2"/>
  <c r="AC19" i="2"/>
  <c r="P37" i="2"/>
  <c r="O37" i="2"/>
  <c r="M37" i="2"/>
  <c r="L37" i="2"/>
  <c r="K37" i="2"/>
  <c r="I37" i="2"/>
  <c r="H37" i="2"/>
  <c r="G37" i="2"/>
  <c r="P36" i="2"/>
  <c r="O36" i="2"/>
  <c r="M36" i="2"/>
  <c r="L36" i="2"/>
  <c r="K36" i="2"/>
  <c r="I36" i="2"/>
  <c r="H36" i="2"/>
  <c r="G36" i="2"/>
  <c r="P35" i="2"/>
  <c r="O35" i="2"/>
  <c r="M35" i="2"/>
  <c r="L35" i="2"/>
  <c r="K35" i="2"/>
  <c r="I35" i="2"/>
  <c r="H35" i="2"/>
  <c r="G35" i="2"/>
  <c r="P33" i="2"/>
  <c r="O33" i="2"/>
  <c r="M33" i="2"/>
  <c r="L33" i="2"/>
  <c r="K33" i="2"/>
  <c r="I33" i="2"/>
  <c r="H33" i="2"/>
  <c r="G33" i="2"/>
  <c r="P32" i="2"/>
  <c r="O32" i="2"/>
  <c r="M32" i="2"/>
  <c r="L32" i="2"/>
  <c r="K32" i="2"/>
  <c r="I32" i="2"/>
  <c r="H32" i="2"/>
  <c r="G32" i="2"/>
  <c r="Q32" i="2"/>
  <c r="Q33" i="2"/>
  <c r="S15" i="2"/>
  <c r="T15" i="2" s="1"/>
  <c r="Z33" i="2"/>
  <c r="Z32" i="2"/>
  <c r="AA33" i="2"/>
  <c r="AA32" i="2"/>
  <c r="AB33" i="2"/>
  <c r="AB32" i="2"/>
  <c r="AB8" i="2"/>
  <c r="AB7" i="2"/>
  <c r="AB6" i="2"/>
  <c r="AB5" i="2"/>
  <c r="D13" i="1"/>
  <c r="E13" i="1" s="1"/>
  <c r="F13" i="1" s="1"/>
  <c r="G13" i="1" s="1"/>
  <c r="H13" i="1" s="1"/>
  <c r="Y37" i="2"/>
  <c r="Y36" i="2"/>
  <c r="Y35" i="2"/>
  <c r="X20" i="2"/>
  <c r="X24" i="2" s="1"/>
  <c r="X26" i="2" s="1"/>
  <c r="X28" i="2" s="1"/>
  <c r="Y15" i="2"/>
  <c r="Y20" i="2" s="1"/>
  <c r="Y24" i="2" s="1"/>
  <c r="Y26" i="2" s="1"/>
  <c r="Y28" i="2" s="1"/>
  <c r="J3" i="2"/>
  <c r="J2" i="2" s="1"/>
  <c r="J25" i="2"/>
  <c r="J23" i="2"/>
  <c r="J22" i="2"/>
  <c r="J21" i="2"/>
  <c r="J19" i="2"/>
  <c r="J18" i="2"/>
  <c r="J37" i="2" s="1"/>
  <c r="J17" i="2"/>
  <c r="J36" i="2" s="1"/>
  <c r="J16" i="2"/>
  <c r="J35" i="2" s="1"/>
  <c r="J14" i="2"/>
  <c r="J33" i="2" s="1"/>
  <c r="J13" i="2"/>
  <c r="J32" i="2" s="1"/>
  <c r="G15" i="2"/>
  <c r="G34" i="2" s="1"/>
  <c r="H15" i="2"/>
  <c r="H34" i="2" s="1"/>
  <c r="Q37" i="2"/>
  <c r="Q36" i="2"/>
  <c r="Q35" i="2"/>
  <c r="I15" i="2"/>
  <c r="I20" i="2" s="1"/>
  <c r="I24" i="2" s="1"/>
  <c r="I26" i="2" s="1"/>
  <c r="I28" i="2" s="1"/>
  <c r="AB2" i="2"/>
  <c r="AA2" i="2"/>
  <c r="Z2" i="2"/>
  <c r="Y2" i="2"/>
  <c r="X2" i="2"/>
  <c r="Z37" i="2"/>
  <c r="Z36" i="2"/>
  <c r="Z35" i="2"/>
  <c r="Z15" i="2"/>
  <c r="Z20" i="2" s="1"/>
  <c r="Z24" i="2" s="1"/>
  <c r="Z26" i="2" s="1"/>
  <c r="Z28" i="2" s="1"/>
  <c r="Q2" i="2"/>
  <c r="P2" i="2"/>
  <c r="O2" i="2"/>
  <c r="M2" i="2"/>
  <c r="L2" i="2"/>
  <c r="K2" i="2"/>
  <c r="I2" i="2"/>
  <c r="H2" i="2"/>
  <c r="G2" i="2"/>
  <c r="F2" i="2"/>
  <c r="E2" i="2"/>
  <c r="D2" i="2"/>
  <c r="C2" i="2"/>
  <c r="R3" i="2"/>
  <c r="R2" i="2" s="1"/>
  <c r="N3" i="2"/>
  <c r="N2" i="2" s="1"/>
  <c r="N25" i="2"/>
  <c r="N23" i="2"/>
  <c r="N22" i="2"/>
  <c r="N21" i="2"/>
  <c r="N19" i="2"/>
  <c r="N18" i="2"/>
  <c r="N37" i="2" s="1"/>
  <c r="N17" i="2"/>
  <c r="N36" i="2" s="1"/>
  <c r="N16" i="2"/>
  <c r="N35" i="2" s="1"/>
  <c r="N14" i="2"/>
  <c r="N33" i="2" s="1"/>
  <c r="N13" i="2"/>
  <c r="N32" i="2" s="1"/>
  <c r="R25" i="2"/>
  <c r="R23" i="2"/>
  <c r="R22" i="2"/>
  <c r="R21" i="2"/>
  <c r="R19" i="2"/>
  <c r="R18" i="2"/>
  <c r="R17" i="2"/>
  <c r="R36" i="2" s="1"/>
  <c r="R16" i="2"/>
  <c r="R14" i="2"/>
  <c r="R13" i="2"/>
  <c r="K15" i="2"/>
  <c r="K20" i="2" s="1"/>
  <c r="K24" i="2" s="1"/>
  <c r="K26" i="2" s="1"/>
  <c r="K28" i="2" s="1"/>
  <c r="L15" i="2"/>
  <c r="L20" i="2" s="1"/>
  <c r="L24" i="2" s="1"/>
  <c r="L26" i="2" s="1"/>
  <c r="L28" i="2" s="1"/>
  <c r="O15" i="2"/>
  <c r="O20" i="2" s="1"/>
  <c r="O24" i="2" s="1"/>
  <c r="O26" i="2" s="1"/>
  <c r="O28" i="2" s="1"/>
  <c r="P15" i="2"/>
  <c r="P20" i="2" s="1"/>
  <c r="P24" i="2" s="1"/>
  <c r="P26" i="2" s="1"/>
  <c r="P28" i="2" s="1"/>
  <c r="M15" i="2"/>
  <c r="M20" i="2" s="1"/>
  <c r="M24" i="2" s="1"/>
  <c r="M26" i="2" s="1"/>
  <c r="M28" i="2" s="1"/>
  <c r="Q15" i="2"/>
  <c r="AA15" i="2"/>
  <c r="AA39" i="2" s="1"/>
  <c r="AB15" i="2"/>
  <c r="AB20" i="2" s="1"/>
  <c r="AB24" i="2" s="1"/>
  <c r="AB26" i="2" s="1"/>
  <c r="AB28" i="2" s="1"/>
  <c r="AA37" i="2"/>
  <c r="AA36" i="2"/>
  <c r="AA35" i="2"/>
  <c r="AB37" i="2"/>
  <c r="AB36" i="2"/>
  <c r="AB35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L6" i="1"/>
  <c r="L7" i="1" s="1"/>
  <c r="K7" i="1"/>
  <c r="K6" i="1"/>
  <c r="K4" i="1"/>
  <c r="K5" i="1" s="1"/>
  <c r="K8" i="1" s="1"/>
  <c r="AA40" i="2" l="1"/>
  <c r="AB40" i="2"/>
  <c r="AR34" i="2"/>
  <c r="Z39" i="2"/>
  <c r="AA41" i="2"/>
  <c r="AR36" i="2"/>
  <c r="Z40" i="2"/>
  <c r="AB41" i="2"/>
  <c r="AB39" i="2"/>
  <c r="Z41" i="2"/>
  <c r="AC50" i="2"/>
  <c r="AD50" i="2" s="1"/>
  <c r="AE50" i="2" s="1"/>
  <c r="AF50" i="2" s="1"/>
  <c r="AG50" i="2" s="1"/>
  <c r="AH50" i="2" s="1"/>
  <c r="AI50" i="2" s="1"/>
  <c r="AJ50" i="2" s="1"/>
  <c r="AK50" i="2" s="1"/>
  <c r="AL50" i="2" s="1"/>
  <c r="R35" i="2"/>
  <c r="R37" i="2"/>
  <c r="R32" i="2"/>
  <c r="R33" i="2"/>
  <c r="I34" i="2"/>
  <c r="S17" i="2"/>
  <c r="T17" i="2"/>
  <c r="K34" i="2"/>
  <c r="L34" i="2"/>
  <c r="U15" i="2"/>
  <c r="M34" i="2"/>
  <c r="S34" i="2"/>
  <c r="S16" i="2"/>
  <c r="S18" i="2"/>
  <c r="T16" i="2"/>
  <c r="T18" i="2"/>
  <c r="O34" i="2"/>
  <c r="P34" i="2"/>
  <c r="Q34" i="2"/>
  <c r="J15" i="2"/>
  <c r="J34" i="2" s="1"/>
  <c r="Y34" i="2"/>
  <c r="N15" i="2"/>
  <c r="H20" i="2"/>
  <c r="H24" i="2" s="1"/>
  <c r="H26" i="2" s="1"/>
  <c r="H28" i="2" s="1"/>
  <c r="G20" i="2"/>
  <c r="G24" i="2" s="1"/>
  <c r="G26" i="2" s="1"/>
  <c r="G28" i="2" s="1"/>
  <c r="Z34" i="2"/>
  <c r="R15" i="2"/>
  <c r="Q20" i="2"/>
  <c r="Q24" i="2" s="1"/>
  <c r="Q26" i="2" s="1"/>
  <c r="Q28" i="2" s="1"/>
  <c r="R28" i="2" s="1"/>
  <c r="AB34" i="2"/>
  <c r="AA34" i="2"/>
  <c r="AA20" i="2"/>
  <c r="AA24" i="2" s="1"/>
  <c r="AA26" i="2" s="1"/>
  <c r="AA28" i="2" s="1"/>
  <c r="N28" i="2" s="1"/>
  <c r="N34" i="2" l="1"/>
  <c r="R20" i="2"/>
  <c r="R24" i="2" s="1"/>
  <c r="R26" i="2" s="1"/>
  <c r="R34" i="2"/>
  <c r="T20" i="2"/>
  <c r="T24" i="2" s="1"/>
  <c r="T26" i="2" s="1"/>
  <c r="S20" i="2"/>
  <c r="S14" i="2"/>
  <c r="T14" i="2" s="1"/>
  <c r="U14" i="2" s="1"/>
  <c r="S13" i="2"/>
  <c r="T13" i="2" s="1"/>
  <c r="U13" i="2" s="1"/>
  <c r="V15" i="2"/>
  <c r="U18" i="2"/>
  <c r="U16" i="2"/>
  <c r="U17" i="2"/>
  <c r="J28" i="2"/>
  <c r="J20" i="2"/>
  <c r="J24" i="2" s="1"/>
  <c r="J26" i="2" s="1"/>
  <c r="J27" i="2" s="1"/>
  <c r="N20" i="2"/>
  <c r="N24" i="2" s="1"/>
  <c r="N26" i="2" s="1"/>
  <c r="N27" i="2" s="1"/>
  <c r="R27" i="2"/>
  <c r="S27" i="2" s="1"/>
  <c r="T27" i="2" s="1"/>
  <c r="U27" i="2" s="1"/>
  <c r="V27" i="2" s="1"/>
  <c r="U20" i="2" l="1"/>
  <c r="U24" i="2" s="1"/>
  <c r="U26" i="2" s="1"/>
  <c r="U28" i="2" s="1"/>
  <c r="S24" i="2"/>
  <c r="T28" i="2"/>
  <c r="AC15" i="2"/>
  <c r="AD15" i="2" s="1"/>
  <c r="V18" i="2"/>
  <c r="AC18" i="2" s="1"/>
  <c r="V16" i="2"/>
  <c r="AC16" i="2" s="1"/>
  <c r="V17" i="2"/>
  <c r="AC17" i="2" s="1"/>
  <c r="V14" i="2"/>
  <c r="AC14" i="2" s="1"/>
  <c r="AC33" i="2" s="1"/>
  <c r="V13" i="2"/>
  <c r="AC13" i="2" s="1"/>
  <c r="AC32" i="2" s="1"/>
  <c r="AC35" i="2" l="1"/>
  <c r="AC39" i="2"/>
  <c r="AE15" i="2"/>
  <c r="AF15" i="2" s="1"/>
  <c r="AD17" i="2"/>
  <c r="AC36" i="2"/>
  <c r="AC40" i="2"/>
  <c r="AC37" i="2"/>
  <c r="AC41" i="2"/>
  <c r="V20" i="2"/>
  <c r="V24" i="2" s="1"/>
  <c r="V26" i="2" s="1"/>
  <c r="V28" i="2" s="1"/>
  <c r="AC34" i="2"/>
  <c r="S26" i="2"/>
  <c r="AC24" i="2"/>
  <c r="AC20" i="2"/>
  <c r="AD40" i="2" l="1"/>
  <c r="AD36" i="2"/>
  <c r="S28" i="2"/>
  <c r="AC28" i="2" s="1"/>
  <c r="AC26" i="2"/>
  <c r="AD21" i="2" s="1"/>
  <c r="AD18" i="2"/>
  <c r="AD16" i="2"/>
  <c r="AD34" i="2"/>
  <c r="AD39" i="2" l="1"/>
  <c r="AD35" i="2"/>
  <c r="AD41" i="2"/>
  <c r="AD37" i="2"/>
  <c r="AE18" i="2"/>
  <c r="AE17" i="2"/>
  <c r="AE16" i="2"/>
  <c r="AE35" i="2" s="1"/>
  <c r="AE20" i="2"/>
  <c r="AD20" i="2"/>
  <c r="AD24" i="2" s="1"/>
  <c r="AD25" i="2" s="1"/>
  <c r="AD26" i="2" s="1"/>
  <c r="AC27" i="2"/>
  <c r="AD27" i="2" s="1"/>
  <c r="AE27" i="2" s="1"/>
  <c r="AF27" i="2" s="1"/>
  <c r="AG27" i="2" s="1"/>
  <c r="AH27" i="2" s="1"/>
  <c r="AI27" i="2" s="1"/>
  <c r="AJ27" i="2" s="1"/>
  <c r="AK27" i="2" s="1"/>
  <c r="AL27" i="2" s="1"/>
  <c r="AE34" i="2"/>
  <c r="AE40" i="2" l="1"/>
  <c r="AE36" i="2"/>
  <c r="AE41" i="2"/>
  <c r="AE37" i="2"/>
  <c r="AF17" i="2"/>
  <c r="AF36" i="2" s="1"/>
  <c r="AF18" i="2"/>
  <c r="AF16" i="2"/>
  <c r="AE39" i="2"/>
  <c r="AD28" i="2"/>
  <c r="AE21" i="2"/>
  <c r="AF21" i="2" s="1"/>
  <c r="AG21" i="2" s="1"/>
  <c r="AH21" i="2" s="1"/>
  <c r="AI21" i="2" s="1"/>
  <c r="AJ21" i="2" s="1"/>
  <c r="AK21" i="2" s="1"/>
  <c r="AL21" i="2" s="1"/>
  <c r="AG15" i="2"/>
  <c r="AF34" i="2"/>
  <c r="AF39" i="2" l="1"/>
  <c r="AF35" i="2"/>
  <c r="AF41" i="2"/>
  <c r="AF37" i="2"/>
  <c r="AF40" i="2"/>
  <c r="AG17" i="2"/>
  <c r="AG16" i="2"/>
  <c r="AG18" i="2"/>
  <c r="AF20" i="2"/>
  <c r="AE24" i="2"/>
  <c r="AE25" i="2" s="1"/>
  <c r="AE26" i="2" s="1"/>
  <c r="AH15" i="2"/>
  <c r="AG34" i="2"/>
  <c r="AG41" i="2" l="1"/>
  <c r="AG37" i="2"/>
  <c r="AG39" i="2"/>
  <c r="AG35" i="2"/>
  <c r="AG40" i="2"/>
  <c r="AG36" i="2"/>
  <c r="AG20" i="2"/>
  <c r="AH17" i="2"/>
  <c r="AH36" i="2" s="1"/>
  <c r="AH16" i="2"/>
  <c r="AH18" i="2"/>
  <c r="AE28" i="2"/>
  <c r="AF24" i="2"/>
  <c r="AI15" i="2"/>
  <c r="AH34" i="2"/>
  <c r="AH40" i="2"/>
  <c r="AH20" i="2" l="1"/>
  <c r="AH41" i="2"/>
  <c r="AH37" i="2"/>
  <c r="AH39" i="2"/>
  <c r="AH35" i="2"/>
  <c r="AI17" i="2"/>
  <c r="AI36" i="2" s="1"/>
  <c r="AI16" i="2"/>
  <c r="AI18" i="2"/>
  <c r="AF25" i="2"/>
  <c r="AF26" i="2" s="1"/>
  <c r="AJ15" i="2"/>
  <c r="AI34" i="2"/>
  <c r="AI41" i="2" l="1"/>
  <c r="AI37" i="2"/>
  <c r="AI39" i="2"/>
  <c r="AI35" i="2"/>
  <c r="AI20" i="2"/>
  <c r="AJ17" i="2"/>
  <c r="AJ36" i="2" s="1"/>
  <c r="AJ16" i="2"/>
  <c r="AJ18" i="2"/>
  <c r="AJ37" i="2" s="1"/>
  <c r="AF28" i="2"/>
  <c r="AI40" i="2"/>
  <c r="AG24" i="2"/>
  <c r="AK15" i="2"/>
  <c r="AJ34" i="2"/>
  <c r="AJ39" i="2" l="1"/>
  <c r="AJ35" i="2"/>
  <c r="AJ40" i="2"/>
  <c r="AJ20" i="2"/>
  <c r="AJ41" i="2"/>
  <c r="AK17" i="2"/>
  <c r="AK36" i="2" s="1"/>
  <c r="AK16" i="2"/>
  <c r="AK18" i="2"/>
  <c r="AK37" i="2" s="1"/>
  <c r="AG25" i="2"/>
  <c r="AG26" i="2" s="1"/>
  <c r="AL15" i="2"/>
  <c r="AK34" i="2"/>
  <c r="AK39" i="2" l="1"/>
  <c r="AK35" i="2"/>
  <c r="AL17" i="2"/>
  <c r="AL36" i="2" s="1"/>
  <c r="AL16" i="2"/>
  <c r="AL18" i="2"/>
  <c r="AK20" i="2"/>
  <c r="AK41" i="2"/>
  <c r="AL40" i="2"/>
  <c r="AK40" i="2"/>
  <c r="AG28" i="2"/>
  <c r="AL34" i="2"/>
  <c r="AL41" i="2" l="1"/>
  <c r="AL37" i="2"/>
  <c r="AL39" i="2"/>
  <c r="AL35" i="2"/>
  <c r="AL20" i="2"/>
  <c r="AH24" i="2"/>
  <c r="AH25" i="2" l="1"/>
  <c r="AH26" i="2" s="1"/>
  <c r="AH28" i="2" l="1"/>
  <c r="AI24" i="2" l="1"/>
  <c r="AI25" i="2" l="1"/>
  <c r="AI26" i="2" s="1"/>
  <c r="AI28" i="2" l="1"/>
  <c r="AJ24" i="2" l="1"/>
  <c r="AJ25" i="2" s="1"/>
  <c r="AJ26" i="2" s="1"/>
  <c r="AJ28" i="2" s="1"/>
  <c r="AK24" i="2" l="1"/>
  <c r="AK25" i="2" l="1"/>
  <c r="AK26" i="2" s="1"/>
  <c r="AK28" i="2" l="1"/>
  <c r="AL24" i="2" l="1"/>
  <c r="AL25" i="2" s="1"/>
  <c r="AL26" i="2" s="1"/>
  <c r="AM26" i="2" l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AR33" i="2" s="1"/>
  <c r="AR35" i="2" s="1"/>
  <c r="AR37" i="2" s="1"/>
  <c r="AR39" i="2" s="1"/>
  <c r="AL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  <author>tc={3EFDD74E-F096-D643-913B-73F9A609CCB1}</author>
    <author>tc={6DF40F84-FA55-0948-B8DF-87E66B6DEF25}</author>
  </authors>
  <commentList>
    <comment ref="AB5" authorId="0" shapeId="0" xr:uid="{53E2FC1C-BE63-4D41-B2B4-E34A189848BE}">
      <text>
        <r>
          <rPr>
            <b/>
            <sz val="10"/>
            <color rgb="FF000000"/>
            <rFont val="Tahoma"/>
            <family val="2"/>
          </rPr>
          <t xml:space="preserve">jameel: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- 40% of revenue is attrib to AI inference
</t>
        </r>
        <r>
          <rPr>
            <b/>
            <sz val="10"/>
            <color rgb="FF000000"/>
            <rFont val="Tahoma"/>
            <family val="2"/>
          </rPr>
          <t>- launched Spectrum X, platform designeds for AI</t>
        </r>
      </text>
    </comment>
    <comment ref="AB6" authorId="0" shapeId="0" xr:uid="{F8DB8C21-8A33-E842-AE9A-D7247421CC2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introduced RTX 4060 &amp; 4070 GPUs based on Ada Lovelace arch.</t>
        </r>
      </text>
    </comment>
    <comment ref="AB13" authorId="1" shapeId="0" xr:uid="{3EFDD74E-F096-D643-913B-73F9A609CCB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shipments of Hopper GPU computing platform for training and inference of LLMs, reach engines, and gen AI apps.  Networking up 133% on shipments of InfiniBand</t>
      </text>
    </comment>
    <comment ref="S15" authorId="2" shapeId="0" xr:uid="{6DF40F84-FA55-0948-B8DF-87E66B6DEF2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</t>
      </text>
    </comment>
  </commentList>
</comments>
</file>

<file path=xl/sharedStrings.xml><?xml version="1.0" encoding="utf-8"?>
<sst xmlns="http://schemas.openxmlformats.org/spreadsheetml/2006/main" count="112" uniqueCount="103">
  <si>
    <t>MC</t>
  </si>
  <si>
    <t>Cash</t>
  </si>
  <si>
    <t>Debt</t>
  </si>
  <si>
    <t>EV</t>
  </si>
  <si>
    <t>Price</t>
  </si>
  <si>
    <t>in m, exepct p</t>
  </si>
  <si>
    <t>Q424</t>
  </si>
  <si>
    <t>Shares</t>
  </si>
  <si>
    <t>Q121</t>
  </si>
  <si>
    <t>Q221</t>
  </si>
  <si>
    <t>Q321</t>
  </si>
  <si>
    <t>Q421</t>
  </si>
  <si>
    <t>Q122</t>
  </si>
  <si>
    <t>Q222</t>
  </si>
  <si>
    <t>Q322</t>
  </si>
  <si>
    <t>Q422</t>
  </si>
  <si>
    <t>Q124</t>
  </si>
  <si>
    <t>Q123</t>
  </si>
  <si>
    <t>Q223</t>
  </si>
  <si>
    <t>Q323</t>
  </si>
  <si>
    <t>R</t>
  </si>
  <si>
    <t>C</t>
  </si>
  <si>
    <t>R&amp;D</t>
  </si>
  <si>
    <t>SG&amp;A</t>
  </si>
  <si>
    <t>Acq term cost</t>
  </si>
  <si>
    <t>Operating Income</t>
  </si>
  <si>
    <t>Interest I</t>
  </si>
  <si>
    <t>Interest E</t>
  </si>
  <si>
    <t>Other, net</t>
  </si>
  <si>
    <t>EBT</t>
  </si>
  <si>
    <t>T</t>
  </si>
  <si>
    <t xml:space="preserve">Net Income </t>
  </si>
  <si>
    <t>Diluted</t>
  </si>
  <si>
    <t>EPS</t>
  </si>
  <si>
    <t xml:space="preserve">Growth Analysis </t>
  </si>
  <si>
    <t>Compute &amp; networking</t>
  </si>
  <si>
    <t>Graphics</t>
  </si>
  <si>
    <t>Q423</t>
  </si>
  <si>
    <t>Q224</t>
  </si>
  <si>
    <t>Q324</t>
  </si>
  <si>
    <t>Founder</t>
  </si>
  <si>
    <t xml:space="preserve">CEO </t>
  </si>
  <si>
    <t>CFO</t>
  </si>
  <si>
    <t>Data Center</t>
  </si>
  <si>
    <t xml:space="preserve">products </t>
  </si>
  <si>
    <t>Ada</t>
  </si>
  <si>
    <t>Hopper</t>
  </si>
  <si>
    <t>Grace Hopper</t>
  </si>
  <si>
    <t>Gaming</t>
  </si>
  <si>
    <t>Professional Visualization</t>
  </si>
  <si>
    <t>Automotive</t>
  </si>
  <si>
    <t>Notes</t>
  </si>
  <si>
    <t xml:space="preserve">Supply </t>
  </si>
  <si>
    <t>TSMC/Samsung for wafers.  Micron, Sk Hynix, and Samsung for memory.</t>
  </si>
  <si>
    <t>OEM and other</t>
  </si>
  <si>
    <t>Q125</t>
  </si>
  <si>
    <t>Q225</t>
  </si>
  <si>
    <t>Q425</t>
  </si>
  <si>
    <t>Q325</t>
  </si>
  <si>
    <t>H100 Tensor Core GPU Arch</t>
  </si>
  <si>
    <t xml:space="preserve">Terminal </t>
  </si>
  <si>
    <t xml:space="preserve">Discount </t>
  </si>
  <si>
    <t>NPV</t>
  </si>
  <si>
    <t xml:space="preserve">Cash </t>
  </si>
  <si>
    <t>Securities</t>
  </si>
  <si>
    <t>A/R</t>
  </si>
  <si>
    <t>Inventories</t>
  </si>
  <si>
    <t>Prepaid E</t>
  </si>
  <si>
    <t>CA</t>
  </si>
  <si>
    <t>PPE</t>
  </si>
  <si>
    <t>Op Lease</t>
  </si>
  <si>
    <t>Goodwill</t>
  </si>
  <si>
    <t>Intangibles</t>
  </si>
  <si>
    <t>Deferred i/t</t>
  </si>
  <si>
    <t>OA</t>
  </si>
  <si>
    <t>TA</t>
  </si>
  <si>
    <t>TL</t>
  </si>
  <si>
    <t>A/P</t>
  </si>
  <si>
    <t>Accrued</t>
  </si>
  <si>
    <t>STD</t>
  </si>
  <si>
    <t>CL</t>
  </si>
  <si>
    <t>LTD</t>
  </si>
  <si>
    <t>Lease</t>
  </si>
  <si>
    <t>OLTL</t>
  </si>
  <si>
    <t xml:space="preserve">Net Cash </t>
  </si>
  <si>
    <t>ROIC</t>
  </si>
  <si>
    <t xml:space="preserve">RTX series </t>
  </si>
  <si>
    <t>Colette Kress</t>
  </si>
  <si>
    <t>Jen Huang</t>
  </si>
  <si>
    <t>Jensen, Chris, Curtis</t>
  </si>
  <si>
    <t>Founded</t>
  </si>
  <si>
    <t xml:space="preserve">Net cash </t>
  </si>
  <si>
    <t xml:space="preserve">Total Value </t>
  </si>
  <si>
    <t>Current</t>
  </si>
  <si>
    <t>Upside</t>
  </si>
  <si>
    <t>concerns</t>
  </si>
  <si>
    <t>AI bubble, sim to dotcom bubble when intel sky-rocketed</t>
  </si>
  <si>
    <t>good</t>
  </si>
  <si>
    <t>AI is here to stay and the infrastructure needs will remain</t>
  </si>
  <si>
    <t>Largest Shareholders</t>
  </si>
  <si>
    <t>founder</t>
  </si>
  <si>
    <t>Estimate</t>
  </si>
  <si>
    <t>Press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</si>
</sst>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;@"/>
  </numFmts>
  <fonts count="7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b/>
      <u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2" borderId="0" xfId="0" applyNumberFormat="1" applyFill="1"/>
    <xf numFmtId="3" fontId="1" fillId="0" borderId="1" xfId="0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" fontId="0" fillId="0" borderId="4" xfId="0" applyNumberFormat="1" applyBorder="1"/>
    <xf numFmtId="0" fontId="1" fillId="0" borderId="0" xfId="0" applyFont="1"/>
    <xf numFmtId="3" fontId="5" fillId="0" borderId="0" xfId="1" applyNumberFormat="1"/>
    <xf numFmtId="8" fontId="0" fillId="0" borderId="0" xfId="0" applyNumberFormat="1"/>
    <xf numFmtId="3" fontId="6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502479</xdr:colOff>
      <xdr:row>0</xdr:row>
      <xdr:rowOff>22087</xdr:rowOff>
    </xdr:from>
    <xdr:to>
      <xdr:col>18</xdr:col>
      <xdr:colOff>5522</xdr:colOff>
      <xdr:row>72</xdr:row>
      <xdr:rowOff>49695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7FDFE59-499A-741E-9DEB-A5ED713052D6}"/>
            </a:ext>
          </a:extLst>
        </xdr:cNvPr>
        <xdr:cNvCxnSpPr/>
      </xdr:nvCxnSpPr>
      <xdr:spPr>
        <a:xfrm flipH="1">
          <a:off x="8641522" y="22087"/>
          <a:ext cx="11043" cy="101323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493059</xdr:colOff>
      <xdr:row>0</xdr:row>
      <xdr:rowOff>0</xdr:rowOff>
    </xdr:from>
    <xdr:to>
      <xdr:col>27</xdr:col>
      <xdr:colOff>504102</xdr:colOff>
      <xdr:row>72</xdr:row>
      <xdr:rowOff>27608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744F4EB-84E9-DF4D-8AB8-8D2B8A7738E0}"/>
            </a:ext>
          </a:extLst>
        </xdr:cNvPr>
        <xdr:cNvCxnSpPr/>
      </xdr:nvCxnSpPr>
      <xdr:spPr>
        <a:xfrm flipH="1">
          <a:off x="14037235" y="0"/>
          <a:ext cx="11043" cy="10053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6BA2114F-119C-8D49-88D7-DC1E409F926D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3" dT="2024-03-17T17:30:15.39" personId="{6BA2114F-119C-8D49-88D7-DC1E409F926D}" id="{3EFDD74E-F096-D643-913B-73F9A609CCB1}">
    <text>Higher shipments of Hopper GPU computing platform for training and inference of LLMs, reach engines, and gen AI apps.  Networking up 133% on shipments of InfiniBand</text>
  </threadedComment>
  <threadedComment ref="S15" dT="2024-03-17T17:42:45.81" personId="{6BA2114F-119C-8D49-88D7-DC1E409F926D}" id="{6DF40F84-FA55-0948-B8DF-87E66B6DEF25}">
    <text>GUIDE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sources.nvidia.com/en-us-tensor-co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9843-BDE5-5E44-98C3-1A0D7B368C6B}">
  <dimension ref="A1:L35"/>
  <sheetViews>
    <sheetView tabSelected="1" zoomScale="170" zoomScaleNormal="170" workbookViewId="0">
      <selection activeCell="I11" sqref="I11"/>
    </sheetView>
  </sheetViews>
  <sheetFormatPr baseColWidth="10" defaultRowHeight="13"/>
  <cols>
    <col min="1" max="1" width="12" style="1" bestFit="1" customWidth="1"/>
    <col min="2" max="2" width="7.6640625" style="1" bestFit="1" customWidth="1"/>
    <col min="3" max="3" width="6.1640625" style="1" bestFit="1" customWidth="1"/>
    <col min="4" max="8" width="5.1640625" style="1" bestFit="1" customWidth="1"/>
    <col min="9" max="9" width="10.83203125" style="1"/>
    <col min="10" max="10" width="6.6640625" style="1" bestFit="1" customWidth="1"/>
    <col min="11" max="11" width="9.1640625" style="1" bestFit="1" customWidth="1"/>
    <col min="12" max="12" width="5.5" style="1" bestFit="1" customWidth="1"/>
    <col min="13" max="16384" width="10.83203125" style="1"/>
  </cols>
  <sheetData>
    <row r="1" spans="1:12">
      <c r="A1" s="1" t="s">
        <v>5</v>
      </c>
    </row>
    <row r="2" spans="1:12">
      <c r="B2" s="1" t="s">
        <v>90</v>
      </c>
      <c r="C2" s="2">
        <v>1993</v>
      </c>
    </row>
    <row r="3" spans="1:12">
      <c r="B3" s="1" t="s">
        <v>40</v>
      </c>
      <c r="C3" s="1" t="s">
        <v>89</v>
      </c>
      <c r="J3" s="1" t="s">
        <v>4</v>
      </c>
      <c r="K3" s="1">
        <v>953.86</v>
      </c>
    </row>
    <row r="4" spans="1:12">
      <c r="B4" s="1" t="s">
        <v>41</v>
      </c>
      <c r="C4" s="1" t="s">
        <v>88</v>
      </c>
      <c r="J4" s="1" t="s">
        <v>7</v>
      </c>
      <c r="K4" s="1">
        <f>2.5*1000</f>
        <v>2500</v>
      </c>
      <c r="L4" s="1" t="s">
        <v>6</v>
      </c>
    </row>
    <row r="5" spans="1:12">
      <c r="B5" s="1" t="s">
        <v>42</v>
      </c>
      <c r="C5" s="1" t="s">
        <v>87</v>
      </c>
      <c r="J5" s="1" t="s">
        <v>0</v>
      </c>
      <c r="K5" s="1">
        <f>+K3*K4</f>
        <v>2384650</v>
      </c>
    </row>
    <row r="6" spans="1:12">
      <c r="J6" s="1" t="s">
        <v>1</v>
      </c>
      <c r="K6" s="1">
        <f>7280+18704</f>
        <v>25984</v>
      </c>
      <c r="L6" s="1" t="str">
        <f>+L4</f>
        <v>Q424</v>
      </c>
    </row>
    <row r="7" spans="1:12">
      <c r="J7" s="1" t="s">
        <v>2</v>
      </c>
      <c r="K7" s="1">
        <f>1250+8459</f>
        <v>9709</v>
      </c>
      <c r="L7" s="1" t="str">
        <f>+L6</f>
        <v>Q424</v>
      </c>
    </row>
    <row r="8" spans="1:12">
      <c r="J8" s="1" t="s">
        <v>3</v>
      </c>
      <c r="K8" s="1">
        <f>+K5-K6+K7</f>
        <v>2368375</v>
      </c>
    </row>
    <row r="12" spans="1:12">
      <c r="B12" s="9" t="s">
        <v>51</v>
      </c>
      <c r="C12" s="10"/>
      <c r="D12" s="10"/>
      <c r="E12" s="10"/>
      <c r="F12" s="10"/>
      <c r="G12" s="10"/>
      <c r="H12" s="11"/>
    </row>
    <row r="13" spans="1:12">
      <c r="B13" s="17"/>
      <c r="C13" s="2">
        <v>2019</v>
      </c>
      <c r="D13" s="2">
        <f t="shared" ref="D13:H13" si="0">+C13+1</f>
        <v>2020</v>
      </c>
      <c r="E13" s="2">
        <f t="shared" si="0"/>
        <v>2021</v>
      </c>
      <c r="F13" s="2">
        <f t="shared" si="0"/>
        <v>2022</v>
      </c>
      <c r="G13" s="2">
        <f t="shared" si="0"/>
        <v>2023</v>
      </c>
      <c r="H13" s="2">
        <f t="shared" si="0"/>
        <v>2024</v>
      </c>
    </row>
    <row r="14" spans="1:12">
      <c r="B14" s="12" t="s">
        <v>52</v>
      </c>
      <c r="H14" s="13" t="s">
        <v>53</v>
      </c>
    </row>
    <row r="15" spans="1:12">
      <c r="B15" s="12" t="s">
        <v>95</v>
      </c>
      <c r="H15" s="13" t="s">
        <v>96</v>
      </c>
    </row>
    <row r="16" spans="1:12">
      <c r="B16" s="12" t="s">
        <v>97</v>
      </c>
      <c r="H16" s="13" t="s">
        <v>98</v>
      </c>
    </row>
    <row r="17" spans="2:11">
      <c r="B17" s="12"/>
      <c r="H17" s="13"/>
    </row>
    <row r="18" spans="2:11">
      <c r="B18" s="12"/>
      <c r="H18" s="13"/>
    </row>
    <row r="19" spans="2:11">
      <c r="B19" s="12"/>
      <c r="H19" s="13"/>
    </row>
    <row r="20" spans="2:11">
      <c r="B20" s="12"/>
      <c r="H20" s="13"/>
    </row>
    <row r="21" spans="2:11">
      <c r="B21" s="12"/>
      <c r="H21" s="13"/>
      <c r="K21" s="21" t="s">
        <v>102</v>
      </c>
    </row>
    <row r="22" spans="2:11">
      <c r="B22" s="12"/>
      <c r="H22" s="13"/>
      <c r="K22" s="1" t="s">
        <v>55</v>
      </c>
    </row>
    <row r="23" spans="2:11">
      <c r="B23" s="12"/>
      <c r="H23" s="13"/>
    </row>
    <row r="24" spans="2:11">
      <c r="B24" s="12"/>
      <c r="H24" s="13"/>
    </row>
    <row r="25" spans="2:11">
      <c r="B25" s="12"/>
      <c r="H25" s="13"/>
    </row>
    <row r="26" spans="2:11">
      <c r="B26" s="14"/>
      <c r="C26" s="15"/>
      <c r="D26" s="15"/>
      <c r="E26" s="15"/>
      <c r="F26" s="15"/>
      <c r="G26" s="15"/>
      <c r="H26" s="16"/>
    </row>
    <row r="28" spans="2:11">
      <c r="B28" s="19" t="s">
        <v>59</v>
      </c>
    </row>
    <row r="34" spans="2:2">
      <c r="B34" s="24" t="s">
        <v>99</v>
      </c>
    </row>
    <row r="35" spans="2:2">
      <c r="B35" s="1" t="s">
        <v>100</v>
      </c>
    </row>
  </sheetData>
  <hyperlinks>
    <hyperlink ref="B28" r:id="rId1" xr:uid="{CA8870DA-CAEC-5A48-92F2-11FC797B3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046E-F266-6848-AB04-142D610E732A}">
  <dimension ref="B2:FF74"/>
  <sheetViews>
    <sheetView zoomScale="164" zoomScaleNormal="120" workbookViewId="0">
      <pane xSplit="2" ySplit="4" topLeftCell="W5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baseColWidth="10" defaultRowHeight="13"/>
  <cols>
    <col min="1" max="1" width="2.33203125" style="1" customWidth="1"/>
    <col min="2" max="2" width="21" style="1" bestFit="1" customWidth="1"/>
    <col min="3" max="6" width="5.5" style="1" bestFit="1" customWidth="1"/>
    <col min="7" max="15" width="5.6640625" style="1" bestFit="1" customWidth="1"/>
    <col min="16" max="18" width="6.6640625" style="1" bestFit="1" customWidth="1"/>
    <col min="19" max="22" width="6.6640625" style="1" customWidth="1"/>
    <col min="23" max="23" width="10.83203125" style="1"/>
    <col min="24" max="28" width="6.6640625" style="1" bestFit="1" customWidth="1"/>
    <col min="29" max="35" width="7.6640625" style="1" bestFit="1" customWidth="1"/>
    <col min="36" max="38" width="9.1640625" style="1" bestFit="1" customWidth="1"/>
    <col min="39" max="42" width="7.6640625" style="1" bestFit="1" customWidth="1"/>
    <col min="43" max="43" width="8.33203125" style="1" bestFit="1" customWidth="1"/>
    <col min="44" max="44" width="13.1640625" style="1" bestFit="1" customWidth="1"/>
    <col min="45" max="96" width="7.6640625" style="1" bestFit="1" customWidth="1"/>
    <col min="97" max="162" width="9.1640625" style="1" bestFit="1" customWidth="1"/>
    <col min="163" max="16384" width="10.83203125" style="1"/>
  </cols>
  <sheetData>
    <row r="2" spans="2:42" s="6" customFormat="1">
      <c r="C2" s="6" t="str">
        <f>IF(C3="","",RIGHT(YEAR(C3),2))</f>
        <v/>
      </c>
      <c r="D2" s="6" t="str">
        <f t="shared" ref="D2:AB2" si="0">IF(D3="","",RIGHT(YEAR(D3),2))</f>
        <v/>
      </c>
      <c r="E2" s="6" t="str">
        <f t="shared" si="0"/>
        <v/>
      </c>
      <c r="F2" s="6" t="str">
        <f t="shared" si="0"/>
        <v/>
      </c>
      <c r="G2" s="6" t="str">
        <f t="shared" si="0"/>
        <v>21</v>
      </c>
      <c r="H2" s="6" t="str">
        <f t="shared" si="0"/>
        <v>21</v>
      </c>
      <c r="I2" s="6" t="str">
        <f t="shared" si="0"/>
        <v>21</v>
      </c>
      <c r="J2" s="6" t="str">
        <f t="shared" si="0"/>
        <v>22</v>
      </c>
      <c r="K2" s="6" t="str">
        <f t="shared" si="0"/>
        <v>22</v>
      </c>
      <c r="L2" s="6" t="str">
        <f t="shared" si="0"/>
        <v>22</v>
      </c>
      <c r="M2" s="6" t="str">
        <f t="shared" si="0"/>
        <v>22</v>
      </c>
      <c r="N2" s="6" t="str">
        <f t="shared" si="0"/>
        <v>23</v>
      </c>
      <c r="O2" s="6" t="str">
        <f t="shared" si="0"/>
        <v>23</v>
      </c>
      <c r="P2" s="6" t="str">
        <f t="shared" si="0"/>
        <v>23</v>
      </c>
      <c r="Q2" s="6" t="str">
        <f t="shared" si="0"/>
        <v>23</v>
      </c>
      <c r="R2" s="6" t="str">
        <f t="shared" si="0"/>
        <v>24</v>
      </c>
      <c r="X2" s="6" t="str">
        <f t="shared" si="0"/>
        <v/>
      </c>
      <c r="Y2" s="6" t="str">
        <f t="shared" si="0"/>
        <v>21</v>
      </c>
      <c r="Z2" s="6" t="str">
        <f t="shared" si="0"/>
        <v>22</v>
      </c>
      <c r="AA2" s="6" t="str">
        <f t="shared" si="0"/>
        <v>23</v>
      </c>
      <c r="AB2" s="6" t="str">
        <f t="shared" si="0"/>
        <v>24</v>
      </c>
    </row>
    <row r="3" spans="2:42" s="7" customFormat="1">
      <c r="G3" s="7">
        <v>44318</v>
      </c>
      <c r="H3" s="7">
        <v>44409</v>
      </c>
      <c r="I3" s="7">
        <v>44500</v>
      </c>
      <c r="J3" s="7">
        <f>+Z3</f>
        <v>44591</v>
      </c>
      <c r="K3" s="7">
        <v>44682</v>
      </c>
      <c r="L3" s="7">
        <v>44773</v>
      </c>
      <c r="M3" s="7">
        <v>44864</v>
      </c>
      <c r="N3" s="7">
        <f>+AA3</f>
        <v>44955</v>
      </c>
      <c r="O3" s="7">
        <v>45046</v>
      </c>
      <c r="P3" s="7">
        <v>45137</v>
      </c>
      <c r="Q3" s="7">
        <v>45228</v>
      </c>
      <c r="R3" s="7">
        <f>+AB3</f>
        <v>45319</v>
      </c>
      <c r="Y3" s="7">
        <v>44227</v>
      </c>
      <c r="Z3" s="7">
        <v>44591</v>
      </c>
      <c r="AA3" s="7">
        <v>44955</v>
      </c>
      <c r="AB3" s="7">
        <v>45319</v>
      </c>
    </row>
    <row r="4" spans="2:42"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17</v>
      </c>
      <c r="L4" s="1" t="s">
        <v>18</v>
      </c>
      <c r="M4" s="1" t="s">
        <v>19</v>
      </c>
      <c r="N4" s="1" t="s">
        <v>37</v>
      </c>
      <c r="O4" s="1" t="s">
        <v>16</v>
      </c>
      <c r="P4" s="1" t="s">
        <v>38</v>
      </c>
      <c r="Q4" s="1" t="s">
        <v>39</v>
      </c>
      <c r="R4" s="1" t="s">
        <v>6</v>
      </c>
      <c r="S4" s="1" t="s">
        <v>55</v>
      </c>
      <c r="T4" s="1" t="s">
        <v>56</v>
      </c>
      <c r="U4" s="1" t="s">
        <v>58</v>
      </c>
      <c r="V4" s="1" t="s">
        <v>57</v>
      </c>
      <c r="X4" s="2">
        <v>2020</v>
      </c>
      <c r="Y4" s="2">
        <v>2021</v>
      </c>
      <c r="Z4" s="2">
        <v>2022</v>
      </c>
      <c r="AA4" s="2">
        <f>+Z4+1</f>
        <v>2023</v>
      </c>
      <c r="AB4" s="2">
        <f t="shared" ref="AB4:AL4" si="1">+AA4+1</f>
        <v>2024</v>
      </c>
      <c r="AC4" s="2">
        <f t="shared" si="1"/>
        <v>2025</v>
      </c>
      <c r="AD4" s="2">
        <f t="shared" si="1"/>
        <v>2026</v>
      </c>
      <c r="AE4" s="2">
        <f t="shared" si="1"/>
        <v>2027</v>
      </c>
      <c r="AF4" s="2">
        <f t="shared" si="1"/>
        <v>2028</v>
      </c>
      <c r="AG4" s="2">
        <f t="shared" si="1"/>
        <v>2029</v>
      </c>
      <c r="AH4" s="2">
        <f t="shared" si="1"/>
        <v>2030</v>
      </c>
      <c r="AI4" s="2">
        <f t="shared" si="1"/>
        <v>2031</v>
      </c>
      <c r="AJ4" s="2">
        <f t="shared" si="1"/>
        <v>2032</v>
      </c>
      <c r="AK4" s="2">
        <f t="shared" si="1"/>
        <v>2033</v>
      </c>
      <c r="AL4" s="2">
        <f t="shared" si="1"/>
        <v>2034</v>
      </c>
      <c r="AM4" s="2"/>
      <c r="AN4" s="2"/>
      <c r="AO4" s="2"/>
      <c r="AP4" s="2"/>
    </row>
    <row r="5" spans="2:42">
      <c r="B5" s="1" t="s">
        <v>43</v>
      </c>
      <c r="N5" s="1">
        <v>3616</v>
      </c>
      <c r="O5" s="1">
        <v>4284</v>
      </c>
      <c r="P5" s="1">
        <v>10323</v>
      </c>
      <c r="Q5" s="1">
        <v>14514</v>
      </c>
      <c r="R5" s="1">
        <v>18404</v>
      </c>
      <c r="AB5" s="1">
        <f>47.5*1000</f>
        <v>47500</v>
      </c>
    </row>
    <row r="6" spans="2:42">
      <c r="B6" s="1" t="s">
        <v>48</v>
      </c>
      <c r="N6" s="1">
        <v>1831</v>
      </c>
      <c r="O6" s="1">
        <v>2240</v>
      </c>
      <c r="P6" s="1">
        <v>2486</v>
      </c>
      <c r="Q6" s="1">
        <v>2856</v>
      </c>
      <c r="R6" s="1">
        <v>2865</v>
      </c>
      <c r="AB6" s="1">
        <f>10.4*1000</f>
        <v>10400</v>
      </c>
    </row>
    <row r="7" spans="2:42">
      <c r="B7" s="1" t="s">
        <v>49</v>
      </c>
      <c r="N7" s="1">
        <v>226</v>
      </c>
      <c r="O7" s="1">
        <v>295</v>
      </c>
      <c r="P7" s="1">
        <v>379</v>
      </c>
      <c r="Q7" s="1">
        <v>416</v>
      </c>
      <c r="R7" s="1">
        <v>463</v>
      </c>
      <c r="AB7" s="1">
        <f>1.6*1000</f>
        <v>1600</v>
      </c>
    </row>
    <row r="8" spans="2:42">
      <c r="B8" s="1" t="s">
        <v>50</v>
      </c>
      <c r="N8" s="1">
        <v>294</v>
      </c>
      <c r="O8" s="1">
        <v>296</v>
      </c>
      <c r="P8" s="1">
        <v>253</v>
      </c>
      <c r="Q8" s="1">
        <v>261</v>
      </c>
      <c r="R8" s="1">
        <v>281</v>
      </c>
      <c r="AB8" s="1">
        <f>1.1*1000</f>
        <v>1100</v>
      </c>
    </row>
    <row r="9" spans="2:42">
      <c r="B9" s="1" t="s">
        <v>54</v>
      </c>
      <c r="N9" s="1">
        <v>84</v>
      </c>
      <c r="O9" s="1">
        <v>77</v>
      </c>
      <c r="P9" s="1">
        <v>66</v>
      </c>
      <c r="Q9" s="1">
        <v>73</v>
      </c>
      <c r="R9" s="1">
        <v>90</v>
      </c>
    </row>
    <row r="13" spans="2:42">
      <c r="B13" s="1" t="s">
        <v>35</v>
      </c>
      <c r="G13" s="1">
        <v>3451</v>
      </c>
      <c r="H13" s="1">
        <v>3907</v>
      </c>
      <c r="I13" s="1">
        <v>3011</v>
      </c>
      <c r="J13" s="1">
        <f>+Z13-SUM(G13:I13)</f>
        <v>677</v>
      </c>
      <c r="K13" s="1">
        <v>3672</v>
      </c>
      <c r="L13" s="1">
        <v>3907</v>
      </c>
      <c r="M13" s="1">
        <v>3816</v>
      </c>
      <c r="N13" s="1">
        <f>+AA13-SUM(K13:M13)</f>
        <v>3673</v>
      </c>
      <c r="O13" s="1">
        <v>4460</v>
      </c>
      <c r="P13" s="1">
        <v>10402</v>
      </c>
      <c r="Q13" s="1">
        <v>14645</v>
      </c>
      <c r="R13" s="1">
        <f>+AB13-SUM(O13:Q13)</f>
        <v>17898</v>
      </c>
      <c r="S13" s="1">
        <f>+S$15*(R13/R$15)</f>
        <v>19434.103967787178</v>
      </c>
      <c r="T13" s="1">
        <f t="shared" ref="T13:V13" si="2">+T$15*(S13/S$15)</f>
        <v>21377.514364565901</v>
      </c>
      <c r="U13" s="1">
        <f t="shared" si="2"/>
        <v>23515.265801022491</v>
      </c>
      <c r="V13" s="1">
        <f t="shared" si="2"/>
        <v>25866.792381124742</v>
      </c>
      <c r="Y13" s="1">
        <v>9834</v>
      </c>
      <c r="Z13" s="1">
        <v>11046</v>
      </c>
      <c r="AA13" s="1">
        <v>15068</v>
      </c>
      <c r="AB13" s="1">
        <v>47405</v>
      </c>
      <c r="AC13" s="1">
        <f>SUM(S13:V13)</f>
        <v>90193.676514500316</v>
      </c>
    </row>
    <row r="14" spans="2:42">
      <c r="B14" s="1" t="s">
        <v>36</v>
      </c>
      <c r="G14" s="1">
        <v>2210</v>
      </c>
      <c r="H14" s="1">
        <v>2600</v>
      </c>
      <c r="I14" s="1">
        <v>4092</v>
      </c>
      <c r="J14" s="1">
        <f>+Z14-SUM(G14:I14)</f>
        <v>6966</v>
      </c>
      <c r="K14" s="1">
        <v>4616</v>
      </c>
      <c r="L14" s="1">
        <v>2797</v>
      </c>
      <c r="M14" s="1">
        <v>2115</v>
      </c>
      <c r="N14" s="1">
        <f>+AA14-SUM(K14:M14)</f>
        <v>2378</v>
      </c>
      <c r="O14" s="1">
        <v>2732</v>
      </c>
      <c r="P14" s="1">
        <v>3105</v>
      </c>
      <c r="Q14" s="1">
        <v>3475</v>
      </c>
      <c r="R14" s="1">
        <f>+AB14-SUM(O14:Q14)</f>
        <v>4205</v>
      </c>
      <c r="S14" s="1">
        <f>+S$15*(R14/R$15)</f>
        <v>4565.8960322128223</v>
      </c>
      <c r="T14" s="1">
        <f t="shared" ref="T14:V14" si="3">+T$15*(S14/S$15)</f>
        <v>5022.4856354341055</v>
      </c>
      <c r="U14" s="1">
        <f t="shared" si="3"/>
        <v>5524.7341989775168</v>
      </c>
      <c r="V14" s="1">
        <f t="shared" si="3"/>
        <v>6077.207618875269</v>
      </c>
      <c r="Y14" s="1">
        <v>6841</v>
      </c>
      <c r="Z14" s="1">
        <v>15868</v>
      </c>
      <c r="AA14" s="1">
        <v>11906</v>
      </c>
      <c r="AB14" s="1">
        <v>13517</v>
      </c>
      <c r="AC14" s="1">
        <f t="shared" ref="AC14:AC28" si="4">SUM(S14:V14)</f>
        <v>21190.323485499714</v>
      </c>
    </row>
    <row r="15" spans="2:42" s="4" customFormat="1">
      <c r="B15" s="4" t="s">
        <v>20</v>
      </c>
      <c r="G15" s="4">
        <f t="shared" ref="G15:R15" si="5">+SUM(G13:G14)</f>
        <v>5661</v>
      </c>
      <c r="H15" s="4">
        <f t="shared" si="5"/>
        <v>6507</v>
      </c>
      <c r="I15" s="4">
        <f t="shared" si="5"/>
        <v>7103</v>
      </c>
      <c r="J15" s="4">
        <f t="shared" si="5"/>
        <v>7643</v>
      </c>
      <c r="K15" s="4">
        <f t="shared" si="5"/>
        <v>8288</v>
      </c>
      <c r="L15" s="4">
        <f t="shared" si="5"/>
        <v>6704</v>
      </c>
      <c r="M15" s="4">
        <f t="shared" si="5"/>
        <v>5931</v>
      </c>
      <c r="N15" s="4">
        <f t="shared" si="5"/>
        <v>6051</v>
      </c>
      <c r="O15" s="4">
        <f t="shared" si="5"/>
        <v>7192</v>
      </c>
      <c r="P15" s="4">
        <f t="shared" si="5"/>
        <v>13507</v>
      </c>
      <c r="Q15" s="4">
        <f t="shared" si="5"/>
        <v>18120</v>
      </c>
      <c r="R15" s="4">
        <f t="shared" si="5"/>
        <v>22103</v>
      </c>
      <c r="S15" s="4">
        <f>AVERAGE(24000*0.98,24000*1.02)</f>
        <v>24000</v>
      </c>
      <c r="T15" s="4">
        <f>+S15*1.1</f>
        <v>26400.000000000004</v>
      </c>
      <c r="U15" s="4">
        <f t="shared" ref="U15:V15" si="6">+T15*1.1</f>
        <v>29040.000000000007</v>
      </c>
      <c r="V15" s="4">
        <f t="shared" si="6"/>
        <v>31944.000000000011</v>
      </c>
      <c r="X15" s="4">
        <v>10918</v>
      </c>
      <c r="Y15" s="4">
        <f>+SUM(Y13:Y14)</f>
        <v>16675</v>
      </c>
      <c r="Z15" s="4">
        <f>+SUM(Z13:Z14)</f>
        <v>26914</v>
      </c>
      <c r="AA15" s="4">
        <f>+SUM(AA13:AA14)</f>
        <v>26974</v>
      </c>
      <c r="AB15" s="4">
        <f>+SUM(AB13:AB14)</f>
        <v>60922</v>
      </c>
      <c r="AC15" s="4">
        <f t="shared" si="4"/>
        <v>111384.00000000001</v>
      </c>
      <c r="AD15" s="4">
        <f>+AC15*1.4</f>
        <v>155937.60000000001</v>
      </c>
      <c r="AE15" s="4">
        <f>+AD15*1.3</f>
        <v>202718.88</v>
      </c>
      <c r="AF15" s="4">
        <f>+AE15*1.2</f>
        <v>243262.65599999999</v>
      </c>
      <c r="AG15" s="4">
        <f>+AF15*1.2</f>
        <v>291915.18719999999</v>
      </c>
      <c r="AH15" s="4">
        <f>+AG15*1.15</f>
        <v>335702.46527999995</v>
      </c>
      <c r="AI15" s="4">
        <f>+AH15*1.1</f>
        <v>369272.71180799999</v>
      </c>
      <c r="AJ15" s="4">
        <f t="shared" ref="AJ15:AL15" si="7">+AI15*1.1</f>
        <v>406199.98298880004</v>
      </c>
      <c r="AK15" s="4">
        <f t="shared" si="7"/>
        <v>446819.9812876801</v>
      </c>
      <c r="AL15" s="4">
        <f t="shared" si="7"/>
        <v>491501.97941644816</v>
      </c>
    </row>
    <row r="16" spans="2:42">
      <c r="B16" s="1" t="s">
        <v>21</v>
      </c>
      <c r="G16" s="1">
        <v>2032</v>
      </c>
      <c r="H16" s="1">
        <v>2292</v>
      </c>
      <c r="I16" s="1">
        <v>2472</v>
      </c>
      <c r="J16" s="1">
        <f>+Z16-SUM(G16:I16)</f>
        <v>2643</v>
      </c>
      <c r="K16" s="1">
        <v>2857</v>
      </c>
      <c r="L16" s="1">
        <v>3789</v>
      </c>
      <c r="M16" s="1">
        <v>2754</v>
      </c>
      <c r="N16" s="1">
        <f>+AA16-SUM(K16:M16)</f>
        <v>2218</v>
      </c>
      <c r="O16" s="1">
        <v>2544</v>
      </c>
      <c r="P16" s="1">
        <v>4045</v>
      </c>
      <c r="Q16" s="1">
        <v>4720</v>
      </c>
      <c r="R16" s="1">
        <f>+AB16-SUM(O16:Q16)</f>
        <v>5312</v>
      </c>
      <c r="S16" s="1">
        <f>+S$15*(O16/O$15)</f>
        <v>8489.4327030033382</v>
      </c>
      <c r="T16" s="1">
        <f t="shared" ref="T16:V16" si="8">+T$15*(P16/P$15)</f>
        <v>7906.1227511660627</v>
      </c>
      <c r="U16" s="1">
        <f t="shared" si="8"/>
        <v>7564.5033112582796</v>
      </c>
      <c r="V16" s="1">
        <f t="shared" si="8"/>
        <v>7677.0813011808377</v>
      </c>
      <c r="X16" s="1">
        <v>4150</v>
      </c>
      <c r="Y16" s="1">
        <v>6279</v>
      </c>
      <c r="Z16" s="1">
        <v>9439</v>
      </c>
      <c r="AA16" s="1">
        <v>11618</v>
      </c>
      <c r="AB16" s="1">
        <v>16621</v>
      </c>
      <c r="AC16" s="1">
        <f t="shared" si="4"/>
        <v>31637.140066608517</v>
      </c>
      <c r="AD16" s="1">
        <f>+AD$15*(AC16/AC$15)</f>
        <v>44291.996093251917</v>
      </c>
      <c r="AE16" s="1">
        <f t="shared" ref="AE16:AL16" si="9">+AE$15*(AD16/AD$15)</f>
        <v>57579.594921227494</v>
      </c>
      <c r="AF16" s="1">
        <f t="shared" si="9"/>
        <v>69095.513905472981</v>
      </c>
      <c r="AG16" s="1">
        <f t="shared" si="9"/>
        <v>82914.616686567577</v>
      </c>
      <c r="AH16" s="1">
        <f t="shared" si="9"/>
        <v>95351.809189552718</v>
      </c>
      <c r="AI16" s="1">
        <f t="shared" si="9"/>
        <v>104886.99010850799</v>
      </c>
      <c r="AJ16" s="1">
        <f t="shared" si="9"/>
        <v>115375.68911935881</v>
      </c>
      <c r="AK16" s="1">
        <f t="shared" si="9"/>
        <v>126913.25803129471</v>
      </c>
      <c r="AL16" s="1">
        <f t="shared" si="9"/>
        <v>139604.58383442418</v>
      </c>
    </row>
    <row r="17" spans="2:162">
      <c r="B17" s="1" t="s">
        <v>22</v>
      </c>
      <c r="G17" s="1">
        <v>1153</v>
      </c>
      <c r="H17" s="1">
        <v>1245</v>
      </c>
      <c r="I17" s="1">
        <v>1403</v>
      </c>
      <c r="J17" s="1">
        <f>+Z17-SUM(G17:I17)</f>
        <v>1467</v>
      </c>
      <c r="K17" s="1">
        <v>1618</v>
      </c>
      <c r="L17" s="1">
        <v>1824</v>
      </c>
      <c r="M17" s="1">
        <v>1945</v>
      </c>
      <c r="N17" s="1">
        <f>+AA17-SUM(K17:M17)</f>
        <v>1952</v>
      </c>
      <c r="O17" s="1">
        <v>1875</v>
      </c>
      <c r="P17" s="1">
        <v>2040</v>
      </c>
      <c r="Q17" s="1">
        <v>2294</v>
      </c>
      <c r="R17" s="1">
        <f>+AB17-SUM(O17:Q17)</f>
        <v>2466</v>
      </c>
      <c r="S17" s="1">
        <f t="shared" ref="S17:S18" si="10">+S$15*(O17/O$15)</f>
        <v>6256.9521690767524</v>
      </c>
      <c r="T17" s="1">
        <f t="shared" ref="T17:T18" si="11">+T$15*(P17/P$15)</f>
        <v>3987.2658621455548</v>
      </c>
      <c r="U17" s="1">
        <f t="shared" ref="U17:U18" si="12">+U$15*(Q17/Q$15)</f>
        <v>3676.4768211920536</v>
      </c>
      <c r="V17" s="1">
        <f t="shared" ref="V17:V18" si="13">+V$15*(R17/R$15)</f>
        <v>3563.9462516400499</v>
      </c>
      <c r="X17" s="1">
        <v>2829</v>
      </c>
      <c r="Y17" s="1">
        <v>3924</v>
      </c>
      <c r="Z17" s="1">
        <v>5268</v>
      </c>
      <c r="AA17" s="1">
        <v>7339</v>
      </c>
      <c r="AB17" s="1">
        <v>8675</v>
      </c>
      <c r="AC17" s="1">
        <f t="shared" si="4"/>
        <v>17484.641104054408</v>
      </c>
      <c r="AD17" s="1">
        <f>+AD15*0.2</f>
        <v>31187.520000000004</v>
      </c>
      <c r="AE17" s="1">
        <f t="shared" ref="AE17:AL17" si="14">+AE15*0.2</f>
        <v>40543.776000000005</v>
      </c>
      <c r="AF17" s="1">
        <f t="shared" si="14"/>
        <v>48652.531199999998</v>
      </c>
      <c r="AG17" s="1">
        <f t="shared" si="14"/>
        <v>58383.03744</v>
      </c>
      <c r="AH17" s="1">
        <f t="shared" si="14"/>
        <v>67140.493055999992</v>
      </c>
      <c r="AI17" s="1">
        <f t="shared" si="14"/>
        <v>73854.542361600004</v>
      </c>
      <c r="AJ17" s="1">
        <f t="shared" si="14"/>
        <v>81239.996597760008</v>
      </c>
      <c r="AK17" s="1">
        <f t="shared" si="14"/>
        <v>89363.996257536026</v>
      </c>
      <c r="AL17" s="1">
        <f t="shared" si="14"/>
        <v>98300.395883289631</v>
      </c>
    </row>
    <row r="18" spans="2:162">
      <c r="B18" s="1" t="s">
        <v>23</v>
      </c>
      <c r="G18" s="1">
        <v>520</v>
      </c>
      <c r="H18" s="1">
        <v>526</v>
      </c>
      <c r="I18" s="1">
        <v>557</v>
      </c>
      <c r="J18" s="1">
        <f>+Z18-SUM(G18:I18)</f>
        <v>563</v>
      </c>
      <c r="K18" s="1">
        <v>592</v>
      </c>
      <c r="L18" s="1">
        <v>592</v>
      </c>
      <c r="M18" s="1">
        <v>631</v>
      </c>
      <c r="N18" s="1">
        <f>+AA18-SUM(K18:M18)</f>
        <v>625</v>
      </c>
      <c r="O18" s="1">
        <v>633</v>
      </c>
      <c r="P18" s="1">
        <v>622</v>
      </c>
      <c r="Q18" s="1">
        <v>689</v>
      </c>
      <c r="R18" s="1">
        <f>+AB18-SUM(O18:Q18)</f>
        <v>710</v>
      </c>
      <c r="S18" s="1">
        <f t="shared" si="10"/>
        <v>2112.3470522803113</v>
      </c>
      <c r="T18" s="1">
        <f t="shared" si="11"/>
        <v>1215.7251795365369</v>
      </c>
      <c r="U18" s="1">
        <f t="shared" si="12"/>
        <v>1104.2251655629143</v>
      </c>
      <c r="V18" s="1">
        <f t="shared" si="13"/>
        <v>1026.1159118671676</v>
      </c>
      <c r="X18" s="1">
        <v>1093</v>
      </c>
      <c r="Y18" s="1">
        <v>1940</v>
      </c>
      <c r="Z18" s="1">
        <v>2166</v>
      </c>
      <c r="AA18" s="1">
        <v>2440</v>
      </c>
      <c r="AB18" s="1">
        <v>2654</v>
      </c>
      <c r="AC18" s="1">
        <f t="shared" si="4"/>
        <v>5458.4133092469301</v>
      </c>
      <c r="AD18" s="1">
        <f t="shared" ref="AD18" si="15">+AD$15*(AC18/AC$15)</f>
        <v>7641.7786329457022</v>
      </c>
      <c r="AE18" s="1">
        <f t="shared" ref="AE18:AL18" si="16">+AE$15*(AD18/AD$15)</f>
        <v>9934.3122228294123</v>
      </c>
      <c r="AF18" s="1">
        <f t="shared" si="16"/>
        <v>11921.174667395293</v>
      </c>
      <c r="AG18" s="1">
        <f t="shared" si="16"/>
        <v>14305.409600874353</v>
      </c>
      <c r="AH18" s="1">
        <f t="shared" si="16"/>
        <v>16451.221041005505</v>
      </c>
      <c r="AI18" s="1">
        <f t="shared" si="16"/>
        <v>18096.343145106061</v>
      </c>
      <c r="AJ18" s="1">
        <f t="shared" si="16"/>
        <v>19905.977459616672</v>
      </c>
      <c r="AK18" s="1">
        <f t="shared" si="16"/>
        <v>21896.575205578341</v>
      </c>
      <c r="AL18" s="1">
        <f t="shared" si="16"/>
        <v>24086.232726136179</v>
      </c>
    </row>
    <row r="19" spans="2:162">
      <c r="B19" s="1" t="s">
        <v>24</v>
      </c>
      <c r="G19" s="1">
        <v>0</v>
      </c>
      <c r="H19" s="1">
        <v>0</v>
      </c>
      <c r="I19" s="1">
        <v>0</v>
      </c>
      <c r="J19" s="1">
        <f>+Z19-SUM(G19:I19)</f>
        <v>0</v>
      </c>
      <c r="K19" s="1">
        <v>1353</v>
      </c>
      <c r="L19" s="1">
        <v>0</v>
      </c>
      <c r="M19" s="1">
        <v>0</v>
      </c>
      <c r="N19" s="1">
        <f>+AA19-SUM(K19:M19)</f>
        <v>0</v>
      </c>
      <c r="O19" s="1">
        <v>0</v>
      </c>
      <c r="P19" s="1">
        <v>0</v>
      </c>
      <c r="Q19" s="1">
        <v>0</v>
      </c>
      <c r="R19" s="1">
        <f>+AB19-SUM(O19:Q19)</f>
        <v>0</v>
      </c>
      <c r="X19" s="1">
        <v>0</v>
      </c>
      <c r="Y19" s="1">
        <v>0</v>
      </c>
      <c r="Z19" s="1">
        <v>0</v>
      </c>
      <c r="AA19" s="1">
        <v>1353</v>
      </c>
      <c r="AB19" s="1">
        <v>0</v>
      </c>
      <c r="AC19" s="1">
        <f t="shared" si="4"/>
        <v>0</v>
      </c>
    </row>
    <row r="20" spans="2:162">
      <c r="B20" s="1" t="s">
        <v>25</v>
      </c>
      <c r="G20" s="1">
        <f t="shared" ref="G20:R20" si="17">+G15-SUM(G16:G19)</f>
        <v>1956</v>
      </c>
      <c r="H20" s="1">
        <f t="shared" si="17"/>
        <v>2444</v>
      </c>
      <c r="I20" s="1">
        <f t="shared" si="17"/>
        <v>2671</v>
      </c>
      <c r="J20" s="1">
        <f t="shared" si="17"/>
        <v>2970</v>
      </c>
      <c r="K20" s="1">
        <f t="shared" si="17"/>
        <v>1868</v>
      </c>
      <c r="L20" s="1">
        <f t="shared" si="17"/>
        <v>499</v>
      </c>
      <c r="M20" s="1">
        <f t="shared" si="17"/>
        <v>601</v>
      </c>
      <c r="N20" s="1">
        <f t="shared" si="17"/>
        <v>1256</v>
      </c>
      <c r="O20" s="1">
        <f t="shared" si="17"/>
        <v>2140</v>
      </c>
      <c r="P20" s="1">
        <f t="shared" si="17"/>
        <v>6800</v>
      </c>
      <c r="Q20" s="1">
        <f t="shared" si="17"/>
        <v>10417</v>
      </c>
      <c r="R20" s="1">
        <f t="shared" si="17"/>
        <v>13615</v>
      </c>
      <c r="S20" s="1">
        <f t="shared" ref="S20:V20" si="18">+S15-SUM(S16:S19)</f>
        <v>7141.2680756395966</v>
      </c>
      <c r="T20" s="1">
        <f t="shared" si="18"/>
        <v>13290.886207151849</v>
      </c>
      <c r="U20" s="1">
        <f t="shared" si="18"/>
        <v>16694.794701986761</v>
      </c>
      <c r="V20" s="1">
        <f t="shared" si="18"/>
        <v>19676.856535311956</v>
      </c>
      <c r="X20" s="1">
        <f>+X15-SUM(X16:X19)</f>
        <v>2846</v>
      </c>
      <c r="Y20" s="1">
        <f>+Y15-SUM(Y16:Y19)</f>
        <v>4532</v>
      </c>
      <c r="Z20" s="1">
        <f>+Z15-SUM(Z16:Z19)</f>
        <v>10041</v>
      </c>
      <c r="AA20" s="1">
        <f>+AA15-SUM(AA16:AA19)</f>
        <v>4224</v>
      </c>
      <c r="AB20" s="1">
        <f>+AB15-SUM(AB16:AB19)</f>
        <v>32972</v>
      </c>
      <c r="AC20" s="1">
        <f t="shared" si="4"/>
        <v>56803.805520090165</v>
      </c>
      <c r="AD20" s="1">
        <f>+AD15-SUM(AD16:AD19)</f>
        <v>72816.305273802383</v>
      </c>
      <c r="AE20" s="1">
        <f t="shared" ref="AE20:AL20" si="19">+AE15-SUM(AE16:AE19)</f>
        <v>94661.196855943097</v>
      </c>
      <c r="AF20" s="1">
        <f t="shared" si="19"/>
        <v>113593.43622713172</v>
      </c>
      <c r="AG20" s="1">
        <f t="shared" si="19"/>
        <v>136312.12347255804</v>
      </c>
      <c r="AH20" s="1">
        <f t="shared" si="19"/>
        <v>156758.94199344172</v>
      </c>
      <c r="AI20" s="1">
        <f t="shared" si="19"/>
        <v>172434.83619278594</v>
      </c>
      <c r="AJ20" s="1">
        <f t="shared" si="19"/>
        <v>189678.31981206455</v>
      </c>
      <c r="AK20" s="1">
        <f t="shared" si="19"/>
        <v>208646.15179327101</v>
      </c>
      <c r="AL20" s="1">
        <f t="shared" si="19"/>
        <v>229510.76697259815</v>
      </c>
    </row>
    <row r="21" spans="2:162">
      <c r="B21" s="1" t="s">
        <v>26</v>
      </c>
      <c r="G21" s="1">
        <v>6</v>
      </c>
      <c r="H21" s="1">
        <v>6</v>
      </c>
      <c r="I21" s="1">
        <v>7</v>
      </c>
      <c r="J21" s="1">
        <f>+Z21-SUM(G21:I21)</f>
        <v>10</v>
      </c>
      <c r="K21" s="1">
        <v>18</v>
      </c>
      <c r="L21" s="1">
        <v>46</v>
      </c>
      <c r="M21" s="1">
        <v>88</v>
      </c>
      <c r="N21" s="1">
        <f>+AA21-SUM(K21:M21)</f>
        <v>115</v>
      </c>
      <c r="O21" s="1">
        <v>150</v>
      </c>
      <c r="P21" s="1">
        <v>187</v>
      </c>
      <c r="Q21" s="1">
        <v>234</v>
      </c>
      <c r="R21" s="1">
        <f>+AB21-SUM(O21:Q21)</f>
        <v>295</v>
      </c>
      <c r="X21" s="1">
        <v>178</v>
      </c>
      <c r="Y21" s="1">
        <v>57</v>
      </c>
      <c r="Z21" s="1">
        <v>29</v>
      </c>
      <c r="AA21" s="1">
        <v>267</v>
      </c>
      <c r="AB21" s="1">
        <v>866</v>
      </c>
      <c r="AC21" s="1">
        <f>+AB50*$AR$30</f>
        <v>488.25</v>
      </c>
      <c r="AD21" s="1">
        <f>+AC50*$AR$30</f>
        <v>498.01499999999999</v>
      </c>
      <c r="AE21" s="1">
        <f>+AD50*$AR$30</f>
        <v>507.97530000000006</v>
      </c>
      <c r="AF21" s="1">
        <f>+AE21</f>
        <v>507.97530000000006</v>
      </c>
      <c r="AG21" s="1">
        <f t="shared" ref="AG21:AL21" si="20">+AF21</f>
        <v>507.97530000000006</v>
      </c>
      <c r="AH21" s="1">
        <f t="shared" si="20"/>
        <v>507.97530000000006</v>
      </c>
      <c r="AI21" s="1">
        <f t="shared" si="20"/>
        <v>507.97530000000006</v>
      </c>
      <c r="AJ21" s="1">
        <f t="shared" si="20"/>
        <v>507.97530000000006</v>
      </c>
      <c r="AK21" s="1">
        <f t="shared" si="20"/>
        <v>507.97530000000006</v>
      </c>
      <c r="AL21" s="1">
        <f t="shared" si="20"/>
        <v>507.97530000000006</v>
      </c>
    </row>
    <row r="22" spans="2:162">
      <c r="B22" s="1" t="s">
        <v>27</v>
      </c>
      <c r="G22" s="1">
        <v>-53</v>
      </c>
      <c r="H22" s="1">
        <v>-60</v>
      </c>
      <c r="I22" s="1">
        <v>-62</v>
      </c>
      <c r="J22" s="1">
        <f>+Z22-SUM(G22:I22)</f>
        <v>-61</v>
      </c>
      <c r="K22" s="1">
        <v>-68</v>
      </c>
      <c r="L22" s="1">
        <v>-65</v>
      </c>
      <c r="M22" s="1">
        <v>-65</v>
      </c>
      <c r="N22" s="1">
        <f>+AA22-SUM(K22:M22)</f>
        <v>-64</v>
      </c>
      <c r="O22" s="1">
        <v>-66</v>
      </c>
      <c r="P22" s="1">
        <v>-65</v>
      </c>
      <c r="Q22" s="1">
        <v>-63</v>
      </c>
      <c r="R22" s="1">
        <f>+AB22-SUM(O22:Q22)</f>
        <v>-63</v>
      </c>
      <c r="X22" s="1">
        <v>-52</v>
      </c>
      <c r="Y22" s="1">
        <v>-184</v>
      </c>
      <c r="Z22" s="1">
        <v>-236</v>
      </c>
      <c r="AA22" s="1">
        <v>-262</v>
      </c>
      <c r="AB22" s="1">
        <v>-257</v>
      </c>
      <c r="AC22" s="1">
        <f>+AB22</f>
        <v>-257</v>
      </c>
      <c r="AD22" s="1">
        <f t="shared" ref="AD22:AL22" si="21">+AC22</f>
        <v>-257</v>
      </c>
      <c r="AE22" s="1">
        <f t="shared" si="21"/>
        <v>-257</v>
      </c>
      <c r="AF22" s="1">
        <f t="shared" si="21"/>
        <v>-257</v>
      </c>
      <c r="AG22" s="1">
        <f t="shared" si="21"/>
        <v>-257</v>
      </c>
      <c r="AH22" s="1">
        <f t="shared" si="21"/>
        <v>-257</v>
      </c>
      <c r="AI22" s="1">
        <f t="shared" si="21"/>
        <v>-257</v>
      </c>
      <c r="AJ22" s="1">
        <f t="shared" si="21"/>
        <v>-257</v>
      </c>
      <c r="AK22" s="1">
        <f t="shared" si="21"/>
        <v>-257</v>
      </c>
      <c r="AL22" s="1">
        <f t="shared" si="21"/>
        <v>-257</v>
      </c>
    </row>
    <row r="23" spans="2:162">
      <c r="B23" s="1" t="s">
        <v>28</v>
      </c>
      <c r="G23" s="1">
        <v>135</v>
      </c>
      <c r="H23" s="1">
        <v>4</v>
      </c>
      <c r="I23" s="1">
        <v>22</v>
      </c>
      <c r="J23" s="1">
        <f>+Z23-SUM(G23:I23)</f>
        <v>-54</v>
      </c>
      <c r="K23" s="1">
        <v>-13</v>
      </c>
      <c r="L23" s="1">
        <v>-5</v>
      </c>
      <c r="M23" s="1">
        <v>-11</v>
      </c>
      <c r="N23" s="1">
        <f>+AA23-SUM(K23:M23)</f>
        <v>-19</v>
      </c>
      <c r="O23" s="1">
        <v>-15</v>
      </c>
      <c r="P23" s="1">
        <v>59</v>
      </c>
      <c r="Q23" s="1">
        <v>-66</v>
      </c>
      <c r="R23" s="1">
        <f>+AB23-SUM(O23:Q23)</f>
        <v>259</v>
      </c>
      <c r="X23" s="1">
        <v>-2</v>
      </c>
      <c r="Y23" s="1">
        <v>4</v>
      </c>
      <c r="Z23" s="1">
        <v>107</v>
      </c>
      <c r="AA23" s="1">
        <v>-48</v>
      </c>
      <c r="AB23" s="1">
        <v>237</v>
      </c>
      <c r="AC23" s="1">
        <v>0</v>
      </c>
    </row>
    <row r="24" spans="2:162">
      <c r="B24" s="1" t="s">
        <v>29</v>
      </c>
      <c r="G24" s="1">
        <f t="shared" ref="G24:S24" si="22">+SUM(G20:G23)</f>
        <v>2044</v>
      </c>
      <c r="H24" s="1">
        <f t="shared" si="22"/>
        <v>2394</v>
      </c>
      <c r="I24" s="1">
        <f t="shared" si="22"/>
        <v>2638</v>
      </c>
      <c r="J24" s="1">
        <f t="shared" si="22"/>
        <v>2865</v>
      </c>
      <c r="K24" s="1">
        <f t="shared" si="22"/>
        <v>1805</v>
      </c>
      <c r="L24" s="1">
        <f t="shared" si="22"/>
        <v>475</v>
      </c>
      <c r="M24" s="1">
        <f t="shared" si="22"/>
        <v>613</v>
      </c>
      <c r="N24" s="1">
        <f t="shared" si="22"/>
        <v>1288</v>
      </c>
      <c r="O24" s="1">
        <f t="shared" si="22"/>
        <v>2209</v>
      </c>
      <c r="P24" s="1">
        <f t="shared" si="22"/>
        <v>6981</v>
      </c>
      <c r="Q24" s="1">
        <f t="shared" si="22"/>
        <v>10522</v>
      </c>
      <c r="R24" s="1">
        <f t="shared" si="22"/>
        <v>14106</v>
      </c>
      <c r="S24" s="1">
        <f t="shared" si="22"/>
        <v>7141.2680756395966</v>
      </c>
      <c r="T24" s="1">
        <f t="shared" ref="T24:V24" si="23">+SUM(T20:T23)</f>
        <v>13290.886207151849</v>
      </c>
      <c r="U24" s="1">
        <f t="shared" si="23"/>
        <v>16694.794701986761</v>
      </c>
      <c r="V24" s="1">
        <f t="shared" si="23"/>
        <v>19676.856535311956</v>
      </c>
      <c r="X24" s="1">
        <f>+SUM(X20:X23)</f>
        <v>2970</v>
      </c>
      <c r="Y24" s="1">
        <f>+SUM(Y20:Y23)</f>
        <v>4409</v>
      </c>
      <c r="Z24" s="1">
        <f>+SUM(Z20:Z23)</f>
        <v>9941</v>
      </c>
      <c r="AA24" s="1">
        <f>+SUM(AA20:AA23)</f>
        <v>4181</v>
      </c>
      <c r="AB24" s="1">
        <f>+SUM(AB20:AB23)</f>
        <v>33818</v>
      </c>
      <c r="AC24" s="1">
        <f t="shared" si="4"/>
        <v>56803.805520090165</v>
      </c>
      <c r="AD24" s="1">
        <f>+SUM(AD20:AD23)</f>
        <v>73057.320273802383</v>
      </c>
      <c r="AE24" s="1">
        <f t="shared" ref="AE24:AL24" si="24">+SUM(AE20:AE23)</f>
        <v>94912.172155943103</v>
      </c>
      <c r="AF24" s="1">
        <f t="shared" si="24"/>
        <v>113844.41152713173</v>
      </c>
      <c r="AG24" s="1">
        <f t="shared" si="24"/>
        <v>136563.09877255803</v>
      </c>
      <c r="AH24" s="1">
        <f t="shared" si="24"/>
        <v>157009.91729344171</v>
      </c>
      <c r="AI24" s="1">
        <f t="shared" si="24"/>
        <v>172685.81149278593</v>
      </c>
      <c r="AJ24" s="1">
        <f t="shared" si="24"/>
        <v>189929.29511206454</v>
      </c>
      <c r="AK24" s="1">
        <f t="shared" si="24"/>
        <v>208897.127093271</v>
      </c>
      <c r="AL24" s="1">
        <f t="shared" si="24"/>
        <v>229761.74227259815</v>
      </c>
    </row>
    <row r="25" spans="2:162">
      <c r="B25" s="1" t="s">
        <v>30</v>
      </c>
      <c r="G25" s="1">
        <v>132</v>
      </c>
      <c r="H25" s="1">
        <v>20</v>
      </c>
      <c r="I25" s="1">
        <v>174</v>
      </c>
      <c r="J25" s="1">
        <f>+Z25-SUM(G25:I25)</f>
        <v>-137</v>
      </c>
      <c r="K25" s="1">
        <v>187</v>
      </c>
      <c r="L25" s="1">
        <v>-181</v>
      </c>
      <c r="M25" s="1">
        <v>-67</v>
      </c>
      <c r="N25" s="1">
        <f>+AA25-SUM(K25:M25)</f>
        <v>-126</v>
      </c>
      <c r="O25" s="1">
        <v>166</v>
      </c>
      <c r="P25" s="1">
        <v>793</v>
      </c>
      <c r="Q25" s="1">
        <v>1279</v>
      </c>
      <c r="R25" s="1">
        <f>+AB25-SUM(O25:Q25)</f>
        <v>1820</v>
      </c>
      <c r="S25" s="1">
        <v>-66</v>
      </c>
      <c r="T25" s="1">
        <v>-66</v>
      </c>
      <c r="U25" s="1">
        <v>-66</v>
      </c>
      <c r="V25" s="1">
        <v>-66</v>
      </c>
      <c r="X25" s="1">
        <v>174</v>
      </c>
      <c r="Y25" s="1">
        <v>77</v>
      </c>
      <c r="Z25" s="1">
        <v>189</v>
      </c>
      <c r="AA25" s="1">
        <v>-187</v>
      </c>
      <c r="AB25" s="1">
        <v>4058</v>
      </c>
      <c r="AC25" s="1">
        <f t="shared" si="4"/>
        <v>-264</v>
      </c>
      <c r="AD25" s="1">
        <f>+AD24*(AC25/AC24)</f>
        <v>-339.53944415682548</v>
      </c>
      <c r="AE25" s="1">
        <f t="shared" ref="AE25:AL25" si="25">+AE24*(AD25/AD24)</f>
        <v>-441.11152799977418</v>
      </c>
      <c r="AF25" s="1">
        <f t="shared" si="25"/>
        <v>-529.10054824642089</v>
      </c>
      <c r="AG25" s="1">
        <f t="shared" si="25"/>
        <v>-634.68737254239682</v>
      </c>
      <c r="AH25" s="1">
        <f t="shared" si="25"/>
        <v>-729.71551440877511</v>
      </c>
      <c r="AI25" s="1">
        <f t="shared" si="25"/>
        <v>-802.57042317299874</v>
      </c>
      <c r="AJ25" s="1">
        <f t="shared" si="25"/>
        <v>-882.71082281364465</v>
      </c>
      <c r="AK25" s="1">
        <f t="shared" si="25"/>
        <v>-970.86526241835509</v>
      </c>
      <c r="AL25" s="1">
        <f t="shared" si="25"/>
        <v>-1067.8351459835367</v>
      </c>
    </row>
    <row r="26" spans="2:162" s="4" customFormat="1">
      <c r="B26" s="4" t="s">
        <v>31</v>
      </c>
      <c r="G26" s="4">
        <f t="shared" ref="G26:R26" si="26">+G24-G25</f>
        <v>1912</v>
      </c>
      <c r="H26" s="4">
        <f t="shared" si="26"/>
        <v>2374</v>
      </c>
      <c r="I26" s="4">
        <f t="shared" si="26"/>
        <v>2464</v>
      </c>
      <c r="J26" s="4">
        <f t="shared" si="26"/>
        <v>3002</v>
      </c>
      <c r="K26" s="4">
        <f t="shared" si="26"/>
        <v>1618</v>
      </c>
      <c r="L26" s="4">
        <f t="shared" si="26"/>
        <v>656</v>
      </c>
      <c r="M26" s="4">
        <f t="shared" si="26"/>
        <v>680</v>
      </c>
      <c r="N26" s="4">
        <f t="shared" si="26"/>
        <v>1414</v>
      </c>
      <c r="O26" s="4">
        <f t="shared" si="26"/>
        <v>2043</v>
      </c>
      <c r="P26" s="4">
        <f t="shared" si="26"/>
        <v>6188</v>
      </c>
      <c r="Q26" s="4">
        <f t="shared" si="26"/>
        <v>9243</v>
      </c>
      <c r="R26" s="4">
        <f t="shared" si="26"/>
        <v>12286</v>
      </c>
      <c r="S26" s="4">
        <f t="shared" ref="S26:V26" si="27">+S24-S25</f>
        <v>7207.2680756395966</v>
      </c>
      <c r="T26" s="4">
        <f t="shared" si="27"/>
        <v>13356.886207151849</v>
      </c>
      <c r="U26" s="4">
        <f t="shared" si="27"/>
        <v>16760.794701986761</v>
      </c>
      <c r="V26" s="4">
        <f t="shared" si="27"/>
        <v>19742.856535311956</v>
      </c>
      <c r="X26" s="4">
        <f>+X24-X25</f>
        <v>2796</v>
      </c>
      <c r="Y26" s="4">
        <f>+Y24-Y25</f>
        <v>4332</v>
      </c>
      <c r="Z26" s="4">
        <f>+Z24-Z25</f>
        <v>9752</v>
      </c>
      <c r="AA26" s="4">
        <f>+AA24-AA25</f>
        <v>4368</v>
      </c>
      <c r="AB26" s="4">
        <f>+AB24-AB25</f>
        <v>29760</v>
      </c>
      <c r="AC26" s="4">
        <f t="shared" si="4"/>
        <v>57067.805520090165</v>
      </c>
      <c r="AD26" s="4">
        <f>+AD24-AD25</f>
        <v>73396.859717959203</v>
      </c>
      <c r="AE26" s="4">
        <f t="shared" ref="AE26:AL26" si="28">+AE24-AE25</f>
        <v>95353.283683942878</v>
      </c>
      <c r="AF26" s="4">
        <f t="shared" si="28"/>
        <v>114373.51207537815</v>
      </c>
      <c r="AG26" s="4">
        <f t="shared" si="28"/>
        <v>137197.78614510043</v>
      </c>
      <c r="AH26" s="4">
        <f t="shared" si="28"/>
        <v>157739.63280785049</v>
      </c>
      <c r="AI26" s="4">
        <f t="shared" si="28"/>
        <v>173488.38191595892</v>
      </c>
      <c r="AJ26" s="4">
        <f t="shared" si="28"/>
        <v>190812.00593487819</v>
      </c>
      <c r="AK26" s="4">
        <f t="shared" si="28"/>
        <v>209867.99235568935</v>
      </c>
      <c r="AL26" s="4">
        <f t="shared" si="28"/>
        <v>230829.57741858167</v>
      </c>
      <c r="AM26" s="4">
        <f>+AL26*(1+$AR$31)</f>
        <v>233137.8731927675</v>
      </c>
      <c r="AN26" s="4">
        <f t="shared" ref="AN26:CY26" si="29">+AM26*(1+$AR$31)</f>
        <v>235469.25192469519</v>
      </c>
      <c r="AO26" s="4">
        <f t="shared" si="29"/>
        <v>237823.94444394213</v>
      </c>
      <c r="AP26" s="4">
        <f t="shared" si="29"/>
        <v>240202.18388838155</v>
      </c>
      <c r="AQ26" s="4">
        <f t="shared" si="29"/>
        <v>242604.20572726536</v>
      </c>
      <c r="AR26" s="4">
        <f t="shared" si="29"/>
        <v>245030.24778453802</v>
      </c>
      <c r="AS26" s="4">
        <f t="shared" si="29"/>
        <v>247480.55026238339</v>
      </c>
      <c r="AT26" s="4">
        <f t="shared" si="29"/>
        <v>249955.35576500723</v>
      </c>
      <c r="AU26" s="4">
        <f t="shared" si="29"/>
        <v>252454.9093226573</v>
      </c>
      <c r="AV26" s="4">
        <f t="shared" si="29"/>
        <v>254979.45841588388</v>
      </c>
      <c r="AW26" s="4">
        <f t="shared" si="29"/>
        <v>257529.25300004272</v>
      </c>
      <c r="AX26" s="4">
        <f t="shared" si="29"/>
        <v>260104.54553004316</v>
      </c>
      <c r="AY26" s="4">
        <f t="shared" si="29"/>
        <v>262705.59098534362</v>
      </c>
      <c r="AZ26" s="4">
        <f t="shared" si="29"/>
        <v>265332.64689519705</v>
      </c>
      <c r="BA26" s="4">
        <f t="shared" si="29"/>
        <v>267985.97336414905</v>
      </c>
      <c r="BB26" s="4">
        <f t="shared" si="29"/>
        <v>270665.83309779054</v>
      </c>
      <c r="BC26" s="4">
        <f t="shared" si="29"/>
        <v>273372.49142876844</v>
      </c>
      <c r="BD26" s="4">
        <f t="shared" si="29"/>
        <v>276106.21634305612</v>
      </c>
      <c r="BE26" s="4">
        <f t="shared" si="29"/>
        <v>278867.27850648668</v>
      </c>
      <c r="BF26" s="4">
        <f t="shared" si="29"/>
        <v>281655.95129155152</v>
      </c>
      <c r="BG26" s="4">
        <f t="shared" si="29"/>
        <v>284472.51080446702</v>
      </c>
      <c r="BH26" s="4">
        <f t="shared" si="29"/>
        <v>287317.23591251171</v>
      </c>
      <c r="BI26" s="4">
        <f t="shared" si="29"/>
        <v>290190.40827163681</v>
      </c>
      <c r="BJ26" s="4">
        <f t="shared" si="29"/>
        <v>293092.3123543532</v>
      </c>
      <c r="BK26" s="4">
        <f t="shared" si="29"/>
        <v>296023.23547789676</v>
      </c>
      <c r="BL26" s="4">
        <f t="shared" si="29"/>
        <v>298983.46783267573</v>
      </c>
      <c r="BM26" s="4">
        <f t="shared" si="29"/>
        <v>301973.30251100246</v>
      </c>
      <c r="BN26" s="4">
        <f t="shared" si="29"/>
        <v>304993.0355361125</v>
      </c>
      <c r="BO26" s="4">
        <f t="shared" si="29"/>
        <v>308042.96589147364</v>
      </c>
      <c r="BP26" s="4">
        <f t="shared" si="29"/>
        <v>311123.39555038838</v>
      </c>
      <c r="BQ26" s="4">
        <f t="shared" si="29"/>
        <v>314234.62950589228</v>
      </c>
      <c r="BR26" s="4">
        <f t="shared" si="29"/>
        <v>317376.97580095119</v>
      </c>
      <c r="BS26" s="4">
        <f t="shared" si="29"/>
        <v>320550.74555896071</v>
      </c>
      <c r="BT26" s="4">
        <f t="shared" si="29"/>
        <v>323756.25301455031</v>
      </c>
      <c r="BU26" s="4">
        <f t="shared" si="29"/>
        <v>326993.81554469583</v>
      </c>
      <c r="BV26" s="4">
        <f t="shared" si="29"/>
        <v>330263.75370014278</v>
      </c>
      <c r="BW26" s="4">
        <f t="shared" si="29"/>
        <v>333566.39123714424</v>
      </c>
      <c r="BX26" s="4">
        <f t="shared" si="29"/>
        <v>336902.05514951568</v>
      </c>
      <c r="BY26" s="4">
        <f t="shared" si="29"/>
        <v>340271.07570101082</v>
      </c>
      <c r="BZ26" s="4">
        <f t="shared" si="29"/>
        <v>343673.78645802091</v>
      </c>
      <c r="CA26" s="4">
        <f t="shared" si="29"/>
        <v>347110.52432260115</v>
      </c>
      <c r="CB26" s="4">
        <f t="shared" si="29"/>
        <v>350581.62956582714</v>
      </c>
      <c r="CC26" s="4">
        <f t="shared" si="29"/>
        <v>354087.44586148544</v>
      </c>
      <c r="CD26" s="4">
        <f t="shared" si="29"/>
        <v>357628.32032010029</v>
      </c>
      <c r="CE26" s="4">
        <f t="shared" si="29"/>
        <v>361204.60352330131</v>
      </c>
      <c r="CF26" s="4">
        <f t="shared" si="29"/>
        <v>364816.64955853432</v>
      </c>
      <c r="CG26" s="4">
        <f t="shared" si="29"/>
        <v>368464.81605411967</v>
      </c>
      <c r="CH26" s="4">
        <f t="shared" si="29"/>
        <v>372149.46421466087</v>
      </c>
      <c r="CI26" s="4">
        <f t="shared" si="29"/>
        <v>375870.9588568075</v>
      </c>
      <c r="CJ26" s="4">
        <f t="shared" si="29"/>
        <v>379629.66844537557</v>
      </c>
      <c r="CK26" s="4">
        <f t="shared" si="29"/>
        <v>383425.96512982936</v>
      </c>
      <c r="CL26" s="4">
        <f t="shared" si="29"/>
        <v>387260.22478112765</v>
      </c>
      <c r="CM26" s="4">
        <f t="shared" si="29"/>
        <v>391132.82702893892</v>
      </c>
      <c r="CN26" s="4">
        <f t="shared" si="29"/>
        <v>395044.15529922833</v>
      </c>
      <c r="CO26" s="4">
        <f t="shared" si="29"/>
        <v>398994.59685222059</v>
      </c>
      <c r="CP26" s="4">
        <f t="shared" si="29"/>
        <v>402984.54282074282</v>
      </c>
      <c r="CQ26" s="4">
        <f t="shared" si="29"/>
        <v>407014.38824895024</v>
      </c>
      <c r="CR26" s="4">
        <f t="shared" si="29"/>
        <v>411084.53213143977</v>
      </c>
      <c r="CS26" s="4">
        <f t="shared" si="29"/>
        <v>415195.37745275418</v>
      </c>
      <c r="CT26" s="4">
        <f t="shared" si="29"/>
        <v>419347.33122728171</v>
      </c>
      <c r="CU26" s="4">
        <f t="shared" si="29"/>
        <v>423540.80453955452</v>
      </c>
      <c r="CV26" s="4">
        <f t="shared" si="29"/>
        <v>427776.21258495009</v>
      </c>
      <c r="CW26" s="4">
        <f t="shared" si="29"/>
        <v>432053.97471079958</v>
      </c>
      <c r="CX26" s="4">
        <f t="shared" si="29"/>
        <v>436374.51445790759</v>
      </c>
      <c r="CY26" s="4">
        <f t="shared" si="29"/>
        <v>440738.25960248668</v>
      </c>
      <c r="CZ26" s="4">
        <f t="shared" ref="CZ26:FF26" si="30">+CY26*(1+$AR$31)</f>
        <v>445145.64219851157</v>
      </c>
      <c r="DA26" s="4">
        <f t="shared" si="30"/>
        <v>449597.09862049669</v>
      </c>
      <c r="DB26" s="4">
        <f t="shared" si="30"/>
        <v>454093.06960670167</v>
      </c>
      <c r="DC26" s="4">
        <f t="shared" si="30"/>
        <v>458634.00030276866</v>
      </c>
      <c r="DD26" s="4">
        <f t="shared" si="30"/>
        <v>463220.34030579636</v>
      </c>
      <c r="DE26" s="4">
        <f t="shared" si="30"/>
        <v>467852.54370885435</v>
      </c>
      <c r="DF26" s="4">
        <f t="shared" si="30"/>
        <v>472531.06914594292</v>
      </c>
      <c r="DG26" s="4">
        <f t="shared" si="30"/>
        <v>477256.37983740238</v>
      </c>
      <c r="DH26" s="4">
        <f t="shared" si="30"/>
        <v>482028.94363577641</v>
      </c>
      <c r="DI26" s="4">
        <f t="shared" si="30"/>
        <v>486849.2330721342</v>
      </c>
      <c r="DJ26" s="4">
        <f t="shared" si="30"/>
        <v>491717.72540285555</v>
      </c>
      <c r="DK26" s="4">
        <f t="shared" si="30"/>
        <v>496634.90265688411</v>
      </c>
      <c r="DL26" s="4">
        <f t="shared" si="30"/>
        <v>501601.25168345298</v>
      </c>
      <c r="DM26" s="4">
        <f t="shared" si="30"/>
        <v>506617.26420028752</v>
      </c>
      <c r="DN26" s="4">
        <f t="shared" si="30"/>
        <v>511683.43684229039</v>
      </c>
      <c r="DO26" s="4">
        <f t="shared" si="30"/>
        <v>516800.27121071331</v>
      </c>
      <c r="DP26" s="4">
        <f t="shared" si="30"/>
        <v>521968.27392282046</v>
      </c>
      <c r="DQ26" s="4">
        <f t="shared" si="30"/>
        <v>527187.9566620487</v>
      </c>
      <c r="DR26" s="4">
        <f t="shared" si="30"/>
        <v>532459.83622866916</v>
      </c>
      <c r="DS26" s="4">
        <f t="shared" si="30"/>
        <v>537784.43459095585</v>
      </c>
      <c r="DT26" s="4">
        <f t="shared" si="30"/>
        <v>543162.27893686539</v>
      </c>
      <c r="DU26" s="4">
        <f t="shared" si="30"/>
        <v>548593.90172623401</v>
      </c>
      <c r="DV26" s="4">
        <f t="shared" si="30"/>
        <v>554079.84074349632</v>
      </c>
      <c r="DW26" s="4">
        <f t="shared" si="30"/>
        <v>559620.63915093127</v>
      </c>
      <c r="DX26" s="4">
        <f t="shared" si="30"/>
        <v>565216.84554244054</v>
      </c>
      <c r="DY26" s="4">
        <f t="shared" si="30"/>
        <v>570869.01399786491</v>
      </c>
      <c r="DZ26" s="4">
        <f t="shared" si="30"/>
        <v>576577.70413784357</v>
      </c>
      <c r="EA26" s="4">
        <f t="shared" si="30"/>
        <v>582343.481179222</v>
      </c>
      <c r="EB26" s="4">
        <f t="shared" si="30"/>
        <v>588166.91599101422</v>
      </c>
      <c r="EC26" s="4">
        <f t="shared" si="30"/>
        <v>594048.58515092439</v>
      </c>
      <c r="ED26" s="4">
        <f t="shared" si="30"/>
        <v>599989.07100243366</v>
      </c>
      <c r="EE26" s="4">
        <f t="shared" si="30"/>
        <v>605988.96171245805</v>
      </c>
      <c r="EF26" s="4">
        <f t="shared" si="30"/>
        <v>612048.85132958263</v>
      </c>
      <c r="EG26" s="4">
        <f t="shared" si="30"/>
        <v>618169.33984287851</v>
      </c>
      <c r="EH26" s="4">
        <f t="shared" si="30"/>
        <v>624351.03324130736</v>
      </c>
      <c r="EI26" s="4">
        <f t="shared" si="30"/>
        <v>630594.5435737205</v>
      </c>
      <c r="EJ26" s="4">
        <f t="shared" si="30"/>
        <v>636900.48900945776</v>
      </c>
      <c r="EK26" s="4">
        <f t="shared" si="30"/>
        <v>643269.49389955238</v>
      </c>
      <c r="EL26" s="4">
        <f t="shared" si="30"/>
        <v>649702.18883854791</v>
      </c>
      <c r="EM26" s="4">
        <f t="shared" si="30"/>
        <v>656199.21072693344</v>
      </c>
      <c r="EN26" s="4">
        <f t="shared" si="30"/>
        <v>662761.20283420279</v>
      </c>
      <c r="EO26" s="4">
        <f t="shared" si="30"/>
        <v>669388.81486254488</v>
      </c>
      <c r="EP26" s="4">
        <f t="shared" si="30"/>
        <v>676082.70301117038</v>
      </c>
      <c r="EQ26" s="4">
        <f t="shared" si="30"/>
        <v>682843.53004128207</v>
      </c>
      <c r="ER26" s="4">
        <f t="shared" si="30"/>
        <v>689671.96534169489</v>
      </c>
      <c r="ES26" s="4">
        <f t="shared" si="30"/>
        <v>696568.68499511189</v>
      </c>
      <c r="ET26" s="4">
        <f t="shared" si="30"/>
        <v>703534.37184506305</v>
      </c>
      <c r="EU26" s="4">
        <f t="shared" si="30"/>
        <v>710569.71556351369</v>
      </c>
      <c r="EV26" s="4">
        <f t="shared" si="30"/>
        <v>717675.41271914879</v>
      </c>
      <c r="EW26" s="4">
        <f t="shared" si="30"/>
        <v>724852.16684634029</v>
      </c>
      <c r="EX26" s="4">
        <f t="shared" si="30"/>
        <v>732100.68851480365</v>
      </c>
      <c r="EY26" s="4">
        <f t="shared" si="30"/>
        <v>739421.69539995166</v>
      </c>
      <c r="EZ26" s="4">
        <f t="shared" si="30"/>
        <v>746815.91235395113</v>
      </c>
      <c r="FA26" s="4">
        <f t="shared" si="30"/>
        <v>754284.07147749071</v>
      </c>
      <c r="FB26" s="4">
        <f t="shared" si="30"/>
        <v>761826.91219226562</v>
      </c>
      <c r="FC26" s="4">
        <f t="shared" si="30"/>
        <v>769445.18131418829</v>
      </c>
      <c r="FD26" s="4">
        <f t="shared" si="30"/>
        <v>777139.63312733022</v>
      </c>
      <c r="FE26" s="4">
        <f t="shared" si="30"/>
        <v>784911.02945860347</v>
      </c>
      <c r="FF26" s="4">
        <f t="shared" si="30"/>
        <v>792760.13975318952</v>
      </c>
    </row>
    <row r="27" spans="2:162">
      <c r="B27" s="1" t="s">
        <v>32</v>
      </c>
      <c r="G27" s="1">
        <v>2528</v>
      </c>
      <c r="H27" s="1">
        <v>2532</v>
      </c>
      <c r="I27" s="1">
        <v>2538</v>
      </c>
      <c r="J27" s="1">
        <f>+J26/J28</f>
        <v>2539.3940911125023</v>
      </c>
      <c r="K27" s="1">
        <v>2537</v>
      </c>
      <c r="L27" s="1">
        <v>2516</v>
      </c>
      <c r="M27" s="1">
        <v>2499</v>
      </c>
      <c r="N27" s="1">
        <f>+N26/N28</f>
        <v>2473.2377765684842</v>
      </c>
      <c r="O27" s="1">
        <v>2490</v>
      </c>
      <c r="P27" s="1">
        <v>2499</v>
      </c>
      <c r="Q27" s="1">
        <v>2494</v>
      </c>
      <c r="R27" s="1">
        <f>+R26/R28</f>
        <v>2492.1543078683858</v>
      </c>
      <c r="S27" s="1">
        <f>+R27</f>
        <v>2492.1543078683858</v>
      </c>
      <c r="T27" s="1">
        <f t="shared" ref="T27:V27" si="31">+S27</f>
        <v>2492.1543078683858</v>
      </c>
      <c r="U27" s="1">
        <f t="shared" si="31"/>
        <v>2492.1543078683858</v>
      </c>
      <c r="V27" s="1">
        <f t="shared" si="31"/>
        <v>2492.1543078683858</v>
      </c>
      <c r="X27" s="1">
        <v>2472</v>
      </c>
      <c r="Y27" s="1">
        <v>2510</v>
      </c>
      <c r="Z27" s="1">
        <v>2535</v>
      </c>
      <c r="AA27" s="1">
        <v>2507</v>
      </c>
      <c r="AB27" s="1">
        <v>2494</v>
      </c>
      <c r="AC27" s="1">
        <f>+AC26/AC28</f>
        <v>2492.1543078683858</v>
      </c>
      <c r="AD27" s="1">
        <f>+AC27</f>
        <v>2492.1543078683858</v>
      </c>
      <c r="AE27" s="1">
        <f t="shared" ref="AE27:AL27" si="32">+AD27</f>
        <v>2492.1543078683858</v>
      </c>
      <c r="AF27" s="1">
        <f t="shared" si="32"/>
        <v>2492.1543078683858</v>
      </c>
      <c r="AG27" s="1">
        <f t="shared" si="32"/>
        <v>2492.1543078683858</v>
      </c>
      <c r="AH27" s="1">
        <f t="shared" si="32"/>
        <v>2492.1543078683858</v>
      </c>
      <c r="AI27" s="1">
        <f t="shared" si="32"/>
        <v>2492.1543078683858</v>
      </c>
      <c r="AJ27" s="1">
        <f t="shared" si="32"/>
        <v>2492.1543078683858</v>
      </c>
      <c r="AK27" s="1">
        <f t="shared" si="32"/>
        <v>2492.1543078683858</v>
      </c>
      <c r="AL27" s="1">
        <f t="shared" si="32"/>
        <v>2492.1543078683858</v>
      </c>
    </row>
    <row r="28" spans="2:162" s="5" customFormat="1">
      <c r="B28" s="5" t="s">
        <v>33</v>
      </c>
      <c r="G28" s="5">
        <f>+G26/G27</f>
        <v>0.75632911392405067</v>
      </c>
      <c r="H28" s="5">
        <f>+H26/H27</f>
        <v>0.93759873617693523</v>
      </c>
      <c r="I28" s="5">
        <f>+I26/I27</f>
        <v>0.97084318360914101</v>
      </c>
      <c r="J28" s="5">
        <f>+Z28-SUM(G28:I28)</f>
        <v>1.1821717670788274</v>
      </c>
      <c r="K28" s="5">
        <f>+K26/K27</f>
        <v>0.63776113519905397</v>
      </c>
      <c r="L28" s="5">
        <f>+L26/L27</f>
        <v>0.26073131955484896</v>
      </c>
      <c r="M28" s="5">
        <f>+M26/M27</f>
        <v>0.27210884353741499</v>
      </c>
      <c r="N28" s="5">
        <f>+AA28-SUM(K28:M28)</f>
        <v>0.57172020150924063</v>
      </c>
      <c r="O28" s="5">
        <f>+O26/O27</f>
        <v>0.82048192771084338</v>
      </c>
      <c r="P28" s="5">
        <f>+P26/P27</f>
        <v>2.4761904761904763</v>
      </c>
      <c r="Q28" s="5">
        <f>+Q26/Q27</f>
        <v>3.7060946271050521</v>
      </c>
      <c r="R28" s="5">
        <f>+AB28-SUM(O28:Q28)</f>
        <v>4.9298713009904205</v>
      </c>
      <c r="S28" s="5">
        <f>+S26/S27</f>
        <v>2.8919830737945711</v>
      </c>
      <c r="T28" s="5">
        <f t="shared" ref="T28:V28" si="33">+T26/T27</f>
        <v>5.3595743108605474</v>
      </c>
      <c r="U28" s="5">
        <f t="shared" si="33"/>
        <v>6.7254241236461683</v>
      </c>
      <c r="V28" s="5">
        <f t="shared" si="33"/>
        <v>7.9220040560805449</v>
      </c>
      <c r="X28" s="5">
        <f>+X26/X27</f>
        <v>1.1310679611650485</v>
      </c>
      <c r="Y28" s="5">
        <f>+Y26/Y27</f>
        <v>1.7258964143426294</v>
      </c>
      <c r="Z28" s="5">
        <f>+Z26/Z27</f>
        <v>3.8469428007889546</v>
      </c>
      <c r="AA28" s="5">
        <f>+AA26/AA27</f>
        <v>1.7423214998005585</v>
      </c>
      <c r="AB28" s="5">
        <f>+AB26/AB27</f>
        <v>11.932638331996792</v>
      </c>
      <c r="AC28" s="1">
        <f t="shared" si="4"/>
        <v>22.898985564381832</v>
      </c>
      <c r="AD28" s="5">
        <f>+AD26/AD27</f>
        <v>29.451169811687038</v>
      </c>
      <c r="AE28" s="5">
        <f t="shared" ref="AE28:AL28" si="34">+AE26/AE27</f>
        <v>38.261388302838036</v>
      </c>
      <c r="AF28" s="5">
        <f t="shared" si="34"/>
        <v>45.893431122732217</v>
      </c>
      <c r="AG28" s="5">
        <f t="shared" si="34"/>
        <v>55.051882506605217</v>
      </c>
      <c r="AH28" s="5">
        <f t="shared" si="34"/>
        <v>63.294488752090928</v>
      </c>
      <c r="AI28" s="5">
        <f t="shared" si="34"/>
        <v>69.613820206963325</v>
      </c>
      <c r="AJ28" s="5">
        <f t="shared" si="34"/>
        <v>76.565084807322947</v>
      </c>
      <c r="AK28" s="5">
        <f t="shared" si="34"/>
        <v>84.211475867718534</v>
      </c>
      <c r="AL28" s="5">
        <f t="shared" si="34"/>
        <v>92.622506034153687</v>
      </c>
    </row>
    <row r="30" spans="2:162">
      <c r="AQ30" s="1" t="s">
        <v>85</v>
      </c>
      <c r="AR30" s="3">
        <v>0.03</v>
      </c>
    </row>
    <row r="31" spans="2:162">
      <c r="B31" s="21" t="s">
        <v>34</v>
      </c>
      <c r="AQ31" s="1" t="s">
        <v>60</v>
      </c>
      <c r="AR31" s="3">
        <v>0.01</v>
      </c>
    </row>
    <row r="32" spans="2:162" s="3" customFormat="1">
      <c r="B32" s="3" t="s">
        <v>35</v>
      </c>
      <c r="G32" s="3">
        <f t="shared" ref="G32:P32" si="35">+IFERROR(G13/C13-1,0)</f>
        <v>0</v>
      </c>
      <c r="H32" s="3">
        <f t="shared" si="35"/>
        <v>0</v>
      </c>
      <c r="I32" s="3">
        <f t="shared" si="35"/>
        <v>0</v>
      </c>
      <c r="J32" s="3">
        <f t="shared" si="35"/>
        <v>0</v>
      </c>
      <c r="K32" s="3">
        <f t="shared" si="35"/>
        <v>6.4039408866995107E-2</v>
      </c>
      <c r="L32" s="3">
        <f t="shared" si="35"/>
        <v>0</v>
      </c>
      <c r="M32" s="3">
        <f t="shared" si="35"/>
        <v>0.26735303885752248</v>
      </c>
      <c r="N32" s="3">
        <f t="shared" si="35"/>
        <v>4.4254062038404722</v>
      </c>
      <c r="O32" s="3">
        <f t="shared" si="35"/>
        <v>0.21459694989106759</v>
      </c>
      <c r="P32" s="3">
        <f t="shared" si="35"/>
        <v>1.6624008190427437</v>
      </c>
      <c r="Q32" s="3">
        <f t="shared" ref="Q32:R34" si="36">+IFERROR(Q13/M13-1,0)</f>
        <v>2.8377882599580713</v>
      </c>
      <c r="R32" s="3">
        <f t="shared" si="36"/>
        <v>3.8728559760413832</v>
      </c>
      <c r="Z32" s="3">
        <f t="shared" ref="Z32:AC34" si="37">+Z13/Y13-1</f>
        <v>0.12324588163514338</v>
      </c>
      <c r="AA32" s="3">
        <f t="shared" si="37"/>
        <v>0.36411370631902962</v>
      </c>
      <c r="AB32" s="3">
        <f t="shared" si="37"/>
        <v>2.1460711441465357</v>
      </c>
      <c r="AC32" s="3">
        <f t="shared" si="37"/>
        <v>0.90261948137327952</v>
      </c>
      <c r="AQ32" s="3" t="s">
        <v>61</v>
      </c>
      <c r="AR32" s="3">
        <v>0.08</v>
      </c>
    </row>
    <row r="33" spans="2:44" s="3" customFormat="1">
      <c r="B33" s="3" t="s">
        <v>36</v>
      </c>
      <c r="G33" s="3">
        <f t="shared" ref="G33:P33" si="38">+IFERROR(G14/C14-1,0)</f>
        <v>0</v>
      </c>
      <c r="H33" s="3">
        <f t="shared" si="38"/>
        <v>0</v>
      </c>
      <c r="I33" s="3">
        <f t="shared" si="38"/>
        <v>0</v>
      </c>
      <c r="J33" s="3">
        <f t="shared" si="38"/>
        <v>0</v>
      </c>
      <c r="K33" s="3">
        <f t="shared" si="38"/>
        <v>1.08868778280543</v>
      </c>
      <c r="L33" s="3">
        <f t="shared" si="38"/>
        <v>7.5769230769230811E-2</v>
      </c>
      <c r="M33" s="3">
        <f t="shared" si="38"/>
        <v>-0.48313782991202348</v>
      </c>
      <c r="N33" s="3">
        <f t="shared" si="38"/>
        <v>-0.65862761986792995</v>
      </c>
      <c r="O33" s="3">
        <f t="shared" si="38"/>
        <v>-0.40814558058925476</v>
      </c>
      <c r="P33" s="3">
        <f t="shared" si="38"/>
        <v>0.11011798355380775</v>
      </c>
      <c r="Q33" s="3">
        <f t="shared" si="36"/>
        <v>0.64302600472813243</v>
      </c>
      <c r="R33" s="3">
        <f t="shared" si="36"/>
        <v>0.76829268292682928</v>
      </c>
      <c r="Z33" s="3">
        <f t="shared" si="37"/>
        <v>1.3195439263265603</v>
      </c>
      <c r="AA33" s="3">
        <f t="shared" si="37"/>
        <v>-0.24968490042853542</v>
      </c>
      <c r="AB33" s="3">
        <f t="shared" si="37"/>
        <v>0.13530992776751227</v>
      </c>
      <c r="AC33" s="3">
        <f t="shared" si="37"/>
        <v>0.56767947662201035</v>
      </c>
      <c r="AQ33" s="3" t="s">
        <v>62</v>
      </c>
      <c r="AR33" s="20">
        <f>NPV(AR32,AC26:FF26)</f>
        <v>2426834.9261062825</v>
      </c>
    </row>
    <row r="34" spans="2:44" s="3" customFormat="1">
      <c r="B34" s="3" t="s">
        <v>20</v>
      </c>
      <c r="G34" s="3">
        <f t="shared" ref="G34:P37" si="39">+IFERROR(G15/C15-1,0)</f>
        <v>0</v>
      </c>
      <c r="H34" s="3">
        <f t="shared" si="39"/>
        <v>0</v>
      </c>
      <c r="I34" s="3">
        <f t="shared" si="39"/>
        <v>0</v>
      </c>
      <c r="J34" s="3">
        <f t="shared" si="39"/>
        <v>0</v>
      </c>
      <c r="K34" s="3">
        <f t="shared" si="39"/>
        <v>0.46405228758169925</v>
      </c>
      <c r="L34" s="3">
        <f t="shared" si="39"/>
        <v>3.0275088366374714E-2</v>
      </c>
      <c r="M34" s="3">
        <f t="shared" si="39"/>
        <v>-0.16500070392791777</v>
      </c>
      <c r="N34" s="3">
        <f t="shared" si="39"/>
        <v>-0.20829517205285886</v>
      </c>
      <c r="O34" s="3">
        <f t="shared" si="39"/>
        <v>-0.13223938223938225</v>
      </c>
      <c r="P34" s="3">
        <f t="shared" si="39"/>
        <v>1.0147673031026252</v>
      </c>
      <c r="Q34" s="3">
        <f t="shared" si="36"/>
        <v>2.0551340414769852</v>
      </c>
      <c r="R34" s="3">
        <f t="shared" si="36"/>
        <v>2.6527846636919516</v>
      </c>
      <c r="S34" s="3">
        <f>+IFERROR(S15/O15-1,0)</f>
        <v>2.3370411568409342</v>
      </c>
      <c r="Y34" s="3">
        <f>+Y15/X15-1</f>
        <v>0.52729437625938824</v>
      </c>
      <c r="Z34" s="3">
        <f t="shared" si="37"/>
        <v>0.61403298350824587</v>
      </c>
      <c r="AA34" s="8">
        <f t="shared" si="37"/>
        <v>2.2293230289069932E-3</v>
      </c>
      <c r="AB34" s="3">
        <f t="shared" si="37"/>
        <v>1.2585452658115224</v>
      </c>
      <c r="AC34" s="3">
        <f t="shared" si="37"/>
        <v>0.82830504579626441</v>
      </c>
      <c r="AD34" s="3">
        <f t="shared" ref="AD34:AL34" si="40">+AD15/AC15-1</f>
        <v>0.39999999999999991</v>
      </c>
      <c r="AE34" s="3">
        <f t="shared" si="40"/>
        <v>0.30000000000000004</v>
      </c>
      <c r="AF34" s="3">
        <f t="shared" si="40"/>
        <v>0.19999999999999996</v>
      </c>
      <c r="AG34" s="3">
        <f t="shared" si="40"/>
        <v>0.19999999999999996</v>
      </c>
      <c r="AH34" s="3">
        <f t="shared" si="40"/>
        <v>0.14999999999999991</v>
      </c>
      <c r="AI34" s="3">
        <f t="shared" si="40"/>
        <v>0.10000000000000009</v>
      </c>
      <c r="AJ34" s="3">
        <f t="shared" si="40"/>
        <v>0.10000000000000009</v>
      </c>
      <c r="AK34" s="3">
        <f t="shared" si="40"/>
        <v>0.10000000000000009</v>
      </c>
      <c r="AL34" s="3">
        <f t="shared" si="40"/>
        <v>0.10000000000000009</v>
      </c>
      <c r="AQ34" s="3" t="s">
        <v>91</v>
      </c>
      <c r="AR34" s="1">
        <f>+R50</f>
        <v>16275</v>
      </c>
    </row>
    <row r="35" spans="2:44" s="3" customFormat="1">
      <c r="B35" s="3" t="s">
        <v>21</v>
      </c>
      <c r="G35" s="3">
        <f t="shared" si="39"/>
        <v>0</v>
      </c>
      <c r="H35" s="3">
        <f t="shared" si="39"/>
        <v>0</v>
      </c>
      <c r="I35" s="3">
        <f t="shared" si="39"/>
        <v>0</v>
      </c>
      <c r="J35" s="3">
        <f t="shared" si="39"/>
        <v>0</v>
      </c>
      <c r="K35" s="3">
        <f t="shared" si="39"/>
        <v>0.40600393700787407</v>
      </c>
      <c r="L35" s="3">
        <f t="shared" si="39"/>
        <v>0.65314136125654443</v>
      </c>
      <c r="M35" s="3">
        <f t="shared" si="39"/>
        <v>0.11407766990291268</v>
      </c>
      <c r="N35" s="3">
        <f t="shared" si="39"/>
        <v>-0.16080211880438899</v>
      </c>
      <c r="O35" s="3">
        <f t="shared" si="39"/>
        <v>-0.10955547777388874</v>
      </c>
      <c r="P35" s="3">
        <f t="shared" si="39"/>
        <v>6.7564001055687495E-2</v>
      </c>
      <c r="Q35" s="3">
        <f t="shared" ref="Q35:R37" si="41">+IFERROR(Q16/M16-1,0)</f>
        <v>0.71387073347857655</v>
      </c>
      <c r="R35" s="3">
        <f t="shared" si="41"/>
        <v>1.394950405770965</v>
      </c>
      <c r="Y35" s="3">
        <f t="shared" ref="Y35:Z35" si="42">+Y16/X16-1</f>
        <v>0.51301204819277113</v>
      </c>
      <c r="Z35" s="3">
        <f t="shared" si="42"/>
        <v>0.5032648510909381</v>
      </c>
      <c r="AA35" s="3">
        <f t="shared" ref="AA35:AB37" si="43">+AA16/Z16-1</f>
        <v>0.23085072571246945</v>
      </c>
      <c r="AB35" s="3">
        <f t="shared" si="43"/>
        <v>0.43062489240833179</v>
      </c>
      <c r="AC35" s="3">
        <f t="shared" ref="AC35:AD35" si="44">+AC16/AB16-1</f>
        <v>0.90344384011843548</v>
      </c>
      <c r="AD35" s="3">
        <f t="shared" si="44"/>
        <v>0.39999999999999969</v>
      </c>
      <c r="AE35" s="3">
        <f t="shared" ref="AE35:AL35" si="45">+AE16/AD16-1</f>
        <v>0.30000000000000004</v>
      </c>
      <c r="AF35" s="3">
        <f t="shared" si="45"/>
        <v>0.19999999999999973</v>
      </c>
      <c r="AG35" s="3">
        <f t="shared" si="45"/>
        <v>0.19999999999999996</v>
      </c>
      <c r="AH35" s="3">
        <f t="shared" si="45"/>
        <v>0.15000000000000013</v>
      </c>
      <c r="AI35" s="3">
        <f t="shared" si="45"/>
        <v>0.10000000000000009</v>
      </c>
      <c r="AJ35" s="3">
        <f t="shared" si="45"/>
        <v>0.10000000000000009</v>
      </c>
      <c r="AK35" s="3">
        <f t="shared" si="45"/>
        <v>0.10000000000000009</v>
      </c>
      <c r="AL35" s="3">
        <f t="shared" si="45"/>
        <v>9.9999999999999867E-2</v>
      </c>
      <c r="AQ35" s="22" t="s">
        <v>92</v>
      </c>
      <c r="AR35" s="23">
        <f>SUM(AR33:AR34)</f>
        <v>2443109.9261062825</v>
      </c>
    </row>
    <row r="36" spans="2:44" s="3" customFormat="1">
      <c r="B36" s="3" t="s">
        <v>22</v>
      </c>
      <c r="G36" s="3">
        <f t="shared" si="39"/>
        <v>0</v>
      </c>
      <c r="H36" s="3">
        <f t="shared" si="39"/>
        <v>0</v>
      </c>
      <c r="I36" s="3">
        <f t="shared" si="39"/>
        <v>0</v>
      </c>
      <c r="J36" s="3">
        <f t="shared" si="39"/>
        <v>0</v>
      </c>
      <c r="K36" s="3">
        <f t="shared" si="39"/>
        <v>0.40329575021682573</v>
      </c>
      <c r="L36" s="3">
        <f t="shared" si="39"/>
        <v>0.46506024096385534</v>
      </c>
      <c r="M36" s="3">
        <f t="shared" si="39"/>
        <v>0.38631503920171073</v>
      </c>
      <c r="N36" s="3">
        <f t="shared" si="39"/>
        <v>0.3306066802999319</v>
      </c>
      <c r="O36" s="3">
        <f t="shared" si="39"/>
        <v>0.15883807169344877</v>
      </c>
      <c r="P36" s="3">
        <f t="shared" si="39"/>
        <v>0.11842105263157898</v>
      </c>
      <c r="Q36" s="3">
        <f t="shared" si="41"/>
        <v>0.17943444730077118</v>
      </c>
      <c r="R36" s="3">
        <f t="shared" si="41"/>
        <v>0.26331967213114749</v>
      </c>
      <c r="Y36" s="3">
        <f t="shared" ref="Y36:Z36" si="46">+Y17/X17-1</f>
        <v>0.38706256627783664</v>
      </c>
      <c r="Z36" s="3">
        <f t="shared" si="46"/>
        <v>0.34250764525993893</v>
      </c>
      <c r="AA36" s="3">
        <f t="shared" si="43"/>
        <v>0.39312832194381175</v>
      </c>
      <c r="AB36" s="3">
        <f t="shared" si="43"/>
        <v>0.18204115002043886</v>
      </c>
      <c r="AC36" s="3">
        <f t="shared" ref="AC36:AD36" si="47">+AC17/AB17-1</f>
        <v>1.0155205883636205</v>
      </c>
      <c r="AD36" s="3">
        <f t="shared" si="47"/>
        <v>0.78370947475542518</v>
      </c>
      <c r="AE36" s="3">
        <f t="shared" ref="AE36:AL36" si="48">+AE17/AD17-1</f>
        <v>0.30000000000000004</v>
      </c>
      <c r="AF36" s="3">
        <f t="shared" si="48"/>
        <v>0.19999999999999973</v>
      </c>
      <c r="AG36" s="3">
        <f t="shared" si="48"/>
        <v>0.19999999999999996</v>
      </c>
      <c r="AH36" s="3">
        <f t="shared" si="48"/>
        <v>0.14999999999999991</v>
      </c>
      <c r="AI36" s="3">
        <f t="shared" si="48"/>
        <v>0.10000000000000009</v>
      </c>
      <c r="AJ36" s="3">
        <f t="shared" si="48"/>
        <v>0.10000000000000009</v>
      </c>
      <c r="AK36" s="3">
        <f t="shared" si="48"/>
        <v>0.10000000000000031</v>
      </c>
      <c r="AL36" s="3">
        <f t="shared" si="48"/>
        <v>0.10000000000000009</v>
      </c>
      <c r="AQ36" s="3" t="s">
        <v>7</v>
      </c>
      <c r="AR36" s="1">
        <f>+Main!K4</f>
        <v>2500</v>
      </c>
    </row>
    <row r="37" spans="2:44" s="3" customFormat="1">
      <c r="B37" s="3" t="s">
        <v>23</v>
      </c>
      <c r="G37" s="3">
        <f t="shared" si="39"/>
        <v>0</v>
      </c>
      <c r="H37" s="3">
        <f t="shared" si="39"/>
        <v>0</v>
      </c>
      <c r="I37" s="3">
        <f t="shared" si="39"/>
        <v>0</v>
      </c>
      <c r="J37" s="3">
        <f t="shared" si="39"/>
        <v>0</v>
      </c>
      <c r="K37" s="3">
        <f t="shared" si="39"/>
        <v>0.13846153846153841</v>
      </c>
      <c r="L37" s="3">
        <f t="shared" si="39"/>
        <v>0.12547528517110274</v>
      </c>
      <c r="M37" s="3">
        <f t="shared" si="39"/>
        <v>0.1328545780969479</v>
      </c>
      <c r="N37" s="3">
        <f t="shared" si="39"/>
        <v>0.11012433392539966</v>
      </c>
      <c r="O37" s="3">
        <f t="shared" si="39"/>
        <v>6.9256756756756799E-2</v>
      </c>
      <c r="P37" s="3">
        <f t="shared" si="39"/>
        <v>5.0675675675675658E-2</v>
      </c>
      <c r="Q37" s="3">
        <f t="shared" si="41"/>
        <v>9.191759112519815E-2</v>
      </c>
      <c r="R37" s="3">
        <f t="shared" si="41"/>
        <v>0.1359999999999999</v>
      </c>
      <c r="Y37" s="3">
        <f t="shared" ref="Y37:Z37" si="49">+Y18/X18-1</f>
        <v>0.77493138151875574</v>
      </c>
      <c r="Z37" s="3">
        <f t="shared" si="49"/>
        <v>0.11649484536082477</v>
      </c>
      <c r="AA37" s="3">
        <f t="shared" si="43"/>
        <v>0.12650046168051698</v>
      </c>
      <c r="AB37" s="3">
        <f t="shared" si="43"/>
        <v>8.7704918032786905E-2</v>
      </c>
      <c r="AC37" s="3">
        <f t="shared" ref="AC37:AD37" si="50">+AC18/AB18-1</f>
        <v>1.0566741933861832</v>
      </c>
      <c r="AD37" s="3">
        <f t="shared" si="50"/>
        <v>0.39999999999999991</v>
      </c>
      <c r="AE37" s="3">
        <f t="shared" ref="AE37:AL37" si="51">+AE18/AD18-1</f>
        <v>0.30000000000000004</v>
      </c>
      <c r="AF37" s="3">
        <f t="shared" si="51"/>
        <v>0.19999999999999973</v>
      </c>
      <c r="AG37" s="3">
        <f t="shared" si="51"/>
        <v>0.20000000000000018</v>
      </c>
      <c r="AH37" s="3">
        <f t="shared" si="51"/>
        <v>0.14999999999999991</v>
      </c>
      <c r="AI37" s="3">
        <f t="shared" si="51"/>
        <v>0.10000000000000031</v>
      </c>
      <c r="AJ37" s="3">
        <f t="shared" si="51"/>
        <v>0.10000000000000031</v>
      </c>
      <c r="AK37" s="3">
        <f t="shared" si="51"/>
        <v>0.10000000000000009</v>
      </c>
      <c r="AL37" s="3">
        <f t="shared" si="51"/>
        <v>0.10000000000000009</v>
      </c>
      <c r="AQ37" s="3" t="s">
        <v>101</v>
      </c>
      <c r="AR37" s="2">
        <f>+AR35/AR36</f>
        <v>977.24397044251305</v>
      </c>
    </row>
    <row r="38" spans="2:44">
      <c r="AQ38" s="1" t="s">
        <v>93</v>
      </c>
      <c r="AR38" s="1">
        <f>+Main!K3</f>
        <v>953.86</v>
      </c>
    </row>
    <row r="39" spans="2:44" s="3" customFormat="1">
      <c r="Z39" s="3">
        <f>+Z16/Z$15</f>
        <v>0.35070966783086871</v>
      </c>
      <c r="AA39" s="3">
        <f t="shared" ref="AA39:AL39" si="52">+AA16/AA$15</f>
        <v>0.43071105509008673</v>
      </c>
      <c r="AB39" s="3">
        <f t="shared" si="52"/>
        <v>0.27282426709563046</v>
      </c>
      <c r="AC39" s="3">
        <f t="shared" si="52"/>
        <v>0.28403666654643855</v>
      </c>
      <c r="AD39" s="3">
        <f t="shared" si="52"/>
        <v>0.28403666654643855</v>
      </c>
      <c r="AE39" s="3">
        <f t="shared" si="52"/>
        <v>0.28403666654643855</v>
      </c>
      <c r="AF39" s="3">
        <f t="shared" si="52"/>
        <v>0.28403666654643855</v>
      </c>
      <c r="AG39" s="3">
        <f t="shared" si="52"/>
        <v>0.28403666654643855</v>
      </c>
      <c r="AH39" s="3">
        <f t="shared" si="52"/>
        <v>0.28403666654643855</v>
      </c>
      <c r="AI39" s="3">
        <f t="shared" si="52"/>
        <v>0.28403666654643855</v>
      </c>
      <c r="AJ39" s="3">
        <f t="shared" si="52"/>
        <v>0.28403666654643855</v>
      </c>
      <c r="AK39" s="3">
        <f t="shared" si="52"/>
        <v>0.28403666654643855</v>
      </c>
      <c r="AL39" s="3">
        <f t="shared" si="52"/>
        <v>0.28403666654643855</v>
      </c>
      <c r="AQ39" s="22" t="s">
        <v>94</v>
      </c>
      <c r="AR39" s="22">
        <f>+AR37/AR38-1</f>
        <v>2.4515097018968257E-2</v>
      </c>
    </row>
    <row r="40" spans="2:44" s="3" customFormat="1">
      <c r="Z40" s="3">
        <f t="shared" ref="Z40:AL41" si="53">+Z17/Z$15</f>
        <v>0.19573456193802483</v>
      </c>
      <c r="AA40" s="3">
        <f t="shared" si="53"/>
        <v>0.27207681471046191</v>
      </c>
      <c r="AB40" s="3">
        <f t="shared" si="53"/>
        <v>0.14239519385443683</v>
      </c>
      <c r="AC40" s="3">
        <f t="shared" si="53"/>
        <v>0.15697623630013652</v>
      </c>
      <c r="AD40" s="3">
        <f t="shared" si="53"/>
        <v>0.2</v>
      </c>
      <c r="AE40" s="3">
        <f t="shared" si="53"/>
        <v>0.2</v>
      </c>
      <c r="AF40" s="3">
        <f t="shared" si="53"/>
        <v>0.2</v>
      </c>
      <c r="AG40" s="3">
        <f t="shared" si="53"/>
        <v>0.2</v>
      </c>
      <c r="AH40" s="3">
        <f t="shared" si="53"/>
        <v>0.2</v>
      </c>
      <c r="AI40" s="3">
        <f t="shared" si="53"/>
        <v>0.2</v>
      </c>
      <c r="AJ40" s="3">
        <f t="shared" si="53"/>
        <v>0.2</v>
      </c>
      <c r="AK40" s="3">
        <f t="shared" si="53"/>
        <v>0.2</v>
      </c>
      <c r="AL40" s="3">
        <f t="shared" si="53"/>
        <v>0.2</v>
      </c>
    </row>
    <row r="41" spans="2:44" s="3" customFormat="1">
      <c r="Z41" s="3">
        <f>+Z18/Z$15</f>
        <v>8.0478561343538674E-2</v>
      </c>
      <c r="AA41" s="3">
        <f t="shared" si="53"/>
        <v>9.0457477570994288E-2</v>
      </c>
      <c r="AB41" s="3">
        <f t="shared" si="53"/>
        <v>4.3563901382095135E-2</v>
      </c>
      <c r="AC41" s="3">
        <f t="shared" si="53"/>
        <v>4.9005362612645709E-2</v>
      </c>
      <c r="AD41" s="3">
        <f t="shared" si="53"/>
        <v>4.9005362612645709E-2</v>
      </c>
      <c r="AE41" s="3">
        <f t="shared" si="53"/>
        <v>4.9005362612645709E-2</v>
      </c>
      <c r="AF41" s="3">
        <f t="shared" si="53"/>
        <v>4.9005362612645709E-2</v>
      </c>
      <c r="AG41" s="3">
        <f t="shared" si="53"/>
        <v>4.9005362612645709E-2</v>
      </c>
      <c r="AH41" s="3">
        <f t="shared" si="53"/>
        <v>4.9005362612645716E-2</v>
      </c>
      <c r="AI41" s="3">
        <f t="shared" si="53"/>
        <v>4.9005362612645723E-2</v>
      </c>
      <c r="AJ41" s="3">
        <f t="shared" si="53"/>
        <v>4.900536261264573E-2</v>
      </c>
      <c r="AK41" s="3">
        <f t="shared" si="53"/>
        <v>4.900536261264573E-2</v>
      </c>
      <c r="AL41" s="3">
        <f t="shared" si="53"/>
        <v>4.900536261264573E-2</v>
      </c>
    </row>
    <row r="50" spans="2:38" s="4" customFormat="1">
      <c r="B50" s="4" t="s">
        <v>84</v>
      </c>
      <c r="R50" s="4">
        <f>SUM(R51:R52)-SUM(R67,R69)</f>
        <v>16275</v>
      </c>
      <c r="AB50" s="4">
        <f>+R50</f>
        <v>16275</v>
      </c>
      <c r="AC50" s="4">
        <f>+AB50*1.02</f>
        <v>16600.5</v>
      </c>
      <c r="AD50" s="4">
        <f t="shared" ref="AD50:AL50" si="54">+AC50*1.02</f>
        <v>16932.510000000002</v>
      </c>
      <c r="AE50" s="4">
        <f t="shared" si="54"/>
        <v>17271.160200000002</v>
      </c>
      <c r="AF50" s="4">
        <f t="shared" si="54"/>
        <v>17616.583404000001</v>
      </c>
      <c r="AG50" s="4">
        <f t="shared" si="54"/>
        <v>17968.915072080003</v>
      </c>
      <c r="AH50" s="4">
        <f t="shared" si="54"/>
        <v>18328.293373521603</v>
      </c>
      <c r="AI50" s="4">
        <f t="shared" si="54"/>
        <v>18694.859240992035</v>
      </c>
      <c r="AJ50" s="4">
        <f t="shared" si="54"/>
        <v>19068.756425811876</v>
      </c>
      <c r="AK50" s="4">
        <f t="shared" si="54"/>
        <v>19450.131554328113</v>
      </c>
      <c r="AL50" s="4">
        <f t="shared" si="54"/>
        <v>19839.134185414674</v>
      </c>
    </row>
    <row r="51" spans="2:38">
      <c r="B51" s="1" t="s">
        <v>63</v>
      </c>
      <c r="R51" s="1">
        <v>7280</v>
      </c>
    </row>
    <row r="52" spans="2:38">
      <c r="B52" s="1" t="s">
        <v>64</v>
      </c>
      <c r="R52" s="1">
        <v>18704</v>
      </c>
    </row>
    <row r="53" spans="2:38">
      <c r="B53" s="1" t="s">
        <v>65</v>
      </c>
      <c r="R53" s="1">
        <v>9999</v>
      </c>
    </row>
    <row r="54" spans="2:38">
      <c r="B54" s="1" t="s">
        <v>66</v>
      </c>
      <c r="R54" s="1">
        <v>5282</v>
      </c>
    </row>
    <row r="55" spans="2:38">
      <c r="B55" s="1" t="s">
        <v>67</v>
      </c>
      <c r="R55" s="1">
        <v>3080</v>
      </c>
    </row>
    <row r="56" spans="2:38">
      <c r="B56" s="1" t="s">
        <v>68</v>
      </c>
      <c r="R56" s="1">
        <f>+SUM(R51:R55)</f>
        <v>44345</v>
      </c>
    </row>
    <row r="57" spans="2:38">
      <c r="B57" s="1" t="s">
        <v>69</v>
      </c>
      <c r="R57" s="1">
        <v>3914</v>
      </c>
    </row>
    <row r="58" spans="2:38">
      <c r="B58" s="1" t="s">
        <v>70</v>
      </c>
      <c r="R58" s="1">
        <v>1346</v>
      </c>
    </row>
    <row r="59" spans="2:38">
      <c r="B59" s="1" t="s">
        <v>71</v>
      </c>
      <c r="R59" s="1">
        <v>4430</v>
      </c>
    </row>
    <row r="60" spans="2:38">
      <c r="B60" s="1" t="s">
        <v>72</v>
      </c>
      <c r="R60" s="1">
        <v>1112</v>
      </c>
    </row>
    <row r="61" spans="2:38">
      <c r="B61" s="1" t="s">
        <v>73</v>
      </c>
      <c r="R61" s="1">
        <v>6081</v>
      </c>
    </row>
    <row r="62" spans="2:38">
      <c r="B62" s="1" t="s">
        <v>74</v>
      </c>
      <c r="R62" s="1">
        <v>4500</v>
      </c>
    </row>
    <row r="63" spans="2:38" s="4" customFormat="1">
      <c r="B63" s="4" t="s">
        <v>75</v>
      </c>
      <c r="R63" s="4">
        <f>+SUM(R56:R62)</f>
        <v>65728</v>
      </c>
    </row>
    <row r="65" spans="2:18">
      <c r="B65" s="1" t="s">
        <v>77</v>
      </c>
      <c r="R65" s="1">
        <v>2699</v>
      </c>
    </row>
    <row r="66" spans="2:18">
      <c r="B66" s="1" t="s">
        <v>78</v>
      </c>
      <c r="R66" s="1">
        <v>6682</v>
      </c>
    </row>
    <row r="67" spans="2:18">
      <c r="B67" s="1" t="s">
        <v>79</v>
      </c>
      <c r="R67" s="1">
        <v>1250</v>
      </c>
    </row>
    <row r="68" spans="2:18">
      <c r="B68" s="1" t="s">
        <v>80</v>
      </c>
      <c r="R68" s="1">
        <f>+SUM(R65:R67)</f>
        <v>10631</v>
      </c>
    </row>
    <row r="69" spans="2:18">
      <c r="B69" s="1" t="s">
        <v>81</v>
      </c>
      <c r="R69" s="1">
        <v>8459</v>
      </c>
    </row>
    <row r="70" spans="2:18">
      <c r="B70" s="1" t="s">
        <v>82</v>
      </c>
      <c r="R70" s="1">
        <v>1119</v>
      </c>
    </row>
    <row r="71" spans="2:18">
      <c r="B71" s="1" t="s">
        <v>83</v>
      </c>
      <c r="R71" s="1">
        <v>2541</v>
      </c>
    </row>
    <row r="72" spans="2:18" s="4" customFormat="1">
      <c r="B72" s="4" t="s">
        <v>76</v>
      </c>
      <c r="R72" s="4">
        <f>+SUM(R68:R71)</f>
        <v>22750</v>
      </c>
    </row>
    <row r="73" spans="2:18">
      <c r="R73" s="1">
        <v>42978</v>
      </c>
    </row>
    <row r="74" spans="2:18">
      <c r="R74" s="1">
        <f>+SUM(R72:R73)</f>
        <v>65728</v>
      </c>
    </row>
  </sheetData>
  <pageMargins left="0.7" right="0.7" top="0.75" bottom="0.75" header="0.3" footer="0.3"/>
  <ignoredErrors>
    <ignoredError sqref="Q15:R19 N15:N28 J15:J28 Q21:R25 Q20 Q26 AB17:AL28" formula="1"/>
    <ignoredError sqref="Y15:Z15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B49-CC5E-C04A-BF2A-896D1F75034D}">
  <dimension ref="B2:B6"/>
  <sheetViews>
    <sheetView zoomScale="400" workbookViewId="0">
      <selection activeCell="B7" sqref="B7"/>
    </sheetView>
  </sheetViews>
  <sheetFormatPr baseColWidth="10" defaultRowHeight="13"/>
  <cols>
    <col min="1" max="1" width="3.83203125" customWidth="1"/>
    <col min="2" max="2" width="12" bestFit="1" customWidth="1"/>
  </cols>
  <sheetData>
    <row r="2" spans="2:2">
      <c r="B2" s="18" t="s">
        <v>44</v>
      </c>
    </row>
    <row r="3" spans="2:2">
      <c r="B3" t="s">
        <v>45</v>
      </c>
    </row>
    <row r="4" spans="2:2">
      <c r="B4" t="s">
        <v>46</v>
      </c>
    </row>
    <row r="5" spans="2:2">
      <c r="B5" t="s">
        <v>47</v>
      </c>
    </row>
    <row r="6" spans="2:2">
      <c r="B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Processors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2024-03-17T16:36:51Z</dcterms:created>
  <dcterms:modified xsi:type="dcterms:W3CDTF">2024-05-22T04:05:12Z</dcterms:modified>
</cp:coreProperties>
</file>