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7E5D1143-50A9-FA45-B85E-4B258EC7B509}" xr6:coauthVersionLast="47" xr6:coauthVersionMax="47" xr10:uidLastSave="{00000000-0000-0000-0000-000000000000}"/>
  <bookViews>
    <workbookView xWindow="20200" yWindow="500" windowWidth="28440" windowHeight="26780" xr2:uid="{A732EB1E-3390-624C-9AF8-8C65E890D9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4" i="2" l="1"/>
  <c r="AC26" i="2"/>
  <c r="AB26" i="2"/>
  <c r="AB46" i="2"/>
  <c r="AA46" i="2"/>
  <c r="M46" i="2"/>
  <c r="L46" i="2"/>
  <c r="K46" i="2"/>
  <c r="J46" i="2"/>
  <c r="I46" i="2"/>
  <c r="H46" i="2"/>
  <c r="G46" i="2"/>
  <c r="AC17" i="2"/>
  <c r="AD10" i="2"/>
  <c r="AE10" i="2"/>
  <c r="AF10" i="2"/>
  <c r="AG10" i="2" s="1"/>
  <c r="AH10" i="2" s="1"/>
  <c r="AC10" i="2"/>
  <c r="AC15" i="2" s="1"/>
  <c r="AK44" i="2"/>
  <c r="AJ44" i="2"/>
  <c r="AI44" i="2"/>
  <c r="AH44" i="2"/>
  <c r="AG44" i="2"/>
  <c r="AF44" i="2"/>
  <c r="AE44" i="2"/>
  <c r="AD44" i="2"/>
  <c r="AC44" i="2"/>
  <c r="AB44" i="2"/>
  <c r="AA44" i="2"/>
  <c r="AB43" i="2"/>
  <c r="AA43" i="2"/>
  <c r="Z44" i="2"/>
  <c r="Z43" i="2"/>
  <c r="AO37" i="2"/>
  <c r="AD12" i="2"/>
  <c r="AE12" i="2" s="1"/>
  <c r="AF12" i="2" s="1"/>
  <c r="AG12" i="2" s="1"/>
  <c r="AH12" i="2" s="1"/>
  <c r="AI12" i="2" s="1"/>
  <c r="AJ12" i="2" s="1"/>
  <c r="AK12" i="2" s="1"/>
  <c r="AC12" i="2"/>
  <c r="AO35" i="2"/>
  <c r="AE31" i="2"/>
  <c r="AF31" i="2" s="1"/>
  <c r="AG31" i="2" s="1"/>
  <c r="AH31" i="2" s="1"/>
  <c r="AI31" i="2" s="1"/>
  <c r="AJ31" i="2" s="1"/>
  <c r="AK31" i="2" s="1"/>
  <c r="AD31" i="2"/>
  <c r="AE25" i="2"/>
  <c r="AF25" i="2" s="1"/>
  <c r="AG25" i="2" s="1"/>
  <c r="AH25" i="2" s="1"/>
  <c r="AI25" i="2" s="1"/>
  <c r="AJ25" i="2" s="1"/>
  <c r="AK25" i="2" s="1"/>
  <c r="AD25" i="2"/>
  <c r="AC31" i="2"/>
  <c r="AC25" i="2"/>
  <c r="AD16" i="2"/>
  <c r="AC16" i="2"/>
  <c r="AB13" i="2"/>
  <c r="AA12" i="2"/>
  <c r="AB12" i="2"/>
  <c r="AD4" i="2"/>
  <c r="AE4" i="2"/>
  <c r="AF4" i="2"/>
  <c r="AG4" i="2"/>
  <c r="AH4" i="2"/>
  <c r="AI4" i="2"/>
  <c r="AJ4" i="2"/>
  <c r="AK4" i="2"/>
  <c r="AC4" i="2"/>
  <c r="AA9" i="2"/>
  <c r="Z12" i="2"/>
  <c r="AA10" i="2"/>
  <c r="AB10" i="2"/>
  <c r="Z10" i="2"/>
  <c r="AD3" i="2"/>
  <c r="AE3" i="2" s="1"/>
  <c r="AF3" i="2" s="1"/>
  <c r="AG3" i="2" s="1"/>
  <c r="AH3" i="2" s="1"/>
  <c r="AI3" i="2" s="1"/>
  <c r="AJ3" i="2" s="1"/>
  <c r="AK3" i="2" s="1"/>
  <c r="AC3" i="2"/>
  <c r="F3" i="2"/>
  <c r="J3" i="2"/>
  <c r="AB40" i="2"/>
  <c r="AB39" i="2"/>
  <c r="AB38" i="2"/>
  <c r="AB37" i="2"/>
  <c r="AB36" i="2"/>
  <c r="AB35" i="2"/>
  <c r="AB34" i="2"/>
  <c r="AB33" i="2"/>
  <c r="AA40" i="2"/>
  <c r="AA39" i="2"/>
  <c r="AA38" i="2"/>
  <c r="AA37" i="2"/>
  <c r="AA36" i="2"/>
  <c r="AA35" i="2"/>
  <c r="AA34" i="2"/>
  <c r="AA33" i="2"/>
  <c r="AB31" i="2"/>
  <c r="AB30" i="2"/>
  <c r="AB29" i="2"/>
  <c r="AB28" i="2"/>
  <c r="AB27" i="2"/>
  <c r="AB25" i="2"/>
  <c r="AB24" i="2"/>
  <c r="AB23" i="2"/>
  <c r="AB22" i="2"/>
  <c r="AB21" i="2"/>
  <c r="AB20" i="2"/>
  <c r="AB19" i="2"/>
  <c r="AB18" i="2"/>
  <c r="AB17" i="2"/>
  <c r="AB16" i="2"/>
  <c r="AB15" i="2"/>
  <c r="N44" i="2"/>
  <c r="N43" i="2"/>
  <c r="N30" i="2"/>
  <c r="N31" i="2"/>
  <c r="N28" i="2"/>
  <c r="N26" i="2"/>
  <c r="N25" i="2"/>
  <c r="N23" i="2"/>
  <c r="N22" i="2"/>
  <c r="N21" i="2"/>
  <c r="N20" i="2"/>
  <c r="N19" i="2"/>
  <c r="N18" i="2"/>
  <c r="N15" i="2"/>
  <c r="N40" i="2"/>
  <c r="N39" i="2"/>
  <c r="N38" i="2"/>
  <c r="N37" i="2"/>
  <c r="N36" i="2"/>
  <c r="N34" i="2"/>
  <c r="N33" i="2"/>
  <c r="N16" i="2"/>
  <c r="L13" i="2"/>
  <c r="K13" i="2"/>
  <c r="I13" i="2"/>
  <c r="H13" i="2"/>
  <c r="G13" i="2"/>
  <c r="M13" i="2"/>
  <c r="C8" i="2"/>
  <c r="C12" i="2"/>
  <c r="C10" i="2"/>
  <c r="I11" i="2"/>
  <c r="H11" i="2"/>
  <c r="G11" i="2"/>
  <c r="D12" i="2"/>
  <c r="D10" i="2"/>
  <c r="D8" i="2"/>
  <c r="F10" i="2"/>
  <c r="F6" i="2"/>
  <c r="F5" i="2"/>
  <c r="F8" i="2"/>
  <c r="F7" i="2"/>
  <c r="F4" i="2"/>
  <c r="F12" i="2" s="1"/>
  <c r="E12" i="2"/>
  <c r="E10" i="2"/>
  <c r="E8" i="2"/>
  <c r="K11" i="2"/>
  <c r="J6" i="2"/>
  <c r="J5" i="2"/>
  <c r="J7" i="2"/>
  <c r="J4" i="2"/>
  <c r="G12" i="2"/>
  <c r="G10" i="2"/>
  <c r="G8" i="2"/>
  <c r="K12" i="2"/>
  <c r="K10" i="2"/>
  <c r="K8" i="2"/>
  <c r="H12" i="2"/>
  <c r="H10" i="2"/>
  <c r="L11" i="2" s="1"/>
  <c r="H8" i="2"/>
  <c r="L12" i="2"/>
  <c r="L10" i="2"/>
  <c r="L8" i="2"/>
  <c r="I12" i="2"/>
  <c r="I10" i="2"/>
  <c r="I8" i="2"/>
  <c r="M12" i="2"/>
  <c r="M10" i="2"/>
  <c r="M11" i="2" s="1"/>
  <c r="M8" i="2"/>
  <c r="Y12" i="2"/>
  <c r="AA8" i="2"/>
  <c r="J8" i="2" s="1"/>
  <c r="Z8" i="2"/>
  <c r="Y8" i="2"/>
  <c r="Y10" i="2"/>
  <c r="G67" i="2"/>
  <c r="G69" i="2" s="1"/>
  <c r="G58" i="2"/>
  <c r="H67" i="2"/>
  <c r="H69" i="2" s="1"/>
  <c r="H58" i="2"/>
  <c r="I67" i="2"/>
  <c r="I69" i="2" s="1"/>
  <c r="I58" i="2"/>
  <c r="K67" i="2"/>
  <c r="K69" i="2" s="1"/>
  <c r="K58" i="2"/>
  <c r="L58" i="2"/>
  <c r="L67" i="2"/>
  <c r="L69" i="2" s="1"/>
  <c r="Z30" i="2"/>
  <c r="Z28" i="2"/>
  <c r="Z26" i="2"/>
  <c r="Z25" i="2"/>
  <c r="Z23" i="2"/>
  <c r="Z22" i="2"/>
  <c r="Z21" i="2"/>
  <c r="Z20" i="2"/>
  <c r="Z19" i="2"/>
  <c r="Z18" i="2"/>
  <c r="Z16" i="2"/>
  <c r="Z15" i="2"/>
  <c r="AA30" i="2"/>
  <c r="AA28" i="2"/>
  <c r="AA26" i="2"/>
  <c r="AA25" i="2"/>
  <c r="AA23" i="2"/>
  <c r="AA22" i="2"/>
  <c r="AA21" i="2"/>
  <c r="AA20" i="2"/>
  <c r="AA19" i="2"/>
  <c r="AA18" i="2"/>
  <c r="AA16" i="2"/>
  <c r="J12" i="2" s="1"/>
  <c r="J13" i="2" s="1"/>
  <c r="AA15" i="2"/>
  <c r="J67" i="2"/>
  <c r="J69" i="2" s="1"/>
  <c r="J58" i="2"/>
  <c r="F69" i="2"/>
  <c r="F70" i="2" s="1"/>
  <c r="E69" i="2"/>
  <c r="E70" i="2" s="1"/>
  <c r="D69" i="2"/>
  <c r="D70" i="2" s="1"/>
  <c r="C69" i="2"/>
  <c r="M67" i="2"/>
  <c r="M69" i="2" s="1"/>
  <c r="M58" i="2"/>
  <c r="G44" i="2"/>
  <c r="G43" i="2"/>
  <c r="G40" i="2"/>
  <c r="G39" i="2"/>
  <c r="G38" i="2"/>
  <c r="G37" i="2"/>
  <c r="G36" i="2"/>
  <c r="G34" i="2"/>
  <c r="G33" i="2"/>
  <c r="H44" i="2"/>
  <c r="H43" i="2"/>
  <c r="H40" i="2"/>
  <c r="H39" i="2"/>
  <c r="H38" i="2"/>
  <c r="H37" i="2"/>
  <c r="H36" i="2"/>
  <c r="H34" i="2"/>
  <c r="H33" i="2"/>
  <c r="C17" i="2"/>
  <c r="C24" i="2" s="1"/>
  <c r="C27" i="2" s="1"/>
  <c r="C29" i="2" s="1"/>
  <c r="C31" i="2" s="1"/>
  <c r="D17" i="2"/>
  <c r="D24" i="2" s="1"/>
  <c r="D27" i="2" s="1"/>
  <c r="D29" i="2" s="1"/>
  <c r="D31" i="2" s="1"/>
  <c r="I44" i="2"/>
  <c r="I43" i="2"/>
  <c r="I40" i="2"/>
  <c r="I39" i="2"/>
  <c r="I38" i="2"/>
  <c r="I37" i="2"/>
  <c r="I36" i="2"/>
  <c r="I34" i="2"/>
  <c r="I33" i="2"/>
  <c r="E17" i="2"/>
  <c r="E24" i="2" s="1"/>
  <c r="E27" i="2" s="1"/>
  <c r="E29" i="2" s="1"/>
  <c r="E31" i="2" s="1"/>
  <c r="L44" i="2"/>
  <c r="K44" i="2"/>
  <c r="J44" i="2"/>
  <c r="L43" i="2"/>
  <c r="K43" i="2"/>
  <c r="J43" i="2"/>
  <c r="J40" i="2"/>
  <c r="J39" i="2"/>
  <c r="J38" i="2"/>
  <c r="J37" i="2"/>
  <c r="J36" i="2"/>
  <c r="J34" i="2"/>
  <c r="J33" i="2"/>
  <c r="F17" i="2"/>
  <c r="F24" i="2" s="1"/>
  <c r="F27" i="2" s="1"/>
  <c r="F29" i="2" s="1"/>
  <c r="F31" i="2" s="1"/>
  <c r="K40" i="2"/>
  <c r="K39" i="2"/>
  <c r="K38" i="2"/>
  <c r="K37" i="2"/>
  <c r="K36" i="2"/>
  <c r="K34" i="2"/>
  <c r="K33" i="2"/>
  <c r="G17" i="2"/>
  <c r="G24" i="2" s="1"/>
  <c r="G27" i="2" s="1"/>
  <c r="G29" i="2" s="1"/>
  <c r="G31" i="2" s="1"/>
  <c r="K17" i="2"/>
  <c r="K24" i="2" s="1"/>
  <c r="K27" i="2" s="1"/>
  <c r="K29" i="2" s="1"/>
  <c r="K30" i="2" s="1"/>
  <c r="L40" i="2"/>
  <c r="L39" i="2"/>
  <c r="L38" i="2"/>
  <c r="L37" i="2"/>
  <c r="L36" i="2"/>
  <c r="L34" i="2"/>
  <c r="L33" i="2"/>
  <c r="H17" i="2"/>
  <c r="H24" i="2" s="1"/>
  <c r="H27" i="2" s="1"/>
  <c r="H29" i="2" s="1"/>
  <c r="H31" i="2" s="1"/>
  <c r="L17" i="2"/>
  <c r="M44" i="2"/>
  <c r="M43" i="2"/>
  <c r="M40" i="2"/>
  <c r="M39" i="2"/>
  <c r="M38" i="2"/>
  <c r="M37" i="2"/>
  <c r="M36" i="2"/>
  <c r="M34" i="2"/>
  <c r="M33" i="2"/>
  <c r="J17" i="2"/>
  <c r="I17" i="2"/>
  <c r="I24" i="2" s="1"/>
  <c r="I27" i="2" s="1"/>
  <c r="I29" i="2" s="1"/>
  <c r="I31" i="2" s="1"/>
  <c r="M17" i="2"/>
  <c r="M24" i="2" s="1"/>
  <c r="M27" i="2" s="1"/>
  <c r="M29" i="2" s="1"/>
  <c r="M31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I7" i="1"/>
  <c r="I5" i="1"/>
  <c r="I6" i="1" s="1"/>
  <c r="I9" i="1" s="1"/>
  <c r="J7" i="1"/>
  <c r="J8" i="1" s="1"/>
  <c r="AH15" i="2" l="1"/>
  <c r="AI10" i="2"/>
  <c r="AC33" i="2"/>
  <c r="AC18" i="2"/>
  <c r="AC43" i="2" s="1"/>
  <c r="AG15" i="2"/>
  <c r="AH33" i="2" s="1"/>
  <c r="AD15" i="2"/>
  <c r="AE15" i="2"/>
  <c r="AF15" i="2"/>
  <c r="AE16" i="2"/>
  <c r="AC19" i="2"/>
  <c r="AD19" i="2" s="1"/>
  <c r="AC34" i="2"/>
  <c r="AD34" i="2"/>
  <c r="J10" i="2"/>
  <c r="J11" i="2"/>
  <c r="N17" i="2"/>
  <c r="L70" i="2"/>
  <c r="I70" i="2"/>
  <c r="J70" i="2"/>
  <c r="H70" i="2"/>
  <c r="K70" i="2"/>
  <c r="M70" i="2"/>
  <c r="G70" i="2"/>
  <c r="Z24" i="2"/>
  <c r="Z27" i="2"/>
  <c r="Z29" i="2"/>
  <c r="Z31" i="2" s="1"/>
  <c r="AA17" i="2"/>
  <c r="Z17" i="2"/>
  <c r="L35" i="2"/>
  <c r="M35" i="2"/>
  <c r="J35" i="2"/>
  <c r="H35" i="2"/>
  <c r="G35" i="2"/>
  <c r="J24" i="2"/>
  <c r="J27" i="2" s="1"/>
  <c r="J29" i="2" s="1"/>
  <c r="J31" i="2" s="1"/>
  <c r="L24" i="2"/>
  <c r="L27" i="2" s="1"/>
  <c r="L29" i="2" s="1"/>
  <c r="L31" i="2" s="1"/>
  <c r="I35" i="2"/>
  <c r="K35" i="2"/>
  <c r="AJ10" i="2" l="1"/>
  <c r="AI15" i="2"/>
  <c r="AI33" i="2" s="1"/>
  <c r="AF33" i="2"/>
  <c r="AC35" i="2"/>
  <c r="AC20" i="2"/>
  <c r="AC21" i="2"/>
  <c r="AE18" i="2"/>
  <c r="AF18" i="2" s="1"/>
  <c r="AG18" i="2" s="1"/>
  <c r="AH18" i="2" s="1"/>
  <c r="AH43" i="2" s="1"/>
  <c r="AE43" i="2"/>
  <c r="AE33" i="2"/>
  <c r="AC22" i="2"/>
  <c r="AD18" i="2"/>
  <c r="AD33" i="2"/>
  <c r="AD43" i="2"/>
  <c r="AE17" i="2"/>
  <c r="AE35" i="2" s="1"/>
  <c r="AD17" i="2"/>
  <c r="AD20" i="2" s="1"/>
  <c r="AG43" i="2"/>
  <c r="AG33" i="2"/>
  <c r="AE34" i="2"/>
  <c r="AE19" i="2"/>
  <c r="AF16" i="2"/>
  <c r="N24" i="2"/>
  <c r="N27" i="2" s="1"/>
  <c r="N29" i="2" s="1"/>
  <c r="N35" i="2"/>
  <c r="AA24" i="2"/>
  <c r="AA29" i="2"/>
  <c r="AA31" i="2" s="1"/>
  <c r="AA27" i="2"/>
  <c r="AC24" i="2" l="1"/>
  <c r="AC27" i="2" s="1"/>
  <c r="AC28" i="2" s="1"/>
  <c r="AD21" i="2"/>
  <c r="AE21" i="2" s="1"/>
  <c r="AD22" i="2"/>
  <c r="AE22" i="2" s="1"/>
  <c r="AJ15" i="2"/>
  <c r="AJ33" i="2" s="1"/>
  <c r="AK10" i="2"/>
  <c r="AK15" i="2" s="1"/>
  <c r="AK33" i="2" s="1"/>
  <c r="AE20" i="2"/>
  <c r="AD35" i="2"/>
  <c r="AF43" i="2"/>
  <c r="AG16" i="2"/>
  <c r="AF19" i="2"/>
  <c r="AG19" i="2" s="1"/>
  <c r="AF34" i="2"/>
  <c r="AF17" i="2"/>
  <c r="AF22" i="2" s="1"/>
  <c r="AI18" i="2"/>
  <c r="AI43" i="2" s="1"/>
  <c r="AD24" i="2" l="1"/>
  <c r="AG34" i="2"/>
  <c r="AG17" i="2"/>
  <c r="AG22" i="2" s="1"/>
  <c r="AH16" i="2"/>
  <c r="AF35" i="2"/>
  <c r="AC29" i="2"/>
  <c r="AC46" i="2" s="1"/>
  <c r="AF20" i="2"/>
  <c r="AF24" i="2" s="1"/>
  <c r="AE24" i="2"/>
  <c r="AF21" i="2"/>
  <c r="AJ18" i="2"/>
  <c r="AJ43" i="2" s="1"/>
  <c r="AD26" i="2" l="1"/>
  <c r="AD27" i="2"/>
  <c r="AD28" i="2" s="1"/>
  <c r="AD29" i="2" s="1"/>
  <c r="AD30" i="2" s="1"/>
  <c r="AG21" i="2"/>
  <c r="AH34" i="2"/>
  <c r="AH17" i="2"/>
  <c r="AG20" i="2"/>
  <c r="AH20" i="2" s="1"/>
  <c r="AH19" i="2"/>
  <c r="AI19" i="2" s="1"/>
  <c r="AI16" i="2"/>
  <c r="AG35" i="2"/>
  <c r="AC30" i="2"/>
  <c r="AK18" i="2"/>
  <c r="AK43" i="2" s="1"/>
  <c r="AD46" i="2" l="1"/>
  <c r="AE26" i="2" s="1"/>
  <c r="AE27" i="2" s="1"/>
  <c r="AE28" i="2" s="1"/>
  <c r="AE29" i="2"/>
  <c r="AG24" i="2"/>
  <c r="AI34" i="2"/>
  <c r="AI17" i="2"/>
  <c r="AI20" i="2" s="1"/>
  <c r="AH35" i="2"/>
  <c r="AK16" i="2"/>
  <c r="AJ16" i="2"/>
  <c r="AH21" i="2"/>
  <c r="AH22" i="2"/>
  <c r="AE30" i="2" l="1"/>
  <c r="AE46" i="2"/>
  <c r="AI21" i="2"/>
  <c r="AJ34" i="2"/>
  <c r="AJ17" i="2"/>
  <c r="AK34" i="2"/>
  <c r="AK17" i="2"/>
  <c r="AH24" i="2"/>
  <c r="AJ19" i="2"/>
  <c r="AK19" i="2" s="1"/>
  <c r="AI35" i="2"/>
  <c r="AI22" i="2"/>
  <c r="AF26" i="2" l="1"/>
  <c r="AF27" i="2" s="1"/>
  <c r="AF28" i="2" s="1"/>
  <c r="AF29" i="2" s="1"/>
  <c r="AF30" i="2" s="1"/>
  <c r="AK35" i="2"/>
  <c r="AJ35" i="2"/>
  <c r="AJ22" i="2"/>
  <c r="AK22" i="2" s="1"/>
  <c r="AI24" i="2"/>
  <c r="AJ21" i="2"/>
  <c r="AK21" i="2" s="1"/>
  <c r="AJ20" i="2"/>
  <c r="AK20" i="2" s="1"/>
  <c r="AF46" i="2" l="1"/>
  <c r="AK24" i="2"/>
  <c r="AJ24" i="2"/>
  <c r="AG26" i="2" l="1"/>
  <c r="AG27" i="2" s="1"/>
  <c r="AG28" i="2" s="1"/>
  <c r="AG29" i="2" s="1"/>
  <c r="AG30" i="2" s="1"/>
  <c r="AG46" i="2" l="1"/>
  <c r="AH26" i="2" l="1"/>
  <c r="AH27" i="2" s="1"/>
  <c r="AH28" i="2" s="1"/>
  <c r="AH29" i="2" s="1"/>
  <c r="AH30" i="2" s="1"/>
  <c r="AH46" i="2" l="1"/>
  <c r="AI26" i="2" l="1"/>
  <c r="AI27" i="2" s="1"/>
  <c r="AI28" i="2" s="1"/>
  <c r="AI29" i="2" s="1"/>
  <c r="AI30" i="2" s="1"/>
  <c r="AI46" i="2" l="1"/>
  <c r="AJ26" i="2" l="1"/>
  <c r="AJ27" i="2" s="1"/>
  <c r="AJ28" i="2" l="1"/>
  <c r="AJ29" i="2"/>
  <c r="AJ30" i="2" l="1"/>
  <c r="AJ46" i="2"/>
  <c r="AK26" i="2" l="1"/>
  <c r="AK27" i="2" s="1"/>
  <c r="AK28" i="2" s="1"/>
  <c r="AK29" i="2" s="1"/>
  <c r="AK30" i="2" l="1"/>
  <c r="AL29" i="2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AO36" i="2" s="1"/>
  <c r="AO38" i="2" s="1"/>
  <c r="AK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B3" authorId="0" shapeId="0" xr:uid="{F5D1D6E8-6895-5B4D-9061-C78C907DFA4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of units shipped to retailers or D2C</t>
        </r>
      </text>
    </comment>
    <comment ref="B4" authorId="0" shapeId="0" xr:uid="{362EE43A-3B6B-8847-A780-1D4222624AC4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Activated SmartCast OS through an internet connection at-least once in the past 30 days</t>
        </r>
      </text>
    </comment>
    <comment ref="B5" authorId="0" shapeId="0" xr:uid="{83509ACA-1E9A-7F4E-B4FC-E2A23ED74BA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Hours users spend utilizing Smart TVS in any capacity</t>
        </r>
      </text>
    </comment>
    <comment ref="B6" authorId="0" shapeId="0" xr:uid="{387B4F8A-20F2-814B-AE09-A185BBBF7F2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 of hours users engaged wiht smartcast platform</t>
        </r>
      </text>
    </comment>
  </commentList>
</comments>
</file>

<file path=xl/sharedStrings.xml><?xml version="1.0" encoding="utf-8"?>
<sst xmlns="http://schemas.openxmlformats.org/spreadsheetml/2006/main" count="114" uniqueCount="97">
  <si>
    <t>P</t>
  </si>
  <si>
    <t>S</t>
  </si>
  <si>
    <t>MC</t>
  </si>
  <si>
    <t>C</t>
  </si>
  <si>
    <t>D</t>
  </si>
  <si>
    <t>EV</t>
  </si>
  <si>
    <t>Q323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</si>
  <si>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</si>
  <si>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</si>
  <si>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</si>
  <si>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</si>
  <si>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</si>
  <si>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</si>
  <si>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</si>
  <si>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</si>
  <si>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</si>
  <si>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</si>
  <si>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</si>
  <si>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</si>
  <si>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</si>
  <si>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Q324</t>
  </si>
  <si>
    <t>Q424</t>
  </si>
  <si>
    <t xml:space="preserve">Cash </t>
  </si>
  <si>
    <t>STI</t>
  </si>
  <si>
    <t>A/R</t>
  </si>
  <si>
    <t>Inventories</t>
  </si>
  <si>
    <t>Prepaid</t>
  </si>
  <si>
    <t>Device</t>
  </si>
  <si>
    <t>Platform</t>
  </si>
  <si>
    <t xml:space="preserve">Revenue </t>
  </si>
  <si>
    <t xml:space="preserve">Platform </t>
  </si>
  <si>
    <t>SG&amp;A</t>
  </si>
  <si>
    <t>Marketing</t>
  </si>
  <si>
    <t>R&amp;D</t>
  </si>
  <si>
    <t>D&amp;A</t>
  </si>
  <si>
    <t>Op Income</t>
  </si>
  <si>
    <t>Interest income</t>
  </si>
  <si>
    <t>Other income</t>
  </si>
  <si>
    <t>EBT</t>
  </si>
  <si>
    <t>Taxes</t>
  </si>
  <si>
    <t xml:space="preserve">Net Income </t>
  </si>
  <si>
    <t>.</t>
  </si>
  <si>
    <t>Diluted</t>
  </si>
  <si>
    <t>Eps</t>
  </si>
  <si>
    <t>Margins</t>
  </si>
  <si>
    <t>Other Rec.</t>
  </si>
  <si>
    <t>A/P</t>
  </si>
  <si>
    <t>Accrued Exp</t>
  </si>
  <si>
    <t>OCL</t>
  </si>
  <si>
    <t>OLTL</t>
  </si>
  <si>
    <t>TL</t>
  </si>
  <si>
    <t>PPE</t>
  </si>
  <si>
    <t>Goodwill</t>
  </si>
  <si>
    <t>Deferred i/t</t>
  </si>
  <si>
    <t>OA</t>
  </si>
  <si>
    <t>TA</t>
  </si>
  <si>
    <t>TL + E</t>
  </si>
  <si>
    <t>E</t>
  </si>
  <si>
    <t xml:space="preserve">I/T Payable </t>
  </si>
  <si>
    <t>Accrued Royalties</t>
  </si>
  <si>
    <t xml:space="preserve">A/P Due </t>
  </si>
  <si>
    <t>I/T Rec</t>
  </si>
  <si>
    <t xml:space="preserve">error check </t>
  </si>
  <si>
    <t xml:space="preserve">CFFO </t>
  </si>
  <si>
    <t>Capex</t>
  </si>
  <si>
    <t xml:space="preserve">Free Cash Flow </t>
  </si>
  <si>
    <t>Founded</t>
  </si>
  <si>
    <t>Founder</t>
  </si>
  <si>
    <t>Segments</t>
  </si>
  <si>
    <t>Smart TVS, soundbars</t>
  </si>
  <si>
    <t>Smartcast. (TV OS)</t>
  </si>
  <si>
    <t xml:space="preserve">Value prop </t>
  </si>
  <si>
    <t>Consumers</t>
  </si>
  <si>
    <t>Retailers</t>
  </si>
  <si>
    <t>Competitive products</t>
  </si>
  <si>
    <t xml:space="preserve">Key Tech </t>
  </si>
  <si>
    <t>Inscape: can track view data</t>
  </si>
  <si>
    <t>Competitors</t>
  </si>
  <si>
    <t>Amazon, Samsung, Sony, LG, Hisense, TCL, Onn | Sony, LG, Bose, Sonos, Onn</t>
  </si>
  <si>
    <t>Samsung, Roku, Amazon, Apple TV, Hulu, YouTube V</t>
  </si>
  <si>
    <t>Smart TV Shipments</t>
  </si>
  <si>
    <t>SmartCast Active Accounts</t>
  </si>
  <si>
    <t>Smartcast Hours</t>
  </si>
  <si>
    <t>SmartCast ARPU</t>
  </si>
  <si>
    <t>$m</t>
  </si>
  <si>
    <t>Device Rev Per Unit</t>
  </si>
  <si>
    <t>Total VIZIO Hours</t>
  </si>
  <si>
    <t>Effective Smatcast ARPU</t>
  </si>
  <si>
    <t xml:space="preserve">Smartcast Hours % Total </t>
  </si>
  <si>
    <t xml:space="preserve">Terminal </t>
  </si>
  <si>
    <t>Discount</t>
  </si>
  <si>
    <t>NPV</t>
  </si>
  <si>
    <t>Shares</t>
  </si>
  <si>
    <t>Estimate</t>
  </si>
  <si>
    <t>Current</t>
  </si>
  <si>
    <t xml:space="preserve">Net cash 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</si>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</sst>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5" formatCode="0.0"/>
  </numFmts>
  <fonts count="6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3" fontId="0" fillId="0" borderId="1" xfId="0" applyNumberFormat="1" applyBorder="1"/>
    <xf numFmtId="3" fontId="0" fillId="0" borderId="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2" fillId="0" borderId="6" xfId="0" applyNumberFormat="1" applyFont="1" applyBorder="1"/>
    <xf numFmtId="3" fontId="2" fillId="0" borderId="1" xfId="0" applyNumberFormat="1" applyFont="1" applyBorder="1"/>
    <xf numFmtId="3" fontId="2" fillId="0" borderId="7" xfId="0" applyNumberFormat="1" applyFont="1" applyBorder="1"/>
    <xf numFmtId="165" fontId="0" fillId="0" borderId="0" xfId="0" applyNumberFormat="1"/>
    <xf numFmtId="42" fontId="0" fillId="0" borderId="0" xfId="0" applyNumberFormat="1"/>
    <xf numFmtId="16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42" fontId="0" fillId="0" borderId="0" xfId="0" applyNumberFormat="1" applyAlignment="1">
      <alignment horizontal="left"/>
    </xf>
    <xf numFmtId="165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4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9" fontId="0" fillId="0" borderId="0" xfId="1" applyFont="1" applyAlignment="1">
      <alignment horizontal="left"/>
    </xf>
    <xf numFmtId="3" fontId="2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409894</xdr:colOff>
      <xdr:row>0</xdr:row>
      <xdr:rowOff>40317</xdr:rowOff>
    </xdr:from>
    <xdr:to>
      <xdr:col>13</xdr:col>
      <xdr:colOff>6719</xdr:colOff>
      <xdr:row>87</xdr:row>
      <xdr:rowOff>20158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A503F7-3604-0EFB-105A-AE5B5541BD8E}"/>
            </a:ext>
          </a:extLst>
        </xdr:cNvPr>
        <xdr:cNvCxnSpPr/>
      </xdr:nvCxnSpPr>
      <xdr:spPr>
        <a:xfrm>
          <a:off x="5872910" y="40317"/>
          <a:ext cx="13439" cy="1190709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26878</xdr:colOff>
      <xdr:row>0</xdr:row>
      <xdr:rowOff>6721</xdr:rowOff>
    </xdr:from>
    <xdr:to>
      <xdr:col>27</xdr:col>
      <xdr:colOff>40317</xdr:colOff>
      <xdr:row>86</xdr:row>
      <xdr:rowOff>154551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3FD5177-3B94-6C4D-87C8-CB59F14A5C92}"/>
            </a:ext>
          </a:extLst>
        </xdr:cNvPr>
        <xdr:cNvCxnSpPr/>
      </xdr:nvCxnSpPr>
      <xdr:spPr>
        <a:xfrm>
          <a:off x="12303545" y="6721"/>
          <a:ext cx="13439" cy="1257904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68EF-3C53-4D4E-86C9-F3E30C04A459}">
  <dimension ref="B2:J12"/>
  <sheetViews>
    <sheetView tabSelected="1" zoomScale="220" zoomScaleNormal="220" workbookViewId="0">
      <selection activeCell="F11" sqref="F11"/>
    </sheetView>
  </sheetViews>
  <sheetFormatPr baseColWidth="10" defaultRowHeight="13"/>
  <cols>
    <col min="1" max="1" width="2" style="1" customWidth="1"/>
    <col min="2" max="2" width="10.83203125" style="1"/>
    <col min="3" max="3" width="20.1640625" style="1" customWidth="1"/>
    <col min="4" max="4" width="10.83203125" style="1"/>
    <col min="5" max="5" width="7.83203125" style="1" customWidth="1"/>
    <col min="6" max="7" width="10.83203125" style="1"/>
    <col min="8" max="8" width="3.6640625" style="1" bestFit="1" customWidth="1"/>
    <col min="9" max="9" width="5.6640625" style="1" bestFit="1" customWidth="1"/>
    <col min="10" max="10" width="5.5" style="1" bestFit="1" customWidth="1"/>
    <col min="11" max="16384" width="10.83203125" style="1"/>
  </cols>
  <sheetData>
    <row r="2" spans="2:10">
      <c r="B2" s="1" t="s">
        <v>66</v>
      </c>
    </row>
    <row r="3" spans="2:10">
      <c r="B3" s="1" t="s">
        <v>67</v>
      </c>
    </row>
    <row r="4" spans="2:10">
      <c r="H4" s="1" t="s">
        <v>0</v>
      </c>
      <c r="I4" s="1">
        <v>7.56</v>
      </c>
    </row>
    <row r="5" spans="2:10">
      <c r="H5" s="1" t="s">
        <v>1</v>
      </c>
      <c r="I5" s="1">
        <f>121.016127+76.180453</f>
        <v>197.19657999999998</v>
      </c>
      <c r="J5" s="1" t="s">
        <v>6</v>
      </c>
    </row>
    <row r="6" spans="2:10">
      <c r="B6" s="15" t="s">
        <v>68</v>
      </c>
      <c r="C6" s="13"/>
      <c r="D6" s="17" t="s">
        <v>75</v>
      </c>
      <c r="E6" s="17" t="s">
        <v>77</v>
      </c>
      <c r="F6" s="14" t="s">
        <v>41</v>
      </c>
      <c r="H6" s="1" t="s">
        <v>2</v>
      </c>
      <c r="I6" s="1">
        <f>+I4*I5</f>
        <v>1490.8061447999999</v>
      </c>
    </row>
    <row r="7" spans="2:10">
      <c r="B7" s="7" t="s">
        <v>27</v>
      </c>
      <c r="C7" s="8" t="s">
        <v>69</v>
      </c>
      <c r="D7" s="8"/>
      <c r="E7" s="8" t="s">
        <v>78</v>
      </c>
      <c r="F7" s="9" t="s">
        <v>41</v>
      </c>
      <c r="H7" s="1" t="s">
        <v>3</v>
      </c>
      <c r="I7" s="1">
        <f>215.5+119.4</f>
        <v>334.9</v>
      </c>
      <c r="J7" s="1" t="str">
        <f>+J5</f>
        <v>Q323</v>
      </c>
    </row>
    <row r="8" spans="2:10">
      <c r="B8" s="7" t="s">
        <v>28</v>
      </c>
      <c r="C8" s="8" t="s">
        <v>70</v>
      </c>
      <c r="D8" s="8" t="s">
        <v>76</v>
      </c>
      <c r="E8" s="8" t="s">
        <v>79</v>
      </c>
      <c r="F8" s="9" t="s">
        <v>41</v>
      </c>
      <c r="H8" s="1" t="s">
        <v>4</v>
      </c>
      <c r="I8" s="1">
        <v>0</v>
      </c>
      <c r="J8" s="1" t="str">
        <f>+J7</f>
        <v>Q323</v>
      </c>
    </row>
    <row r="9" spans="2:10">
      <c r="B9" s="16" t="s">
        <v>71</v>
      </c>
      <c r="C9" s="8"/>
      <c r="D9" s="8"/>
      <c r="E9" s="8"/>
      <c r="F9" s="9"/>
      <c r="H9" s="1" t="s">
        <v>5</v>
      </c>
      <c r="I9" s="1">
        <f>+I6-I7+I8</f>
        <v>1155.9061447999998</v>
      </c>
    </row>
    <row r="10" spans="2:10">
      <c r="B10" s="7" t="s">
        <v>72</v>
      </c>
      <c r="C10" s="8" t="s">
        <v>69</v>
      </c>
      <c r="D10" s="8"/>
      <c r="E10" s="8"/>
      <c r="F10" s="9"/>
    </row>
    <row r="11" spans="2:10">
      <c r="B11" s="7" t="s">
        <v>73</v>
      </c>
      <c r="C11" s="8" t="s">
        <v>74</v>
      </c>
      <c r="D11" s="8"/>
      <c r="E11" s="8"/>
      <c r="F11" s="9"/>
    </row>
    <row r="12" spans="2:10">
      <c r="B12" s="10"/>
      <c r="C12" s="11"/>
      <c r="D12" s="11"/>
      <c r="E12" s="11"/>
      <c r="F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DB5E-EA6B-0246-A479-9797728F58FC}">
  <dimension ref="A1:DM75"/>
  <sheetViews>
    <sheetView zoomScale="130" zoomScaleNormal="13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O15" sqref="O15"/>
    </sheetView>
  </sheetViews>
  <sheetFormatPr baseColWidth="10" defaultRowHeight="13" outlineLevelRow="1"/>
  <cols>
    <col min="1" max="1" width="3.5" style="1" bestFit="1" customWidth="1"/>
    <col min="2" max="2" width="22.33203125" style="1" bestFit="1" customWidth="1"/>
    <col min="3" max="13" width="5.6640625" style="21" bestFit="1" customWidth="1"/>
    <col min="14" max="18" width="5.5" style="21" bestFit="1" customWidth="1"/>
    <col min="19" max="19" width="4" style="21" customWidth="1"/>
    <col min="20" max="24" width="5.1640625" style="21" bestFit="1" customWidth="1"/>
    <col min="25" max="27" width="6.6640625" style="21" bestFit="1" customWidth="1"/>
    <col min="28" max="37" width="5.6640625" style="21" bestFit="1" customWidth="1"/>
    <col min="38" max="39" width="4.1640625" style="21" bestFit="1" customWidth="1"/>
    <col min="40" max="40" width="8.1640625" style="21" bestFit="1" customWidth="1"/>
    <col min="41" max="41" width="5.6640625" style="21" bestFit="1" customWidth="1"/>
    <col min="42" max="117" width="4.1640625" style="21" bestFit="1" customWidth="1"/>
    <col min="118" max="16384" width="10.83203125" style="21"/>
  </cols>
  <sheetData>
    <row r="1" spans="1:38" s="1" customFormat="1"/>
    <row r="2" spans="1:38" s="1" customFormat="1">
      <c r="A2" s="1" t="s">
        <v>84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T2" s="5">
        <v>2015</v>
      </c>
      <c r="U2" s="5">
        <f>+T2+1</f>
        <v>2016</v>
      </c>
      <c r="V2" s="5">
        <f t="shared" ref="V2:AL2" si="0">+U2+1</f>
        <v>2017</v>
      </c>
      <c r="W2" s="5">
        <f t="shared" si="0"/>
        <v>2018</v>
      </c>
      <c r="X2" s="5">
        <f t="shared" si="0"/>
        <v>2019</v>
      </c>
      <c r="Y2" s="5">
        <f t="shared" si="0"/>
        <v>2020</v>
      </c>
      <c r="Z2" s="5">
        <f t="shared" si="0"/>
        <v>2021</v>
      </c>
      <c r="AA2" s="5">
        <f t="shared" si="0"/>
        <v>2022</v>
      </c>
      <c r="AB2" s="5">
        <f t="shared" si="0"/>
        <v>2023</v>
      </c>
      <c r="AC2" s="5">
        <f t="shared" si="0"/>
        <v>2024</v>
      </c>
      <c r="AD2" s="5">
        <f t="shared" si="0"/>
        <v>2025</v>
      </c>
      <c r="AE2" s="5">
        <f t="shared" si="0"/>
        <v>2026</v>
      </c>
      <c r="AF2" s="5">
        <f t="shared" si="0"/>
        <v>2027</v>
      </c>
      <c r="AG2" s="5">
        <f t="shared" si="0"/>
        <v>2028</v>
      </c>
      <c r="AH2" s="5">
        <f t="shared" si="0"/>
        <v>2029</v>
      </c>
      <c r="AI2" s="5">
        <f t="shared" si="0"/>
        <v>2030</v>
      </c>
      <c r="AJ2" s="5">
        <f t="shared" si="0"/>
        <v>2031</v>
      </c>
      <c r="AK2" s="5">
        <f t="shared" si="0"/>
        <v>2032</v>
      </c>
      <c r="AL2" s="5"/>
    </row>
    <row r="3" spans="1:38" s="20" customFormat="1">
      <c r="A3" s="18"/>
      <c r="B3" s="23" t="s">
        <v>80</v>
      </c>
      <c r="C3" s="20">
        <v>1.5</v>
      </c>
      <c r="D3" s="20">
        <v>1.1000000000000001</v>
      </c>
      <c r="E3" s="20">
        <v>1.4</v>
      </c>
      <c r="F3" s="20">
        <f>+Z3-SUM(C3:E3)</f>
        <v>1.5</v>
      </c>
      <c r="G3" s="20">
        <v>1.4</v>
      </c>
      <c r="H3" s="20">
        <v>1.1000000000000001</v>
      </c>
      <c r="I3" s="20">
        <v>1.2</v>
      </c>
      <c r="J3" s="20">
        <f>+AA3-SUM(G3:I3)</f>
        <v>1.5</v>
      </c>
      <c r="K3" s="20">
        <v>0.9</v>
      </c>
      <c r="L3" s="20">
        <v>1</v>
      </c>
      <c r="M3" s="20">
        <v>1.1000000000000001</v>
      </c>
      <c r="Y3" s="20">
        <v>7.1</v>
      </c>
      <c r="Z3" s="20">
        <v>5.5</v>
      </c>
      <c r="AA3" s="20">
        <v>5.2</v>
      </c>
      <c r="AB3" s="20">
        <v>4.5</v>
      </c>
      <c r="AC3" s="20">
        <f>+AB3-0.1</f>
        <v>4.4000000000000004</v>
      </c>
      <c r="AD3" s="20">
        <f t="shared" ref="AD3:AK3" si="1">+AC3-0.1</f>
        <v>4.3000000000000007</v>
      </c>
      <c r="AE3" s="20">
        <f t="shared" si="1"/>
        <v>4.2000000000000011</v>
      </c>
      <c r="AF3" s="20">
        <f t="shared" si="1"/>
        <v>4.1000000000000014</v>
      </c>
      <c r="AG3" s="20">
        <f t="shared" si="1"/>
        <v>4.0000000000000018</v>
      </c>
      <c r="AH3" s="20">
        <f t="shared" si="1"/>
        <v>3.9000000000000017</v>
      </c>
      <c r="AI3" s="20">
        <f t="shared" si="1"/>
        <v>3.8000000000000016</v>
      </c>
      <c r="AJ3" s="20">
        <f t="shared" si="1"/>
        <v>3.7000000000000015</v>
      </c>
      <c r="AK3" s="20">
        <f t="shared" si="1"/>
        <v>3.6000000000000014</v>
      </c>
    </row>
    <row r="4" spans="1:38" s="20" customFormat="1">
      <c r="A4" s="18"/>
      <c r="B4" s="23" t="s">
        <v>81</v>
      </c>
      <c r="C4" s="20">
        <v>13.5</v>
      </c>
      <c r="D4" s="20">
        <v>14</v>
      </c>
      <c r="E4" s="20">
        <v>14.4</v>
      </c>
      <c r="F4" s="20">
        <f t="shared" ref="F4:F8" si="2">+Z4</f>
        <v>15.1</v>
      </c>
      <c r="G4" s="20">
        <v>15.6</v>
      </c>
      <c r="H4" s="20">
        <v>16.100000000000001</v>
      </c>
      <c r="I4" s="20">
        <v>16.600000000000001</v>
      </c>
      <c r="J4" s="20">
        <f t="shared" ref="J4:J12" si="3">+AA4</f>
        <v>17.399999999999999</v>
      </c>
      <c r="K4" s="20">
        <v>17.5</v>
      </c>
      <c r="L4" s="20">
        <v>17.600000000000001</v>
      </c>
      <c r="M4" s="20">
        <v>17.899999999999999</v>
      </c>
      <c r="Y4" s="20">
        <v>12.2</v>
      </c>
      <c r="Z4" s="20">
        <v>15.1</v>
      </c>
      <c r="AA4" s="20">
        <v>17.399999999999999</v>
      </c>
      <c r="AB4" s="20">
        <v>17.899999999999999</v>
      </c>
      <c r="AC4" s="20">
        <f>+AC3*4</f>
        <v>17.600000000000001</v>
      </c>
      <c r="AD4" s="20">
        <f t="shared" ref="AD4:AK4" si="4">+AD3*4</f>
        <v>17.200000000000003</v>
      </c>
      <c r="AE4" s="20">
        <f t="shared" si="4"/>
        <v>16.800000000000004</v>
      </c>
      <c r="AF4" s="20">
        <f t="shared" si="4"/>
        <v>16.400000000000006</v>
      </c>
      <c r="AG4" s="20">
        <f t="shared" si="4"/>
        <v>16.000000000000007</v>
      </c>
      <c r="AH4" s="20">
        <f t="shared" si="4"/>
        <v>15.600000000000007</v>
      </c>
      <c r="AI4" s="20">
        <f t="shared" si="4"/>
        <v>15.200000000000006</v>
      </c>
      <c r="AJ4" s="20">
        <f t="shared" si="4"/>
        <v>14.800000000000006</v>
      </c>
      <c r="AK4" s="20">
        <f t="shared" si="4"/>
        <v>14.400000000000006</v>
      </c>
    </row>
    <row r="5" spans="1:38">
      <c r="B5" s="24" t="s">
        <v>86</v>
      </c>
      <c r="C5" s="21">
        <v>6951</v>
      </c>
      <c r="D5" s="21">
        <v>7151</v>
      </c>
      <c r="E5" s="21">
        <v>7320</v>
      </c>
      <c r="F5" s="21">
        <f>+Z5-SUM(C5:E5)</f>
        <v>7915</v>
      </c>
      <c r="G5" s="21">
        <v>8208</v>
      </c>
      <c r="H5" s="21">
        <v>8154</v>
      </c>
      <c r="I5" s="21">
        <v>8129</v>
      </c>
      <c r="J5" s="21">
        <f>+AA5-SUM(G5:I5)</f>
        <v>8949</v>
      </c>
      <c r="K5" s="21">
        <v>8992</v>
      </c>
      <c r="L5" s="21">
        <v>8852</v>
      </c>
      <c r="M5" s="21">
        <v>8913</v>
      </c>
      <c r="Y5" s="21">
        <v>23264</v>
      </c>
      <c r="Z5" s="21">
        <v>29337</v>
      </c>
      <c r="AA5" s="21">
        <v>33440</v>
      </c>
    </row>
    <row r="6" spans="1:38">
      <c r="B6" s="24" t="s">
        <v>82</v>
      </c>
      <c r="C6" s="21">
        <v>3622</v>
      </c>
      <c r="D6" s="21">
        <v>3505</v>
      </c>
      <c r="E6" s="21">
        <v>3620</v>
      </c>
      <c r="F6" s="21">
        <f>+Z6-SUM(C6:E6)</f>
        <v>3851</v>
      </c>
      <c r="G6" s="21">
        <v>4116</v>
      </c>
      <c r="H6" s="21">
        <v>4281</v>
      </c>
      <c r="I6" s="21">
        <v>4243</v>
      </c>
      <c r="J6" s="21">
        <f>+AA6-SUM(G6:I6)</f>
        <v>4763</v>
      </c>
      <c r="K6" s="21">
        <v>4881</v>
      </c>
      <c r="L6" s="21">
        <v>4952</v>
      </c>
      <c r="M6" s="21">
        <v>5153</v>
      </c>
      <c r="Y6" s="21">
        <v>11596</v>
      </c>
      <c r="Z6" s="21">
        <v>14598</v>
      </c>
      <c r="AA6" s="21">
        <v>17403</v>
      </c>
    </row>
    <row r="7" spans="1:38" s="28" customFormat="1">
      <c r="A7" s="5"/>
      <c r="B7" s="31" t="s">
        <v>83</v>
      </c>
      <c r="C7" s="28">
        <v>14.43</v>
      </c>
      <c r="D7" s="28">
        <v>16.760000000000002</v>
      </c>
      <c r="E7" s="28">
        <v>19.89</v>
      </c>
      <c r="F7" s="28">
        <f t="shared" si="2"/>
        <v>21.68</v>
      </c>
      <c r="G7" s="28">
        <v>23.68</v>
      </c>
      <c r="H7" s="28">
        <v>25.87</v>
      </c>
      <c r="I7" s="28">
        <v>27.69</v>
      </c>
      <c r="J7" s="28">
        <f t="shared" si="3"/>
        <v>28.3</v>
      </c>
      <c r="K7" s="28">
        <v>29.2</v>
      </c>
      <c r="L7" s="28">
        <v>30.55</v>
      </c>
      <c r="M7" s="28">
        <v>31.55</v>
      </c>
      <c r="Y7" s="28">
        <v>12.99</v>
      </c>
      <c r="Z7" s="28">
        <v>21.68</v>
      </c>
      <c r="AA7" s="28">
        <v>28.3</v>
      </c>
    </row>
    <row r="8" spans="1:38" s="22" customFormat="1">
      <c r="A8" s="19"/>
      <c r="B8" s="25" t="s">
        <v>88</v>
      </c>
      <c r="C8" s="27">
        <f t="shared" ref="C8:D8" si="5">+C6/C5</f>
        <v>0.52107610415767514</v>
      </c>
      <c r="D8" s="27">
        <f t="shared" si="5"/>
        <v>0.49014123898755418</v>
      </c>
      <c r="E8" s="27">
        <f t="shared" ref="E8:G8" si="6">+E6/E5</f>
        <v>0.49453551912568305</v>
      </c>
      <c r="F8" s="27">
        <f t="shared" si="2"/>
        <v>0.4975968912976787</v>
      </c>
      <c r="G8" s="27">
        <f t="shared" si="6"/>
        <v>0.50146198830409361</v>
      </c>
      <c r="H8" s="27">
        <f t="shared" ref="H8:I8" si="7">+H6/H5</f>
        <v>0.52501839587932309</v>
      </c>
      <c r="I8" s="27">
        <f t="shared" si="7"/>
        <v>0.52195842046992247</v>
      </c>
      <c r="J8" s="27">
        <f t="shared" si="3"/>
        <v>0.52042464114832532</v>
      </c>
      <c r="K8" s="27">
        <f t="shared" ref="K8" si="8">+K6/K5</f>
        <v>0.54281583629893237</v>
      </c>
      <c r="L8" s="27">
        <f t="shared" ref="L8:M8" si="9">+L6/L5</f>
        <v>0.5594215996384998</v>
      </c>
      <c r="M8" s="27">
        <f t="shared" si="9"/>
        <v>0.57814428363065185</v>
      </c>
      <c r="Y8" s="27">
        <f>+Y6/Y5</f>
        <v>0.49845254470426409</v>
      </c>
      <c r="Z8" s="27">
        <f t="shared" ref="Z8:AA8" si="10">+Z6/Z5</f>
        <v>0.4975968912976787</v>
      </c>
      <c r="AA8" s="27">
        <f t="shared" si="10"/>
        <v>0.52042464114832532</v>
      </c>
    </row>
    <row r="9" spans="1:38" s="22" customFormat="1">
      <c r="A9" s="19"/>
      <c r="B9" s="25"/>
      <c r="C9" s="27"/>
      <c r="D9" s="27"/>
      <c r="E9" s="27"/>
      <c r="G9" s="27"/>
      <c r="H9" s="27"/>
      <c r="I9" s="27"/>
      <c r="J9" s="20"/>
      <c r="K9" s="27"/>
      <c r="L9" s="27"/>
      <c r="M9" s="27"/>
      <c r="Y9" s="27"/>
      <c r="Z9" s="27"/>
      <c r="AA9" s="27">
        <f>+AA4/Z4-1</f>
        <v>0.15231788079470188</v>
      </c>
    </row>
    <row r="10" spans="1:38">
      <c r="B10" s="24" t="s">
        <v>85</v>
      </c>
      <c r="C10" s="28">
        <f>+C15/C3</f>
        <v>302.33333333333331</v>
      </c>
      <c r="D10" s="28">
        <f>+D15/D3</f>
        <v>305.09090909090907</v>
      </c>
      <c r="E10" s="28">
        <f>+E15/E3</f>
        <v>358.92857142857144</v>
      </c>
      <c r="F10" s="28">
        <f>+F15/F3</f>
        <v>349.13333333333338</v>
      </c>
      <c r="G10" s="28">
        <f>+G15/G3</f>
        <v>273.5</v>
      </c>
      <c r="H10" s="28">
        <f>+H15/H3</f>
        <v>271</v>
      </c>
      <c r="I10" s="28">
        <f>+I15/I3</f>
        <v>255.83333333333334</v>
      </c>
      <c r="J10" s="20">
        <f t="shared" si="3"/>
        <v>266.34615384615381</v>
      </c>
      <c r="K10" s="28">
        <f>+K15/K3</f>
        <v>256.88888888888886</v>
      </c>
      <c r="L10" s="28">
        <f>+L15/L3</f>
        <v>252.1</v>
      </c>
      <c r="M10" s="28">
        <f>+M15/M3</f>
        <v>245.45454545454544</v>
      </c>
      <c r="T10" s="28"/>
      <c r="U10" s="28"/>
      <c r="V10" s="28"/>
      <c r="W10" s="28"/>
      <c r="X10" s="28"/>
      <c r="Y10" s="28">
        <f>+Y15/Y3</f>
        <v>0</v>
      </c>
      <c r="Z10" s="28">
        <f>+Z15/Z3</f>
        <v>330.05454545454546</v>
      </c>
      <c r="AA10" s="28">
        <f t="shared" ref="AA10:AB10" si="11">+AA15/AA3</f>
        <v>266.34615384615381</v>
      </c>
      <c r="AB10" s="28">
        <f t="shared" si="11"/>
        <v>246.79999999999998</v>
      </c>
      <c r="AC10" s="28">
        <f>+AB10*0.9</f>
        <v>222.11999999999998</v>
      </c>
      <c r="AD10" s="28">
        <f t="shared" ref="AD10:AK10" si="12">+AC10*0.9</f>
        <v>199.90799999999999</v>
      </c>
      <c r="AE10" s="28">
        <f t="shared" si="12"/>
        <v>179.91719999999998</v>
      </c>
      <c r="AF10" s="28">
        <f t="shared" si="12"/>
        <v>161.92547999999999</v>
      </c>
      <c r="AG10" s="28">
        <f t="shared" si="12"/>
        <v>145.73293200000001</v>
      </c>
      <c r="AH10" s="28">
        <f t="shared" si="12"/>
        <v>131.15963880000001</v>
      </c>
      <c r="AI10" s="28">
        <f t="shared" si="12"/>
        <v>118.04367492000002</v>
      </c>
      <c r="AJ10" s="28">
        <f t="shared" si="12"/>
        <v>106.23930742800002</v>
      </c>
      <c r="AK10" s="28">
        <f t="shared" si="12"/>
        <v>95.615376685200019</v>
      </c>
      <c r="AL10" s="28"/>
    </row>
    <row r="11" spans="1:38" s="27" customFormat="1" outlineLevel="1">
      <c r="A11" s="4"/>
      <c r="B11" s="26"/>
      <c r="G11" s="27">
        <f t="shared" ref="G11" si="13">+G10/C10-1</f>
        <v>-9.536934950385878E-2</v>
      </c>
      <c r="H11" s="27">
        <f t="shared" ref="H11" si="14">+H10/D10-1</f>
        <v>-0.11174016686531574</v>
      </c>
      <c r="I11" s="27">
        <f t="shared" ref="I11" si="15">+I10/E10-1</f>
        <v>-0.28723051409618572</v>
      </c>
      <c r="J11" s="27">
        <f t="shared" ref="J11" si="16">+J10/F10-1</f>
        <v>-0.23712195766807209</v>
      </c>
      <c r="K11" s="27">
        <f t="shared" ref="K11:L11" si="17">+K10/G10-1</f>
        <v>-6.0735323989437484E-2</v>
      </c>
      <c r="L11" s="27">
        <f t="shared" si="17"/>
        <v>-6.9741697416974224E-2</v>
      </c>
      <c r="M11" s="27">
        <f>+M10/I10-1</f>
        <v>-4.0568551969203503E-2</v>
      </c>
    </row>
    <row r="12" spans="1:38">
      <c r="B12" s="24" t="s">
        <v>87</v>
      </c>
      <c r="C12" s="28">
        <f>+C16/C4</f>
        <v>3.8666666666666667</v>
      </c>
      <c r="D12" s="28">
        <f>+D16/D4</f>
        <v>4.6785714285714288</v>
      </c>
      <c r="E12" s="28">
        <f>+E16/E4</f>
        <v>5.958333333333333</v>
      </c>
      <c r="F12" s="28">
        <f>+F16/F4</f>
        <v>6.960264900662251</v>
      </c>
      <c r="G12" s="28">
        <f>+G16/G4</f>
        <v>6.5769230769230766</v>
      </c>
      <c r="H12" s="28">
        <f>+H16/H4</f>
        <v>6.8819875776397508</v>
      </c>
      <c r="I12" s="28">
        <f>+I16/I4</f>
        <v>7.710843373493975</v>
      </c>
      <c r="J12" s="20">
        <f t="shared" si="3"/>
        <v>27.46551724137931</v>
      </c>
      <c r="K12" s="28">
        <f>+K16/K4</f>
        <v>7.1714285714285717</v>
      </c>
      <c r="L12" s="28">
        <f>+L16/L4</f>
        <v>8.0852272727272734</v>
      </c>
      <c r="M12" s="28">
        <f>+M16/M4</f>
        <v>8.7262569832402228</v>
      </c>
      <c r="T12" s="28"/>
      <c r="U12" s="28"/>
      <c r="V12" s="28"/>
      <c r="W12" s="28"/>
      <c r="X12" s="28"/>
      <c r="Y12" s="29">
        <f>Y16/(Y6)</f>
        <v>0</v>
      </c>
      <c r="Z12" s="28">
        <f>+Z16/Z4</f>
        <v>20.437086092715234</v>
      </c>
      <c r="AA12" s="28">
        <f t="shared" ref="AA12:AB12" si="18">+AA16/AA4</f>
        <v>27.46551724137931</v>
      </c>
      <c r="AB12" s="28">
        <f t="shared" si="18"/>
        <v>32.877094972067042</v>
      </c>
      <c r="AC12" s="28">
        <f>+AB12*1.1</f>
        <v>36.164804469273747</v>
      </c>
      <c r="AD12" s="28">
        <f t="shared" ref="AD12:AK12" si="19">+AC12*1.1</f>
        <v>39.781284916201123</v>
      </c>
      <c r="AE12" s="28">
        <f t="shared" si="19"/>
        <v>43.759413407821242</v>
      </c>
      <c r="AF12" s="28">
        <f t="shared" si="19"/>
        <v>48.135354748603369</v>
      </c>
      <c r="AG12" s="28">
        <f t="shared" si="19"/>
        <v>52.948890223463714</v>
      </c>
      <c r="AH12" s="28">
        <f t="shared" si="19"/>
        <v>58.243779245810089</v>
      </c>
      <c r="AI12" s="28">
        <f t="shared" si="19"/>
        <v>64.068157170391103</v>
      </c>
      <c r="AJ12" s="28">
        <f t="shared" si="19"/>
        <v>70.474972887430226</v>
      </c>
      <c r="AK12" s="28">
        <f t="shared" si="19"/>
        <v>77.522470176173258</v>
      </c>
      <c r="AL12" s="28"/>
    </row>
    <row r="13" spans="1:38" outlineLevel="1">
      <c r="B13" s="24"/>
      <c r="C13" s="28"/>
      <c r="D13" s="28"/>
      <c r="E13" s="28"/>
      <c r="F13" s="28"/>
      <c r="G13" s="27">
        <f t="shared" ref="G13:L13" si="20">+G12/C12-1</f>
        <v>0.70092838196286467</v>
      </c>
      <c r="H13" s="27">
        <f t="shared" si="20"/>
        <v>0.47095917690009936</v>
      </c>
      <c r="I13" s="27">
        <f t="shared" si="20"/>
        <v>0.29412755918780009</v>
      </c>
      <c r="J13" s="27">
        <f t="shared" si="20"/>
        <v>2.9460448177433647</v>
      </c>
      <c r="K13" s="27">
        <f t="shared" si="20"/>
        <v>9.0392648287385136E-2</v>
      </c>
      <c r="L13" s="27">
        <f t="shared" si="20"/>
        <v>0.17483898096488382</v>
      </c>
      <c r="M13" s="27">
        <f>+M12/I12-1</f>
        <v>0.13168645251396649</v>
      </c>
      <c r="T13" s="28"/>
      <c r="U13" s="28"/>
      <c r="V13" s="28"/>
      <c r="W13" s="28"/>
      <c r="X13" s="28"/>
      <c r="Y13" s="29"/>
      <c r="Z13" s="28"/>
      <c r="AA13" s="28"/>
      <c r="AB13" s="32">
        <f>+AB12/AA12-1</f>
        <v>0.19703170645316281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>
      <c r="T14" s="28"/>
      <c r="U14" s="28"/>
      <c r="V14" s="28"/>
      <c r="W14" s="28"/>
      <c r="X14" s="28"/>
      <c r="Y14" s="27"/>
      <c r="Z14" s="27"/>
      <c r="AA14" s="27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>
      <c r="B15" s="1" t="s">
        <v>27</v>
      </c>
      <c r="C15" s="21">
        <v>453.5</v>
      </c>
      <c r="D15" s="21">
        <v>335.6</v>
      </c>
      <c r="E15" s="21">
        <v>502.5</v>
      </c>
      <c r="F15" s="21">
        <v>523.70000000000005</v>
      </c>
      <c r="G15" s="21">
        <v>382.9</v>
      </c>
      <c r="H15" s="21">
        <v>298.10000000000002</v>
      </c>
      <c r="I15" s="21">
        <v>307</v>
      </c>
      <c r="J15" s="21">
        <v>397</v>
      </c>
      <c r="K15" s="21">
        <v>231.2</v>
      </c>
      <c r="L15" s="21">
        <v>252.1</v>
      </c>
      <c r="M15" s="21">
        <v>270</v>
      </c>
      <c r="N15" s="21">
        <f>+J15*0.9</f>
        <v>357.3</v>
      </c>
      <c r="Z15" s="21">
        <f>SUM(C15:F15)</f>
        <v>1815.3</v>
      </c>
      <c r="AA15" s="21">
        <f>SUM(G15:J15)</f>
        <v>1385</v>
      </c>
      <c r="AB15" s="21">
        <f>SUM(K15:N15)</f>
        <v>1110.5999999999999</v>
      </c>
      <c r="AC15" s="21">
        <f>+AC10*AC3</f>
        <v>977.32799999999997</v>
      </c>
      <c r="AD15" s="21">
        <f t="shared" ref="AD15:AK15" si="21">+AD10*AD3</f>
        <v>859.60440000000006</v>
      </c>
      <c r="AE15" s="21">
        <f t="shared" si="21"/>
        <v>755.65224000000012</v>
      </c>
      <c r="AF15" s="21">
        <f t="shared" si="21"/>
        <v>663.89446800000019</v>
      </c>
      <c r="AG15" s="21">
        <f t="shared" si="21"/>
        <v>582.93172800000025</v>
      </c>
      <c r="AH15" s="21">
        <f t="shared" si="21"/>
        <v>511.52259132000029</v>
      </c>
      <c r="AI15" s="21">
        <f t="shared" si="21"/>
        <v>448.56596469600026</v>
      </c>
      <c r="AJ15" s="21">
        <f t="shared" si="21"/>
        <v>393.08543748360023</v>
      </c>
      <c r="AK15" s="21">
        <f t="shared" si="21"/>
        <v>344.21535606672018</v>
      </c>
    </row>
    <row r="16" spans="1:38">
      <c r="B16" s="1" t="s">
        <v>28</v>
      </c>
      <c r="C16" s="21">
        <v>52.2</v>
      </c>
      <c r="D16" s="21">
        <v>65.5</v>
      </c>
      <c r="E16" s="21">
        <v>85.8</v>
      </c>
      <c r="F16" s="21">
        <v>105.1</v>
      </c>
      <c r="G16" s="21">
        <v>102.6</v>
      </c>
      <c r="H16" s="21">
        <v>110.8</v>
      </c>
      <c r="I16" s="21">
        <v>128</v>
      </c>
      <c r="J16" s="21">
        <v>136.5</v>
      </c>
      <c r="K16" s="21">
        <v>125.5</v>
      </c>
      <c r="L16" s="21">
        <v>142.30000000000001</v>
      </c>
      <c r="M16" s="21">
        <v>156.19999999999999</v>
      </c>
      <c r="N16" s="21">
        <f>AVERAGE(162,167)</f>
        <v>164.5</v>
      </c>
      <c r="Z16" s="21">
        <f t="shared" ref="Z16:Z31" si="22">SUM(C16:F16)</f>
        <v>308.60000000000002</v>
      </c>
      <c r="AA16" s="21">
        <f t="shared" ref="Z16:AA31" si="23">SUM(G16:J16)</f>
        <v>477.9</v>
      </c>
      <c r="AB16" s="21">
        <f t="shared" ref="AB16:AB31" si="24">SUM(K16:N16)</f>
        <v>588.5</v>
      </c>
      <c r="AC16" s="21">
        <f>+AC12*AC4</f>
        <v>636.50055865921797</v>
      </c>
      <c r="AD16" s="21">
        <f t="shared" ref="AD16:AK16" si="25">+AD12*AD4</f>
        <v>684.23810055865943</v>
      </c>
      <c r="AE16" s="21">
        <f t="shared" si="25"/>
        <v>735.15814525139706</v>
      </c>
      <c r="AF16" s="21">
        <f t="shared" si="25"/>
        <v>789.41981787709551</v>
      </c>
      <c r="AG16" s="21">
        <f t="shared" si="25"/>
        <v>847.18224357541976</v>
      </c>
      <c r="AH16" s="21">
        <f t="shared" si="25"/>
        <v>908.60295623463776</v>
      </c>
      <c r="AI16" s="21">
        <f t="shared" si="25"/>
        <v>973.83598898994524</v>
      </c>
      <c r="AJ16" s="21">
        <f t="shared" si="25"/>
        <v>1043.0295987339678</v>
      </c>
      <c r="AK16" s="21">
        <f t="shared" si="25"/>
        <v>1116.3235705368954</v>
      </c>
    </row>
    <row r="17" spans="1:117">
      <c r="B17" s="2" t="s">
        <v>29</v>
      </c>
      <c r="C17" s="21">
        <f>+SUM(C15:C16)</f>
        <v>505.7</v>
      </c>
      <c r="D17" s="21">
        <f>+SUM(D15:D16)</f>
        <v>401.1</v>
      </c>
      <c r="E17" s="21">
        <f t="shared" ref="E17" si="26">+SUM(E15:E16)</f>
        <v>588.29999999999995</v>
      </c>
      <c r="F17" s="21">
        <f t="shared" ref="F17" si="27">+SUM(F15:F16)</f>
        <v>628.80000000000007</v>
      </c>
      <c r="G17" s="21">
        <f>+SUM(G15:G16)</f>
        <v>485.5</v>
      </c>
      <c r="H17" s="21">
        <f>+SUM(H15:H16)</f>
        <v>408.90000000000003</v>
      </c>
      <c r="I17" s="21">
        <f t="shared" ref="I17:J17" si="28">+SUM(I15:I16)</f>
        <v>435</v>
      </c>
      <c r="J17" s="21">
        <f t="shared" si="28"/>
        <v>533.5</v>
      </c>
      <c r="K17" s="21">
        <f>+SUM(K15:K16)</f>
        <v>356.7</v>
      </c>
      <c r="L17" s="21">
        <f>+SUM(L15:L16)</f>
        <v>394.4</v>
      </c>
      <c r="M17" s="21">
        <f>+SUM(M15:M16)</f>
        <v>426.2</v>
      </c>
      <c r="N17" s="21">
        <f t="shared" ref="N17:R17" si="29">+SUM(N15:N16)</f>
        <v>521.79999999999995</v>
      </c>
      <c r="Z17" s="21">
        <f t="shared" si="22"/>
        <v>2123.9</v>
      </c>
      <c r="AA17" s="21">
        <f t="shared" si="23"/>
        <v>1862.9</v>
      </c>
      <c r="AB17" s="21">
        <f t="shared" si="24"/>
        <v>1699.1</v>
      </c>
      <c r="AC17" s="21">
        <f>+SUM(AC15:AC16)</f>
        <v>1613.8285586592178</v>
      </c>
      <c r="AD17" s="21">
        <f t="shared" ref="AD17:AK17" si="30">+SUM(AD15:AD16)</f>
        <v>1543.8425005586596</v>
      </c>
      <c r="AE17" s="21">
        <f t="shared" si="30"/>
        <v>1490.8103852513973</v>
      </c>
      <c r="AF17" s="21">
        <f t="shared" si="30"/>
        <v>1453.3142858770957</v>
      </c>
      <c r="AG17" s="21">
        <f t="shared" si="30"/>
        <v>1430.11397157542</v>
      </c>
      <c r="AH17" s="21">
        <f t="shared" si="30"/>
        <v>1420.1255475546382</v>
      </c>
      <c r="AI17" s="21">
        <f t="shared" si="30"/>
        <v>1422.4019536859455</v>
      </c>
      <c r="AJ17" s="21">
        <f t="shared" si="30"/>
        <v>1436.1150362175681</v>
      </c>
      <c r="AK17" s="21">
        <f t="shared" si="30"/>
        <v>1460.5389266036157</v>
      </c>
    </row>
    <row r="18" spans="1:117">
      <c r="B18" s="1" t="s">
        <v>27</v>
      </c>
      <c r="C18" s="21">
        <v>405.2</v>
      </c>
      <c r="D18" s="21">
        <v>303.60000000000002</v>
      </c>
      <c r="E18" s="21">
        <v>476.9</v>
      </c>
      <c r="F18" s="21">
        <v>513.9</v>
      </c>
      <c r="G18" s="21">
        <v>375</v>
      </c>
      <c r="H18" s="21">
        <v>294.10000000000002</v>
      </c>
      <c r="I18" s="21">
        <v>305.8</v>
      </c>
      <c r="J18" s="21">
        <v>394.1</v>
      </c>
      <c r="K18" s="21">
        <v>229.6</v>
      </c>
      <c r="L18" s="21">
        <v>251.8</v>
      </c>
      <c r="M18" s="21">
        <v>273.3</v>
      </c>
      <c r="N18" s="21">
        <f>+N15*(M18/M15)</f>
        <v>361.66700000000009</v>
      </c>
      <c r="Z18" s="21">
        <f t="shared" si="22"/>
        <v>1699.6</v>
      </c>
      <c r="AA18" s="21">
        <f t="shared" si="23"/>
        <v>1369</v>
      </c>
      <c r="AB18" s="21">
        <f t="shared" si="24"/>
        <v>1116.3670000000002</v>
      </c>
      <c r="AC18" s="21">
        <f>+AC15*(AB18/AB15)</f>
        <v>982.40296000000035</v>
      </c>
      <c r="AD18" s="21">
        <f t="shared" ref="AD18:AK18" si="31">+AD15*(AC18/AC15)</f>
        <v>864.06805800000029</v>
      </c>
      <c r="AE18" s="21">
        <f t="shared" si="31"/>
        <v>759.57610680000039</v>
      </c>
      <c r="AF18" s="21">
        <f t="shared" si="31"/>
        <v>667.34186526000042</v>
      </c>
      <c r="AG18" s="21">
        <f t="shared" si="31"/>
        <v>585.95871096000042</v>
      </c>
      <c r="AH18" s="21">
        <f t="shared" si="31"/>
        <v>514.17876886740044</v>
      </c>
      <c r="AI18" s="21">
        <f t="shared" si="31"/>
        <v>450.89522808372044</v>
      </c>
      <c r="AJ18" s="21">
        <f t="shared" si="31"/>
        <v>395.12660776810236</v>
      </c>
      <c r="AK18" s="21">
        <f t="shared" si="31"/>
        <v>346.00275923477068</v>
      </c>
    </row>
    <row r="19" spans="1:117">
      <c r="B19" s="1" t="s">
        <v>28</v>
      </c>
      <c r="C19" s="21">
        <v>13.8</v>
      </c>
      <c r="D19" s="21">
        <v>18</v>
      </c>
      <c r="E19" s="21">
        <v>28.5</v>
      </c>
      <c r="F19" s="21">
        <v>37.799999999999997</v>
      </c>
      <c r="G19" s="21">
        <v>37.700000000000003</v>
      </c>
      <c r="H19" s="21">
        <v>40.9</v>
      </c>
      <c r="I19" s="21">
        <v>49.1</v>
      </c>
      <c r="J19" s="21">
        <v>53.7</v>
      </c>
      <c r="K19" s="21">
        <v>51.7</v>
      </c>
      <c r="L19" s="21">
        <v>56.5</v>
      </c>
      <c r="M19" s="21">
        <v>56.4</v>
      </c>
      <c r="N19" s="21">
        <f>+N16*(M19/M16)</f>
        <v>59.396927016645328</v>
      </c>
      <c r="Z19" s="21">
        <f t="shared" si="22"/>
        <v>98.1</v>
      </c>
      <c r="AA19" s="21">
        <f t="shared" si="23"/>
        <v>181.39999999999998</v>
      </c>
      <c r="AB19" s="21">
        <f t="shared" si="24"/>
        <v>223.99692701664532</v>
      </c>
      <c r="AC19" s="21">
        <f>+AC16*(AB19/AB16)</f>
        <v>242.26706743252814</v>
      </c>
      <c r="AD19" s="21">
        <f t="shared" ref="AD19:AK19" si="32">+AD16*(AC19/AC16)</f>
        <v>260.43709748996781</v>
      </c>
      <c r="AE19" s="21">
        <f t="shared" si="32"/>
        <v>279.81846288457018</v>
      </c>
      <c r="AF19" s="21">
        <f t="shared" si="32"/>
        <v>300.47173038319329</v>
      </c>
      <c r="AG19" s="21">
        <f t="shared" si="32"/>
        <v>322.45746675269527</v>
      </c>
      <c r="AH19" s="21">
        <f t="shared" si="32"/>
        <v>345.83563309226571</v>
      </c>
      <c r="AI19" s="21">
        <f t="shared" si="32"/>
        <v>370.66485803222332</v>
      </c>
      <c r="AJ19" s="21">
        <f t="shared" si="32"/>
        <v>397.00157162924972</v>
      </c>
      <c r="AK19" s="21">
        <f t="shared" si="32"/>
        <v>424.89897936535925</v>
      </c>
    </row>
    <row r="20" spans="1:117">
      <c r="B20" s="3" t="s">
        <v>31</v>
      </c>
      <c r="C20" s="21">
        <v>58.1</v>
      </c>
      <c r="D20" s="21">
        <v>70.400000000000006</v>
      </c>
      <c r="E20" s="21">
        <v>79.900000000000006</v>
      </c>
      <c r="F20" s="21">
        <v>77.7</v>
      </c>
      <c r="G20" s="21">
        <v>62.4</v>
      </c>
      <c r="H20" s="21">
        <v>50.3</v>
      </c>
      <c r="I20" s="21">
        <v>54.8</v>
      </c>
      <c r="J20" s="21">
        <v>53.2</v>
      </c>
      <c r="K20" s="21">
        <v>58.2</v>
      </c>
      <c r="L20" s="21">
        <v>58.6</v>
      </c>
      <c r="M20" s="21">
        <v>63.6</v>
      </c>
      <c r="N20" s="21">
        <f>+N$17*(M20/M$17)</f>
        <v>77.86597841389019</v>
      </c>
      <c r="Z20" s="21">
        <f t="shared" si="22"/>
        <v>286.10000000000002</v>
      </c>
      <c r="AA20" s="21">
        <f t="shared" si="23"/>
        <v>220.7</v>
      </c>
      <c r="AB20" s="21">
        <f t="shared" si="24"/>
        <v>258.2659784138902</v>
      </c>
      <c r="AC20" s="21">
        <f>+AC$17*(AB20/AB$17)</f>
        <v>245.30457989194343</v>
      </c>
      <c r="AD20" s="21">
        <f t="shared" ref="AD20:AK20" si="33">+AD$17*(AC20/AC$17)</f>
        <v>234.66658461757933</v>
      </c>
      <c r="AE20" s="21">
        <f t="shared" si="33"/>
        <v>226.60561637133819</v>
      </c>
      <c r="AF20" s="21">
        <f t="shared" si="33"/>
        <v>220.90614795181699</v>
      </c>
      <c r="AG20" s="21">
        <f t="shared" si="33"/>
        <v>217.37966224018609</v>
      </c>
      <c r="AH20" s="21">
        <f t="shared" si="33"/>
        <v>215.86140545568841</v>
      </c>
      <c r="AI20" s="21">
        <f t="shared" si="33"/>
        <v>216.20742291008747</v>
      </c>
      <c r="AJ20" s="21">
        <f t="shared" si="33"/>
        <v>218.29183387889447</v>
      </c>
      <c r="AK20" s="21">
        <f t="shared" si="33"/>
        <v>222.0043051561743</v>
      </c>
    </row>
    <row r="21" spans="1:117">
      <c r="B21" s="3" t="s">
        <v>32</v>
      </c>
      <c r="C21" s="21">
        <v>4.4000000000000004</v>
      </c>
      <c r="D21" s="21">
        <v>10</v>
      </c>
      <c r="E21" s="21">
        <v>8.1</v>
      </c>
      <c r="F21" s="21">
        <v>10.4</v>
      </c>
      <c r="G21" s="21">
        <v>13.3</v>
      </c>
      <c r="H21" s="21">
        <v>9.1999999999999993</v>
      </c>
      <c r="I21" s="21">
        <v>8.8000000000000007</v>
      </c>
      <c r="J21" s="21">
        <v>9.8000000000000007</v>
      </c>
      <c r="K21" s="21">
        <v>7.6</v>
      </c>
      <c r="L21" s="21">
        <v>10</v>
      </c>
      <c r="M21" s="21">
        <v>9.1999999999999993</v>
      </c>
      <c r="N21" s="21">
        <f t="shared" ref="N21:N23" si="34">+N$17*(M21/M$17)</f>
        <v>11.263632097606756</v>
      </c>
      <c r="Z21" s="21">
        <f t="shared" si="22"/>
        <v>32.9</v>
      </c>
      <c r="AA21" s="21">
        <f t="shared" si="23"/>
        <v>41.1</v>
      </c>
      <c r="AB21" s="21">
        <f t="shared" si="24"/>
        <v>38.063632097606757</v>
      </c>
      <c r="AC21" s="21">
        <f t="shared" ref="AC21:AK23" si="35">+AC$17*(AB21/AB$17)</f>
        <v>36.153361500450508</v>
      </c>
      <c r="AD21" s="21">
        <f t="shared" si="35"/>
        <v>34.58551760220945</v>
      </c>
      <c r="AE21" s="21">
        <f t="shared" si="35"/>
        <v>33.397479860809007</v>
      </c>
      <c r="AF21" s="21">
        <f t="shared" si="35"/>
        <v>32.557483550009927</v>
      </c>
      <c r="AG21" s="21">
        <f t="shared" si="35"/>
        <v>32.03774473055973</v>
      </c>
      <c r="AH21" s="21">
        <f t="shared" si="35"/>
        <v>31.813981740057734</v>
      </c>
      <c r="AI21" s="21">
        <f t="shared" si="35"/>
        <v>31.864978317944157</v>
      </c>
      <c r="AJ21" s="21">
        <f t="shared" si="35"/>
        <v>32.172181971883184</v>
      </c>
      <c r="AK21" s="21">
        <f t="shared" si="35"/>
        <v>32.7193316264337</v>
      </c>
    </row>
    <row r="22" spans="1:117">
      <c r="B22" s="3" t="s">
        <v>33</v>
      </c>
      <c r="C22" s="21">
        <v>9.8000000000000007</v>
      </c>
      <c r="D22" s="21">
        <v>7.3</v>
      </c>
      <c r="E22" s="21">
        <v>8.8000000000000007</v>
      </c>
      <c r="F22" s="21">
        <v>8.3000000000000007</v>
      </c>
      <c r="G22" s="21">
        <v>9.1999999999999993</v>
      </c>
      <c r="H22" s="21">
        <v>9.4</v>
      </c>
      <c r="I22" s="21">
        <v>10.8</v>
      </c>
      <c r="J22" s="21">
        <v>11.4</v>
      </c>
      <c r="K22" s="21">
        <v>11.9</v>
      </c>
      <c r="L22" s="21">
        <v>10</v>
      </c>
      <c r="M22" s="21">
        <v>9.8000000000000007</v>
      </c>
      <c r="N22" s="21">
        <f t="shared" si="34"/>
        <v>11.99821679962459</v>
      </c>
      <c r="Z22" s="21">
        <f t="shared" si="22"/>
        <v>34.200000000000003</v>
      </c>
      <c r="AA22" s="21">
        <f t="shared" si="23"/>
        <v>40.800000000000004</v>
      </c>
      <c r="AB22" s="21">
        <f t="shared" si="24"/>
        <v>43.698216799624589</v>
      </c>
      <c r="AC22" s="21">
        <f t="shared" si="35"/>
        <v>41.505167579139645</v>
      </c>
      <c r="AD22" s="21">
        <f t="shared" si="35"/>
        <v>39.705234708896974</v>
      </c>
      <c r="AE22" s="21">
        <f t="shared" si="35"/>
        <v>38.341330952767592</v>
      </c>
      <c r="AF22" s="21">
        <f t="shared" si="35"/>
        <v>37.37698943102167</v>
      </c>
      <c r="AG22" s="21">
        <f t="shared" si="35"/>
        <v>36.780313329453747</v>
      </c>
      <c r="AH22" s="21">
        <f t="shared" si="35"/>
        <v>36.523426555075133</v>
      </c>
      <c r="AI22" s="21">
        <f t="shared" si="35"/>
        <v>36.581972190205413</v>
      </c>
      <c r="AJ22" s="21">
        <f t="shared" si="35"/>
        <v>36.934651404764878</v>
      </c>
      <c r="AK22" s="21">
        <f t="shared" si="35"/>
        <v>37.562795985531032</v>
      </c>
    </row>
    <row r="23" spans="1:117">
      <c r="B23" s="3" t="s">
        <v>34</v>
      </c>
      <c r="C23" s="21">
        <v>0.6</v>
      </c>
      <c r="D23" s="21">
        <v>0.7</v>
      </c>
      <c r="E23" s="21">
        <v>0.7</v>
      </c>
      <c r="F23" s="21">
        <v>0.8</v>
      </c>
      <c r="G23" s="21">
        <v>0.8</v>
      </c>
      <c r="H23" s="21">
        <v>0.9</v>
      </c>
      <c r="I23" s="21">
        <v>1</v>
      </c>
      <c r="J23" s="21">
        <v>0.9</v>
      </c>
      <c r="K23" s="21">
        <v>1</v>
      </c>
      <c r="L23" s="21">
        <v>1.2</v>
      </c>
      <c r="M23" s="21">
        <v>1.2</v>
      </c>
      <c r="N23" s="21">
        <f t="shared" si="34"/>
        <v>1.4691694040356638</v>
      </c>
      <c r="Z23" s="21">
        <f t="shared" si="22"/>
        <v>2.8</v>
      </c>
      <c r="AA23" s="21">
        <f t="shared" si="23"/>
        <v>3.6</v>
      </c>
      <c r="AB23" s="21">
        <f t="shared" si="24"/>
        <v>4.8691694040356639</v>
      </c>
    </row>
    <row r="24" spans="1:117">
      <c r="B24" s="3" t="s">
        <v>35</v>
      </c>
      <c r="C24" s="21">
        <f>+C17-SUM(C18:C23)</f>
        <v>13.799999999999955</v>
      </c>
      <c r="D24" s="21">
        <f>+D17-SUM(D18:D23)</f>
        <v>-8.8999999999999773</v>
      </c>
      <c r="E24" s="21">
        <f>+E17-SUM(E18:E23)</f>
        <v>-14.600000000000023</v>
      </c>
      <c r="F24" s="21">
        <f>+F17-SUM(F18:F23)</f>
        <v>-20.099999999999795</v>
      </c>
      <c r="G24" s="21">
        <f>+G17-SUM(G18:G23)</f>
        <v>-12.899999999999977</v>
      </c>
      <c r="H24" s="21">
        <f>+H17-SUM(H18:H23)</f>
        <v>4.1000000000000796</v>
      </c>
      <c r="I24" s="21">
        <f>+I17-SUM(I18:I23)</f>
        <v>4.6999999999999318</v>
      </c>
      <c r="J24" s="21">
        <f>+J17-SUM(J18:J23)</f>
        <v>10.399999999999977</v>
      </c>
      <c r="K24" s="21">
        <f>+K17-SUM(K18:K23)</f>
        <v>-3.3000000000000114</v>
      </c>
      <c r="L24" s="21">
        <f>+L17-SUM(L18:L23)</f>
        <v>6.2999999999999545</v>
      </c>
      <c r="M24" s="21">
        <f>+M17-SUM(M18:M23)</f>
        <v>12.699999999999989</v>
      </c>
      <c r="N24" s="21">
        <f t="shared" ref="N24:R24" si="36">+N17-SUM(N18:N23)</f>
        <v>-1.8609237318028136</v>
      </c>
      <c r="Z24" s="21">
        <f t="shared" si="22"/>
        <v>-29.799999999999841</v>
      </c>
      <c r="AA24" s="21">
        <f t="shared" si="23"/>
        <v>6.3000000000000114</v>
      </c>
      <c r="AB24" s="21">
        <f t="shared" si="24"/>
        <v>13.839076268197118</v>
      </c>
      <c r="AC24" s="21">
        <f t="shared" ref="AC24" si="37">+AC17-SUM(AC18:AC23)</f>
        <v>66.19542225515579</v>
      </c>
      <c r="AD24" s="21">
        <f t="shared" ref="AD24" si="38">+AD17-SUM(AD18:AD23)</f>
        <v>110.38000814000588</v>
      </c>
      <c r="AE24" s="21">
        <f t="shared" ref="AE24" si="39">+AE17-SUM(AE18:AE23)</f>
        <v>153.07138838191213</v>
      </c>
      <c r="AF24" s="21">
        <f t="shared" ref="AF24" si="40">+AF17-SUM(AF18:AF23)</f>
        <v>194.66006930105345</v>
      </c>
      <c r="AG24" s="21">
        <f t="shared" ref="AG24" si="41">+AG17-SUM(AG18:AG23)</f>
        <v>235.50007356252468</v>
      </c>
      <c r="AH24" s="21">
        <f t="shared" ref="AH24" si="42">+AH17-SUM(AH18:AH23)</f>
        <v>275.91233184415091</v>
      </c>
      <c r="AI24" s="21">
        <f t="shared" ref="AI24" si="43">+AI17-SUM(AI18:AI23)</f>
        <v>316.18749415176489</v>
      </c>
      <c r="AJ24" s="21">
        <f t="shared" ref="AJ24" si="44">+AJ17-SUM(AJ18:AJ23)</f>
        <v>356.58818956467326</v>
      </c>
      <c r="AK24" s="21">
        <f t="shared" ref="AK24" si="45">+AK17-SUM(AK18:AK23)</f>
        <v>397.35075523534692</v>
      </c>
    </row>
    <row r="25" spans="1:117">
      <c r="B25" s="3" t="s">
        <v>36</v>
      </c>
      <c r="C25" s="21">
        <v>0.1</v>
      </c>
      <c r="D25" s="21">
        <v>0.1</v>
      </c>
      <c r="E25" s="21">
        <v>0.1</v>
      </c>
      <c r="F25" s="21">
        <v>0.2</v>
      </c>
      <c r="G25" s="21">
        <v>0</v>
      </c>
      <c r="H25" s="21">
        <v>0.4</v>
      </c>
      <c r="I25" s="21">
        <v>0.4</v>
      </c>
      <c r="J25" s="21">
        <v>1.2</v>
      </c>
      <c r="K25" s="21">
        <v>2.4</v>
      </c>
      <c r="L25" s="21">
        <v>3.1</v>
      </c>
      <c r="M25" s="21">
        <v>3.5</v>
      </c>
      <c r="N25" s="21">
        <f>+M25</f>
        <v>3.5</v>
      </c>
      <c r="Z25" s="21">
        <f t="shared" si="22"/>
        <v>0.5</v>
      </c>
      <c r="AA25" s="21">
        <f t="shared" si="23"/>
        <v>2</v>
      </c>
      <c r="AB25" s="21">
        <f t="shared" si="24"/>
        <v>12.5</v>
      </c>
      <c r="AC25" s="21">
        <f>+AB25</f>
        <v>12.5</v>
      </c>
      <c r="AD25" s="21">
        <f t="shared" ref="AD25:AK25" si="46">+AC25</f>
        <v>12.5</v>
      </c>
      <c r="AE25" s="21">
        <f t="shared" si="46"/>
        <v>12.5</v>
      </c>
      <c r="AF25" s="21">
        <f t="shared" si="46"/>
        <v>12.5</v>
      </c>
      <c r="AG25" s="21">
        <f t="shared" si="46"/>
        <v>12.5</v>
      </c>
      <c r="AH25" s="21">
        <f t="shared" si="46"/>
        <v>12.5</v>
      </c>
      <c r="AI25" s="21">
        <f t="shared" si="46"/>
        <v>12.5</v>
      </c>
      <c r="AJ25" s="21">
        <f t="shared" si="46"/>
        <v>12.5</v>
      </c>
      <c r="AK25" s="21">
        <f t="shared" si="46"/>
        <v>12.5</v>
      </c>
    </row>
    <row r="26" spans="1:117">
      <c r="B26" s="3" t="s">
        <v>37</v>
      </c>
      <c r="C26" s="21">
        <v>-0.2</v>
      </c>
      <c r="D26" s="21">
        <v>0</v>
      </c>
      <c r="E26" s="21">
        <v>0</v>
      </c>
      <c r="F26" s="21">
        <v>3.2</v>
      </c>
      <c r="G26" s="21">
        <v>0</v>
      </c>
      <c r="H26" s="21">
        <v>0.1</v>
      </c>
      <c r="I26" s="21">
        <v>0.1</v>
      </c>
      <c r="J26" s="21">
        <v>-0.6</v>
      </c>
      <c r="K26" s="21">
        <v>0</v>
      </c>
      <c r="L26" s="21">
        <v>0.3</v>
      </c>
      <c r="M26" s="21">
        <v>-0.1</v>
      </c>
      <c r="N26" s="21">
        <f>+M26</f>
        <v>-0.1</v>
      </c>
      <c r="Z26" s="21">
        <f t="shared" si="22"/>
        <v>3</v>
      </c>
      <c r="AA26" s="21">
        <f t="shared" si="23"/>
        <v>-0.39999999999999997</v>
      </c>
      <c r="AB26" s="21">
        <f>+AA46*$AO$31</f>
        <v>3.3489999999999998</v>
      </c>
      <c r="AC26" s="21">
        <f t="shared" ref="AC26:AK26" si="47">+AB46*$AO$31</f>
        <v>3.5121920822988324</v>
      </c>
      <c r="AD26" s="21">
        <f t="shared" si="47"/>
        <v>4.0196088932517124</v>
      </c>
      <c r="AE26" s="21">
        <f t="shared" si="47"/>
        <v>4.8028818236865787</v>
      </c>
      <c r="AF26" s="21">
        <f t="shared" si="47"/>
        <v>5.8544969271400964</v>
      </c>
      <c r="AG26" s="21">
        <f t="shared" si="47"/>
        <v>7.1693042324382805</v>
      </c>
      <c r="AH26" s="21">
        <f t="shared" si="47"/>
        <v>8.7443071439941225</v>
      </c>
      <c r="AI26" s="21">
        <f t="shared" si="47"/>
        <v>10.578471476873238</v>
      </c>
      <c r="AJ26" s="21">
        <f t="shared" si="47"/>
        <v>12.672550665663175</v>
      </c>
      <c r="AK26" s="21">
        <f t="shared" si="47"/>
        <v>15.028923842477663</v>
      </c>
    </row>
    <row r="27" spans="1:117">
      <c r="B27" s="3" t="s">
        <v>38</v>
      </c>
      <c r="C27" s="21">
        <f>+SUM(C24:C26)</f>
        <v>13.699999999999955</v>
      </c>
      <c r="D27" s="21">
        <f>+SUM(D24:D26)</f>
        <v>-8.7999999999999776</v>
      </c>
      <c r="E27" s="21">
        <f>+SUM(E24:E26)</f>
        <v>-14.500000000000023</v>
      </c>
      <c r="F27" s="21">
        <f>+SUM(F24:F26)</f>
        <v>-16.699999999999797</v>
      </c>
      <c r="G27" s="21">
        <f>+SUM(G24:G26)</f>
        <v>-12.899999999999977</v>
      </c>
      <c r="H27" s="21">
        <f>+SUM(H24:H26)</f>
        <v>4.6000000000000796</v>
      </c>
      <c r="I27" s="21">
        <f>+SUM(I24:I26)</f>
        <v>5.1999999999999318</v>
      </c>
      <c r="J27" s="21">
        <f>+SUM(J24:J26)</f>
        <v>10.999999999999977</v>
      </c>
      <c r="K27" s="21">
        <f>+SUM(K24:K26)</f>
        <v>-0.90000000000001146</v>
      </c>
      <c r="L27" s="21">
        <f>+SUM(L24:L26)</f>
        <v>9.6999999999999549</v>
      </c>
      <c r="M27" s="21">
        <f>+SUM(M24:M26)</f>
        <v>16.099999999999987</v>
      </c>
      <c r="N27" s="21">
        <f t="shared" ref="N27:R27" si="48">+SUM(N24:N26)</f>
        <v>1.5390762681971863</v>
      </c>
      <c r="Z27" s="21">
        <f t="shared" si="22"/>
        <v>-26.299999999999841</v>
      </c>
      <c r="AA27" s="21">
        <f t="shared" si="23"/>
        <v>7.900000000000011</v>
      </c>
      <c r="AB27" s="21">
        <f t="shared" si="24"/>
        <v>26.439076268197116</v>
      </c>
      <c r="AC27" s="21">
        <f t="shared" ref="AC27" si="49">+SUM(AC24:AC26)</f>
        <v>82.207614337454629</v>
      </c>
      <c r="AD27" s="21">
        <f t="shared" ref="AD27" si="50">+SUM(AD24:AD26)</f>
        <v>126.8996170332576</v>
      </c>
      <c r="AE27" s="21">
        <f t="shared" ref="AE27" si="51">+SUM(AE24:AE26)</f>
        <v>170.37427020559872</v>
      </c>
      <c r="AF27" s="21">
        <f t="shared" ref="AF27" si="52">+SUM(AF24:AF26)</f>
        <v>213.01456622819356</v>
      </c>
      <c r="AG27" s="21">
        <f t="shared" ref="AG27" si="53">+SUM(AG24:AG26)</f>
        <v>255.16937779496297</v>
      </c>
      <c r="AH27" s="21">
        <f t="shared" ref="AH27" si="54">+SUM(AH24:AH26)</f>
        <v>297.15663898814506</v>
      </c>
      <c r="AI27" s="21">
        <f t="shared" ref="AI27" si="55">+SUM(AI24:AI26)</f>
        <v>339.26596562863813</v>
      </c>
      <c r="AJ27" s="21">
        <f t="shared" ref="AJ27" si="56">+SUM(AJ24:AJ26)</f>
        <v>381.76074023033641</v>
      </c>
      <c r="AK27" s="21">
        <f t="shared" ref="AK27" si="57">+SUM(AK24:AK26)</f>
        <v>424.87967907782456</v>
      </c>
    </row>
    <row r="28" spans="1:117">
      <c r="B28" s="3" t="s">
        <v>39</v>
      </c>
      <c r="C28" s="21">
        <v>10.3</v>
      </c>
      <c r="D28" s="21">
        <v>5.2</v>
      </c>
      <c r="E28" s="21">
        <v>4.0999999999999996</v>
      </c>
      <c r="F28" s="21">
        <v>-6.5</v>
      </c>
      <c r="G28" s="21">
        <v>-1.9</v>
      </c>
      <c r="H28" s="21">
        <v>3.2</v>
      </c>
      <c r="I28" s="21">
        <v>3.2</v>
      </c>
      <c r="J28" s="21">
        <v>4.7</v>
      </c>
      <c r="K28" s="21">
        <v>-0.2</v>
      </c>
      <c r="L28" s="21">
        <v>7.8</v>
      </c>
      <c r="M28" s="21">
        <v>2.2999999999999998</v>
      </c>
      <c r="N28" s="21">
        <f>+N27*(M28/M27)</f>
        <v>0.21986803831388393</v>
      </c>
      <c r="Z28" s="21">
        <f t="shared" si="22"/>
        <v>13.100000000000001</v>
      </c>
      <c r="AA28" s="21">
        <f t="shared" si="23"/>
        <v>9.1999999999999993</v>
      </c>
      <c r="AB28" s="21">
        <f t="shared" si="24"/>
        <v>10.119868038313882</v>
      </c>
      <c r="AC28" s="21">
        <f>+AC27*(AB28/AB27)</f>
        <v>31.465933242166582</v>
      </c>
      <c r="AD28" s="21">
        <f t="shared" ref="AD28:AK28" si="58">+AD27*(AC28/AC27)</f>
        <v>48.572323989770986</v>
      </c>
      <c r="AE28" s="21">
        <f t="shared" si="58"/>
        <v>65.212759860246919</v>
      </c>
      <c r="AF28" s="21">
        <f t="shared" si="58"/>
        <v>81.5338356983751</v>
      </c>
      <c r="AG28" s="21">
        <f t="shared" si="58"/>
        <v>97.669086639378733</v>
      </c>
      <c r="AH28" s="21">
        <f t="shared" si="58"/>
        <v>113.74020570023367</v>
      </c>
      <c r="AI28" s="21">
        <f t="shared" si="58"/>
        <v>129.85804674964427</v>
      </c>
      <c r="AJ28" s="21">
        <f t="shared" si="58"/>
        <v>146.1234225488875</v>
      </c>
      <c r="AK28" s="21">
        <f t="shared" si="58"/>
        <v>162.62770456926921</v>
      </c>
    </row>
    <row r="29" spans="1:117">
      <c r="B29" s="3" t="s">
        <v>40</v>
      </c>
      <c r="C29" s="21">
        <f>+C27-C28</f>
        <v>3.3999999999999542</v>
      </c>
      <c r="D29" s="21">
        <f>+D27-D28</f>
        <v>-13.999999999999979</v>
      </c>
      <c r="E29" s="21">
        <f>+E27-E28</f>
        <v>-18.600000000000023</v>
      </c>
      <c r="F29" s="21">
        <f>+F27-F28</f>
        <v>-10.199999999999797</v>
      </c>
      <c r="G29" s="21">
        <f>+G27-G28</f>
        <v>-10.999999999999977</v>
      </c>
      <c r="H29" s="21">
        <f>+H27-H28</f>
        <v>1.4000000000000794</v>
      </c>
      <c r="I29" s="21">
        <f>+I27-I28</f>
        <v>1.9999999999999316</v>
      </c>
      <c r="J29" s="21">
        <f>+J27-J28</f>
        <v>6.2999999999999767</v>
      </c>
      <c r="K29" s="21">
        <f>+K27-K28</f>
        <v>-0.7000000000000115</v>
      </c>
      <c r="L29" s="21">
        <f>+L27-L28</f>
        <v>1.8999999999999551</v>
      </c>
      <c r="M29" s="21">
        <f>+M27-M28</f>
        <v>13.799999999999986</v>
      </c>
      <c r="N29" s="21">
        <f t="shared" ref="N29:R29" si="59">+N27-N28</f>
        <v>1.3192082298833023</v>
      </c>
      <c r="Z29" s="21">
        <f t="shared" si="22"/>
        <v>-39.399999999999842</v>
      </c>
      <c r="AA29" s="21">
        <f t="shared" si="23"/>
        <v>-1.2999999999999901</v>
      </c>
      <c r="AB29" s="21">
        <f t="shared" si="24"/>
        <v>16.319208229883234</v>
      </c>
      <c r="AC29" s="21">
        <f t="shared" ref="AC29" si="60">+AC27-AC28</f>
        <v>50.741681095288044</v>
      </c>
      <c r="AD29" s="21">
        <f t="shared" ref="AD29" si="61">+AD27-AD28</f>
        <v>78.327293043486605</v>
      </c>
      <c r="AE29" s="21">
        <f t="shared" ref="AE29" si="62">+AE27-AE28</f>
        <v>105.1615103453518</v>
      </c>
      <c r="AF29" s="21">
        <f t="shared" ref="AF29" si="63">+AF27-AF28</f>
        <v>131.48073052981846</v>
      </c>
      <c r="AG29" s="21">
        <f t="shared" ref="AG29" si="64">+AG27-AG28</f>
        <v>157.50029115558425</v>
      </c>
      <c r="AH29" s="21">
        <f t="shared" ref="AH29" si="65">+AH27-AH28</f>
        <v>183.41643328791139</v>
      </c>
      <c r="AI29" s="21">
        <f t="shared" ref="AI29" si="66">+AI27-AI28</f>
        <v>209.40791887899385</v>
      </c>
      <c r="AJ29" s="21">
        <f t="shared" ref="AJ29" si="67">+AJ27-AJ28</f>
        <v>235.63731768144891</v>
      </c>
      <c r="AK29" s="21">
        <f t="shared" ref="AK29" si="68">+AK27-AK28</f>
        <v>262.25197450855535</v>
      </c>
      <c r="AL29" s="21">
        <f>+AK29*(1+$AO$32)</f>
        <v>259.62945476346977</v>
      </c>
      <c r="AM29" s="21">
        <f t="shared" ref="AM29:CX29" si="69">+AL29*(1+$AO$32)</f>
        <v>257.03316021583504</v>
      </c>
      <c r="AN29" s="21">
        <f t="shared" si="69"/>
        <v>254.46282861367669</v>
      </c>
      <c r="AO29" s="21">
        <f t="shared" si="69"/>
        <v>251.91820032753992</v>
      </c>
      <c r="AP29" s="21">
        <f t="shared" si="69"/>
        <v>249.39901832426452</v>
      </c>
      <c r="AQ29" s="21">
        <f t="shared" si="69"/>
        <v>246.90502814102186</v>
      </c>
      <c r="AR29" s="21">
        <f t="shared" si="69"/>
        <v>244.43597785961163</v>
      </c>
      <c r="AS29" s="21">
        <f t="shared" si="69"/>
        <v>241.9916180810155</v>
      </c>
      <c r="AT29" s="21">
        <f t="shared" si="69"/>
        <v>239.57170190020534</v>
      </c>
      <c r="AU29" s="21">
        <f t="shared" si="69"/>
        <v>237.17598488120328</v>
      </c>
      <c r="AV29" s="21">
        <f t="shared" si="69"/>
        <v>234.80422503239123</v>
      </c>
      <c r="AW29" s="21">
        <f t="shared" si="69"/>
        <v>232.45618278206732</v>
      </c>
      <c r="AX29" s="21">
        <f t="shared" si="69"/>
        <v>230.13162095424664</v>
      </c>
      <c r="AY29" s="21">
        <f t="shared" si="69"/>
        <v>227.83030474470416</v>
      </c>
      <c r="AZ29" s="21">
        <f t="shared" si="69"/>
        <v>225.55200169725711</v>
      </c>
      <c r="BA29" s="21">
        <f t="shared" si="69"/>
        <v>223.29648168028453</v>
      </c>
      <c r="BB29" s="21">
        <f t="shared" si="69"/>
        <v>221.06351686348168</v>
      </c>
      <c r="BC29" s="21">
        <f t="shared" si="69"/>
        <v>218.85288169484687</v>
      </c>
      <c r="BD29" s="21">
        <f t="shared" si="69"/>
        <v>216.66435287789841</v>
      </c>
      <c r="BE29" s="21">
        <f t="shared" si="69"/>
        <v>214.49770934911942</v>
      </c>
      <c r="BF29" s="21">
        <f t="shared" si="69"/>
        <v>212.35273225562821</v>
      </c>
      <c r="BG29" s="21">
        <f t="shared" si="69"/>
        <v>210.22920493307194</v>
      </c>
      <c r="BH29" s="21">
        <f t="shared" si="69"/>
        <v>208.12691288374123</v>
      </c>
      <c r="BI29" s="21">
        <f t="shared" si="69"/>
        <v>206.04564375490381</v>
      </c>
      <c r="BJ29" s="21">
        <f t="shared" si="69"/>
        <v>203.98518731735476</v>
      </c>
      <c r="BK29" s="21">
        <f t="shared" si="69"/>
        <v>201.94533544418121</v>
      </c>
      <c r="BL29" s="21">
        <f t="shared" si="69"/>
        <v>199.92588208973939</v>
      </c>
      <c r="BM29" s="21">
        <f t="shared" si="69"/>
        <v>197.92662326884198</v>
      </c>
      <c r="BN29" s="21">
        <f t="shared" si="69"/>
        <v>195.94735703615356</v>
      </c>
      <c r="BO29" s="21">
        <f t="shared" si="69"/>
        <v>193.98788346579204</v>
      </c>
      <c r="BP29" s="21">
        <f t="shared" si="69"/>
        <v>192.04800463113412</v>
      </c>
      <c r="BQ29" s="21">
        <f t="shared" si="69"/>
        <v>190.12752458482277</v>
      </c>
      <c r="BR29" s="21">
        <f t="shared" si="69"/>
        <v>188.22624933897453</v>
      </c>
      <c r="BS29" s="21">
        <f t="shared" si="69"/>
        <v>186.34398684558477</v>
      </c>
      <c r="BT29" s="21">
        <f t="shared" si="69"/>
        <v>184.48054697712891</v>
      </c>
      <c r="BU29" s="21">
        <f t="shared" si="69"/>
        <v>182.63574150735761</v>
      </c>
      <c r="BV29" s="21">
        <f t="shared" si="69"/>
        <v>180.80938409228403</v>
      </c>
      <c r="BW29" s="21">
        <f t="shared" si="69"/>
        <v>179.00129025136118</v>
      </c>
      <c r="BX29" s="21">
        <f t="shared" si="69"/>
        <v>177.21127734884757</v>
      </c>
      <c r="BY29" s="21">
        <f t="shared" si="69"/>
        <v>175.43916457535909</v>
      </c>
      <c r="BZ29" s="21">
        <f t="shared" si="69"/>
        <v>173.68477292960549</v>
      </c>
      <c r="CA29" s="21">
        <f t="shared" si="69"/>
        <v>171.94792520030944</v>
      </c>
      <c r="CB29" s="21">
        <f t="shared" si="69"/>
        <v>170.22844594830636</v>
      </c>
      <c r="CC29" s="21">
        <f t="shared" si="69"/>
        <v>168.52616148882331</v>
      </c>
      <c r="CD29" s="21">
        <f t="shared" si="69"/>
        <v>166.84089987393506</v>
      </c>
      <c r="CE29" s="21">
        <f t="shared" si="69"/>
        <v>165.17249087519571</v>
      </c>
      <c r="CF29" s="21">
        <f t="shared" si="69"/>
        <v>163.52076596644375</v>
      </c>
      <c r="CG29" s="21">
        <f t="shared" si="69"/>
        <v>161.8855583067793</v>
      </c>
      <c r="CH29" s="21">
        <f t="shared" si="69"/>
        <v>160.26670272371152</v>
      </c>
      <c r="CI29" s="21">
        <f t="shared" si="69"/>
        <v>158.6640356964744</v>
      </c>
      <c r="CJ29" s="21">
        <f t="shared" si="69"/>
        <v>157.07739533950965</v>
      </c>
      <c r="CK29" s="21">
        <f t="shared" si="69"/>
        <v>155.50662138611455</v>
      </c>
      <c r="CL29" s="21">
        <f t="shared" si="69"/>
        <v>153.95155517225339</v>
      </c>
      <c r="CM29" s="21">
        <f t="shared" si="69"/>
        <v>152.41203962053086</v>
      </c>
      <c r="CN29" s="21">
        <f t="shared" si="69"/>
        <v>150.88791922432554</v>
      </c>
      <c r="CO29" s="21">
        <f t="shared" si="69"/>
        <v>149.37904003208229</v>
      </c>
      <c r="CP29" s="21">
        <f t="shared" si="69"/>
        <v>147.88524963176147</v>
      </c>
      <c r="CQ29" s="21">
        <f t="shared" si="69"/>
        <v>146.40639713544385</v>
      </c>
      <c r="CR29" s="21">
        <f t="shared" si="69"/>
        <v>144.9423331640894</v>
      </c>
      <c r="CS29" s="21">
        <f t="shared" si="69"/>
        <v>143.4929098324485</v>
      </c>
      <c r="CT29" s="21">
        <f t="shared" si="69"/>
        <v>142.05798073412402</v>
      </c>
      <c r="CU29" s="21">
        <f t="shared" si="69"/>
        <v>140.63740092678276</v>
      </c>
      <c r="CV29" s="21">
        <f t="shared" si="69"/>
        <v>139.23102691751492</v>
      </c>
      <c r="CW29" s="21">
        <f t="shared" si="69"/>
        <v>137.83871664833978</v>
      </c>
      <c r="CX29" s="21">
        <f t="shared" si="69"/>
        <v>136.46032948185638</v>
      </c>
      <c r="CY29" s="21">
        <f t="shared" ref="CY29:DM29" si="70">+CX29*(1+$AO$32)</f>
        <v>135.0957261870378</v>
      </c>
      <c r="CZ29" s="21">
        <f t="shared" si="70"/>
        <v>133.74476892516742</v>
      </c>
      <c r="DA29" s="21">
        <f t="shared" si="70"/>
        <v>132.40732123591573</v>
      </c>
      <c r="DB29" s="21">
        <f t="shared" si="70"/>
        <v>131.08324802355656</v>
      </c>
      <c r="DC29" s="21">
        <f t="shared" si="70"/>
        <v>129.77241554332099</v>
      </c>
      <c r="DD29" s="21">
        <f t="shared" si="70"/>
        <v>128.47469138788779</v>
      </c>
      <c r="DE29" s="21">
        <f t="shared" si="70"/>
        <v>127.18994447400891</v>
      </c>
      <c r="DF29" s="21">
        <f t="shared" si="70"/>
        <v>125.91804502926882</v>
      </c>
      <c r="DG29" s="21">
        <f t="shared" si="70"/>
        <v>124.65886457897614</v>
      </c>
      <c r="DH29" s="21">
        <f t="shared" si="70"/>
        <v>123.41227593318638</v>
      </c>
      <c r="DI29" s="21">
        <f t="shared" si="70"/>
        <v>122.17815317385451</v>
      </c>
      <c r="DJ29" s="21">
        <f t="shared" si="70"/>
        <v>120.95637164211597</v>
      </c>
      <c r="DK29" s="21">
        <f t="shared" si="70"/>
        <v>119.74680792569481</v>
      </c>
      <c r="DL29" s="21">
        <f t="shared" si="70"/>
        <v>118.54933984643786</v>
      </c>
      <c r="DM29" s="21">
        <f t="shared" si="70"/>
        <v>117.36384644797349</v>
      </c>
    </row>
    <row r="30" spans="1:117" s="30" customFormat="1">
      <c r="A30" s="6"/>
      <c r="B30" s="6" t="s">
        <v>43</v>
      </c>
      <c r="C30" s="30">
        <v>0.02</v>
      </c>
      <c r="D30" s="30">
        <v>-0.08</v>
      </c>
      <c r="E30" s="30">
        <v>-0.1</v>
      </c>
      <c r="F30" s="30">
        <v>-0.05</v>
      </c>
      <c r="G30" s="30">
        <v>-0.06</v>
      </c>
      <c r="H30" s="30">
        <v>0.01</v>
      </c>
      <c r="I30" s="30">
        <v>0.01</v>
      </c>
      <c r="J30" s="30">
        <v>0.03</v>
      </c>
      <c r="K30" s="30">
        <f>+K29/K31</f>
        <v>-3.5842293906810621E-3</v>
      </c>
      <c r="L30" s="30">
        <v>0.01</v>
      </c>
      <c r="M30" s="30">
        <v>7.0000000000000007E-2</v>
      </c>
      <c r="N30" s="30">
        <f>+N29/N31</f>
        <v>6.6916359486834248E-3</v>
      </c>
      <c r="Z30" s="30">
        <f>SUM(C30:F30)</f>
        <v>-0.21000000000000002</v>
      </c>
      <c r="AA30" s="30">
        <f>SUM(G30:J30)</f>
        <v>-9.999999999999995E-3</v>
      </c>
      <c r="AB30" s="21">
        <f t="shared" si="24"/>
        <v>8.3107406558002375E-2</v>
      </c>
      <c r="AC30" s="30">
        <f>+AC29/AC31</f>
        <v>0.25840772792521566</v>
      </c>
      <c r="AD30" s="30">
        <f t="shared" ref="AD30:AK30" si="71">+AD29/AD31</f>
        <v>0.3988905647783017</v>
      </c>
      <c r="AE30" s="30">
        <f t="shared" si="71"/>
        <v>0.53554683973704398</v>
      </c>
      <c r="AF30" s="30">
        <f t="shared" si="71"/>
        <v>0.66958043385190391</v>
      </c>
      <c r="AG30" s="30">
        <f t="shared" si="71"/>
        <v>0.80208797790213271</v>
      </c>
      <c r="AH30" s="30">
        <f t="shared" si="71"/>
        <v>0.93406885162260345</v>
      </c>
      <c r="AI30" s="30">
        <f t="shared" si="71"/>
        <v>1.0664334203955583</v>
      </c>
      <c r="AJ30" s="30">
        <f t="shared" si="71"/>
        <v>1.2000095890025577</v>
      </c>
      <c r="AK30" s="30">
        <f t="shared" si="71"/>
        <v>1.3355477275062217</v>
      </c>
    </row>
    <row r="31" spans="1:117">
      <c r="B31" s="1" t="s">
        <v>42</v>
      </c>
      <c r="C31" s="21">
        <f>+C29/C30</f>
        <v>169.9999999999977</v>
      </c>
      <c r="D31" s="21">
        <f>+D29/D30</f>
        <v>174.99999999999972</v>
      </c>
      <c r="E31" s="21">
        <f>+E29/E30</f>
        <v>186.00000000000023</v>
      </c>
      <c r="F31" s="21">
        <f>+F29/F30</f>
        <v>203.99999999999594</v>
      </c>
      <c r="G31" s="21">
        <f>+G29/G30</f>
        <v>183.33333333333294</v>
      </c>
      <c r="H31" s="21">
        <f>+H29/H30</f>
        <v>140.00000000000793</v>
      </c>
      <c r="I31" s="21">
        <f>+I29/I30</f>
        <v>199.99999999999315</v>
      </c>
      <c r="J31" s="21">
        <f>+J29/J30</f>
        <v>209.99999999999923</v>
      </c>
      <c r="K31" s="21">
        <v>195.3</v>
      </c>
      <c r="L31" s="21">
        <f>+L29/L30</f>
        <v>189.99999999999551</v>
      </c>
      <c r="M31" s="21">
        <f>+M29/M30</f>
        <v>197.14285714285694</v>
      </c>
      <c r="N31" s="21">
        <f>+M31</f>
        <v>197.14285714285694</v>
      </c>
      <c r="Z31" s="21">
        <f>+Z29/Z30</f>
        <v>187.61904761904685</v>
      </c>
      <c r="AA31" s="21">
        <f>+AA29/AA30</f>
        <v>129.99999999999906</v>
      </c>
      <c r="AB31" s="21">
        <f>+AB29/AB30</f>
        <v>196.36286229788342</v>
      </c>
      <c r="AC31" s="21">
        <f>+AB31</f>
        <v>196.36286229788342</v>
      </c>
      <c r="AD31" s="21">
        <f t="shared" ref="AD31:AK31" si="72">+AC31</f>
        <v>196.36286229788342</v>
      </c>
      <c r="AE31" s="21">
        <f t="shared" si="72"/>
        <v>196.36286229788342</v>
      </c>
      <c r="AF31" s="21">
        <f t="shared" si="72"/>
        <v>196.36286229788342</v>
      </c>
      <c r="AG31" s="21">
        <f t="shared" si="72"/>
        <v>196.36286229788342</v>
      </c>
      <c r="AH31" s="21">
        <f t="shared" si="72"/>
        <v>196.36286229788342</v>
      </c>
      <c r="AI31" s="21">
        <f t="shared" si="72"/>
        <v>196.36286229788342</v>
      </c>
      <c r="AJ31" s="21">
        <f t="shared" si="72"/>
        <v>196.36286229788342</v>
      </c>
      <c r="AK31" s="21">
        <f t="shared" si="72"/>
        <v>196.36286229788342</v>
      </c>
      <c r="AN31" s="21" t="s">
        <v>96</v>
      </c>
      <c r="AO31" s="27">
        <v>0.01</v>
      </c>
    </row>
    <row r="32" spans="1:117">
      <c r="AN32" s="21" t="s">
        <v>89</v>
      </c>
      <c r="AO32" s="27">
        <v>-0.01</v>
      </c>
    </row>
    <row r="33" spans="1:41" s="27" customFormat="1">
      <c r="A33" s="4"/>
      <c r="B33" s="4" t="s">
        <v>27</v>
      </c>
      <c r="G33" s="27">
        <f>+G15/C15-1</f>
        <v>-0.15567805953693503</v>
      </c>
      <c r="H33" s="27">
        <f>+H15/D15-1</f>
        <v>-0.11174016686531585</v>
      </c>
      <c r="I33" s="27">
        <f>+I15/E15-1</f>
        <v>-0.38905472636815919</v>
      </c>
      <c r="J33" s="27">
        <f>+J15/F15-1</f>
        <v>-0.24193240404811922</v>
      </c>
      <c r="K33" s="27">
        <f>+K15/G15-1</f>
        <v>-0.39618699399320967</v>
      </c>
      <c r="L33" s="27">
        <f>+L15/H15-1</f>
        <v>-0.1543106340154311</v>
      </c>
      <c r="M33" s="27">
        <f>+M15/I15-1</f>
        <v>-0.12052117263843654</v>
      </c>
      <c r="N33" s="27">
        <f>+N15/J15-1</f>
        <v>-9.9999999999999978E-2</v>
      </c>
      <c r="AA33" s="27">
        <f>+AA15/Z15-1</f>
        <v>-0.23704070952459644</v>
      </c>
      <c r="AB33" s="27">
        <f>+AB15/AA15-1</f>
        <v>-0.19812274368231053</v>
      </c>
      <c r="AC33" s="27">
        <f t="shared" ref="AA33:AK40" si="73">+AC15/AB15-1</f>
        <v>-0.12</v>
      </c>
      <c r="AD33" s="27">
        <f t="shared" si="73"/>
        <v>-0.12045454545454537</v>
      </c>
      <c r="AE33" s="27">
        <f t="shared" si="73"/>
        <v>-0.12093023255813951</v>
      </c>
      <c r="AF33" s="27">
        <f t="shared" si="73"/>
        <v>-0.12142857142857133</v>
      </c>
      <c r="AG33" s="27">
        <f t="shared" si="73"/>
        <v>-0.12195121951219501</v>
      </c>
      <c r="AH33" s="27">
        <f t="shared" si="73"/>
        <v>-0.12249999999999983</v>
      </c>
      <c r="AI33" s="27">
        <f t="shared" si="73"/>
        <v>-0.12307692307692308</v>
      </c>
      <c r="AJ33" s="27">
        <f t="shared" si="73"/>
        <v>-0.12368421052631584</v>
      </c>
      <c r="AK33" s="27">
        <f t="shared" si="73"/>
        <v>-0.12432432432432439</v>
      </c>
      <c r="AN33" s="27" t="s">
        <v>90</v>
      </c>
      <c r="AO33" s="27">
        <v>0.1</v>
      </c>
    </row>
    <row r="34" spans="1:41">
      <c r="B34" s="1" t="s">
        <v>28</v>
      </c>
      <c r="G34" s="27">
        <f t="shared" ref="G34:N40" si="74">+G16/C16-1</f>
        <v>0.96551724137931005</v>
      </c>
      <c r="H34" s="27">
        <f t="shared" si="74"/>
        <v>0.69160305343511452</v>
      </c>
      <c r="I34" s="27">
        <f t="shared" si="74"/>
        <v>0.49184149184149195</v>
      </c>
      <c r="J34" s="27">
        <f t="shared" si="74"/>
        <v>0.29876308277830654</v>
      </c>
      <c r="K34" s="27">
        <f t="shared" si="74"/>
        <v>0.22319688109161806</v>
      </c>
      <c r="L34" s="27">
        <f t="shared" si="74"/>
        <v>0.28429602888086647</v>
      </c>
      <c r="M34" s="27">
        <f t="shared" si="74"/>
        <v>0.22031249999999991</v>
      </c>
      <c r="N34" s="27">
        <f t="shared" si="74"/>
        <v>0.20512820512820507</v>
      </c>
      <c r="AA34" s="27">
        <f t="shared" si="73"/>
        <v>0.5486066104990277</v>
      </c>
      <c r="AB34" s="27">
        <f t="shared" si="73"/>
        <v>0.23142916928227675</v>
      </c>
      <c r="AC34" s="27">
        <f t="shared" si="73"/>
        <v>8.1564245810056057E-2</v>
      </c>
      <c r="AD34" s="27">
        <f t="shared" si="73"/>
        <v>7.5000000000000178E-2</v>
      </c>
      <c r="AE34" s="27">
        <f t="shared" si="73"/>
        <v>7.4418604651163012E-2</v>
      </c>
      <c r="AF34" s="27">
        <f t="shared" si="73"/>
        <v>7.3809523809523991E-2</v>
      </c>
      <c r="AG34" s="27">
        <f t="shared" si="73"/>
        <v>7.317073170731736E-2</v>
      </c>
      <c r="AH34" s="27">
        <f t="shared" si="73"/>
        <v>7.2500000000000009E-2</v>
      </c>
      <c r="AI34" s="27">
        <f t="shared" si="73"/>
        <v>7.1794871794871984E-2</v>
      </c>
      <c r="AJ34" s="27">
        <f t="shared" si="73"/>
        <v>7.1052631578947478E-2</v>
      </c>
      <c r="AK34" s="27">
        <f t="shared" si="73"/>
        <v>7.0270270270270441E-2</v>
      </c>
      <c r="AN34" s="21" t="s">
        <v>91</v>
      </c>
      <c r="AO34" s="21">
        <f>NPV(AO33,AB29:DM29)+M46</f>
        <v>1995.5313732256882</v>
      </c>
    </row>
    <row r="35" spans="1:41">
      <c r="B35" s="2" t="s">
        <v>29</v>
      </c>
      <c r="G35" s="27">
        <f>+G17/C17-1</f>
        <v>-3.9944631204271275E-2</v>
      </c>
      <c r="H35" s="27">
        <f>+H17/D17-1</f>
        <v>1.944652206432318E-2</v>
      </c>
      <c r="I35" s="27">
        <f>+I17/E17-1</f>
        <v>-0.26058133605303413</v>
      </c>
      <c r="J35" s="27">
        <f>+J17/F17-1</f>
        <v>-0.15155852417302806</v>
      </c>
      <c r="K35" s="27">
        <f>+K17/G17-1</f>
        <v>-0.26529351184346039</v>
      </c>
      <c r="L35" s="27">
        <f>+L17/H17-1</f>
        <v>-3.5460992907801581E-2</v>
      </c>
      <c r="M35" s="27">
        <f>+M17/I17-1</f>
        <v>-2.0229885057471253E-2</v>
      </c>
      <c r="N35" s="27">
        <f>+N17/J17-1</f>
        <v>-2.1930646672914778E-2</v>
      </c>
      <c r="AA35" s="27">
        <f t="shared" si="73"/>
        <v>-0.12288714157917036</v>
      </c>
      <c r="AB35" s="27">
        <f t="shared" si="73"/>
        <v>-8.7927424982554125E-2</v>
      </c>
      <c r="AC35" s="27">
        <f t="shared" si="73"/>
        <v>-5.0186240563111051E-2</v>
      </c>
      <c r="AD35" s="27">
        <f t="shared" si="73"/>
        <v>-4.3366476398647436E-2</v>
      </c>
      <c r="AE35" s="27">
        <f t="shared" si="73"/>
        <v>-3.4350728968837174E-2</v>
      </c>
      <c r="AF35" s="27">
        <f t="shared" si="73"/>
        <v>-2.5151487905672565E-2</v>
      </c>
      <c r="AG35" s="27">
        <f t="shared" si="73"/>
        <v>-1.5963728236300878E-2</v>
      </c>
      <c r="AH35" s="27">
        <f t="shared" si="73"/>
        <v>-6.9843552467210301E-3</v>
      </c>
      <c r="AI35" s="27">
        <f t="shared" si="73"/>
        <v>1.6029611855283843E-3</v>
      </c>
      <c r="AJ35" s="27">
        <f t="shared" si="73"/>
        <v>9.6407928125290532E-3</v>
      </c>
      <c r="AK35" s="27">
        <f t="shared" si="73"/>
        <v>1.7006917809575306E-2</v>
      </c>
      <c r="AN35" s="21" t="s">
        <v>92</v>
      </c>
      <c r="AO35" s="21">
        <f>+Main!I5</f>
        <v>197.19657999999998</v>
      </c>
    </row>
    <row r="36" spans="1:41">
      <c r="B36" s="1" t="s">
        <v>27</v>
      </c>
      <c r="G36" s="27">
        <f t="shared" si="74"/>
        <v>-7.4531095755182575E-2</v>
      </c>
      <c r="H36" s="27">
        <f t="shared" si="74"/>
        <v>-3.1291172595520389E-2</v>
      </c>
      <c r="I36" s="27">
        <f t="shared" si="74"/>
        <v>-0.35877542461732015</v>
      </c>
      <c r="J36" s="27">
        <f t="shared" si="74"/>
        <v>-0.23311928390737491</v>
      </c>
      <c r="K36" s="27">
        <f t="shared" si="74"/>
        <v>-0.38773333333333337</v>
      </c>
      <c r="L36" s="27">
        <f t="shared" si="74"/>
        <v>-0.1438286297177831</v>
      </c>
      <c r="M36" s="27">
        <f t="shared" si="74"/>
        <v>-0.10627861347285805</v>
      </c>
      <c r="N36" s="27">
        <f t="shared" si="74"/>
        <v>-8.2296371479319785E-2</v>
      </c>
      <c r="AA36" s="27">
        <f t="shared" si="73"/>
        <v>-0.19451635678983281</v>
      </c>
      <c r="AB36" s="27">
        <f t="shared" si="73"/>
        <v>-0.18453834915997069</v>
      </c>
      <c r="AN36" s="21" t="s">
        <v>93</v>
      </c>
      <c r="AO36" s="21">
        <f>+AO34/AO35</f>
        <v>10.119502950942092</v>
      </c>
    </row>
    <row r="37" spans="1:41">
      <c r="B37" s="1" t="s">
        <v>28</v>
      </c>
      <c r="G37" s="27">
        <f t="shared" si="74"/>
        <v>1.7318840579710146</v>
      </c>
      <c r="H37" s="27">
        <f t="shared" si="74"/>
        <v>1.2722222222222221</v>
      </c>
      <c r="I37" s="27">
        <f t="shared" si="74"/>
        <v>0.72280701754385968</v>
      </c>
      <c r="J37" s="27">
        <f t="shared" si="74"/>
        <v>0.42063492063492092</v>
      </c>
      <c r="K37" s="27">
        <f t="shared" si="74"/>
        <v>0.37135278514588865</v>
      </c>
      <c r="L37" s="27">
        <f t="shared" si="74"/>
        <v>0.38141809290953543</v>
      </c>
      <c r="M37" s="27">
        <f t="shared" si="74"/>
        <v>0.14867617107942976</v>
      </c>
      <c r="N37" s="27">
        <f t="shared" si="74"/>
        <v>0.10608802638073223</v>
      </c>
      <c r="AA37" s="27">
        <f t="shared" si="73"/>
        <v>0.84913353720693152</v>
      </c>
      <c r="AB37" s="27">
        <f t="shared" si="73"/>
        <v>0.23482319193299528</v>
      </c>
      <c r="AN37" s="21" t="s">
        <v>94</v>
      </c>
      <c r="AO37" s="21">
        <f>+Main!I4</f>
        <v>7.56</v>
      </c>
    </row>
    <row r="38" spans="1:41">
      <c r="B38" s="3" t="s">
        <v>31</v>
      </c>
      <c r="G38" s="27">
        <f t="shared" si="74"/>
        <v>7.4010327022375089E-2</v>
      </c>
      <c r="H38" s="27">
        <f t="shared" si="74"/>
        <v>-0.28551136363636376</v>
      </c>
      <c r="I38" s="27">
        <f t="shared" si="74"/>
        <v>-0.31414267834793497</v>
      </c>
      <c r="J38" s="27">
        <f t="shared" si="74"/>
        <v>-0.31531531531531531</v>
      </c>
      <c r="K38" s="27">
        <f t="shared" si="74"/>
        <v>-6.7307692307692291E-2</v>
      </c>
      <c r="L38" s="27">
        <f t="shared" si="74"/>
        <v>0.16500994035785288</v>
      </c>
      <c r="M38" s="27">
        <f t="shared" si="74"/>
        <v>0.16058394160583944</v>
      </c>
      <c r="N38" s="27">
        <f t="shared" si="74"/>
        <v>0.46364621078740953</v>
      </c>
      <c r="AA38" s="27">
        <f t="shared" si="73"/>
        <v>-0.22859140160782954</v>
      </c>
      <c r="AB38" s="27">
        <f t="shared" si="73"/>
        <v>0.17021286096008259</v>
      </c>
      <c r="AO38" s="32">
        <f>+AO36/AO37-1</f>
        <v>0.33855859139445665</v>
      </c>
    </row>
    <row r="39" spans="1:41">
      <c r="B39" s="3" t="s">
        <v>32</v>
      </c>
      <c r="G39" s="27">
        <f t="shared" si="74"/>
        <v>2.0227272727272725</v>
      </c>
      <c r="H39" s="27">
        <f t="shared" si="74"/>
        <v>-8.0000000000000071E-2</v>
      </c>
      <c r="I39" s="27">
        <f t="shared" si="74"/>
        <v>8.6419753086419915E-2</v>
      </c>
      <c r="J39" s="27">
        <f t="shared" si="74"/>
        <v>-5.7692307692307709E-2</v>
      </c>
      <c r="K39" s="27">
        <f t="shared" si="74"/>
        <v>-0.4285714285714286</v>
      </c>
      <c r="L39" s="27">
        <f t="shared" si="74"/>
        <v>8.6956521739130599E-2</v>
      </c>
      <c r="M39" s="27">
        <f t="shared" si="74"/>
        <v>4.5454545454545192E-2</v>
      </c>
      <c r="N39" s="27">
        <f t="shared" si="74"/>
        <v>0.14935021404150572</v>
      </c>
      <c r="AA39" s="27">
        <f t="shared" si="73"/>
        <v>0.24924012158054731</v>
      </c>
      <c r="AB39" s="27">
        <f t="shared" si="73"/>
        <v>-7.3877564535115403E-2</v>
      </c>
    </row>
    <row r="40" spans="1:41">
      <c r="B40" s="3" t="s">
        <v>33</v>
      </c>
      <c r="G40" s="27">
        <f t="shared" si="74"/>
        <v>-6.1224489795918546E-2</v>
      </c>
      <c r="H40" s="27">
        <f t="shared" si="74"/>
        <v>0.28767123287671237</v>
      </c>
      <c r="I40" s="27">
        <f t="shared" si="74"/>
        <v>0.22727272727272729</v>
      </c>
      <c r="J40" s="27">
        <f t="shared" si="74"/>
        <v>0.37349397590361444</v>
      </c>
      <c r="K40" s="27">
        <f t="shared" si="74"/>
        <v>0.29347826086956541</v>
      </c>
      <c r="L40" s="27">
        <f t="shared" si="74"/>
        <v>6.3829787234042534E-2</v>
      </c>
      <c r="M40" s="27">
        <f t="shared" si="74"/>
        <v>-9.259259259259256E-2</v>
      </c>
      <c r="N40" s="27">
        <f t="shared" si="74"/>
        <v>5.2475157861806121E-2</v>
      </c>
      <c r="AA40" s="27">
        <f t="shared" si="73"/>
        <v>0.19298245614035081</v>
      </c>
      <c r="AB40" s="27">
        <f t="shared" si="73"/>
        <v>7.1034725480994654E-2</v>
      </c>
    </row>
    <row r="42" spans="1:41">
      <c r="B42" s="2" t="s">
        <v>44</v>
      </c>
    </row>
    <row r="43" spans="1:41" s="27" customFormat="1">
      <c r="A43" s="4"/>
      <c r="B43" s="4" t="s">
        <v>27</v>
      </c>
      <c r="G43" s="27">
        <f t="shared" ref="G43" si="75">(G15-G18)/G15</f>
        <v>2.0632018803865181E-2</v>
      </c>
      <c r="H43" s="27">
        <f t="shared" ref="H43:I43" si="76">(H15-H18)/H15</f>
        <v>1.3418316001341831E-2</v>
      </c>
      <c r="I43" s="27">
        <f t="shared" si="76"/>
        <v>3.9087947882735785E-3</v>
      </c>
      <c r="J43" s="27">
        <f t="shared" ref="J43:L43" si="77">(J15-J18)/J15</f>
        <v>7.3047858942064921E-3</v>
      </c>
      <c r="K43" s="27">
        <f t="shared" si="77"/>
        <v>6.9204152249134707E-3</v>
      </c>
      <c r="L43" s="27">
        <f t="shared" si="77"/>
        <v>1.1900039666798213E-3</v>
      </c>
      <c r="M43" s="27">
        <f>(M15-M18)/M15</f>
        <v>-1.2222222222222264E-2</v>
      </c>
      <c r="N43" s="27">
        <f>(N15-N18)/N15</f>
        <v>-1.2222222222222433E-2</v>
      </c>
      <c r="Z43" s="27">
        <f t="shared" ref="Z43:AK43" si="78">(Z15-Z18)/Z15</f>
        <v>6.373602159422688E-2</v>
      </c>
      <c r="AA43" s="27">
        <f t="shared" si="78"/>
        <v>1.1552346570397111E-2</v>
      </c>
      <c r="AB43" s="27">
        <f t="shared" si="78"/>
        <v>-5.192688636773168E-3</v>
      </c>
      <c r="AC43" s="27">
        <f t="shared" si="78"/>
        <v>-5.1926886367732981E-3</v>
      </c>
      <c r="AD43" s="27">
        <f t="shared" si="78"/>
        <v>-5.1926886367731906E-3</v>
      </c>
      <c r="AE43" s="27">
        <f t="shared" si="78"/>
        <v>-5.1926886367732704E-3</v>
      </c>
      <c r="AF43" s="27">
        <f t="shared" si="78"/>
        <v>-5.19268863677326E-3</v>
      </c>
      <c r="AG43" s="27">
        <f t="shared" si="78"/>
        <v>-5.1926886367732027E-3</v>
      </c>
      <c r="AH43" s="27">
        <f t="shared" si="78"/>
        <v>-5.1926886367732019E-3</v>
      </c>
      <c r="AI43" s="27">
        <f t="shared" si="78"/>
        <v>-5.1926886367733033E-3</v>
      </c>
      <c r="AJ43" s="27">
        <f t="shared" si="78"/>
        <v>-5.1926886367732418E-3</v>
      </c>
      <c r="AK43" s="27">
        <f t="shared" si="78"/>
        <v>-5.1926886367732114E-3</v>
      </c>
    </row>
    <row r="44" spans="1:41">
      <c r="B44" s="1" t="s">
        <v>30</v>
      </c>
      <c r="G44" s="27">
        <f t="shared" ref="G44" si="79">(G16-G19)/G16</f>
        <v>0.63255360623781676</v>
      </c>
      <c r="H44" s="27">
        <f t="shared" ref="H44:I44" si="80">(H16-H19)/H16</f>
        <v>0.63086642599277987</v>
      </c>
      <c r="I44" s="27">
        <f t="shared" si="80"/>
        <v>0.61640625000000004</v>
      </c>
      <c r="J44" s="27">
        <f t="shared" ref="J44:L44" si="81">(J16-J19)/J16</f>
        <v>0.60659340659340655</v>
      </c>
      <c r="K44" s="27">
        <f t="shared" si="81"/>
        <v>0.58804780876494023</v>
      </c>
      <c r="L44" s="27">
        <f t="shared" si="81"/>
        <v>0.60295151089248067</v>
      </c>
      <c r="M44" s="27">
        <f>(M16-M19)/M16</f>
        <v>0.63892445582586421</v>
      </c>
      <c r="N44" s="27">
        <f>(N16-N19)/N16</f>
        <v>0.63892445582586432</v>
      </c>
      <c r="Z44" s="27">
        <f t="shared" ref="Z44:AK44" si="82">(Z16-Z19)/Z16</f>
        <v>0.68211276733635784</v>
      </c>
      <c r="AA44" s="27">
        <f t="shared" si="82"/>
        <v>0.62042268256957522</v>
      </c>
      <c r="AB44" s="27">
        <f t="shared" si="82"/>
        <v>0.61937650464461291</v>
      </c>
      <c r="AC44" s="27">
        <f t="shared" si="82"/>
        <v>0.61937650464461291</v>
      </c>
      <c r="AD44" s="27">
        <f t="shared" si="82"/>
        <v>0.61937650464461291</v>
      </c>
      <c r="AE44" s="27">
        <f t="shared" si="82"/>
        <v>0.6193765046446128</v>
      </c>
      <c r="AF44" s="27">
        <f t="shared" si="82"/>
        <v>0.6193765046446128</v>
      </c>
      <c r="AG44" s="27">
        <f t="shared" si="82"/>
        <v>0.6193765046446128</v>
      </c>
      <c r="AH44" s="27">
        <f t="shared" si="82"/>
        <v>0.61937650464461291</v>
      </c>
      <c r="AI44" s="27">
        <f t="shared" si="82"/>
        <v>0.61937650464461291</v>
      </c>
      <c r="AJ44" s="27">
        <f t="shared" si="82"/>
        <v>0.6193765046446128</v>
      </c>
      <c r="AK44" s="27">
        <f t="shared" si="82"/>
        <v>0.6193765046446128</v>
      </c>
    </row>
    <row r="45" spans="1:41">
      <c r="N45" s="27"/>
    </row>
    <row r="46" spans="1:41">
      <c r="B46" s="2" t="s">
        <v>95</v>
      </c>
      <c r="G46" s="33">
        <f>+SUM(G47:G48)</f>
        <v>309.7</v>
      </c>
      <c r="H46" s="33">
        <f t="shared" ref="H46:M46" si="83">+SUM(H47:H48)</f>
        <v>335.8</v>
      </c>
      <c r="I46" s="33">
        <f t="shared" si="83"/>
        <v>325</v>
      </c>
      <c r="J46" s="33">
        <f t="shared" si="83"/>
        <v>347.59999999999997</v>
      </c>
      <c r="K46" s="33">
        <f t="shared" si="83"/>
        <v>328.9</v>
      </c>
      <c r="L46" s="33">
        <f t="shared" si="83"/>
        <v>321.39999999999998</v>
      </c>
      <c r="M46" s="33">
        <f t="shared" si="83"/>
        <v>334.9</v>
      </c>
      <c r="AA46" s="21">
        <f>+M46</f>
        <v>334.9</v>
      </c>
      <c r="AB46" s="21">
        <f>+AA46+AB29</f>
        <v>351.21920822988324</v>
      </c>
      <c r="AC46" s="21">
        <f t="shared" ref="AC46:AK46" si="84">+AB46+AC29</f>
        <v>401.96088932517125</v>
      </c>
      <c r="AD46" s="21">
        <f t="shared" si="84"/>
        <v>480.28818236865789</v>
      </c>
      <c r="AE46" s="21">
        <f t="shared" si="84"/>
        <v>585.44969271400964</v>
      </c>
      <c r="AF46" s="21">
        <f t="shared" si="84"/>
        <v>716.93042324382805</v>
      </c>
      <c r="AG46" s="21">
        <f t="shared" si="84"/>
        <v>874.4307143994123</v>
      </c>
      <c r="AH46" s="21">
        <f t="shared" si="84"/>
        <v>1057.8471476873237</v>
      </c>
      <c r="AI46" s="21">
        <f t="shared" si="84"/>
        <v>1267.2550665663175</v>
      </c>
      <c r="AJ46" s="21">
        <f t="shared" si="84"/>
        <v>1502.8923842477664</v>
      </c>
      <c r="AK46" s="21">
        <f t="shared" si="84"/>
        <v>1765.1443587563217</v>
      </c>
    </row>
    <row r="47" spans="1:41">
      <c r="B47" s="1" t="s">
        <v>22</v>
      </c>
      <c r="G47" s="21">
        <v>309.7</v>
      </c>
      <c r="H47" s="21">
        <v>335.8</v>
      </c>
      <c r="I47" s="21">
        <v>265.89999999999998</v>
      </c>
      <c r="J47" s="21">
        <v>288.7</v>
      </c>
      <c r="K47" s="21">
        <v>210.2</v>
      </c>
      <c r="L47" s="21">
        <v>192.6</v>
      </c>
      <c r="M47" s="21">
        <v>215.5</v>
      </c>
    </row>
    <row r="48" spans="1:41">
      <c r="B48" s="1" t="s">
        <v>23</v>
      </c>
      <c r="G48" s="21">
        <v>0</v>
      </c>
      <c r="H48" s="21">
        <v>0</v>
      </c>
      <c r="I48" s="21">
        <v>59.1</v>
      </c>
      <c r="J48" s="21">
        <v>58.9</v>
      </c>
      <c r="K48" s="21">
        <v>118.7</v>
      </c>
      <c r="L48" s="21">
        <v>128.80000000000001</v>
      </c>
      <c r="M48" s="21">
        <v>119.4</v>
      </c>
    </row>
    <row r="49" spans="2:13">
      <c r="B49" s="1" t="s">
        <v>24</v>
      </c>
      <c r="G49" s="21">
        <v>321</v>
      </c>
      <c r="H49" s="21">
        <v>253.8</v>
      </c>
      <c r="I49" s="21">
        <v>339.6</v>
      </c>
      <c r="J49" s="21">
        <v>357.9</v>
      </c>
      <c r="K49" s="21">
        <v>297.7</v>
      </c>
      <c r="L49" s="21">
        <v>306.39999999999998</v>
      </c>
      <c r="M49" s="21">
        <v>345.6</v>
      </c>
    </row>
    <row r="50" spans="2:13">
      <c r="B50" s="1" t="s">
        <v>45</v>
      </c>
      <c r="G50" s="21">
        <v>2.1</v>
      </c>
      <c r="H50" s="21">
        <v>1.3</v>
      </c>
      <c r="I50" s="21">
        <v>0.8</v>
      </c>
      <c r="J50" s="21">
        <v>2.2000000000000002</v>
      </c>
      <c r="K50" s="21">
        <v>0.2</v>
      </c>
      <c r="L50" s="21">
        <v>0</v>
      </c>
      <c r="M50" s="21">
        <v>0</v>
      </c>
    </row>
    <row r="51" spans="2:13">
      <c r="B51" s="1" t="s">
        <v>25</v>
      </c>
      <c r="G51" s="21">
        <v>12.2</v>
      </c>
      <c r="H51" s="21">
        <v>31</v>
      </c>
      <c r="I51" s="21">
        <v>34.1</v>
      </c>
      <c r="J51" s="21">
        <v>15.5</v>
      </c>
      <c r="K51" s="21">
        <v>13.8</v>
      </c>
      <c r="L51" s="21">
        <v>7.6</v>
      </c>
      <c r="M51" s="21">
        <v>17.600000000000001</v>
      </c>
    </row>
    <row r="52" spans="2:13">
      <c r="B52" s="1" t="s">
        <v>61</v>
      </c>
      <c r="G52" s="21">
        <v>29.2</v>
      </c>
      <c r="H52" s="21">
        <v>29.9</v>
      </c>
      <c r="I52" s="21">
        <v>29.1</v>
      </c>
      <c r="J52" s="21">
        <v>1.7</v>
      </c>
      <c r="K52" s="21">
        <v>2.2999999999999998</v>
      </c>
      <c r="L52" s="21">
        <v>0</v>
      </c>
      <c r="M52" s="21">
        <v>0</v>
      </c>
    </row>
    <row r="53" spans="2:13">
      <c r="B53" s="1" t="s">
        <v>26</v>
      </c>
      <c r="G53" s="21">
        <v>84.6</v>
      </c>
      <c r="H53" s="21">
        <v>91.4</v>
      </c>
      <c r="I53" s="21">
        <v>55.6</v>
      </c>
      <c r="J53" s="21">
        <v>53.5</v>
      </c>
      <c r="K53" s="21">
        <v>55</v>
      </c>
      <c r="L53" s="21">
        <v>56.6</v>
      </c>
      <c r="M53" s="21">
        <v>54.4</v>
      </c>
    </row>
    <row r="54" spans="2:13">
      <c r="B54" s="1" t="s">
        <v>51</v>
      </c>
      <c r="G54" s="21">
        <v>13.6</v>
      </c>
      <c r="H54" s="21">
        <v>18.7</v>
      </c>
      <c r="I54" s="21">
        <v>19.5</v>
      </c>
      <c r="J54" s="21">
        <v>19.899999999999999</v>
      </c>
      <c r="K54" s="21">
        <v>21.9</v>
      </c>
      <c r="L54" s="21">
        <v>21.2</v>
      </c>
      <c r="M54" s="21">
        <v>19.899999999999999</v>
      </c>
    </row>
    <row r="55" spans="2:13">
      <c r="B55" s="1" t="s">
        <v>52</v>
      </c>
      <c r="G55" s="21">
        <v>44.8</v>
      </c>
      <c r="H55" s="21">
        <v>44.8</v>
      </c>
      <c r="I55" s="21">
        <v>44.8</v>
      </c>
      <c r="J55" s="21">
        <v>44.8</v>
      </c>
      <c r="K55" s="21">
        <v>44.8</v>
      </c>
      <c r="L55" s="21">
        <v>44.8</v>
      </c>
      <c r="M55" s="21">
        <v>44.8</v>
      </c>
    </row>
    <row r="56" spans="2:13">
      <c r="B56" s="1" t="s">
        <v>53</v>
      </c>
      <c r="G56" s="21">
        <v>30.4</v>
      </c>
      <c r="H56" s="21">
        <v>30.4</v>
      </c>
      <c r="I56" s="21">
        <v>30.5</v>
      </c>
      <c r="J56" s="21">
        <v>51.2</v>
      </c>
      <c r="K56" s="21">
        <v>51.2</v>
      </c>
      <c r="L56" s="21">
        <v>51.2</v>
      </c>
      <c r="M56" s="21">
        <v>51.2</v>
      </c>
    </row>
    <row r="57" spans="2:13">
      <c r="B57" s="1" t="s">
        <v>54</v>
      </c>
      <c r="G57" s="21">
        <v>19.2</v>
      </c>
      <c r="H57" s="21">
        <v>21.2</v>
      </c>
      <c r="I57" s="21">
        <v>21.1</v>
      </c>
      <c r="J57" s="21">
        <v>21.4</v>
      </c>
      <c r="K57" s="21">
        <v>25.9</v>
      </c>
      <c r="L57" s="21">
        <v>28.9</v>
      </c>
      <c r="M57" s="21">
        <v>38.4</v>
      </c>
    </row>
    <row r="58" spans="2:13">
      <c r="B58" s="1" t="s">
        <v>55</v>
      </c>
      <c r="G58" s="21">
        <f>+SUM(G47:G57)</f>
        <v>866.80000000000018</v>
      </c>
      <c r="H58" s="21">
        <f>+SUM(H47:H57)</f>
        <v>858.3</v>
      </c>
      <c r="I58" s="21">
        <f>+SUM(I47:I57)</f>
        <v>900.1</v>
      </c>
      <c r="J58" s="21">
        <f>+SUM(J47:J57)</f>
        <v>915.7</v>
      </c>
      <c r="K58" s="21">
        <f>+SUM(K47:K57)</f>
        <v>841.69999999999982</v>
      </c>
      <c r="L58" s="21">
        <f>+SUM(L47:L57)</f>
        <v>838.1</v>
      </c>
      <c r="M58" s="21">
        <f>+SUM(M47:M57)</f>
        <v>906.8</v>
      </c>
    </row>
    <row r="60" spans="2:13">
      <c r="B60" s="1" t="s">
        <v>60</v>
      </c>
      <c r="G60" s="21">
        <v>153.80000000000001</v>
      </c>
      <c r="H60" s="21">
        <v>147.69999999999999</v>
      </c>
      <c r="I60" s="21">
        <v>166.3</v>
      </c>
      <c r="J60" s="21">
        <v>148.19999999999999</v>
      </c>
      <c r="K60" s="21">
        <v>104.3</v>
      </c>
      <c r="L60" s="21">
        <v>88.8</v>
      </c>
      <c r="M60" s="21">
        <v>104.5</v>
      </c>
    </row>
    <row r="61" spans="2:13">
      <c r="B61" s="1" t="s">
        <v>46</v>
      </c>
      <c r="G61" s="21">
        <v>144.9</v>
      </c>
      <c r="H61" s="21">
        <v>114.8</v>
      </c>
      <c r="I61" s="21">
        <v>115.4</v>
      </c>
      <c r="J61" s="21">
        <v>117.2</v>
      </c>
      <c r="K61" s="21">
        <v>97.6</v>
      </c>
      <c r="L61" s="21">
        <v>123.7</v>
      </c>
      <c r="M61" s="21">
        <v>137.30000000000001</v>
      </c>
    </row>
    <row r="62" spans="2:13">
      <c r="B62" s="1" t="s">
        <v>47</v>
      </c>
      <c r="G62" s="21">
        <v>169.7</v>
      </c>
      <c r="H62" s="21">
        <v>187.8</v>
      </c>
      <c r="I62" s="21">
        <v>192.6</v>
      </c>
      <c r="J62" s="21">
        <v>204.9</v>
      </c>
      <c r="K62" s="21">
        <v>188.2</v>
      </c>
      <c r="L62" s="21">
        <v>159.69999999999999</v>
      </c>
      <c r="M62" s="21">
        <v>175.8</v>
      </c>
    </row>
    <row r="63" spans="2:13">
      <c r="B63" s="1" t="s">
        <v>59</v>
      </c>
      <c r="G63" s="21">
        <v>47.2</v>
      </c>
      <c r="H63" s="21">
        <v>42.4</v>
      </c>
      <c r="I63" s="21">
        <v>43.7</v>
      </c>
      <c r="J63" s="21">
        <v>47.4</v>
      </c>
      <c r="K63" s="21">
        <v>45.8</v>
      </c>
      <c r="L63" s="21">
        <v>47.3</v>
      </c>
      <c r="M63" s="21">
        <v>40.799999999999997</v>
      </c>
    </row>
    <row r="64" spans="2:13">
      <c r="B64" s="1" t="s">
        <v>58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1.9</v>
      </c>
      <c r="M64" s="21">
        <v>1</v>
      </c>
    </row>
    <row r="65" spans="2:13">
      <c r="B65" s="1" t="s">
        <v>48</v>
      </c>
      <c r="G65" s="21">
        <v>5.4</v>
      </c>
      <c r="H65" s="21">
        <v>4.9000000000000004</v>
      </c>
      <c r="I65" s="21">
        <v>5.2</v>
      </c>
      <c r="J65" s="21">
        <v>5.5</v>
      </c>
      <c r="K65" s="21">
        <v>5.3</v>
      </c>
      <c r="L65" s="21">
        <v>5.2</v>
      </c>
      <c r="M65" s="21">
        <v>6.7</v>
      </c>
    </row>
    <row r="66" spans="2:13">
      <c r="B66" s="1" t="s">
        <v>49</v>
      </c>
      <c r="G66" s="21">
        <v>16.399999999999999</v>
      </c>
      <c r="H66" s="21">
        <v>19.3</v>
      </c>
      <c r="I66" s="21">
        <v>20.399999999999999</v>
      </c>
      <c r="J66" s="21">
        <v>18.8</v>
      </c>
      <c r="K66" s="21">
        <v>17.7</v>
      </c>
      <c r="L66" s="21">
        <v>16.100000000000001</v>
      </c>
      <c r="M66" s="21">
        <v>19.2</v>
      </c>
    </row>
    <row r="67" spans="2:13">
      <c r="B67" s="1" t="s">
        <v>50</v>
      </c>
      <c r="G67" s="21">
        <f>+SUM(G60:G66)</f>
        <v>537.4</v>
      </c>
      <c r="H67" s="21">
        <f>+SUM(H60:H66)</f>
        <v>516.9</v>
      </c>
      <c r="I67" s="21">
        <f>+SUM(I60:I66)</f>
        <v>543.60000000000014</v>
      </c>
      <c r="J67" s="21">
        <f>+SUM(J60:J66)</f>
        <v>541.99999999999989</v>
      </c>
      <c r="K67" s="21">
        <f>+SUM(K60:K66)</f>
        <v>458.9</v>
      </c>
      <c r="L67" s="21">
        <f>+SUM(L60:L66)</f>
        <v>442.7</v>
      </c>
      <c r="M67" s="21">
        <f>+SUM(M60:M66)</f>
        <v>485.3</v>
      </c>
    </row>
    <row r="68" spans="2:13">
      <c r="B68" s="1" t="s">
        <v>57</v>
      </c>
      <c r="G68" s="21">
        <v>329.4</v>
      </c>
      <c r="H68" s="21">
        <v>341.4</v>
      </c>
      <c r="I68" s="21">
        <v>356.5</v>
      </c>
      <c r="J68" s="21">
        <v>373.7</v>
      </c>
      <c r="K68" s="21">
        <v>382.8</v>
      </c>
      <c r="L68" s="21">
        <v>395.4</v>
      </c>
      <c r="M68" s="21">
        <v>421.5</v>
      </c>
    </row>
    <row r="69" spans="2:13">
      <c r="B69" s="1" t="s">
        <v>56</v>
      </c>
      <c r="C69" s="21">
        <f t="shared" ref="C69:F69" si="85">+SUM(C67:C68)</f>
        <v>0</v>
      </c>
      <c r="D69" s="21">
        <f t="shared" si="85"/>
        <v>0</v>
      </c>
      <c r="E69" s="21">
        <f t="shared" si="85"/>
        <v>0</v>
      </c>
      <c r="F69" s="21">
        <f t="shared" si="85"/>
        <v>0</v>
      </c>
      <c r="G69" s="21">
        <f>+SUM(G67:G68)</f>
        <v>866.8</v>
      </c>
      <c r="H69" s="21">
        <f>+SUM(H67:H68)</f>
        <v>858.3</v>
      </c>
      <c r="I69" s="21">
        <f>+SUM(I67:I68)</f>
        <v>900.10000000000014</v>
      </c>
      <c r="J69" s="21">
        <f>+SUM(J67:J68)</f>
        <v>915.69999999999982</v>
      </c>
      <c r="K69" s="21">
        <f>+SUM(K67:K68)</f>
        <v>841.7</v>
      </c>
      <c r="L69" s="21">
        <f>+SUM(L67:L68)</f>
        <v>838.09999999999991</v>
      </c>
      <c r="M69" s="21">
        <f>+SUM(M67:M68)</f>
        <v>906.8</v>
      </c>
    </row>
    <row r="70" spans="2:13" outlineLevel="1">
      <c r="B70" s="1" t="s">
        <v>62</v>
      </c>
      <c r="D70" s="21" t="str">
        <f t="shared" ref="D70:L70" si="86">IF(D69=D58,"","N")</f>
        <v/>
      </c>
      <c r="E70" s="21" t="str">
        <f t="shared" si="86"/>
        <v/>
      </c>
      <c r="F70" s="21" t="str">
        <f t="shared" si="86"/>
        <v/>
      </c>
      <c r="G70" s="21" t="str">
        <f t="shared" si="86"/>
        <v/>
      </c>
      <c r="H70" s="21" t="str">
        <f t="shared" si="86"/>
        <v/>
      </c>
      <c r="I70" s="21" t="str">
        <f t="shared" si="86"/>
        <v/>
      </c>
      <c r="J70" s="21" t="str">
        <f t="shared" si="86"/>
        <v/>
      </c>
      <c r="K70" s="21" t="str">
        <f t="shared" si="86"/>
        <v/>
      </c>
      <c r="L70" s="21" t="str">
        <f t="shared" si="86"/>
        <v/>
      </c>
      <c r="M70" s="21" t="str">
        <f>IF(M69=M58,"","N")</f>
        <v/>
      </c>
    </row>
    <row r="73" spans="2:13">
      <c r="B73" s="1" t="s">
        <v>63</v>
      </c>
    </row>
    <row r="74" spans="2:13">
      <c r="B74" s="1" t="s">
        <v>64</v>
      </c>
    </row>
    <row r="75" spans="2:13">
      <c r="B75" s="1" t="s">
        <v>65</v>
      </c>
    </row>
  </sheetData>
  <pageMargins left="0.7" right="0.7" top="0.75" bottom="0.75" header="0.3" footer="0.3"/>
  <ignoredErrors>
    <ignoredError sqref="AA15:AA30 Z15:Z31 G46:M46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2024-02-10T05:13:19Z</dcterms:created>
  <dcterms:modified xsi:type="dcterms:W3CDTF">2024-02-11T01:40:58Z</dcterms:modified>
</cp:coreProperties>
</file>