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ink/ink1.xml" ContentType="application/inkml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Dropbox/Financial Models/"/>
    </mc:Choice>
  </mc:AlternateContent>
  <xr:revisionPtr revIDLastSave="0" documentId="13_ncr:1_{5477ED5E-0B6F-4140-9462-AE9E6807CE36}" xr6:coauthVersionLast="47" xr6:coauthVersionMax="47" xr10:uidLastSave="{00000000-0000-0000-0000-000000000000}"/>
  <bookViews>
    <workbookView xWindow="3260" yWindow="1420" windowWidth="44620" windowHeight="24620" activeTab="1" xr2:uid="{86A15142-C6AF-A544-8773-0829D7039042}"/>
  </bookViews>
  <sheets>
    <sheet name="Main" sheetId="1" r:id="rId1"/>
    <sheet name="Model" sheetId="2" r:id="rId2"/>
    <sheet name="Sheet3" sheetId="3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AM110" i="2"/>
  <c r="AM109" i="2"/>
  <c r="Y77" i="2"/>
  <c r="AM108" i="2" s="1"/>
  <c r="Y76" i="2"/>
  <c r="P64" i="2"/>
  <c r="P57" i="2"/>
  <c r="P60" i="2" s="1"/>
  <c r="Q64" i="2"/>
  <c r="Q57" i="2"/>
  <c r="Q60" i="2" s="1"/>
  <c r="Q67" i="2" s="1"/>
  <c r="R64" i="2"/>
  <c r="R57" i="2"/>
  <c r="R60" i="2" s="1"/>
  <c r="R67" i="2" s="1"/>
  <c r="R69" i="2" s="1"/>
  <c r="R71" i="2" s="1"/>
  <c r="S64" i="2"/>
  <c r="S57" i="2"/>
  <c r="S60" i="2" s="1"/>
  <c r="T64" i="2"/>
  <c r="T57" i="2"/>
  <c r="T60" i="2" s="1"/>
  <c r="U64" i="2"/>
  <c r="U57" i="2"/>
  <c r="U60" i="2" s="1"/>
  <c r="V64" i="2"/>
  <c r="V57" i="2"/>
  <c r="V60" i="2" s="1"/>
  <c r="V67" i="2" s="1"/>
  <c r="V69" i="2" s="1"/>
  <c r="V71" i="2" s="1"/>
  <c r="K34" i="2"/>
  <c r="K33" i="2"/>
  <c r="K32" i="2"/>
  <c r="L34" i="2"/>
  <c r="L33" i="2"/>
  <c r="L32" i="2"/>
  <c r="G20" i="2"/>
  <c r="G22" i="2" s="1"/>
  <c r="H20" i="2"/>
  <c r="H24" i="2" s="1"/>
  <c r="E42" i="2"/>
  <c r="F42" i="2" s="1"/>
  <c r="I42" i="2"/>
  <c r="I47" i="2" s="1"/>
  <c r="N47" i="2" s="1"/>
  <c r="E20" i="2"/>
  <c r="F20" i="2" s="1"/>
  <c r="I20" i="2"/>
  <c r="I24" i="2" s="1"/>
  <c r="M24" i="2" s="1"/>
  <c r="E8" i="2"/>
  <c r="E12" i="2" s="1"/>
  <c r="I8" i="2"/>
  <c r="I12" i="2" s="1"/>
  <c r="G42" i="2"/>
  <c r="G47" i="2" s="1"/>
  <c r="K42" i="2"/>
  <c r="K45" i="2" s="1"/>
  <c r="K20" i="2"/>
  <c r="K24" i="2" s="1"/>
  <c r="L20" i="2"/>
  <c r="L30" i="2" s="1"/>
  <c r="G8" i="2"/>
  <c r="H8" i="2"/>
  <c r="H12" i="2" s="1"/>
  <c r="K8" i="2"/>
  <c r="K12" i="2" s="1"/>
  <c r="L8" i="2"/>
  <c r="L12" i="2" s="1"/>
  <c r="H42" i="2"/>
  <c r="H47" i="2" s="1"/>
  <c r="M47" i="2" s="1"/>
  <c r="L42" i="2"/>
  <c r="L45" i="2" s="1"/>
  <c r="L50" i="2"/>
  <c r="J130" i="2"/>
  <c r="J136" i="2" s="1"/>
  <c r="J138" i="2" s="1"/>
  <c r="J114" i="2"/>
  <c r="J120" i="2" s="1"/>
  <c r="J158" i="2" s="1"/>
  <c r="J109" i="2"/>
  <c r="K130" i="2"/>
  <c r="K136" i="2" s="1"/>
  <c r="K138" i="2" s="1"/>
  <c r="K109" i="2"/>
  <c r="K114" i="2"/>
  <c r="K120" i="2" s="1"/>
  <c r="K170" i="2" s="1"/>
  <c r="L109" i="2"/>
  <c r="L114" i="2"/>
  <c r="L120" i="2" s="1"/>
  <c r="L171" i="2" s="1"/>
  <c r="Y81" i="2"/>
  <c r="G208" i="2"/>
  <c r="G205" i="2"/>
  <c r="G197" i="2"/>
  <c r="G190" i="2"/>
  <c r="G214" i="2" s="1"/>
  <c r="L203" i="2"/>
  <c r="L206" i="2"/>
  <c r="L204" i="2"/>
  <c r="L202" i="2"/>
  <c r="L201" i="2"/>
  <c r="L200" i="2"/>
  <c r="L199" i="2"/>
  <c r="L196" i="2"/>
  <c r="L195" i="2"/>
  <c r="L193" i="2"/>
  <c r="L192" i="2"/>
  <c r="L181" i="2"/>
  <c r="K205" i="2"/>
  <c r="K197" i="2"/>
  <c r="K190" i="2"/>
  <c r="L189" i="2"/>
  <c r="L188" i="2"/>
  <c r="L187" i="2"/>
  <c r="L186" i="2"/>
  <c r="L185" i="2"/>
  <c r="L184" i="2"/>
  <c r="L183" i="2"/>
  <c r="L180" i="2"/>
  <c r="L179" i="2"/>
  <c r="L130" i="2"/>
  <c r="L136" i="2" s="1"/>
  <c r="L138" i="2" s="1"/>
  <c r="AM90" i="2"/>
  <c r="AM88" i="2"/>
  <c r="K12" i="3"/>
  <c r="J11" i="3"/>
  <c r="X84" i="2"/>
  <c r="X83" i="2"/>
  <c r="Y84" i="2"/>
  <c r="Y83" i="2"/>
  <c r="L81" i="2"/>
  <c r="L83" i="2"/>
  <c r="L84" i="2"/>
  <c r="Z65" i="2"/>
  <c r="M70" i="2"/>
  <c r="N70" i="2" s="1"/>
  <c r="M46" i="2"/>
  <c r="M23" i="2"/>
  <c r="M11" i="2"/>
  <c r="N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F46" i="2"/>
  <c r="F44" i="2"/>
  <c r="F43" i="2"/>
  <c r="F23" i="2"/>
  <c r="F21" i="2"/>
  <c r="F11" i="2"/>
  <c r="F9" i="2"/>
  <c r="J46" i="2"/>
  <c r="J44" i="2"/>
  <c r="J43" i="2"/>
  <c r="J23" i="2"/>
  <c r="J11" i="2"/>
  <c r="J9" i="2"/>
  <c r="W47" i="2"/>
  <c r="W45" i="2"/>
  <c r="X47" i="2"/>
  <c r="Y47" i="2"/>
  <c r="X45" i="2"/>
  <c r="Y45" i="2"/>
  <c r="W24" i="2"/>
  <c r="X24" i="2"/>
  <c r="W12" i="2"/>
  <c r="X12" i="2"/>
  <c r="Y12" i="2"/>
  <c r="J21" i="2"/>
  <c r="Y24" i="2"/>
  <c r="C47" i="2"/>
  <c r="C45" i="2"/>
  <c r="C12" i="2"/>
  <c r="C10" i="2"/>
  <c r="D47" i="2"/>
  <c r="D45" i="2"/>
  <c r="D24" i="2"/>
  <c r="D22" i="2"/>
  <c r="D12" i="2"/>
  <c r="D10" i="2"/>
  <c r="C24" i="2"/>
  <c r="G24" i="2"/>
  <c r="C22" i="2"/>
  <c r="K84" i="2"/>
  <c r="I84" i="2"/>
  <c r="H84" i="2"/>
  <c r="G84" i="2"/>
  <c r="K83" i="2"/>
  <c r="I83" i="2"/>
  <c r="H83" i="2"/>
  <c r="G83" i="2"/>
  <c r="J2" i="2"/>
  <c r="F68" i="2"/>
  <c r="F66" i="2"/>
  <c r="F65" i="2"/>
  <c r="F63" i="2"/>
  <c r="F62" i="2"/>
  <c r="F61" i="2"/>
  <c r="F59" i="2"/>
  <c r="F58" i="2"/>
  <c r="F56" i="2"/>
  <c r="F55" i="2"/>
  <c r="J68" i="2"/>
  <c r="J66" i="2"/>
  <c r="J65" i="2"/>
  <c r="J63" i="2"/>
  <c r="J62" i="2"/>
  <c r="J61" i="2"/>
  <c r="J59" i="2"/>
  <c r="J58" i="2"/>
  <c r="J56" i="2"/>
  <c r="X81" i="2"/>
  <c r="X80" i="2"/>
  <c r="Y80" i="2"/>
  <c r="W64" i="2"/>
  <c r="X64" i="2"/>
  <c r="X57" i="2"/>
  <c r="W57" i="2"/>
  <c r="W60" i="2" s="1"/>
  <c r="W88" i="2" s="1"/>
  <c r="Y64" i="2"/>
  <c r="Y57" i="2"/>
  <c r="Y60" i="2" s="1"/>
  <c r="Y88" i="2" s="1"/>
  <c r="S3" i="2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G81" i="2"/>
  <c r="G80" i="2"/>
  <c r="C64" i="2"/>
  <c r="C57" i="2"/>
  <c r="C87" i="2" s="1"/>
  <c r="D64" i="2"/>
  <c r="D57" i="2"/>
  <c r="D60" i="2" s="1"/>
  <c r="D97" i="2" s="1"/>
  <c r="I81" i="2"/>
  <c r="H81" i="2"/>
  <c r="I80" i="2"/>
  <c r="E64" i="2"/>
  <c r="E57" i="2"/>
  <c r="E60" i="2" s="1"/>
  <c r="E97" i="2" s="1"/>
  <c r="I64" i="2"/>
  <c r="I57" i="2"/>
  <c r="I60" i="2" s="1"/>
  <c r="I97" i="2" s="1"/>
  <c r="K81" i="2"/>
  <c r="K80" i="2"/>
  <c r="G64" i="2"/>
  <c r="G57" i="2"/>
  <c r="G60" i="2" s="1"/>
  <c r="G88" i="2" s="1"/>
  <c r="K64" i="2"/>
  <c r="K57" i="2"/>
  <c r="K60" i="2" s="1"/>
  <c r="K88" i="2" s="1"/>
  <c r="H64" i="2"/>
  <c r="L64" i="2"/>
  <c r="E11" i="1"/>
  <c r="E8" i="1"/>
  <c r="E12" i="1"/>
  <c r="E13" i="1" s="1"/>
  <c r="E6" i="1"/>
  <c r="E9" i="1" s="1"/>
  <c r="AM93" i="2" s="1"/>
  <c r="F7" i="1"/>
  <c r="F8" i="1" s="1"/>
  <c r="G27" i="2" l="1"/>
  <c r="H27" i="2"/>
  <c r="H28" i="2"/>
  <c r="P67" i="2"/>
  <c r="P69" i="2" s="1"/>
  <c r="P71" i="2" s="1"/>
  <c r="Q69" i="2"/>
  <c r="Q71" i="2" s="1"/>
  <c r="S67" i="2"/>
  <c r="S69" i="2" s="1"/>
  <c r="S71" i="2" s="1"/>
  <c r="T67" i="2"/>
  <c r="T69" i="2" s="1"/>
  <c r="T71" i="2" s="1"/>
  <c r="U67" i="2"/>
  <c r="U69" i="2" s="1"/>
  <c r="U71" i="2" s="1"/>
  <c r="K47" i="2"/>
  <c r="G28" i="2"/>
  <c r="K28" i="2"/>
  <c r="G30" i="2"/>
  <c r="H30" i="2"/>
  <c r="G29" i="2"/>
  <c r="H29" i="2"/>
  <c r="K27" i="2"/>
  <c r="L22" i="2"/>
  <c r="E45" i="2"/>
  <c r="I27" i="2"/>
  <c r="E47" i="2"/>
  <c r="E29" i="2"/>
  <c r="E27" i="2"/>
  <c r="L27" i="2"/>
  <c r="I45" i="2"/>
  <c r="L28" i="2"/>
  <c r="K22" i="2"/>
  <c r="L29" i="2"/>
  <c r="I29" i="2"/>
  <c r="E30" i="2"/>
  <c r="K29" i="2"/>
  <c r="L24" i="2"/>
  <c r="K30" i="2"/>
  <c r="E28" i="2"/>
  <c r="I28" i="2"/>
  <c r="I30" i="2"/>
  <c r="H22" i="2"/>
  <c r="E24" i="2"/>
  <c r="J8" i="2"/>
  <c r="J10" i="2" s="1"/>
  <c r="H10" i="2"/>
  <c r="G10" i="2"/>
  <c r="E22" i="2"/>
  <c r="L55" i="2"/>
  <c r="G45" i="2"/>
  <c r="G12" i="2"/>
  <c r="J20" i="2"/>
  <c r="J24" i="2" s="1"/>
  <c r="N24" i="2" s="1"/>
  <c r="I22" i="2"/>
  <c r="L10" i="2"/>
  <c r="K10" i="2"/>
  <c r="J42" i="2"/>
  <c r="J47" i="2" s="1"/>
  <c r="I10" i="2"/>
  <c r="H45" i="2"/>
  <c r="F8" i="2"/>
  <c r="F10" i="2" s="1"/>
  <c r="E10" i="2"/>
  <c r="H55" i="2"/>
  <c r="H57" i="2" s="1"/>
  <c r="H60" i="2" s="1"/>
  <c r="H88" i="2" s="1"/>
  <c r="L47" i="2"/>
  <c r="J174" i="2"/>
  <c r="L149" i="2"/>
  <c r="L155" i="2"/>
  <c r="K174" i="2"/>
  <c r="L174" i="2"/>
  <c r="L147" i="2"/>
  <c r="K146" i="2"/>
  <c r="L146" i="2"/>
  <c r="L154" i="2"/>
  <c r="K153" i="2"/>
  <c r="J141" i="2"/>
  <c r="L164" i="2"/>
  <c r="L172" i="2"/>
  <c r="K163" i="2"/>
  <c r="K171" i="2"/>
  <c r="J150" i="2"/>
  <c r="J159" i="2"/>
  <c r="J167" i="2"/>
  <c r="L165" i="2"/>
  <c r="L173" i="2"/>
  <c r="K164" i="2"/>
  <c r="K172" i="2"/>
  <c r="J151" i="2"/>
  <c r="J160" i="2"/>
  <c r="J168" i="2"/>
  <c r="L148" i="2"/>
  <c r="L156" i="2"/>
  <c r="K147" i="2"/>
  <c r="K155" i="2"/>
  <c r="L158" i="2"/>
  <c r="L166" i="2"/>
  <c r="K165" i="2"/>
  <c r="K173" i="2"/>
  <c r="J152" i="2"/>
  <c r="J161" i="2"/>
  <c r="J169" i="2"/>
  <c r="K148" i="2"/>
  <c r="K156" i="2"/>
  <c r="L159" i="2"/>
  <c r="L167" i="2"/>
  <c r="K158" i="2"/>
  <c r="K166" i="2"/>
  <c r="J153" i="2"/>
  <c r="J162" i="2"/>
  <c r="J170" i="2"/>
  <c r="L150" i="2"/>
  <c r="K149" i="2"/>
  <c r="L160" i="2"/>
  <c r="L168" i="2"/>
  <c r="K159" i="2"/>
  <c r="K167" i="2"/>
  <c r="J146" i="2"/>
  <c r="J154" i="2"/>
  <c r="J163" i="2"/>
  <c r="J171" i="2"/>
  <c r="K154" i="2"/>
  <c r="L151" i="2"/>
  <c r="K150" i="2"/>
  <c r="L161" i="2"/>
  <c r="L169" i="2"/>
  <c r="K160" i="2"/>
  <c r="K168" i="2"/>
  <c r="J147" i="2"/>
  <c r="J155" i="2"/>
  <c r="J164" i="2"/>
  <c r="J172" i="2"/>
  <c r="L152" i="2"/>
  <c r="K140" i="2"/>
  <c r="K151" i="2"/>
  <c r="L162" i="2"/>
  <c r="L170" i="2"/>
  <c r="K161" i="2"/>
  <c r="K169" i="2"/>
  <c r="J148" i="2"/>
  <c r="J156" i="2"/>
  <c r="J165" i="2"/>
  <c r="J173" i="2"/>
  <c r="L153" i="2"/>
  <c r="K141" i="2"/>
  <c r="K152" i="2"/>
  <c r="J140" i="2"/>
  <c r="L163" i="2"/>
  <c r="K162" i="2"/>
  <c r="J149" i="2"/>
  <c r="J166" i="2"/>
  <c r="I101" i="2"/>
  <c r="C93" i="2"/>
  <c r="C105" i="2"/>
  <c r="K97" i="2"/>
  <c r="E92" i="2"/>
  <c r="G98" i="2"/>
  <c r="C101" i="2"/>
  <c r="D94" i="2"/>
  <c r="D99" i="2"/>
  <c r="E94" i="2"/>
  <c r="E99" i="2"/>
  <c r="K94" i="2"/>
  <c r="E100" i="2"/>
  <c r="E95" i="2"/>
  <c r="E102" i="2"/>
  <c r="C92" i="2"/>
  <c r="I96" i="2"/>
  <c r="K102" i="2"/>
  <c r="D92" i="2"/>
  <c r="I92" i="2"/>
  <c r="I103" i="2"/>
  <c r="K92" i="2"/>
  <c r="C99" i="2"/>
  <c r="I95" i="2"/>
  <c r="K100" i="2"/>
  <c r="D105" i="2"/>
  <c r="D101" i="2"/>
  <c r="D100" i="2"/>
  <c r="C96" i="2"/>
  <c r="C98" i="2"/>
  <c r="K103" i="2"/>
  <c r="E101" i="2"/>
  <c r="C100" i="2"/>
  <c r="I93" i="2"/>
  <c r="K95" i="2"/>
  <c r="I98" i="2"/>
  <c r="E105" i="2"/>
  <c r="I100" i="2"/>
  <c r="K101" i="2"/>
  <c r="K93" i="2"/>
  <c r="E96" i="2"/>
  <c r="K98" i="2"/>
  <c r="D102" i="2"/>
  <c r="K105" i="2"/>
  <c r="G96" i="2"/>
  <c r="G93" i="2"/>
  <c r="G101" i="2"/>
  <c r="G94" i="2"/>
  <c r="G102" i="2"/>
  <c r="G97" i="2"/>
  <c r="D98" i="2"/>
  <c r="I99" i="2"/>
  <c r="E103" i="2"/>
  <c r="G105" i="2"/>
  <c r="C94" i="2"/>
  <c r="C102" i="2"/>
  <c r="G92" i="2"/>
  <c r="D93" i="2"/>
  <c r="I94" i="2"/>
  <c r="K96" i="2"/>
  <c r="E98" i="2"/>
  <c r="G100" i="2"/>
  <c r="I102" i="2"/>
  <c r="G99" i="2"/>
  <c r="D95" i="2"/>
  <c r="D103" i="2"/>
  <c r="K207" i="2"/>
  <c r="K209" i="2" s="1"/>
  <c r="C95" i="2"/>
  <c r="C103" i="2"/>
  <c r="E93" i="2"/>
  <c r="G95" i="2"/>
  <c r="D96" i="2"/>
  <c r="K99" i="2"/>
  <c r="G103" i="2"/>
  <c r="I105" i="2"/>
  <c r="G212" i="2"/>
  <c r="G216" i="2" s="1"/>
  <c r="F12" i="1"/>
  <c r="G207" i="2"/>
  <c r="G209" i="2" s="1"/>
  <c r="L205" i="2"/>
  <c r="K212" i="2"/>
  <c r="K214" i="2"/>
  <c r="L197" i="2"/>
  <c r="L190" i="2"/>
  <c r="L212" i="2" s="1"/>
  <c r="L216" i="2" s="1"/>
  <c r="L140" i="2"/>
  <c r="L141" i="2"/>
  <c r="F47" i="2"/>
  <c r="F22" i="2"/>
  <c r="X82" i="2"/>
  <c r="M42" i="2"/>
  <c r="M44" i="2" s="1"/>
  <c r="M45" i="2" s="1"/>
  <c r="N46" i="2"/>
  <c r="Z46" i="2" s="1"/>
  <c r="AA46" i="2" s="1"/>
  <c r="Y82" i="2"/>
  <c r="F24" i="2"/>
  <c r="F45" i="2"/>
  <c r="M12" i="2"/>
  <c r="M8" i="2" s="1"/>
  <c r="M20" i="2"/>
  <c r="M21" i="2" s="1"/>
  <c r="M22" i="2" s="1"/>
  <c r="N23" i="2"/>
  <c r="I67" i="2"/>
  <c r="I104" i="2" s="1"/>
  <c r="G82" i="2"/>
  <c r="I82" i="2"/>
  <c r="J83" i="2"/>
  <c r="J84" i="2"/>
  <c r="K82" i="2"/>
  <c r="D67" i="2"/>
  <c r="D104" i="2" s="1"/>
  <c r="I88" i="2"/>
  <c r="Y87" i="2"/>
  <c r="X79" i="2"/>
  <c r="X60" i="2"/>
  <c r="X67" i="2" s="1"/>
  <c r="X85" i="2" s="1"/>
  <c r="X87" i="2"/>
  <c r="J81" i="2"/>
  <c r="D88" i="2"/>
  <c r="F64" i="2"/>
  <c r="W87" i="2"/>
  <c r="E67" i="2"/>
  <c r="E88" i="2"/>
  <c r="J64" i="2"/>
  <c r="F57" i="2"/>
  <c r="F103" i="2" s="1"/>
  <c r="G79" i="2"/>
  <c r="I87" i="2"/>
  <c r="I79" i="2"/>
  <c r="E87" i="2"/>
  <c r="Y79" i="2"/>
  <c r="W67" i="2"/>
  <c r="Y67" i="2"/>
  <c r="Y85" i="2" s="1"/>
  <c r="C60" i="2"/>
  <c r="C97" i="2" s="1"/>
  <c r="D87" i="2"/>
  <c r="K79" i="2"/>
  <c r="G87" i="2"/>
  <c r="K87" i="2"/>
  <c r="G67" i="2"/>
  <c r="K67" i="2"/>
  <c r="K104" i="2" s="1"/>
  <c r="J12" i="2" l="1"/>
  <c r="N12" i="2" s="1"/>
  <c r="J22" i="2"/>
  <c r="J55" i="2"/>
  <c r="J80" i="2" s="1"/>
  <c r="H87" i="2"/>
  <c r="L80" i="2"/>
  <c r="H98" i="2"/>
  <c r="J57" i="2"/>
  <c r="J99" i="2" s="1"/>
  <c r="H67" i="2"/>
  <c r="J67" i="2" s="1"/>
  <c r="H80" i="2"/>
  <c r="H95" i="2"/>
  <c r="L57" i="2"/>
  <c r="L93" i="2" s="1"/>
  <c r="J45" i="2"/>
  <c r="H101" i="2"/>
  <c r="H105" i="2"/>
  <c r="H103" i="2"/>
  <c r="H92" i="2"/>
  <c r="H79" i="2"/>
  <c r="H99" i="2"/>
  <c r="H94" i="2"/>
  <c r="H93" i="2"/>
  <c r="J60" i="2"/>
  <c r="F12" i="2"/>
  <c r="H100" i="2"/>
  <c r="H97" i="2"/>
  <c r="H102" i="2"/>
  <c r="H96" i="2"/>
  <c r="H82" i="2"/>
  <c r="G213" i="2"/>
  <c r="F95" i="2"/>
  <c r="F100" i="2"/>
  <c r="F101" i="2"/>
  <c r="E85" i="2"/>
  <c r="E104" i="2"/>
  <c r="F96" i="2"/>
  <c r="L96" i="2"/>
  <c r="L100" i="2"/>
  <c r="L98" i="2"/>
  <c r="L103" i="2"/>
  <c r="L102" i="2"/>
  <c r="G85" i="2"/>
  <c r="G104" i="2"/>
  <c r="F87" i="2"/>
  <c r="F92" i="2"/>
  <c r="F105" i="2"/>
  <c r="F102" i="2"/>
  <c r="F94" i="2"/>
  <c r="F99" i="2"/>
  <c r="F93" i="2"/>
  <c r="F98" i="2"/>
  <c r="K213" i="2"/>
  <c r="K216" i="2"/>
  <c r="L207" i="2"/>
  <c r="L214" i="2"/>
  <c r="L213" i="2"/>
  <c r="M43" i="2"/>
  <c r="N42" i="2"/>
  <c r="N44" i="2" s="1"/>
  <c r="K85" i="2"/>
  <c r="I89" i="2"/>
  <c r="I85" i="2"/>
  <c r="M55" i="2"/>
  <c r="AB46" i="2"/>
  <c r="D69" i="2"/>
  <c r="D85" i="2"/>
  <c r="N20" i="2"/>
  <c r="Z20" i="2" s="1"/>
  <c r="Z23" i="2"/>
  <c r="AA23" i="2" s="1"/>
  <c r="AB23" i="2" s="1"/>
  <c r="AC23" i="2" s="1"/>
  <c r="AD23" i="2" s="1"/>
  <c r="AE23" i="2" s="1"/>
  <c r="AF23" i="2" s="1"/>
  <c r="AG23" i="2" s="1"/>
  <c r="AH23" i="2" s="1"/>
  <c r="AI23" i="2" s="1"/>
  <c r="N8" i="2"/>
  <c r="M9" i="2"/>
  <c r="M10" i="2" s="1"/>
  <c r="D89" i="2"/>
  <c r="X88" i="2"/>
  <c r="C67" i="2"/>
  <c r="C104" i="2" s="1"/>
  <c r="C88" i="2"/>
  <c r="E69" i="2"/>
  <c r="E106" i="2" s="1"/>
  <c r="E89" i="2"/>
  <c r="K69" i="2"/>
  <c r="K89" i="2"/>
  <c r="G69" i="2"/>
  <c r="G89" i="2"/>
  <c r="Y69" i="2"/>
  <c r="Y89" i="2"/>
  <c r="X69" i="2"/>
  <c r="X89" i="2"/>
  <c r="W69" i="2"/>
  <c r="W89" i="2"/>
  <c r="F60" i="2"/>
  <c r="L101" i="2" l="1"/>
  <c r="L105" i="2"/>
  <c r="J104" i="2"/>
  <c r="L82" i="2"/>
  <c r="L87" i="2"/>
  <c r="L60" i="2"/>
  <c r="L88" i="2" s="1"/>
  <c r="L79" i="2"/>
  <c r="L99" i="2"/>
  <c r="J82" i="2"/>
  <c r="L94" i="2"/>
  <c r="J79" i="2"/>
  <c r="J105" i="2"/>
  <c r="J87" i="2"/>
  <c r="L95" i="2"/>
  <c r="H104" i="2"/>
  <c r="J92" i="2"/>
  <c r="J101" i="2"/>
  <c r="H85" i="2"/>
  <c r="J103" i="2"/>
  <c r="H89" i="2"/>
  <c r="J98" i="2"/>
  <c r="J102" i="2"/>
  <c r="J95" i="2"/>
  <c r="J94" i="2"/>
  <c r="H69" i="2"/>
  <c r="H71" i="2" s="1"/>
  <c r="J96" i="2"/>
  <c r="J93" i="2"/>
  <c r="J100" i="2"/>
  <c r="J88" i="2"/>
  <c r="L92" i="2"/>
  <c r="J97" i="2"/>
  <c r="K217" i="2"/>
  <c r="K106" i="2"/>
  <c r="D71" i="2"/>
  <c r="D106" i="2"/>
  <c r="G217" i="2"/>
  <c r="G106" i="2"/>
  <c r="M80" i="2"/>
  <c r="F88" i="2"/>
  <c r="F97" i="2"/>
  <c r="L209" i="2"/>
  <c r="N43" i="2"/>
  <c r="N21" i="2"/>
  <c r="Z21" i="2" s="1"/>
  <c r="Z24" i="2"/>
  <c r="AA24" i="2" s="1"/>
  <c r="AA20" i="2" s="1"/>
  <c r="M56" i="2"/>
  <c r="Z42" i="2"/>
  <c r="Z47" i="2" s="1"/>
  <c r="AA47" i="2" s="1"/>
  <c r="F67" i="2"/>
  <c r="F104" i="2" s="1"/>
  <c r="C85" i="2"/>
  <c r="J89" i="2"/>
  <c r="J85" i="2"/>
  <c r="AC46" i="2"/>
  <c r="D90" i="2"/>
  <c r="N55" i="2"/>
  <c r="Z8" i="2"/>
  <c r="Z12" i="2" s="1"/>
  <c r="AA12" i="2" s="1"/>
  <c r="N9" i="2"/>
  <c r="N45" i="2"/>
  <c r="Z44" i="2"/>
  <c r="E71" i="2"/>
  <c r="E90" i="2"/>
  <c r="G71" i="2"/>
  <c r="G90" i="2"/>
  <c r="K71" i="2"/>
  <c r="K90" i="2"/>
  <c r="C69" i="2"/>
  <c r="C89" i="2"/>
  <c r="X71" i="2"/>
  <c r="X90" i="2"/>
  <c r="W71" i="2"/>
  <c r="W90" i="2"/>
  <c r="Y71" i="2"/>
  <c r="Y75" i="2" s="1"/>
  <c r="Y90" i="2"/>
  <c r="L67" i="2" l="1"/>
  <c r="L104" i="2" s="1"/>
  <c r="L97" i="2"/>
  <c r="H106" i="2"/>
  <c r="H90" i="2"/>
  <c r="Z45" i="2"/>
  <c r="L89" i="2"/>
  <c r="L85" i="2"/>
  <c r="L69" i="2"/>
  <c r="L90" i="2" s="1"/>
  <c r="N22" i="2"/>
  <c r="F69" i="2"/>
  <c r="F106" i="2" s="1"/>
  <c r="C106" i="2"/>
  <c r="M81" i="2"/>
  <c r="AB24" i="2"/>
  <c r="AC24" i="2" s="1"/>
  <c r="M57" i="2"/>
  <c r="M93" i="2" s="1"/>
  <c r="Z55" i="2"/>
  <c r="Z80" i="2" s="1"/>
  <c r="N80" i="2"/>
  <c r="AD46" i="2"/>
  <c r="AA8" i="2"/>
  <c r="AB12" i="2"/>
  <c r="F89" i="2"/>
  <c r="F85" i="2"/>
  <c r="AB47" i="2"/>
  <c r="AA42" i="2"/>
  <c r="N56" i="2"/>
  <c r="N10" i="2"/>
  <c r="Z9" i="2"/>
  <c r="C71" i="2"/>
  <c r="F71" i="2" s="1"/>
  <c r="C90" i="2"/>
  <c r="L106" i="2" l="1"/>
  <c r="L71" i="2"/>
  <c r="L217" i="2"/>
  <c r="F90" i="2"/>
  <c r="F70" i="2"/>
  <c r="AB20" i="2"/>
  <c r="N81" i="2"/>
  <c r="M58" i="2"/>
  <c r="M95" i="2" s="1"/>
  <c r="M102" i="2"/>
  <c r="M94" i="2"/>
  <c r="M92" i="2"/>
  <c r="M79" i="2"/>
  <c r="M59" i="2"/>
  <c r="AA44" i="2"/>
  <c r="AA45" i="2" s="1"/>
  <c r="AA43" i="2"/>
  <c r="AC12" i="2"/>
  <c r="AB8" i="2"/>
  <c r="AC47" i="2"/>
  <c r="AB42" i="2"/>
  <c r="AE46" i="2"/>
  <c r="AA55" i="2"/>
  <c r="AC20" i="2"/>
  <c r="AD24" i="2"/>
  <c r="N57" i="2"/>
  <c r="Z56" i="2"/>
  <c r="Z81" i="2" s="1"/>
  <c r="M82" i="2" l="1"/>
  <c r="M87" i="2"/>
  <c r="M83" i="2"/>
  <c r="M60" i="2"/>
  <c r="M66" i="2" s="1"/>
  <c r="M103" i="2" s="1"/>
  <c r="N102" i="2"/>
  <c r="N94" i="2"/>
  <c r="N92" i="2"/>
  <c r="N93" i="2"/>
  <c r="M84" i="2"/>
  <c r="M96" i="2"/>
  <c r="AB44" i="2"/>
  <c r="AB45" i="2" s="1"/>
  <c r="AB55" i="2"/>
  <c r="AB80" i="2" s="1"/>
  <c r="AA80" i="2"/>
  <c r="AA56" i="2"/>
  <c r="AA81" i="2" s="1"/>
  <c r="AD12" i="2"/>
  <c r="AC8" i="2"/>
  <c r="AF46" i="2"/>
  <c r="AB43" i="2"/>
  <c r="AE24" i="2"/>
  <c r="AD20" i="2"/>
  <c r="AD47" i="2"/>
  <c r="AC42" i="2"/>
  <c r="Z57" i="2"/>
  <c r="N79" i="2"/>
  <c r="N59" i="2"/>
  <c r="N96" i="2" s="1"/>
  <c r="N58" i="2"/>
  <c r="M61" i="2" l="1"/>
  <c r="M98" i="2" s="1"/>
  <c r="M63" i="2"/>
  <c r="M100" i="2" s="1"/>
  <c r="M88" i="2"/>
  <c r="AC44" i="2"/>
  <c r="AC45" i="2" s="1"/>
  <c r="N87" i="2"/>
  <c r="N95" i="2"/>
  <c r="M62" i="2"/>
  <c r="M99" i="2" s="1"/>
  <c r="M97" i="2"/>
  <c r="AB56" i="2"/>
  <c r="AB81" i="2" s="1"/>
  <c r="N82" i="2"/>
  <c r="AG46" i="2"/>
  <c r="AE47" i="2"/>
  <c r="AD42" i="2"/>
  <c r="AC55" i="2"/>
  <c r="AE12" i="2"/>
  <c r="AD8" i="2"/>
  <c r="N60" i="2"/>
  <c r="N97" i="2" s="1"/>
  <c r="N83" i="2"/>
  <c r="Z58" i="2"/>
  <c r="Z83" i="2" s="1"/>
  <c r="AF24" i="2"/>
  <c r="AE20" i="2"/>
  <c r="AA57" i="2"/>
  <c r="Z79" i="2"/>
  <c r="N84" i="2"/>
  <c r="Z59" i="2"/>
  <c r="Z84" i="2" s="1"/>
  <c r="AC43" i="2"/>
  <c r="AD44" i="2" l="1"/>
  <c r="AD45" i="2" s="1"/>
  <c r="M64" i="2"/>
  <c r="M101" i="2" s="1"/>
  <c r="AA58" i="2"/>
  <c r="AA82" i="2" s="1"/>
  <c r="Z82" i="2"/>
  <c r="AD55" i="2"/>
  <c r="AD80" i="2" s="1"/>
  <c r="AB57" i="2"/>
  <c r="AB79" i="2" s="1"/>
  <c r="Z87" i="2"/>
  <c r="AF12" i="2"/>
  <c r="AE8" i="2"/>
  <c r="AA79" i="2"/>
  <c r="AA59" i="2"/>
  <c r="AF47" i="2"/>
  <c r="AE42" i="2"/>
  <c r="N88" i="2"/>
  <c r="Z60" i="2"/>
  <c r="Z88" i="2" s="1"/>
  <c r="N66" i="2"/>
  <c r="N62" i="2"/>
  <c r="AC80" i="2"/>
  <c r="AC56" i="2"/>
  <c r="AC81" i="2" s="1"/>
  <c r="N61" i="2"/>
  <c r="N98" i="2" s="1"/>
  <c r="AD43" i="2"/>
  <c r="AF20" i="2"/>
  <c r="AG24" i="2"/>
  <c r="N63" i="2"/>
  <c r="AH46" i="2"/>
  <c r="AE44" i="2" l="1"/>
  <c r="AE45" i="2" s="1"/>
  <c r="AE43" i="2"/>
  <c r="M67" i="2"/>
  <c r="M104" i="2" s="1"/>
  <c r="Z62" i="2"/>
  <c r="N99" i="2"/>
  <c r="Z63" i="2"/>
  <c r="N100" i="2"/>
  <c r="Z66" i="2"/>
  <c r="N103" i="2"/>
  <c r="AE55" i="2"/>
  <c r="AE80" i="2" s="1"/>
  <c r="AC57" i="2"/>
  <c r="AC79" i="2" s="1"/>
  <c r="AI46" i="2"/>
  <c r="AA84" i="2"/>
  <c r="AB59" i="2"/>
  <c r="AB84" i="2" s="1"/>
  <c r="AG12" i="2"/>
  <c r="AF8" i="2"/>
  <c r="AA60" i="2"/>
  <c r="N64" i="2"/>
  <c r="N101" i="2" s="1"/>
  <c r="Z61" i="2"/>
  <c r="AG47" i="2"/>
  <c r="AF42" i="2"/>
  <c r="AF44" i="2" s="1"/>
  <c r="AF45" i="2" s="1"/>
  <c r="AH24" i="2"/>
  <c r="AG20" i="2"/>
  <c r="AA87" i="2"/>
  <c r="AA83" i="2"/>
  <c r="AB58" i="2"/>
  <c r="AD56" i="2"/>
  <c r="M68" i="2" l="1"/>
  <c r="M105" i="2" s="1"/>
  <c r="M89" i="2"/>
  <c r="AC59" i="2"/>
  <c r="AC84" i="2" s="1"/>
  <c r="AH12" i="2"/>
  <c r="AG8" i="2"/>
  <c r="AD81" i="2"/>
  <c r="AD57" i="2"/>
  <c r="AB83" i="2"/>
  <c r="AB82" i="2"/>
  <c r="AB87" i="2"/>
  <c r="AB60" i="2"/>
  <c r="AE56" i="2"/>
  <c r="AH47" i="2"/>
  <c r="AG42" i="2"/>
  <c r="AG44" i="2" s="1"/>
  <c r="AG45" i="2" s="1"/>
  <c r="AF55" i="2"/>
  <c r="AC58" i="2"/>
  <c r="N67" i="2"/>
  <c r="N104" i="2" s="1"/>
  <c r="Z64" i="2"/>
  <c r="AI24" i="2"/>
  <c r="AI20" i="2" s="1"/>
  <c r="AH20" i="2"/>
  <c r="AA61" i="2"/>
  <c r="AA62" i="2"/>
  <c r="AA88" i="2"/>
  <c r="AA66" i="2"/>
  <c r="AF43" i="2"/>
  <c r="M85" i="2" l="1"/>
  <c r="M69" i="2"/>
  <c r="M109" i="2" s="1"/>
  <c r="AF80" i="2"/>
  <c r="AF56" i="2"/>
  <c r="AF81" i="2" s="1"/>
  <c r="AD79" i="2"/>
  <c r="AD58" i="2"/>
  <c r="AD83" i="2" s="1"/>
  <c r="AD59" i="2"/>
  <c r="AD84" i="2" s="1"/>
  <c r="AG43" i="2"/>
  <c r="AI47" i="2"/>
  <c r="AI42" i="2" s="1"/>
  <c r="AH42" i="2"/>
  <c r="AH44" i="2" s="1"/>
  <c r="AH45" i="2" s="1"/>
  <c r="AE81" i="2"/>
  <c r="AE57" i="2"/>
  <c r="M71" i="2"/>
  <c r="M90" i="2"/>
  <c r="AG55" i="2"/>
  <c r="N68" i="2"/>
  <c r="N105" i="2" s="1"/>
  <c r="N89" i="2"/>
  <c r="Z67" i="2"/>
  <c r="Z89" i="2" s="1"/>
  <c r="AI12" i="2"/>
  <c r="AI8" i="2" s="1"/>
  <c r="AH8" i="2"/>
  <c r="AC83" i="2"/>
  <c r="AC82" i="2"/>
  <c r="AC87" i="2"/>
  <c r="AC60" i="2"/>
  <c r="AB61" i="2"/>
  <c r="AB62" i="2"/>
  <c r="AB66" i="2"/>
  <c r="AB88" i="2"/>
  <c r="M106" i="2" l="1"/>
  <c r="AH55" i="2"/>
  <c r="AH80" i="2" s="1"/>
  <c r="AF57" i="2"/>
  <c r="AI55" i="2"/>
  <c r="AC62" i="2"/>
  <c r="AD82" i="2"/>
  <c r="AE79" i="2"/>
  <c r="AE59" i="2"/>
  <c r="AE84" i="2" s="1"/>
  <c r="AE58" i="2"/>
  <c r="AE83" i="2" s="1"/>
  <c r="AC88" i="2"/>
  <c r="AC66" i="2"/>
  <c r="N69" i="2"/>
  <c r="N109" i="2" s="1"/>
  <c r="Y109" i="2" s="1"/>
  <c r="Z109" i="2" s="1"/>
  <c r="AA109" i="2" s="1"/>
  <c r="AB109" i="2" s="1"/>
  <c r="AC109" i="2" s="1"/>
  <c r="AD109" i="2" s="1"/>
  <c r="AE109" i="2" s="1"/>
  <c r="AF109" i="2" s="1"/>
  <c r="AG109" i="2" s="1"/>
  <c r="AH109" i="2" s="1"/>
  <c r="AI109" i="2" s="1"/>
  <c r="N85" i="2"/>
  <c r="Z68" i="2"/>
  <c r="Z85" i="2" s="1"/>
  <c r="AG80" i="2"/>
  <c r="AG56" i="2"/>
  <c r="AG81" i="2" s="1"/>
  <c r="AC61" i="2"/>
  <c r="AI44" i="2"/>
  <c r="AI45" i="2" s="1"/>
  <c r="AD87" i="2"/>
  <c r="AH43" i="2"/>
  <c r="AI43" i="2" s="1"/>
  <c r="AF79" i="2"/>
  <c r="AD60" i="2"/>
  <c r="AI80" i="2" l="1"/>
  <c r="N106" i="2"/>
  <c r="AA63" i="2"/>
  <c r="AA64" i="2" s="1"/>
  <c r="AA67" i="2" s="1"/>
  <c r="AE60" i="2"/>
  <c r="AE88" i="2" s="1"/>
  <c r="AF58" i="2"/>
  <c r="AF83" i="2" s="1"/>
  <c r="AF59" i="2"/>
  <c r="AF84" i="2" s="1"/>
  <c r="AE82" i="2"/>
  <c r="AD61" i="2"/>
  <c r="AD62" i="2"/>
  <c r="AD66" i="2"/>
  <c r="AD88" i="2"/>
  <c r="N71" i="2"/>
  <c r="Z71" i="2" s="1"/>
  <c r="N90" i="2"/>
  <c r="Z69" i="2"/>
  <c r="AM94" i="2" s="1"/>
  <c r="AH56" i="2"/>
  <c r="AG57" i="2"/>
  <c r="AE87" i="2"/>
  <c r="AF87" i="2" l="1"/>
  <c r="AA89" i="2"/>
  <c r="AA68" i="2"/>
  <c r="AA69" i="2" s="1"/>
  <c r="AE66" i="2"/>
  <c r="AF82" i="2"/>
  <c r="AB63" i="2"/>
  <c r="AE62" i="2"/>
  <c r="AF60" i="2"/>
  <c r="AG79" i="2"/>
  <c r="AG58" i="2"/>
  <c r="AG83" i="2" s="1"/>
  <c r="AG59" i="2"/>
  <c r="AG84" i="2" s="1"/>
  <c r="Z70" i="2"/>
  <c r="AA70" i="2" s="1"/>
  <c r="AB70" i="2" s="1"/>
  <c r="AC70" i="2" s="1"/>
  <c r="AD70" i="2" s="1"/>
  <c r="AE70" i="2" s="1"/>
  <c r="AF70" i="2" s="1"/>
  <c r="AG70" i="2" s="1"/>
  <c r="AH70" i="2" s="1"/>
  <c r="AI70" i="2" s="1"/>
  <c r="Z90" i="2"/>
  <c r="AH81" i="2"/>
  <c r="AH57" i="2"/>
  <c r="AI56" i="2"/>
  <c r="AE61" i="2"/>
  <c r="AA85" i="2" l="1"/>
  <c r="AF66" i="2"/>
  <c r="AF62" i="2"/>
  <c r="AC63" i="2"/>
  <c r="AF88" i="2"/>
  <c r="AG82" i="2"/>
  <c r="AA71" i="2"/>
  <c r="AA90" i="2"/>
  <c r="AI81" i="2"/>
  <c r="AI57" i="2"/>
  <c r="AF61" i="2"/>
  <c r="AH79" i="2"/>
  <c r="AH58" i="2"/>
  <c r="AH83" i="2" s="1"/>
  <c r="AH59" i="2"/>
  <c r="AH84" i="2" s="1"/>
  <c r="AG87" i="2"/>
  <c r="AG60" i="2"/>
  <c r="AD63" i="2" l="1"/>
  <c r="AB64" i="2"/>
  <c r="AB67" i="2" s="1"/>
  <c r="AH87" i="2"/>
  <c r="AG88" i="2"/>
  <c r="AG62" i="2"/>
  <c r="AG61" i="2"/>
  <c r="AH60" i="2"/>
  <c r="AI79" i="2"/>
  <c r="AI58" i="2"/>
  <c r="AI83" i="2" s="1"/>
  <c r="AI59" i="2"/>
  <c r="AI84" i="2" s="1"/>
  <c r="AG66" i="2"/>
  <c r="AH82" i="2"/>
  <c r="AE63" i="2" l="1"/>
  <c r="AB68" i="2"/>
  <c r="AB85" i="2" s="1"/>
  <c r="AB89" i="2"/>
  <c r="AI60" i="2"/>
  <c r="AI88" i="2" s="1"/>
  <c r="AI87" i="2"/>
  <c r="AH66" i="2"/>
  <c r="AH88" i="2"/>
  <c r="AH61" i="2"/>
  <c r="AH62" i="2"/>
  <c r="AI82" i="2"/>
  <c r="AF63" i="2" l="1"/>
  <c r="AB69" i="2"/>
  <c r="AI62" i="2"/>
  <c r="AI66" i="2"/>
  <c r="AI61" i="2"/>
  <c r="AG63" i="2" l="1"/>
  <c r="AB90" i="2"/>
  <c r="AB71" i="2"/>
  <c r="AH63" i="2" l="1"/>
  <c r="AC64" i="2"/>
  <c r="AC67" i="2" s="1"/>
  <c r="AI63" i="2" l="1"/>
  <c r="AC68" i="2"/>
  <c r="AC85" i="2" s="1"/>
  <c r="AC89" i="2"/>
  <c r="AC69" i="2" l="1"/>
  <c r="AC90" i="2" l="1"/>
  <c r="AC71" i="2"/>
  <c r="AD64" i="2" l="1"/>
  <c r="AD67" i="2" s="1"/>
  <c r="AD68" i="2" l="1"/>
  <c r="AD85" i="2" s="1"/>
  <c r="AD89" i="2"/>
  <c r="AD69" i="2" l="1"/>
  <c r="AD90" i="2" l="1"/>
  <c r="AD71" i="2"/>
  <c r="AE64" i="2" l="1"/>
  <c r="AE67" i="2" s="1"/>
  <c r="AE89" i="2" l="1"/>
  <c r="AE68" i="2"/>
  <c r="AE85" i="2" s="1"/>
  <c r="AE69" i="2" l="1"/>
  <c r="AE90" i="2" s="1"/>
  <c r="AE71" i="2" l="1"/>
  <c r="AF64" i="2"/>
  <c r="AF67" i="2" s="1"/>
  <c r="AF68" i="2" l="1"/>
  <c r="AF85" i="2" s="1"/>
  <c r="AF89" i="2"/>
  <c r="AF69" i="2" l="1"/>
  <c r="AF90" i="2" s="1"/>
  <c r="AF71" i="2" l="1"/>
  <c r="AG64" i="2"/>
  <c r="AG67" i="2" s="1"/>
  <c r="AG68" i="2" l="1"/>
  <c r="AG85" i="2" s="1"/>
  <c r="AG89" i="2"/>
  <c r="AG69" i="2" l="1"/>
  <c r="AG71" i="2" s="1"/>
  <c r="AG90" i="2" l="1"/>
  <c r="AH64" i="2"/>
  <c r="AH67" i="2" s="1"/>
  <c r="AH68" i="2" l="1"/>
  <c r="AH85" i="2" s="1"/>
  <c r="AH89" i="2"/>
  <c r="AH69" i="2" l="1"/>
  <c r="AI64" i="2"/>
  <c r="AI67" i="2" s="1"/>
  <c r="AH71" i="2" l="1"/>
  <c r="AH90" i="2"/>
  <c r="AI89" i="2"/>
  <c r="AI68" i="2"/>
  <c r="AI85" i="2" s="1"/>
  <c r="AI69" i="2" l="1"/>
  <c r="AI90" i="2" s="1"/>
  <c r="I69" i="2"/>
  <c r="I106" i="2" l="1"/>
  <c r="I90" i="2"/>
  <c r="AI71" i="2"/>
  <c r="AJ69" i="2"/>
  <c r="AK69" i="2" s="1"/>
  <c r="AL69" i="2" s="1"/>
  <c r="AM69" i="2" s="1"/>
  <c r="AN69" i="2" s="1"/>
  <c r="AO69" i="2" s="1"/>
  <c r="AP69" i="2" s="1"/>
  <c r="AQ69" i="2" s="1"/>
  <c r="AR69" i="2" s="1"/>
  <c r="AS69" i="2" s="1"/>
  <c r="AT69" i="2" s="1"/>
  <c r="AU69" i="2" s="1"/>
  <c r="AV69" i="2" s="1"/>
  <c r="AW69" i="2" s="1"/>
  <c r="AX69" i="2" s="1"/>
  <c r="AY69" i="2" s="1"/>
  <c r="AZ69" i="2" s="1"/>
  <c r="BA69" i="2" s="1"/>
  <c r="BB69" i="2" s="1"/>
  <c r="BC69" i="2" s="1"/>
  <c r="BD69" i="2" s="1"/>
  <c r="BE69" i="2" s="1"/>
  <c r="BF69" i="2" s="1"/>
  <c r="BG69" i="2" s="1"/>
  <c r="BH69" i="2" s="1"/>
  <c r="BI69" i="2" s="1"/>
  <c r="BJ69" i="2" s="1"/>
  <c r="BK69" i="2" s="1"/>
  <c r="BL69" i="2" s="1"/>
  <c r="BM69" i="2" s="1"/>
  <c r="BN69" i="2" s="1"/>
  <c r="BO69" i="2" s="1"/>
  <c r="BP69" i="2" s="1"/>
  <c r="BQ69" i="2" s="1"/>
  <c r="BR69" i="2" s="1"/>
  <c r="BS69" i="2" s="1"/>
  <c r="BT69" i="2" s="1"/>
  <c r="BU69" i="2" s="1"/>
  <c r="BV69" i="2" s="1"/>
  <c r="BW69" i="2" s="1"/>
  <c r="BX69" i="2" s="1"/>
  <c r="BY69" i="2" s="1"/>
  <c r="BZ69" i="2" s="1"/>
  <c r="CA69" i="2" s="1"/>
  <c r="CB69" i="2" s="1"/>
  <c r="CC69" i="2" s="1"/>
  <c r="CD69" i="2" s="1"/>
  <c r="CE69" i="2" s="1"/>
  <c r="CF69" i="2" s="1"/>
  <c r="CG69" i="2" s="1"/>
  <c r="CH69" i="2" s="1"/>
  <c r="CI69" i="2" s="1"/>
  <c r="CJ69" i="2" s="1"/>
  <c r="CK69" i="2" s="1"/>
  <c r="CL69" i="2" s="1"/>
  <c r="CM69" i="2" s="1"/>
  <c r="CN69" i="2" s="1"/>
  <c r="CO69" i="2" s="1"/>
  <c r="CP69" i="2" s="1"/>
  <c r="CQ69" i="2" s="1"/>
  <c r="CR69" i="2" s="1"/>
  <c r="CS69" i="2" s="1"/>
  <c r="CT69" i="2" s="1"/>
  <c r="CU69" i="2" s="1"/>
  <c r="CV69" i="2" s="1"/>
  <c r="CW69" i="2" s="1"/>
  <c r="CX69" i="2" s="1"/>
  <c r="CY69" i="2" s="1"/>
  <c r="CZ69" i="2" s="1"/>
  <c r="DA69" i="2" s="1"/>
  <c r="DB69" i="2" s="1"/>
  <c r="DC69" i="2" s="1"/>
  <c r="DD69" i="2" s="1"/>
  <c r="DE69" i="2" s="1"/>
  <c r="DF69" i="2" s="1"/>
  <c r="DG69" i="2" s="1"/>
  <c r="DH69" i="2" s="1"/>
  <c r="DI69" i="2" s="1"/>
  <c r="DJ69" i="2" s="1"/>
  <c r="DK69" i="2" s="1"/>
  <c r="DL69" i="2" s="1"/>
  <c r="DM69" i="2" s="1"/>
  <c r="DN69" i="2" s="1"/>
  <c r="DO69" i="2" s="1"/>
  <c r="DP69" i="2" s="1"/>
  <c r="AM87" i="2" s="1"/>
  <c r="AM89" i="2" s="1"/>
  <c r="AM91" i="2" s="1"/>
  <c r="I71" i="2"/>
  <c r="J71" i="2" s="1"/>
  <c r="J69" i="2"/>
  <c r="J143" i="2" s="1"/>
  <c r="K143" i="2" l="1"/>
  <c r="L143" i="2"/>
  <c r="J106" i="2"/>
  <c r="J70" i="2"/>
  <c r="J9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D5" authorId="0" shapeId="0" xr:uid="{AF1ABA06-520C-714E-9136-6CEFD43E2A9A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To get this data: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1. Company website (every public company has a investor relations page) e.g. google walmart investor relations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2. Securities and exchange commission (SEC) (prefer)</t>
        </r>
      </text>
    </comment>
    <comment ref="D7" authorId="0" shapeId="0" xr:uid="{D9B9BBD3-45CB-AE4A-B239-B582891A5E34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Cash is kept in bank accounts, money market securities, treasury securities, demand deposits, and other liquid items</t>
        </r>
      </text>
    </comment>
    <comment ref="D8" authorId="0" shapeId="0" xr:uid="{967F462E-8798-3D49-9CF5-142BDDA84453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Companies get loans ...  companies get loans to fund business strategies, to pay back other debt, and other items </t>
        </r>
      </text>
    </comment>
    <comment ref="D9" authorId="0" shapeId="0" xr:uid="{82A62C17-1DAE-2F49-9AE6-06A695027CF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Enterprise Value (EV) is the total value of the company. It is Market cap - cash + debt = EV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Market cap = Price * shares oustanding </t>
        </r>
      </text>
    </comment>
    <comment ref="B17" authorId="0" shapeId="0" xr:uid="{8D5F7598-A276-8F4A-BDA6-5AB3A292C465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$10-$11B in share buybacks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Brannon, Jameel A.</author>
  </authors>
  <commentList>
    <comment ref="M8" authorId="0" shapeId="0" xr:uid="{CFE7634B-53EC-B646-A771-9BEEA46B4AC7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Revenue forecast = # Units * Revenue Per Unit (RPU)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RPU = Revenue / units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Qx fcst = (RPUy-1 *(1+x%)) * (# Unitsq-1 + a) 
</t>
        </r>
      </text>
    </comment>
    <comment ref="M20" authorId="0" shapeId="0" xr:uid="{D3F1CA5E-C3F9-6347-9482-80A5CB06BAB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Revenue forecast = # Units * Revenue Per Unit (RPU)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RPU = Revenue / units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Qx fcst = (RPUy-1 *(1+x%)) * (# Unitsq-1 + a) 
</t>
        </r>
      </text>
    </comment>
    <comment ref="M42" authorId="0" shapeId="0" xr:uid="{709B28AC-3168-4B42-9045-14F624A292C6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Revenue forecast = # Units * Revenue Per Unit (RPU)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RPU = Revenue / units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Qx fcst = (RPUy-1 *(1+x%)) * (# Unitsq-1 + a) 
</t>
        </r>
      </text>
    </comment>
    <comment ref="L45" authorId="0" shapeId="0" xr:uid="{866DCCF9-54B9-4442-9A0D-7C0D07E90F2E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Margins impacted by markdowns </t>
        </r>
      </text>
    </comment>
    <comment ref="L87" authorId="0" shapeId="0" xr:uid="{898C270D-FA2C-4844-AAC9-7CEB7DA63E69}">
      <text>
        <r>
          <rPr>
            <b/>
            <sz val="10"/>
            <color rgb="FF000000"/>
            <rFont val="Tahoma"/>
            <family val="2"/>
          </rPr>
          <t>Brannon, Jameel A.: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WMT kept 24 cents per dollar of sales </t>
        </r>
      </text>
    </comment>
  </commentList>
</comments>
</file>

<file path=xl/sharedStrings.xml><?xml version="1.0" encoding="utf-8"?>
<sst xmlns="http://schemas.openxmlformats.org/spreadsheetml/2006/main" count="271" uniqueCount="194">
  <si>
    <t>Price</t>
  </si>
  <si>
    <t xml:space="preserve">Shares </t>
  </si>
  <si>
    <t xml:space="preserve">Market Capitalization </t>
  </si>
  <si>
    <t xml:space="preserve">Cash </t>
  </si>
  <si>
    <t>Debt</t>
  </si>
  <si>
    <t xml:space="preserve">Enterprise Value </t>
  </si>
  <si>
    <t>Q2'23</t>
  </si>
  <si>
    <t>Jan</t>
  </si>
  <si>
    <t>Feb</t>
  </si>
  <si>
    <t>march</t>
  </si>
  <si>
    <t>april</t>
  </si>
  <si>
    <t>may</t>
  </si>
  <si>
    <t xml:space="preserve">june </t>
  </si>
  <si>
    <t xml:space="preserve">july </t>
  </si>
  <si>
    <t>aug</t>
  </si>
  <si>
    <t>sept</t>
  </si>
  <si>
    <t>oct</t>
  </si>
  <si>
    <t>nov</t>
  </si>
  <si>
    <t>dec</t>
  </si>
  <si>
    <t>q1</t>
  </si>
  <si>
    <t>q2</t>
  </si>
  <si>
    <t>q3</t>
  </si>
  <si>
    <t>q4</t>
  </si>
  <si>
    <t>Annal Div</t>
  </si>
  <si>
    <t xml:space="preserve">Net Cash </t>
  </si>
  <si>
    <t>do we agree? Is this a good value? Or is this expensive?</t>
  </si>
  <si>
    <t>Company WMT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</si>
  <si>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</si>
  <si>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</si>
  <si>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</si>
  <si>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</si>
  <si>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</si>
  <si>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</si>
  <si>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</si>
  <si>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</si>
  <si>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</si>
  <si>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</si>
  <si>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Net Sales</t>
  </si>
  <si>
    <t>Membership / Other</t>
  </si>
  <si>
    <t xml:space="preserve">Total Revenue </t>
  </si>
  <si>
    <t>Costs</t>
  </si>
  <si>
    <t>Op, SG&amp;A</t>
  </si>
  <si>
    <t>Op Income</t>
  </si>
  <si>
    <t>Finance Lease</t>
  </si>
  <si>
    <t>Interest income</t>
  </si>
  <si>
    <t>Net Interest</t>
  </si>
  <si>
    <t>Other</t>
  </si>
  <si>
    <t>Pre-tax Income</t>
  </si>
  <si>
    <t>Shares</t>
  </si>
  <si>
    <t>Eps</t>
  </si>
  <si>
    <t>Taxes</t>
  </si>
  <si>
    <t>Net Income</t>
  </si>
  <si>
    <t>Revenue y/y</t>
  </si>
  <si>
    <t>Membership y/y</t>
  </si>
  <si>
    <t>Net Sales y/y</t>
  </si>
  <si>
    <t>GM%</t>
  </si>
  <si>
    <t>Debt Extinguish</t>
  </si>
  <si>
    <t>Q323E</t>
  </si>
  <si>
    <t>Q423E</t>
  </si>
  <si>
    <t>OM%</t>
  </si>
  <si>
    <t>Pre-Tax %</t>
  </si>
  <si>
    <t>NM%</t>
  </si>
  <si>
    <t>..</t>
  </si>
  <si>
    <t>Costs y/y</t>
  </si>
  <si>
    <t>SG&amp;A y/y</t>
  </si>
  <si>
    <t>Gross Profit y/y</t>
  </si>
  <si>
    <t>Revenue</t>
  </si>
  <si>
    <t xml:space="preserve">OP Income </t>
  </si>
  <si>
    <t>Units</t>
  </si>
  <si>
    <t>RPU</t>
  </si>
  <si>
    <t xml:space="preserve">WMT International </t>
  </si>
  <si>
    <t xml:space="preserve">Sam's Club </t>
  </si>
  <si>
    <t xml:space="preserve">Ex Fuel </t>
  </si>
  <si>
    <t>Bank Pays</t>
  </si>
  <si>
    <t>Div Yield (WMT Pays)</t>
  </si>
  <si>
    <t>PPE</t>
  </si>
  <si>
    <t xml:space="preserve">Tax Rate </t>
  </si>
  <si>
    <t>Press Releases</t>
  </si>
  <si>
    <t xml:space="preserve">Terminal </t>
  </si>
  <si>
    <t>Discount</t>
  </si>
  <si>
    <t>NPV</t>
  </si>
  <si>
    <t xml:space="preserve">TVM </t>
  </si>
  <si>
    <t xml:space="preserve">time value of money </t>
  </si>
  <si>
    <t>a dollar today is worth more than a dollar tomorrow</t>
  </si>
  <si>
    <t>why? ---&gt; we can invest the dollar today to earn some interest</t>
  </si>
  <si>
    <t>PV</t>
  </si>
  <si>
    <t>FV</t>
  </si>
  <si>
    <t xml:space="preserve">present value </t>
  </si>
  <si>
    <t xml:space="preserve">Future value </t>
  </si>
  <si>
    <t>periods</t>
  </si>
  <si>
    <t>pv ='fv/ (1+r)^t</t>
  </si>
  <si>
    <t>fv= 'pv*(1+r)^t</t>
  </si>
  <si>
    <t xml:space="preserve">rate </t>
  </si>
  <si>
    <t xml:space="preserve">Principal </t>
  </si>
  <si>
    <t>pv = 10k, rate = 10%, t = 10</t>
  </si>
  <si>
    <t xml:space="preserve">???? </t>
  </si>
  <si>
    <t>10Y</t>
  </si>
  <si>
    <t>30Y</t>
  </si>
  <si>
    <t>52W</t>
  </si>
  <si>
    <t>Current</t>
  </si>
  <si>
    <t>Delta</t>
  </si>
  <si>
    <t>Gn Merchandise</t>
  </si>
  <si>
    <t>Health</t>
  </si>
  <si>
    <t xml:space="preserve">CA </t>
  </si>
  <si>
    <t>A/R</t>
  </si>
  <si>
    <t>Inv</t>
  </si>
  <si>
    <t>Prepaid exp</t>
  </si>
  <si>
    <t xml:space="preserve">TA </t>
  </si>
  <si>
    <t>Goodwill</t>
  </si>
  <si>
    <t>Fin lease</t>
  </si>
  <si>
    <t>Op Lease</t>
  </si>
  <si>
    <t>LTD</t>
  </si>
  <si>
    <t>Accrued income tx</t>
  </si>
  <si>
    <t>Accrued liab</t>
  </si>
  <si>
    <t>Div payable</t>
  </si>
  <si>
    <t>A/P</t>
  </si>
  <si>
    <t>Short term borrowing</t>
  </si>
  <si>
    <t>LTD, current portion</t>
  </si>
  <si>
    <t>TL</t>
  </si>
  <si>
    <t>Noncontrllong</t>
  </si>
  <si>
    <t>Current Liabilities</t>
  </si>
  <si>
    <t>Op lease</t>
  </si>
  <si>
    <t>fin lease</t>
  </si>
  <si>
    <t>Deferred tx</t>
  </si>
  <si>
    <t xml:space="preserve">ASSETS = LIABILITIES + EQUITY </t>
  </si>
  <si>
    <t>Equity</t>
  </si>
  <si>
    <t>TL + E</t>
  </si>
  <si>
    <t>NWC</t>
  </si>
  <si>
    <t xml:space="preserve">Current Ratio </t>
  </si>
  <si>
    <t xml:space="preserve">Return on Equity </t>
  </si>
  <si>
    <t>Return on Inv cap</t>
  </si>
  <si>
    <t>CFFO</t>
  </si>
  <si>
    <t>D&amp;A</t>
  </si>
  <si>
    <t>Net gains</t>
  </si>
  <si>
    <t xml:space="preserve">Loss on disposal </t>
  </si>
  <si>
    <t>Deferred income tax</t>
  </si>
  <si>
    <t>Other op activities</t>
  </si>
  <si>
    <t>PPE (Capex)</t>
  </si>
  <si>
    <t>Proceeds from biz sales</t>
  </si>
  <si>
    <t>Other proceeds</t>
  </si>
  <si>
    <t>Busines Acq.</t>
  </si>
  <si>
    <t>Other investments</t>
  </si>
  <si>
    <t>CFFI</t>
  </si>
  <si>
    <t>FCF</t>
  </si>
  <si>
    <t xml:space="preserve">FCF = CFFO - CAPEX </t>
  </si>
  <si>
    <t xml:space="preserve">FCF = CFFO - CAPEX - STOCK BASE COMP </t>
  </si>
  <si>
    <t>FCF = CFFO - CAPEX - DEPRECIATION - SBC</t>
  </si>
  <si>
    <t xml:space="preserve">NET INCOME </t>
  </si>
  <si>
    <t>Fx</t>
  </si>
  <si>
    <t>Change in borrowings</t>
  </si>
  <si>
    <t>Debt Repayments</t>
  </si>
  <si>
    <t>Dividends</t>
  </si>
  <si>
    <t xml:space="preserve">buybacks </t>
  </si>
  <si>
    <t xml:space="preserve">sale of sub stock </t>
  </si>
  <si>
    <t>Other fin activities</t>
  </si>
  <si>
    <t>CFFF</t>
  </si>
  <si>
    <t xml:space="preserve">Net Change in cash </t>
  </si>
  <si>
    <t xml:space="preserve">Cash @ Begin </t>
  </si>
  <si>
    <t xml:space="preserve">Cash @ End </t>
  </si>
  <si>
    <t>EV</t>
  </si>
  <si>
    <t>EV / '23E</t>
  </si>
  <si>
    <t>Inventories?</t>
  </si>
  <si>
    <t>International?</t>
  </si>
  <si>
    <t>Strategy?</t>
  </si>
  <si>
    <t>competition?</t>
  </si>
  <si>
    <t xml:space="preserve">Q2'23 Transcript </t>
  </si>
  <si>
    <t>Notes</t>
  </si>
  <si>
    <t>Mexico</t>
  </si>
  <si>
    <t>Canada</t>
  </si>
  <si>
    <t xml:space="preserve">China </t>
  </si>
  <si>
    <t>U.K</t>
  </si>
  <si>
    <t>WMT U.S</t>
  </si>
  <si>
    <t>Potential Catalyst</t>
  </si>
  <si>
    <t>Grocery/consumables</t>
  </si>
  <si>
    <t>Fuel, tobacco, other</t>
  </si>
  <si>
    <t>Home + apparel</t>
  </si>
  <si>
    <t>Health + wellness</t>
  </si>
  <si>
    <t>Tech/office/etc</t>
  </si>
  <si>
    <t>WMT food inflation up double digits y/y</t>
  </si>
  <si>
    <t>International Mix</t>
  </si>
  <si>
    <t>Mex y/y</t>
  </si>
  <si>
    <t>Can y/y</t>
  </si>
  <si>
    <t>China y/y</t>
  </si>
  <si>
    <t>Food prices are going up??? Meanwhile, Walmart prices are either staying the same or going down?</t>
  </si>
  <si>
    <t>Gains ---&gt; market share???</t>
  </si>
  <si>
    <t>P/E</t>
  </si>
  <si>
    <t>CAGR</t>
  </si>
  <si>
    <t>Eps fv</t>
  </si>
  <si>
    <t>Estimate 1</t>
  </si>
  <si>
    <t>Estimate 2</t>
  </si>
  <si>
    <t>Net Estimate</t>
  </si>
  <si>
    <t>135-145</t>
  </si>
  <si>
    <t xml:space="preserve">Range </t>
  </si>
  <si>
    <t>131--146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</si>
</sst>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0.0%"/>
    <numFmt numFmtId="165" formatCode="#,##0.0"/>
    <numFmt numFmtId="166" formatCode="0.0000"/>
    <numFmt numFmtId="167" formatCode="_(* #,##0_);_(* \(#,##0\);_(* &quot;-&quot;??_);_(@_)"/>
    <numFmt numFmtId="168" formatCode="0\x"/>
    <numFmt numFmtId="169" formatCode="0.0\x"/>
  </numFmts>
  <fonts count="8">
    <font>
      <sz val="10"/>
      <color theme="1"/>
      <name val="IntelClear-Regular"/>
      <family val="2"/>
    </font>
    <font>
      <sz val="10"/>
      <color theme="1"/>
      <name val="IntelClear-Regular"/>
      <family val="2"/>
    </font>
    <font>
      <b/>
      <sz val="10"/>
      <color theme="1"/>
      <name val="IntelClear-Regula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IntelClear-Regular"/>
    </font>
    <font>
      <u/>
      <sz val="10"/>
      <color theme="10"/>
      <name val="IntelClear-Regular"/>
      <family val="2"/>
    </font>
    <font>
      <sz val="12"/>
      <color rgb="FF1E1E1E"/>
      <name val="Intel Clear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9" fontId="2" fillId="0" borderId="0" xfId="0" applyNumberFormat="1" applyFont="1"/>
    <xf numFmtId="10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/>
    <xf numFmtId="1" fontId="0" fillId="0" borderId="0" xfId="0" applyNumberFormat="1"/>
    <xf numFmtId="14" fontId="0" fillId="0" borderId="0" xfId="0" applyNumberFormat="1"/>
    <xf numFmtId="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3" fontId="0" fillId="0" borderId="0" xfId="0" applyNumberFormat="1" applyBorder="1"/>
    <xf numFmtId="9" fontId="0" fillId="0" borderId="0" xfId="0" applyNumberFormat="1" applyBorder="1"/>
    <xf numFmtId="165" fontId="0" fillId="0" borderId="0" xfId="0" applyNumberFormat="1" applyBorder="1"/>
    <xf numFmtId="3" fontId="2" fillId="0" borderId="0" xfId="0" applyNumberFormat="1" applyFont="1" applyBorder="1"/>
    <xf numFmtId="166" fontId="2" fillId="0" borderId="0" xfId="0" applyNumberFormat="1" applyFont="1"/>
    <xf numFmtId="9" fontId="2" fillId="2" borderId="0" xfId="0" applyNumberFormat="1" applyFont="1" applyFill="1"/>
    <xf numFmtId="0" fontId="0" fillId="0" borderId="0" xfId="0" quotePrefix="1"/>
    <xf numFmtId="0" fontId="2" fillId="0" borderId="0" xfId="0" quotePrefix="1" applyFont="1"/>
    <xf numFmtId="167" fontId="2" fillId="0" borderId="0" xfId="1" applyNumberFormat="1" applyFont="1"/>
    <xf numFmtId="167" fontId="0" fillId="0" borderId="0" xfId="1" applyNumberFormat="1" applyFont="1"/>
    <xf numFmtId="165" fontId="2" fillId="0" borderId="0" xfId="0" applyNumberFormat="1" applyFont="1" applyBorder="1"/>
    <xf numFmtId="1" fontId="2" fillId="0" borderId="0" xfId="0" applyNumberFormat="1" applyFont="1"/>
    <xf numFmtId="169" fontId="2" fillId="0" borderId="0" xfId="0" applyNumberFormat="1" applyFont="1"/>
    <xf numFmtId="168" fontId="0" fillId="0" borderId="0" xfId="0" applyNumberFormat="1"/>
    <xf numFmtId="0" fontId="6" fillId="0" borderId="0" xfId="2"/>
    <xf numFmtId="8" fontId="2" fillId="0" borderId="0" xfId="0" applyNumberFormat="1" applyFont="1"/>
    <xf numFmtId="9" fontId="5" fillId="0" borderId="0" xfId="0" applyNumberFormat="1" applyFont="1"/>
    <xf numFmtId="164" fontId="5" fillId="0" borderId="0" xfId="0" applyNumberFormat="1" applyFont="1"/>
    <xf numFmtId="165" fontId="2" fillId="0" borderId="0" xfId="0" applyNumberFormat="1" applyFont="1"/>
    <xf numFmtId="0" fontId="0" fillId="0" borderId="0" xfId="0" applyAlignment="1">
      <alignment horizontal="center"/>
    </xf>
    <xf numFmtId="4" fontId="2" fillId="0" borderId="0" xfId="0" applyNumberFormat="1" applyFont="1"/>
    <xf numFmtId="0" fontId="7" fillId="0" borderId="0" xfId="0" applyFont="1"/>
    <xf numFmtId="168" fontId="7" fillId="0" borderId="0" xfId="0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234171</xdr:colOff>
      <xdr:row>8</xdr:row>
      <xdr:rowOff>48958</xdr:rowOff>
    </xdr:from>
    <xdr:to>
      <xdr:col>14</xdr:col>
      <xdr:colOff>316236</xdr:colOff>
      <xdr:row>9</xdr:row>
      <xdr:rowOff>58407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FD44A06F-2481-3A26-B2AA-0137F0140961}"/>
                </a:ext>
              </a:extLst>
            </xdr14:cNvPr>
            <xdr14:cNvContentPartPr/>
          </xdr14:nvContentPartPr>
          <xdr14:nvPr macro=""/>
          <xdr14:xfrm>
            <a:off x="8974080" y="1465200"/>
            <a:ext cx="578520" cy="18648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FD44A06F-2481-3A26-B2AA-0137F01409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8965440" y="1456217"/>
              <a:ext cx="596160" cy="204086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594824</xdr:colOff>
      <xdr:row>0</xdr:row>
      <xdr:rowOff>27171</xdr:rowOff>
    </xdr:from>
    <xdr:to>
      <xdr:col>12</xdr:col>
      <xdr:colOff>26737</xdr:colOff>
      <xdr:row>218</xdr:row>
      <xdr:rowOff>73527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F1F27A-77B5-3334-69C2-2E093AA29F0F}"/>
            </a:ext>
          </a:extLst>
        </xdr:cNvPr>
        <xdr:cNvCxnSpPr/>
      </xdr:nvCxnSpPr>
      <xdr:spPr>
        <a:xfrm>
          <a:off x="7633298" y="27171"/>
          <a:ext cx="26807" cy="23327461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0</xdr:row>
      <xdr:rowOff>0</xdr:rowOff>
    </xdr:from>
    <xdr:to>
      <xdr:col>25</xdr:col>
      <xdr:colOff>20464</xdr:colOff>
      <xdr:row>120</xdr:row>
      <xdr:rowOff>60752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2EE86E0-CC8B-8A48-880F-FFD0624EFDDE}"/>
            </a:ext>
          </a:extLst>
        </xdr:cNvPr>
        <xdr:cNvCxnSpPr/>
      </xdr:nvCxnSpPr>
      <xdr:spPr>
        <a:xfrm>
          <a:off x="13208000" y="0"/>
          <a:ext cx="20464" cy="12611340"/>
        </a:xfrm>
        <a:prstGeom prst="line">
          <a:avLst/>
        </a:prstGeom>
        <a:ln w="12700">
          <a:solidFill>
            <a:schemeClr val="accent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11-05T02:04:12.12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1 120 24575,'1'7'0,"1"2"0,1 4 0,0 3 0,2 3 0,2 4 0,-1-1 0,1 1 0,1-1 0,0-2 0,1-1 0,-1-3 0,0-2 0,0-2 0,0 0 0,1-1 0,2 1 0,0-1 0,1-1 0,0 1 0,3-1 0,-1-1 0,2 0 0,0-1 0,2-1 0,1 0 0,5 0 0,10 1 0,-3-2 0,11 0 0,-12-1 0,3-1 0,-3-1 0,0 1 0,1-2 0,-1-1 0,-1-1 0,0-1 0,-3-1 0,-1-1 0,-3-1 0,0-2 0,1-2 0,0 0 0,2-2 0,2 1 0,1 0 0,0 0 0,1-1 0,-1-1 0,1-2 0,-3 0 0,-5 1 0,0 1 0,-1 1 0,-1 0 0,4-2 0,-1 1 0,3 0 0,1 0 0,1 1 0,-1 1 0,-2 1 0,2-3 0,-10 4 0,4-3 0,-11 4 0,3-2 0,-1 1 0,-1 1 0,-1 1 0,-1 1 0,-1 0 0,-1 1 0,-1 0 0,0 1 0,-1-1 0,-1 1 0,0-2 0,0 1 0,0-1 0,0 1 0,-1-1 0,0 1 0,0 0 0,-1 1 0,1-1 0,-1 0 0,1-4 0,-1 2 0,1-3 0,-1 4 0,0-2 0,-1 2 0,1-1 0,-1 2 0,0 1 0,0 0 0,-1 2 0,-1-1 0,-2 0 0,2 1 0,-1-1 0</inkml:trace>
  <inkml:trace contextRef="#ctx0" brushRef="#br0" timeOffset="1065">1160 117 24575,'7'0'0,"6"0"0,10-2 0,15-4 0,12-6 0,6-6 0,-5-3 0,-11 2 0,-12 3 0,-11 5 0,-5 5 0,-3 2 0,-1 2 0,0 3 0,0 4 0,0 6 0,0 6 0,2 7 0,-1 4 0,1 0 0,-1-2 0,0 0 0,-4-10 0,0 2 0,-3-10 0,0 1 0,-1-4 0,0-3 0,-1-1 0,0-1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s201.q4cdn.com/262069030/files/doc_financials/2023/q2/CORRECTED-TRANSCRIPT-vf_-Walmart,-Inc.(WMT-US),-Q2-2023-Earnings-Call,-16-August-2022-8_00-AM-EST.pdf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06E9-7DD8-304E-BF44-17CFE364C1B0}">
  <dimension ref="B2:T29"/>
  <sheetViews>
    <sheetView topLeftCell="B1" zoomScale="330" zoomScaleNormal="330" workbookViewId="0">
      <selection activeCell="N8" sqref="N8"/>
    </sheetView>
  </sheetViews>
  <sheetFormatPr baseColWidth="10" defaultRowHeight="14"/>
  <cols>
    <col min="2" max="2" width="14.1640625" bestFit="1" customWidth="1"/>
    <col min="4" max="4" width="17.1640625" bestFit="1" customWidth="1"/>
    <col min="5" max="5" width="7.5" bestFit="1" customWidth="1"/>
    <col min="6" max="6" width="6.5" bestFit="1" customWidth="1"/>
    <col min="7" max="7" width="14.1640625" bestFit="1" customWidth="1"/>
    <col min="9" max="10" width="3.83203125" bestFit="1" customWidth="1"/>
    <col min="11" max="11" width="6" bestFit="1" customWidth="1"/>
    <col min="12" max="12" width="4.5" bestFit="1" customWidth="1"/>
    <col min="13" max="13" width="4.33203125" bestFit="1" customWidth="1"/>
    <col min="14" max="15" width="6.5" bestFit="1" customWidth="1"/>
    <col min="16" max="16" width="4" bestFit="1" customWidth="1"/>
    <col min="17" max="17" width="4.33203125" bestFit="1" customWidth="1"/>
    <col min="18" max="18" width="3.5" bestFit="1" customWidth="1"/>
    <col min="19" max="19" width="4" bestFit="1" customWidth="1"/>
    <col min="20" max="20" width="3.83203125" bestFit="1" customWidth="1"/>
  </cols>
  <sheetData>
    <row r="2" spans="2:20">
      <c r="D2" s="1" t="s">
        <v>26</v>
      </c>
      <c r="I2" s="33" t="s">
        <v>19</v>
      </c>
      <c r="J2" s="33"/>
      <c r="K2" s="33"/>
      <c r="L2" s="33" t="s">
        <v>20</v>
      </c>
      <c r="M2" s="33"/>
      <c r="N2" s="33"/>
      <c r="O2" s="33" t="s">
        <v>21</v>
      </c>
      <c r="P2" s="33"/>
      <c r="Q2" s="33"/>
      <c r="R2" s="33" t="s">
        <v>22</v>
      </c>
      <c r="S2" s="33"/>
      <c r="T2" s="33"/>
    </row>
    <row r="3" spans="2:20"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  <c r="S3" t="s">
        <v>17</v>
      </c>
      <c r="T3" t="s">
        <v>18</v>
      </c>
    </row>
    <row r="4" spans="2:20">
      <c r="B4" s="8"/>
      <c r="D4" t="s">
        <v>0</v>
      </c>
      <c r="E4" s="3">
        <v>140.97</v>
      </c>
      <c r="G4" s="3"/>
    </row>
    <row r="5" spans="2:20">
      <c r="B5" s="7"/>
      <c r="D5" t="s">
        <v>1</v>
      </c>
      <c r="E5" s="3">
        <v>2714.2379369999999</v>
      </c>
      <c r="F5" t="s">
        <v>6</v>
      </c>
      <c r="G5" s="3"/>
      <c r="H5">
        <v>1</v>
      </c>
    </row>
    <row r="6" spans="2:20">
      <c r="B6" s="7" t="s">
        <v>77</v>
      </c>
      <c r="D6" t="s">
        <v>2</v>
      </c>
      <c r="E6" s="3">
        <f>+E4*E5</f>
        <v>382626.12197888998</v>
      </c>
      <c r="G6" s="3"/>
    </row>
    <row r="7" spans="2:20">
      <c r="D7" t="s">
        <v>3</v>
      </c>
      <c r="E7" s="3">
        <v>13923</v>
      </c>
      <c r="F7" t="str">
        <f>+F5</f>
        <v>Q2'23</v>
      </c>
      <c r="G7" s="3"/>
    </row>
    <row r="8" spans="2:20">
      <c r="D8" t="s">
        <v>4</v>
      </c>
      <c r="E8" s="3">
        <f>10634+5316+29801</f>
        <v>45751</v>
      </c>
      <c r="F8" t="str">
        <f>+F7</f>
        <v>Q2'23</v>
      </c>
      <c r="G8" s="3"/>
      <c r="N8" s="3">
        <v>13923</v>
      </c>
      <c r="O8" s="3">
        <f>10634+5316+29801</f>
        <v>45751</v>
      </c>
    </row>
    <row r="9" spans="2:20">
      <c r="B9" s="1" t="s">
        <v>161</v>
      </c>
      <c r="D9" t="s">
        <v>5</v>
      </c>
      <c r="E9" s="3">
        <f>+E6-E7+E8</f>
        <v>414454.12197888998</v>
      </c>
      <c r="G9" s="3" t="s">
        <v>25</v>
      </c>
    </row>
    <row r="10" spans="2:20">
      <c r="B10" t="s">
        <v>162</v>
      </c>
    </row>
    <row r="11" spans="2:20">
      <c r="B11" t="s">
        <v>163</v>
      </c>
      <c r="D11" t="s">
        <v>24</v>
      </c>
      <c r="E11" s="7">
        <f>+E7-E8</f>
        <v>-31828</v>
      </c>
    </row>
    <row r="12" spans="2:20">
      <c r="B12" s="1" t="s">
        <v>164</v>
      </c>
      <c r="D12" t="s">
        <v>23</v>
      </c>
      <c r="E12" s="1">
        <f>0.56*4</f>
        <v>2.2400000000000002</v>
      </c>
      <c r="F12" s="18">
        <f>+E12/4</f>
        <v>0.56000000000000005</v>
      </c>
    </row>
    <row r="13" spans="2:20">
      <c r="C13" s="2"/>
      <c r="D13" s="5" t="s">
        <v>74</v>
      </c>
      <c r="E13" s="6">
        <f>+E12/E4</f>
        <v>1.5889905653685182E-2</v>
      </c>
    </row>
    <row r="14" spans="2:20">
      <c r="D14" t="s">
        <v>73</v>
      </c>
      <c r="E14" s="4">
        <v>0.01</v>
      </c>
    </row>
    <row r="17" spans="2:3">
      <c r="B17" t="s">
        <v>172</v>
      </c>
    </row>
    <row r="19" spans="2:3">
      <c r="B19" t="s">
        <v>178</v>
      </c>
    </row>
    <row r="21" spans="2:3">
      <c r="B21" s="28" t="s">
        <v>165</v>
      </c>
      <c r="C21" t="s">
        <v>166</v>
      </c>
    </row>
    <row r="28" spans="2:3">
      <c r="B28" t="s">
        <v>183</v>
      </c>
    </row>
    <row r="29" spans="2:3">
      <c r="B29" t="s">
        <v>184</v>
      </c>
    </row>
  </sheetData>
  <mergeCells count="4">
    <mergeCell ref="I2:K2"/>
    <mergeCell ref="L2:N2"/>
    <mergeCell ref="O2:Q2"/>
    <mergeCell ref="R2:T2"/>
  </mergeCells>
  <hyperlinks>
    <hyperlink ref="B21" r:id="rId1" xr:uid="{6933A830-9B9C-C442-8C43-763BC7FD358F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3174B-E597-8948-8AAD-30220605E74F}">
  <dimension ref="B2:DP217"/>
  <sheetViews>
    <sheetView tabSelected="1" zoomScale="200" zoomScaleNormal="180" workbookViewId="0">
      <pane xSplit="2" ySplit="3" topLeftCell="K52" activePane="bottomRight" state="frozen"/>
      <selection pane="topRight" activeCell="C1" sqref="C1"/>
      <selection pane="bottomLeft" activeCell="A3" sqref="A3"/>
      <selection pane="bottomRight" activeCell="X57" sqref="X57:Z57"/>
    </sheetView>
  </sheetViews>
  <sheetFormatPr baseColWidth="10" defaultRowHeight="14" outlineLevelRow="1"/>
  <cols>
    <col min="1" max="1" width="6" style="3" customWidth="1"/>
    <col min="2" max="2" width="16.33203125" style="3" bestFit="1" customWidth="1"/>
    <col min="3" max="4" width="7.5" style="3" bestFit="1" customWidth="1"/>
    <col min="5" max="5" width="8.5" style="3" bestFit="1" customWidth="1"/>
    <col min="6" max="6" width="7.5" style="3" bestFit="1" customWidth="1"/>
    <col min="7" max="8" width="7.83203125" style="3" bestFit="1" customWidth="1"/>
    <col min="9" max="9" width="8.5" style="3" bestFit="1" customWidth="1"/>
    <col min="10" max="10" width="7.5" style="3" bestFit="1" customWidth="1"/>
    <col min="11" max="12" width="7.83203125" style="3" bestFit="1" customWidth="1"/>
    <col min="13" max="13" width="8.83203125" style="3" bestFit="1" customWidth="1"/>
    <col min="14" max="14" width="7.5" style="3" bestFit="1" customWidth="1"/>
    <col min="15" max="15" width="10.83203125" style="3"/>
    <col min="16" max="23" width="7.5" style="3" bestFit="1" customWidth="1"/>
    <col min="24" max="25" width="7.6640625" style="3" bestFit="1" customWidth="1"/>
    <col min="26" max="35" width="7.5" style="3" bestFit="1" customWidth="1"/>
    <col min="36" max="38" width="10.83203125" style="3"/>
    <col min="39" max="39" width="11.33203125" style="3" bestFit="1" customWidth="1"/>
    <col min="40" max="16384" width="10.83203125" style="3"/>
  </cols>
  <sheetData>
    <row r="2" spans="2:35" s="10" customFormat="1">
      <c r="D2" s="10">
        <v>44043</v>
      </c>
      <c r="E2" s="10">
        <v>44135</v>
      </c>
      <c r="G2" s="10">
        <v>44316</v>
      </c>
      <c r="H2" s="10">
        <v>44408</v>
      </c>
      <c r="I2" s="10">
        <v>44500</v>
      </c>
      <c r="J2" s="10">
        <f>+Y2</f>
        <v>44592</v>
      </c>
      <c r="K2" s="10">
        <v>44681</v>
      </c>
      <c r="L2" s="10">
        <v>44773</v>
      </c>
      <c r="M2" s="10">
        <v>44880</v>
      </c>
      <c r="W2" s="10">
        <v>43861</v>
      </c>
      <c r="X2" s="10">
        <v>44227</v>
      </c>
      <c r="Y2" s="10">
        <v>44592</v>
      </c>
    </row>
    <row r="3" spans="2:35" s="9" customFormat="1">
      <c r="C3" s="9" t="s">
        <v>27</v>
      </c>
      <c r="D3" s="9" t="s">
        <v>28</v>
      </c>
      <c r="E3" s="9" t="s">
        <v>29</v>
      </c>
      <c r="F3" s="9" t="s">
        <v>30</v>
      </c>
      <c r="G3" s="9" t="s">
        <v>31</v>
      </c>
      <c r="H3" s="9" t="s">
        <v>32</v>
      </c>
      <c r="I3" s="9" t="s">
        <v>33</v>
      </c>
      <c r="J3" s="9" t="s">
        <v>34</v>
      </c>
      <c r="K3" s="9" t="s">
        <v>35</v>
      </c>
      <c r="L3" s="9" t="s">
        <v>36</v>
      </c>
      <c r="M3" s="9" t="s">
        <v>57</v>
      </c>
      <c r="N3" s="9" t="s">
        <v>58</v>
      </c>
      <c r="P3" s="9">
        <v>2013</v>
      </c>
      <c r="Q3" s="9">
        <v>2014</v>
      </c>
      <c r="R3" s="9">
        <v>2015</v>
      </c>
      <c r="S3" s="9">
        <f>+R3+1</f>
        <v>2016</v>
      </c>
      <c r="T3" s="9">
        <f t="shared" ref="T3:AH3" si="0">+S3+1</f>
        <v>2017</v>
      </c>
      <c r="U3" s="9">
        <f t="shared" si="0"/>
        <v>2018</v>
      </c>
      <c r="V3" s="9">
        <f t="shared" si="0"/>
        <v>2019</v>
      </c>
      <c r="W3" s="9">
        <f t="shared" si="0"/>
        <v>2020</v>
      </c>
      <c r="X3" s="9">
        <f t="shared" si="0"/>
        <v>2021</v>
      </c>
      <c r="Y3" s="9">
        <f t="shared" si="0"/>
        <v>2022</v>
      </c>
      <c r="Z3" s="9">
        <f t="shared" si="0"/>
        <v>2023</v>
      </c>
      <c r="AA3" s="9">
        <f t="shared" si="0"/>
        <v>2024</v>
      </c>
      <c r="AB3" s="9">
        <f t="shared" si="0"/>
        <v>2025</v>
      </c>
      <c r="AC3" s="9">
        <f t="shared" si="0"/>
        <v>2026</v>
      </c>
      <c r="AD3" s="9">
        <f t="shared" si="0"/>
        <v>2027</v>
      </c>
      <c r="AE3" s="9">
        <f t="shared" si="0"/>
        <v>2028</v>
      </c>
      <c r="AF3" s="9">
        <f t="shared" si="0"/>
        <v>2029</v>
      </c>
      <c r="AG3" s="9">
        <f t="shared" si="0"/>
        <v>2030</v>
      </c>
      <c r="AH3" s="9">
        <f t="shared" si="0"/>
        <v>2031</v>
      </c>
      <c r="AI3" s="9">
        <v>2032</v>
      </c>
    </row>
    <row r="4" spans="2:35" s="7" customFormat="1">
      <c r="B4" s="24" t="s">
        <v>171</v>
      </c>
      <c r="C4" s="24"/>
      <c r="D4" s="24"/>
      <c r="E4" s="24">
        <v>50683</v>
      </c>
      <c r="G4" s="24">
        <v>51391</v>
      </c>
      <c r="H4" s="24">
        <v>54649</v>
      </c>
      <c r="I4" s="24">
        <v>55560</v>
      </c>
      <c r="J4" s="24"/>
      <c r="K4" s="24">
        <v>56764</v>
      </c>
      <c r="L4" s="24">
        <v>61469</v>
      </c>
      <c r="M4" s="24"/>
      <c r="N4" s="24"/>
      <c r="O4" s="17"/>
      <c r="P4" s="17"/>
      <c r="Q4" s="17"/>
      <c r="R4" s="25"/>
      <c r="S4" s="25"/>
      <c r="T4" s="25"/>
      <c r="U4" s="25"/>
      <c r="V4" s="25"/>
      <c r="AA4" s="24"/>
      <c r="AB4" s="24"/>
      <c r="AC4" s="24"/>
      <c r="AD4" s="24"/>
      <c r="AE4" s="24"/>
      <c r="AF4" s="24"/>
      <c r="AG4" s="24"/>
      <c r="AH4" s="24"/>
      <c r="AI4" s="24"/>
    </row>
    <row r="5" spans="2:35">
      <c r="B5" s="16" t="s">
        <v>101</v>
      </c>
      <c r="C5" s="16"/>
      <c r="D5" s="16"/>
      <c r="E5" s="16">
        <v>26927</v>
      </c>
      <c r="G5" s="16">
        <v>30607</v>
      </c>
      <c r="H5" s="16">
        <v>31707</v>
      </c>
      <c r="I5" s="16">
        <v>28544</v>
      </c>
      <c r="J5" s="16"/>
      <c r="K5" s="16">
        <v>27379</v>
      </c>
      <c r="L5" s="16">
        <v>30073</v>
      </c>
      <c r="M5" s="16"/>
      <c r="N5" s="16"/>
      <c r="O5" s="14"/>
      <c r="P5" s="14"/>
      <c r="Q5" s="14"/>
      <c r="R5" s="9"/>
      <c r="S5" s="9"/>
      <c r="T5" s="9"/>
      <c r="U5" s="9"/>
      <c r="V5" s="9"/>
      <c r="AA5" s="16"/>
      <c r="AB5" s="16"/>
      <c r="AC5" s="16"/>
      <c r="AD5" s="16"/>
      <c r="AE5" s="16"/>
      <c r="AF5" s="16"/>
      <c r="AG5" s="16"/>
      <c r="AH5" s="16"/>
      <c r="AI5" s="16"/>
    </row>
    <row r="6" spans="2:35">
      <c r="B6" s="16" t="s">
        <v>102</v>
      </c>
      <c r="C6" s="16"/>
      <c r="D6" s="16"/>
      <c r="E6" s="16">
        <v>9806</v>
      </c>
      <c r="G6" s="16">
        <v>9970</v>
      </c>
      <c r="H6" s="16">
        <v>10480</v>
      </c>
      <c r="I6" s="16">
        <v>11030</v>
      </c>
      <c r="J6" s="16"/>
      <c r="K6" s="16">
        <v>10894</v>
      </c>
      <c r="L6" s="16">
        <v>11331</v>
      </c>
      <c r="M6" s="16"/>
      <c r="N6" s="16"/>
      <c r="O6" s="14"/>
      <c r="P6" s="14"/>
      <c r="Q6" s="14"/>
      <c r="R6" s="9"/>
      <c r="S6" s="9"/>
      <c r="T6" s="9"/>
      <c r="U6" s="9"/>
      <c r="V6" s="9"/>
      <c r="AA6" s="16"/>
      <c r="AB6" s="16"/>
      <c r="AC6" s="16"/>
      <c r="AD6" s="16"/>
      <c r="AE6" s="16"/>
      <c r="AF6" s="16"/>
      <c r="AG6" s="16"/>
      <c r="AH6" s="16"/>
      <c r="AI6" s="16"/>
    </row>
    <row r="7" spans="2:35">
      <c r="B7" s="16" t="s">
        <v>46</v>
      </c>
      <c r="C7" s="16"/>
      <c r="D7" s="16"/>
      <c r="E7" s="16">
        <v>937</v>
      </c>
      <c r="G7" s="16">
        <v>1199</v>
      </c>
      <c r="H7" s="16">
        <v>1356</v>
      </c>
      <c r="I7" s="16">
        <v>1475</v>
      </c>
      <c r="J7" s="16"/>
      <c r="K7" s="16">
        <v>1867</v>
      </c>
      <c r="L7" s="16">
        <v>2257</v>
      </c>
      <c r="M7" s="16"/>
      <c r="N7" s="16"/>
      <c r="O7" s="14"/>
      <c r="P7" s="14"/>
      <c r="Q7" s="14"/>
      <c r="R7" s="9"/>
      <c r="S7" s="9"/>
      <c r="T7" s="9"/>
      <c r="U7" s="9"/>
      <c r="V7" s="9"/>
      <c r="AA7" s="16"/>
      <c r="AB7" s="16"/>
      <c r="AC7" s="16"/>
      <c r="AD7" s="16"/>
      <c r="AE7" s="16"/>
      <c r="AF7" s="16"/>
      <c r="AG7" s="16"/>
      <c r="AH7" s="16"/>
      <c r="AI7" s="16"/>
    </row>
    <row r="8" spans="2:35" s="7" customFormat="1">
      <c r="B8" s="17" t="s">
        <v>66</v>
      </c>
      <c r="C8" s="17">
        <v>88743</v>
      </c>
      <c r="D8" s="17">
        <v>93282</v>
      </c>
      <c r="E8" s="17">
        <f>+SUM(E4:E7)</f>
        <v>88353</v>
      </c>
      <c r="F8" s="17">
        <f>+X8-SUM(C8:E8)</f>
        <v>99585</v>
      </c>
      <c r="G8" s="17">
        <f>+SUM(G4:G7)</f>
        <v>93167</v>
      </c>
      <c r="H8" s="17">
        <f>+SUM(H4:H7)</f>
        <v>98192</v>
      </c>
      <c r="I8" s="17">
        <f>+SUM(I4:I7)</f>
        <v>96609</v>
      </c>
      <c r="J8" s="17">
        <f>+Y8-SUM(G8:I8)</f>
        <v>105279</v>
      </c>
      <c r="K8" s="17">
        <f>+SUM(K4:K7)</f>
        <v>96904</v>
      </c>
      <c r="L8" s="17">
        <f>+SUM(L4:L7)</f>
        <v>105130</v>
      </c>
      <c r="M8" s="24">
        <f>+M11*M12</f>
        <v>101289.70808730493</v>
      </c>
      <c r="N8" s="17">
        <f>+N12*N11</f>
        <v>107226.06206242093</v>
      </c>
      <c r="O8" s="17"/>
      <c r="P8" s="17"/>
      <c r="Q8" s="17"/>
      <c r="R8" s="25"/>
      <c r="S8" s="25"/>
      <c r="T8" s="25"/>
      <c r="U8" s="25"/>
      <c r="V8" s="25"/>
      <c r="W8" s="7">
        <v>341004</v>
      </c>
      <c r="X8" s="7">
        <v>369963</v>
      </c>
      <c r="Y8" s="7">
        <v>393247</v>
      </c>
      <c r="Z8" s="7">
        <f>+SUM(K8:N8)</f>
        <v>410549.7701497259</v>
      </c>
      <c r="AA8" s="17">
        <f>+AA12*AA11</f>
        <v>419171.3153228701</v>
      </c>
      <c r="AB8" s="17">
        <f t="shared" ref="AB8:AI8" si="1">+AB12*AB11</f>
        <v>427973.91294465034</v>
      </c>
      <c r="AC8" s="17">
        <f t="shared" si="1"/>
        <v>436961.36511648796</v>
      </c>
      <c r="AD8" s="17">
        <f t="shared" si="1"/>
        <v>446137.55378393416</v>
      </c>
      <c r="AE8" s="17">
        <f t="shared" si="1"/>
        <v>455506.44241339673</v>
      </c>
      <c r="AF8" s="17">
        <f t="shared" si="1"/>
        <v>465072.07770407805</v>
      </c>
      <c r="AG8" s="17">
        <f t="shared" si="1"/>
        <v>474838.59133586363</v>
      </c>
      <c r="AH8" s="17">
        <f t="shared" si="1"/>
        <v>484810.20175391668</v>
      </c>
      <c r="AI8" s="17">
        <f t="shared" si="1"/>
        <v>494991.21599074884</v>
      </c>
    </row>
    <row r="9" spans="2:35">
      <c r="B9" s="14" t="s">
        <v>67</v>
      </c>
      <c r="C9" s="14">
        <v>4302</v>
      </c>
      <c r="D9" s="14">
        <v>5057</v>
      </c>
      <c r="E9" s="14">
        <v>4589</v>
      </c>
      <c r="F9" s="14">
        <f t="shared" ref="F9" si="2">+X9-SUM(C9:E9)</f>
        <v>-4832</v>
      </c>
      <c r="G9" s="14">
        <v>5455</v>
      </c>
      <c r="H9" s="14">
        <v>6089</v>
      </c>
      <c r="I9" s="14">
        <v>4860</v>
      </c>
      <c r="J9" s="14">
        <f>+Y9-SUM(G9:I9)</f>
        <v>5183</v>
      </c>
      <c r="K9" s="14">
        <v>4462</v>
      </c>
      <c r="L9" s="14">
        <v>5683</v>
      </c>
      <c r="M9" s="14">
        <f>+M8*(L9/L8)</f>
        <v>5475.405793400113</v>
      </c>
      <c r="N9" s="14">
        <f>+N8*(M9/M8)</f>
        <v>5796.3065794800541</v>
      </c>
      <c r="O9" s="14"/>
      <c r="P9" s="14"/>
      <c r="Q9" s="14"/>
      <c r="R9" s="9"/>
      <c r="S9" s="9"/>
      <c r="T9" s="9"/>
      <c r="U9" s="9"/>
      <c r="V9" s="9"/>
      <c r="W9" s="3">
        <v>17380</v>
      </c>
      <c r="X9" s="3">
        <v>9116</v>
      </c>
      <c r="Y9" s="3">
        <v>21587</v>
      </c>
      <c r="Z9" s="3">
        <f t="shared" ref="Z9" si="3">+SUM(K9:N9)</f>
        <v>21416.712372880167</v>
      </c>
    </row>
    <row r="10" spans="2:35" s="2" customFormat="1">
      <c r="B10" s="15" t="s">
        <v>59</v>
      </c>
      <c r="C10" s="15">
        <f t="shared" ref="C10:K10" si="4">+C9/C8</f>
        <v>4.8477062979615293E-2</v>
      </c>
      <c r="D10" s="15">
        <f t="shared" si="4"/>
        <v>5.4211959434832015E-2</v>
      </c>
      <c r="E10" s="15">
        <f t="shared" si="4"/>
        <v>5.1939379534367822E-2</v>
      </c>
      <c r="F10" s="15">
        <f t="shared" si="4"/>
        <v>-4.8521363659185621E-2</v>
      </c>
      <c r="G10" s="15">
        <f t="shared" si="4"/>
        <v>5.855077441583393E-2</v>
      </c>
      <c r="H10" s="15">
        <f t="shared" si="4"/>
        <v>6.2011161805442395E-2</v>
      </c>
      <c r="I10" s="15">
        <f t="shared" si="4"/>
        <v>5.0305872123715178E-2</v>
      </c>
      <c r="J10" s="15">
        <f t="shared" si="4"/>
        <v>4.9231090720846513E-2</v>
      </c>
      <c r="K10" s="15">
        <f t="shared" si="4"/>
        <v>4.6045570874267319E-2</v>
      </c>
      <c r="L10" s="15">
        <f>+L9/L8</f>
        <v>5.405688195567393E-2</v>
      </c>
      <c r="M10" s="15">
        <f t="shared" ref="M10:N10" si="5">+M9/M8</f>
        <v>5.4056881955673923E-2</v>
      </c>
      <c r="N10" s="15">
        <f t="shared" si="5"/>
        <v>5.4056881955673923E-2</v>
      </c>
      <c r="O10" s="15"/>
      <c r="P10" s="15"/>
      <c r="Q10" s="15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2:35">
      <c r="B11" s="14" t="s">
        <v>68</v>
      </c>
      <c r="C11" s="14">
        <v>4753</v>
      </c>
      <c r="D11" s="14">
        <v>4754</v>
      </c>
      <c r="E11" s="14">
        <v>4748</v>
      </c>
      <c r="F11" s="14">
        <f>+X11</f>
        <v>4743</v>
      </c>
      <c r="G11" s="14">
        <v>4743</v>
      </c>
      <c r="H11" s="14">
        <v>4740</v>
      </c>
      <c r="I11" s="14">
        <v>4742</v>
      </c>
      <c r="J11" s="14">
        <f>+Y11</f>
        <v>4742</v>
      </c>
      <c r="K11" s="14">
        <v>4735</v>
      </c>
      <c r="L11" s="14">
        <v>4735</v>
      </c>
      <c r="M11" s="14">
        <f>+L11</f>
        <v>4735</v>
      </c>
      <c r="N11" s="14">
        <f>+M11</f>
        <v>4735</v>
      </c>
      <c r="O11" s="14"/>
      <c r="P11" s="14"/>
      <c r="Q11" s="14"/>
      <c r="R11" s="9"/>
      <c r="S11" s="9"/>
      <c r="T11" s="9"/>
      <c r="U11" s="9"/>
      <c r="V11" s="9"/>
      <c r="W11" s="3">
        <v>4756</v>
      </c>
      <c r="X11" s="3">
        <v>4743</v>
      </c>
      <c r="Y11" s="3">
        <v>4742</v>
      </c>
      <c r="Z11" s="3">
        <f>+N11</f>
        <v>4735</v>
      </c>
      <c r="AA11" s="3">
        <f>+Z11</f>
        <v>4735</v>
      </c>
      <c r="AB11" s="3">
        <f t="shared" ref="AB11:AI11" si="6">+AA11</f>
        <v>4735</v>
      </c>
      <c r="AC11" s="3">
        <f t="shared" si="6"/>
        <v>4735</v>
      </c>
      <c r="AD11" s="3">
        <f t="shared" si="6"/>
        <v>4735</v>
      </c>
      <c r="AE11" s="3">
        <f t="shared" si="6"/>
        <v>4735</v>
      </c>
      <c r="AF11" s="3">
        <f t="shared" si="6"/>
        <v>4735</v>
      </c>
      <c r="AG11" s="3">
        <f t="shared" si="6"/>
        <v>4735</v>
      </c>
      <c r="AH11" s="3">
        <f t="shared" si="6"/>
        <v>4735</v>
      </c>
      <c r="AI11" s="3">
        <f t="shared" si="6"/>
        <v>4735</v>
      </c>
    </row>
    <row r="12" spans="2:35" s="16" customFormat="1">
      <c r="B12" s="16" t="s">
        <v>69</v>
      </c>
      <c r="C12" s="16">
        <f t="shared" ref="C12:K12" si="7">+C8/C11</f>
        <v>18.670944666526406</v>
      </c>
      <c r="D12" s="16">
        <f t="shared" si="7"/>
        <v>19.621792175010519</v>
      </c>
      <c r="E12" s="16">
        <f t="shared" si="7"/>
        <v>18.608466722830666</v>
      </c>
      <c r="F12" s="16">
        <f t="shared" si="7"/>
        <v>20.996204933586338</v>
      </c>
      <c r="G12" s="16">
        <f t="shared" si="7"/>
        <v>19.643052920092767</v>
      </c>
      <c r="H12" s="16">
        <f t="shared" si="7"/>
        <v>20.715611814345991</v>
      </c>
      <c r="I12" s="16">
        <f t="shared" si="7"/>
        <v>20.373049346267397</v>
      </c>
      <c r="J12" s="16">
        <f t="shared" si="7"/>
        <v>22.201391817798399</v>
      </c>
      <c r="K12" s="16">
        <f t="shared" si="7"/>
        <v>20.46546990496304</v>
      </c>
      <c r="L12" s="16">
        <f>+L8/L11</f>
        <v>22.202745512143611</v>
      </c>
      <c r="M12" s="16">
        <f>+I12*1.05</f>
        <v>21.391701813580767</v>
      </c>
      <c r="N12" s="16">
        <f>+J12*1.02</f>
        <v>22.645419654154367</v>
      </c>
      <c r="W12" s="14">
        <f>+W8/W11</f>
        <v>71.699747687132046</v>
      </c>
      <c r="X12" s="14">
        <f>+X8/X11</f>
        <v>78.001897533206829</v>
      </c>
      <c r="Y12" s="14">
        <f>+Y8/Y11</f>
        <v>82.928511176718686</v>
      </c>
      <c r="Z12" s="14">
        <f>+Z8/Z11</f>
        <v>86.705336884841799</v>
      </c>
      <c r="AA12" s="14">
        <f>+Z12*1.021</f>
        <v>88.526148959423466</v>
      </c>
      <c r="AB12" s="14">
        <f t="shared" ref="AB12:AI12" si="8">+AA12*1.021</f>
        <v>90.385198087571354</v>
      </c>
      <c r="AC12" s="14">
        <f t="shared" si="8"/>
        <v>92.283287247410343</v>
      </c>
      <c r="AD12" s="14">
        <f t="shared" si="8"/>
        <v>94.221236279605947</v>
      </c>
      <c r="AE12" s="14">
        <f t="shared" si="8"/>
        <v>96.199882241477667</v>
      </c>
      <c r="AF12" s="14">
        <f t="shared" si="8"/>
        <v>98.220079768548686</v>
      </c>
      <c r="AG12" s="14">
        <f t="shared" si="8"/>
        <v>100.2827014436882</v>
      </c>
      <c r="AH12" s="14">
        <f t="shared" si="8"/>
        <v>102.38863817400564</v>
      </c>
      <c r="AI12" s="14">
        <f t="shared" si="8"/>
        <v>104.53879957565974</v>
      </c>
    </row>
    <row r="13" spans="2:35" s="16" customFormat="1"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</row>
    <row r="14" spans="2:35" s="7" customFormat="1">
      <c r="B14" s="24" t="s">
        <v>70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17"/>
      <c r="P14" s="17"/>
      <c r="Q14" s="17"/>
      <c r="R14" s="25"/>
      <c r="S14" s="25"/>
      <c r="T14" s="25"/>
      <c r="U14" s="25"/>
      <c r="V14" s="25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2:35">
      <c r="B15" s="16" t="s">
        <v>167</v>
      </c>
      <c r="C15" s="16"/>
      <c r="D15" s="16"/>
      <c r="E15" s="16">
        <v>7429</v>
      </c>
      <c r="F15" s="16"/>
      <c r="G15" s="16">
        <v>8330</v>
      </c>
      <c r="H15" s="16">
        <v>8658</v>
      </c>
      <c r="I15" s="16">
        <v>8718</v>
      </c>
      <c r="J15" s="16"/>
      <c r="K15" s="16">
        <v>9088</v>
      </c>
      <c r="L15" s="16">
        <v>9690</v>
      </c>
      <c r="M15" s="16"/>
      <c r="N15" s="16"/>
      <c r="O15" s="14"/>
      <c r="P15" s="14"/>
      <c r="Q15" s="14"/>
      <c r="R15" s="9"/>
      <c r="S15" s="9"/>
      <c r="T15" s="9"/>
      <c r="U15" s="9"/>
      <c r="V15" s="9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2:35">
      <c r="B16" s="16" t="s">
        <v>168</v>
      </c>
      <c r="C16" s="16"/>
      <c r="D16" s="16"/>
      <c r="E16" s="16">
        <v>4969</v>
      </c>
      <c r="F16" s="16"/>
      <c r="G16" s="16">
        <v>4848</v>
      </c>
      <c r="H16" s="16">
        <v>5492</v>
      </c>
      <c r="I16" s="16">
        <v>5507</v>
      </c>
      <c r="J16" s="16"/>
      <c r="K16" s="16">
        <v>5150</v>
      </c>
      <c r="L16" s="16">
        <v>5767</v>
      </c>
      <c r="M16" s="16"/>
      <c r="N16" s="16"/>
      <c r="O16" s="14"/>
      <c r="P16" s="14"/>
      <c r="Q16" s="14"/>
      <c r="R16" s="9"/>
      <c r="S16" s="9"/>
      <c r="T16" s="9"/>
      <c r="U16" s="9"/>
      <c r="V16" s="9"/>
      <c r="AA16" s="16"/>
      <c r="AB16" s="16"/>
      <c r="AC16" s="16"/>
      <c r="AD16" s="16"/>
      <c r="AE16" s="16"/>
      <c r="AF16" s="16"/>
      <c r="AG16" s="16"/>
      <c r="AH16" s="16"/>
      <c r="AI16" s="16"/>
    </row>
    <row r="17" spans="2:35">
      <c r="B17" s="16" t="s">
        <v>169</v>
      </c>
      <c r="C17" s="16"/>
      <c r="D17" s="16"/>
      <c r="E17" s="16">
        <v>2787</v>
      </c>
      <c r="F17" s="16"/>
      <c r="G17" s="16">
        <v>3773</v>
      </c>
      <c r="H17" s="16">
        <v>3001</v>
      </c>
      <c r="I17" s="16">
        <v>3538</v>
      </c>
      <c r="J17" s="16"/>
      <c r="K17" s="16">
        <v>4127</v>
      </c>
      <c r="L17" s="16">
        <v>3397</v>
      </c>
      <c r="M17" s="16"/>
      <c r="N17" s="16"/>
      <c r="O17" s="14"/>
      <c r="P17" s="14"/>
      <c r="Q17" s="14"/>
      <c r="R17" s="9"/>
      <c r="S17" s="9"/>
      <c r="T17" s="9"/>
      <c r="U17" s="9"/>
      <c r="V17" s="9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2:35">
      <c r="B18" s="16" t="s">
        <v>170</v>
      </c>
      <c r="C18" s="16"/>
      <c r="D18" s="16"/>
      <c r="E18" s="16">
        <v>7249</v>
      </c>
      <c r="F18" s="16"/>
      <c r="G18" s="16">
        <v>3811</v>
      </c>
      <c r="H18" s="16">
        <v>0</v>
      </c>
      <c r="I18" s="16">
        <v>0</v>
      </c>
      <c r="J18" s="16"/>
      <c r="K18" s="16">
        <v>0</v>
      </c>
      <c r="L18" s="16">
        <v>0</v>
      </c>
      <c r="M18" s="16"/>
      <c r="N18" s="16"/>
      <c r="O18" s="14"/>
      <c r="P18" s="14"/>
      <c r="Q18" s="14"/>
      <c r="R18" s="9"/>
      <c r="S18" s="9"/>
      <c r="T18" s="9"/>
      <c r="U18" s="9"/>
      <c r="V18" s="9"/>
      <c r="AA18" s="16"/>
      <c r="AB18" s="16"/>
      <c r="AC18" s="16"/>
      <c r="AD18" s="16"/>
      <c r="AE18" s="16"/>
      <c r="AF18" s="16"/>
      <c r="AG18" s="16"/>
      <c r="AH18" s="16"/>
      <c r="AI18" s="16"/>
    </row>
    <row r="19" spans="2:35">
      <c r="B19" s="16" t="s">
        <v>46</v>
      </c>
      <c r="C19" s="16"/>
      <c r="D19" s="16"/>
      <c r="E19" s="16">
        <v>7120</v>
      </c>
      <c r="F19" s="16"/>
      <c r="G19" s="16">
        <v>6538</v>
      </c>
      <c r="H19" s="16">
        <v>5884</v>
      </c>
      <c r="I19" s="16">
        <v>5864</v>
      </c>
      <c r="J19" s="16"/>
      <c r="K19" s="16">
        <v>5398</v>
      </c>
      <c r="L19" s="16">
        <v>5496</v>
      </c>
      <c r="M19" s="16"/>
      <c r="N19" s="16"/>
      <c r="O19" s="14"/>
      <c r="P19" s="14"/>
      <c r="Q19" s="14"/>
      <c r="R19" s="9"/>
      <c r="S19" s="9"/>
      <c r="T19" s="9"/>
      <c r="U19" s="9"/>
      <c r="V19" s="9"/>
      <c r="AA19" s="16"/>
      <c r="AB19" s="16"/>
      <c r="AC19" s="16"/>
      <c r="AD19" s="16"/>
      <c r="AE19" s="16"/>
      <c r="AF19" s="16"/>
      <c r="AG19" s="16"/>
      <c r="AH19" s="16"/>
      <c r="AI19" s="16"/>
    </row>
    <row r="20" spans="2:35" s="7" customFormat="1">
      <c r="B20" s="17" t="s">
        <v>66</v>
      </c>
      <c r="C20" s="17">
        <v>29766</v>
      </c>
      <c r="D20" s="17">
        <v>27167</v>
      </c>
      <c r="E20" s="17">
        <f>+SUM(E15:E19)</f>
        <v>29554</v>
      </c>
      <c r="F20" s="17">
        <f>+X20-SUM(C20:E20)</f>
        <v>34873</v>
      </c>
      <c r="G20" s="17">
        <f>+SUM(G15:G19)</f>
        <v>27300</v>
      </c>
      <c r="H20" s="17">
        <f>+SUM(H15:H19)</f>
        <v>23035</v>
      </c>
      <c r="I20" s="17">
        <f>+SUM(I15:I19)</f>
        <v>23627</v>
      </c>
      <c r="J20" s="17">
        <f>+Y20-SUM(G20:I20)</f>
        <v>26997</v>
      </c>
      <c r="K20" s="17">
        <f>+SUM(K15:K19)</f>
        <v>23763</v>
      </c>
      <c r="L20" s="17">
        <f>+SUM(L15:L19)</f>
        <v>24350</v>
      </c>
      <c r="M20" s="24">
        <f>+M23*M24</f>
        <v>24219.484111791731</v>
      </c>
      <c r="N20" s="17">
        <f>+N24*N23</f>
        <v>27261.777280517999</v>
      </c>
      <c r="O20" s="17"/>
      <c r="P20" s="17"/>
      <c r="Q20" s="17"/>
      <c r="R20" s="25"/>
      <c r="S20" s="25"/>
      <c r="T20" s="25"/>
      <c r="U20" s="25"/>
      <c r="V20" s="25"/>
      <c r="W20" s="7">
        <v>120130</v>
      </c>
      <c r="X20" s="7">
        <v>121360</v>
      </c>
      <c r="Y20" s="7">
        <v>100959</v>
      </c>
      <c r="Z20" s="7">
        <f>+SUM(K20:N20)</f>
        <v>99594.261392309738</v>
      </c>
      <c r="AA20" s="17">
        <f>+AA24*AA23</f>
        <v>101685.74088154823</v>
      </c>
      <c r="AB20" s="17">
        <f t="shared" ref="AB20:AI20" si="9">+AB24*AB23</f>
        <v>103821.14144006075</v>
      </c>
      <c r="AC20" s="17">
        <f t="shared" si="9"/>
        <v>106001.38541030201</v>
      </c>
      <c r="AD20" s="17">
        <f t="shared" si="9"/>
        <v>108227.41450391835</v>
      </c>
      <c r="AE20" s="17">
        <f t="shared" si="9"/>
        <v>110500.19020850063</v>
      </c>
      <c r="AF20" s="17">
        <f t="shared" si="9"/>
        <v>112820.69420287914</v>
      </c>
      <c r="AG20" s="17">
        <f t="shared" si="9"/>
        <v>115189.92878113958</v>
      </c>
      <c r="AH20" s="17">
        <f t="shared" si="9"/>
        <v>117608.9172855435</v>
      </c>
      <c r="AI20" s="17">
        <f t="shared" si="9"/>
        <v>120078.70454853991</v>
      </c>
    </row>
    <row r="21" spans="2:35">
      <c r="B21" s="14" t="s">
        <v>67</v>
      </c>
      <c r="C21" s="14">
        <v>806</v>
      </c>
      <c r="D21" s="14">
        <v>812</v>
      </c>
      <c r="E21" s="14">
        <v>1078</v>
      </c>
      <c r="F21" s="14">
        <f>+X21-SUM(C21:E21)</f>
        <v>964</v>
      </c>
      <c r="G21" s="14">
        <v>1194</v>
      </c>
      <c r="H21" s="14">
        <v>861</v>
      </c>
      <c r="I21" s="14">
        <v>871</v>
      </c>
      <c r="J21" s="14">
        <f t="shared" ref="J21" si="10">+Y21-SUM(G21:I21)</f>
        <v>832</v>
      </c>
      <c r="K21" s="14">
        <v>772</v>
      </c>
      <c r="L21" s="14">
        <v>1043</v>
      </c>
      <c r="M21" s="14">
        <f>+M20*(L21/L20)</f>
        <v>1037.4095247884509</v>
      </c>
      <c r="N21" s="14">
        <f>+N20*(M21/M20)</f>
        <v>1167.7221233503194</v>
      </c>
      <c r="O21" s="14"/>
      <c r="P21" s="14"/>
      <c r="Q21" s="14"/>
      <c r="R21" s="9"/>
      <c r="S21" s="9"/>
      <c r="T21" s="9"/>
      <c r="U21" s="9"/>
      <c r="V21" s="9"/>
      <c r="W21" s="3">
        <v>3370</v>
      </c>
      <c r="X21" s="3">
        <v>3660</v>
      </c>
      <c r="Y21" s="3">
        <v>3758</v>
      </c>
      <c r="Z21" s="3">
        <f>+SUM(K21:N21)</f>
        <v>4020.1316481387703</v>
      </c>
    </row>
    <row r="22" spans="2:35" s="2" customFormat="1">
      <c r="B22" s="15" t="s">
        <v>59</v>
      </c>
      <c r="C22" s="15">
        <f t="shared" ref="C22:D22" si="11">+C21/C20</f>
        <v>2.7077874084525968E-2</v>
      </c>
      <c r="D22" s="15">
        <f t="shared" si="11"/>
        <v>2.988920381345014E-2</v>
      </c>
      <c r="E22" s="15">
        <f t="shared" ref="E22" si="12">+E21/E20</f>
        <v>3.64756039791568E-2</v>
      </c>
      <c r="F22" s="15">
        <f t="shared" ref="F22" si="13">+F21/F20</f>
        <v>2.764316233189E-2</v>
      </c>
      <c r="G22" s="15">
        <f>+G21/G20</f>
        <v>4.3736263736263735E-2</v>
      </c>
      <c r="H22" s="15">
        <f t="shared" ref="H22" si="14">+H21/H20</f>
        <v>3.7377903190796612E-2</v>
      </c>
      <c r="I22" s="15">
        <f t="shared" ref="I22" si="15">+I21/I20</f>
        <v>3.6864604054683205E-2</v>
      </c>
      <c r="J22" s="15">
        <f t="shared" ref="J22" si="16">+J21/J20</f>
        <v>3.0818239063599658E-2</v>
      </c>
      <c r="K22" s="15">
        <f>+K21/K20</f>
        <v>3.2487480536969239E-2</v>
      </c>
      <c r="L22" s="15">
        <f>+L21/L20</f>
        <v>4.2833675564681727E-2</v>
      </c>
      <c r="M22" s="15">
        <f t="shared" ref="M22" si="17">+M21/M20</f>
        <v>4.2833675564681734E-2</v>
      </c>
      <c r="N22" s="15">
        <f t="shared" ref="N22" si="18">+N21/N20</f>
        <v>4.2833675564681734E-2</v>
      </c>
      <c r="O22" s="15"/>
      <c r="P22" s="15"/>
      <c r="Q22" s="15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2:35">
      <c r="B23" s="14" t="s">
        <v>68</v>
      </c>
      <c r="C23" s="14">
        <v>6132</v>
      </c>
      <c r="D23" s="14">
        <v>6143</v>
      </c>
      <c r="E23" s="14">
        <v>6163</v>
      </c>
      <c r="F23" s="14">
        <f>+X23</f>
        <v>6101</v>
      </c>
      <c r="G23" s="14">
        <v>5184</v>
      </c>
      <c r="H23" s="14">
        <v>5185</v>
      </c>
      <c r="I23" s="14">
        <v>5224</v>
      </c>
      <c r="J23" s="14">
        <f>+Y23</f>
        <v>5251</v>
      </c>
      <c r="K23" s="14">
        <v>5250</v>
      </c>
      <c r="L23" s="14">
        <v>5250</v>
      </c>
      <c r="M23" s="14">
        <f>+L23</f>
        <v>5250</v>
      </c>
      <c r="N23" s="14">
        <f>+M23</f>
        <v>5250</v>
      </c>
      <c r="O23" s="14"/>
      <c r="P23" s="14"/>
      <c r="Q23" s="14"/>
      <c r="R23" s="9"/>
      <c r="S23" s="9"/>
      <c r="T23" s="9"/>
      <c r="U23" s="9"/>
      <c r="V23" s="9"/>
      <c r="W23" s="3">
        <v>6146</v>
      </c>
      <c r="X23" s="3">
        <v>6101</v>
      </c>
      <c r="Y23" s="3">
        <v>5251</v>
      </c>
      <c r="Z23" s="3">
        <f>+N23</f>
        <v>5250</v>
      </c>
      <c r="AA23" s="3">
        <f>+Z23</f>
        <v>5250</v>
      </c>
      <c r="AB23" s="3">
        <f t="shared" ref="AB23:AI23" si="19">+AA23</f>
        <v>5250</v>
      </c>
      <c r="AC23" s="3">
        <f t="shared" si="19"/>
        <v>5250</v>
      </c>
      <c r="AD23" s="3">
        <f t="shared" si="19"/>
        <v>5250</v>
      </c>
      <c r="AE23" s="3">
        <f t="shared" si="19"/>
        <v>5250</v>
      </c>
      <c r="AF23" s="3">
        <f t="shared" si="19"/>
        <v>5250</v>
      </c>
      <c r="AG23" s="3">
        <f t="shared" si="19"/>
        <v>5250</v>
      </c>
      <c r="AH23" s="3">
        <f t="shared" si="19"/>
        <v>5250</v>
      </c>
      <c r="AI23" s="3">
        <f t="shared" si="19"/>
        <v>5250</v>
      </c>
    </row>
    <row r="24" spans="2:35" s="12" customFormat="1">
      <c r="B24" s="16" t="s">
        <v>69</v>
      </c>
      <c r="C24" s="16">
        <f t="shared" ref="C24:G24" si="20">+C20/C23</f>
        <v>4.8542074363992169</v>
      </c>
      <c r="D24" s="16">
        <f>+D20/D23</f>
        <v>4.4224320364642686</v>
      </c>
      <c r="E24" s="16">
        <f t="shared" si="20"/>
        <v>4.7953918546162582</v>
      </c>
      <c r="F24" s="16">
        <f t="shared" si="20"/>
        <v>5.7159482052122605</v>
      </c>
      <c r="G24" s="16">
        <f t="shared" si="20"/>
        <v>5.2662037037037033</v>
      </c>
      <c r="H24" s="16">
        <f>+H20/H23</f>
        <v>4.442622950819672</v>
      </c>
      <c r="I24" s="16">
        <f>+I20/I23</f>
        <v>4.5227794793261866</v>
      </c>
      <c r="J24" s="16">
        <f>+J20/J23</f>
        <v>5.1413064178251764</v>
      </c>
      <c r="K24" s="16">
        <f>+K20/K23</f>
        <v>4.5262857142857147</v>
      </c>
      <c r="L24" s="16">
        <f>+L20/L23</f>
        <v>4.6380952380952385</v>
      </c>
      <c r="M24" s="16">
        <f>+I24*1.02</f>
        <v>4.6132350689127106</v>
      </c>
      <c r="N24" s="16">
        <f>+J24*1.01</f>
        <v>5.1927194820034286</v>
      </c>
      <c r="O24" s="16"/>
      <c r="P24" s="16"/>
      <c r="Q24" s="16"/>
      <c r="W24" s="14">
        <f>+W20/W23</f>
        <v>19.546046208916369</v>
      </c>
      <c r="X24" s="14">
        <f>+X20/X23</f>
        <v>19.891821012948697</v>
      </c>
      <c r="Y24" s="14">
        <f>+Y20/Y23</f>
        <v>19.226623500285658</v>
      </c>
      <c r="Z24" s="14">
        <f>+Z20/Z23</f>
        <v>18.970335503297093</v>
      </c>
      <c r="AA24" s="14">
        <f>+Z24*1.021</f>
        <v>19.368712548866331</v>
      </c>
      <c r="AB24" s="14">
        <f t="shared" ref="AB24:AI24" si="21">+AA24*1.021</f>
        <v>19.775455512392522</v>
      </c>
      <c r="AC24" s="14">
        <f t="shared" si="21"/>
        <v>20.190740078152764</v>
      </c>
      <c r="AD24" s="14">
        <f t="shared" si="21"/>
        <v>20.614745619793972</v>
      </c>
      <c r="AE24" s="14">
        <f t="shared" si="21"/>
        <v>21.047655277809643</v>
      </c>
      <c r="AF24" s="14">
        <f t="shared" si="21"/>
        <v>21.489656038643645</v>
      </c>
      <c r="AG24" s="14">
        <f t="shared" si="21"/>
        <v>21.940938815455159</v>
      </c>
      <c r="AH24" s="14">
        <f t="shared" si="21"/>
        <v>22.401698530579715</v>
      </c>
      <c r="AI24" s="14">
        <f t="shared" si="21"/>
        <v>22.872134199721888</v>
      </c>
    </row>
    <row r="25" spans="2:35" s="12" customFormat="1"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</row>
    <row r="26" spans="2:35" s="32" customFormat="1">
      <c r="B26" s="24" t="s">
        <v>179</v>
      </c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</row>
    <row r="27" spans="2:35" s="12" customFormat="1">
      <c r="B27" s="16" t="s">
        <v>167</v>
      </c>
      <c r="C27" s="16"/>
      <c r="D27" s="16"/>
      <c r="E27" s="15">
        <f>+E15/E$20</f>
        <v>0.25137037287676794</v>
      </c>
      <c r="F27" s="16"/>
      <c r="G27" s="15">
        <f>+H15/G$20</f>
        <v>0.31714285714285712</v>
      </c>
      <c r="H27" s="15">
        <f>+H15/H$20</f>
        <v>0.37586281745170391</v>
      </c>
      <c r="I27" s="15">
        <f>+I15/I$20</f>
        <v>0.36898463622127226</v>
      </c>
      <c r="J27" s="16"/>
      <c r="K27" s="15">
        <f>+K15/K$20</f>
        <v>0.38244329419686068</v>
      </c>
      <c r="L27" s="15">
        <f>+L15/L$20</f>
        <v>0.39794661190965092</v>
      </c>
      <c r="M27" s="16"/>
      <c r="N27" s="16"/>
      <c r="O27" s="16"/>
      <c r="P27" s="16"/>
      <c r="Q27" s="16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2:35" s="12" customFormat="1">
      <c r="B28" s="16" t="s">
        <v>168</v>
      </c>
      <c r="C28" s="16"/>
      <c r="D28" s="16"/>
      <c r="E28" s="15">
        <f t="shared" ref="E28" si="22">+E16/E$20</f>
        <v>0.16813290925086283</v>
      </c>
      <c r="F28" s="16"/>
      <c r="G28" s="15">
        <f>+H16/G$20</f>
        <v>0.20117216117216116</v>
      </c>
      <c r="H28" s="15">
        <f t="shared" ref="H28" si="23">+H16/H$20</f>
        <v>0.23841979596266552</v>
      </c>
      <c r="I28" s="15">
        <f t="shared" ref="I28" si="24">+I16/I$20</f>
        <v>0.23308079739281332</v>
      </c>
      <c r="J28" s="16"/>
      <c r="K28" s="15">
        <f t="shared" ref="K28:L30" si="25">+K16/K$20</f>
        <v>0.2167234776753777</v>
      </c>
      <c r="L28" s="15">
        <f t="shared" si="25"/>
        <v>0.23683778234086242</v>
      </c>
      <c r="M28" s="16"/>
      <c r="N28" s="16"/>
      <c r="O28" s="16"/>
      <c r="P28" s="16"/>
      <c r="Q28" s="16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2:35" s="12" customFormat="1">
      <c r="B29" s="16" t="s">
        <v>169</v>
      </c>
      <c r="C29" s="16"/>
      <c r="D29" s="16"/>
      <c r="E29" s="15">
        <f t="shared" ref="E29" si="26">+E17/E$20</f>
        <v>9.430195574203154E-2</v>
      </c>
      <c r="F29" s="16"/>
      <c r="G29" s="15">
        <f>+H17/G$20</f>
        <v>0.10992673992673993</v>
      </c>
      <c r="H29" s="15">
        <f t="shared" ref="H29" si="27">+H17/H$20</f>
        <v>0.13028000868243977</v>
      </c>
      <c r="I29" s="15">
        <f t="shared" ref="I29" si="28">+I17/I$20</f>
        <v>0.14974393702120456</v>
      </c>
      <c r="J29" s="16"/>
      <c r="K29" s="15">
        <f t="shared" si="25"/>
        <v>0.17367335774102596</v>
      </c>
      <c r="L29" s="15">
        <f t="shared" si="25"/>
        <v>0.13950718685831623</v>
      </c>
      <c r="M29" s="16"/>
      <c r="N29" s="16"/>
      <c r="O29" s="16"/>
      <c r="P29" s="16"/>
      <c r="Q29" s="16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</row>
    <row r="30" spans="2:35" s="12" customFormat="1">
      <c r="B30" s="16" t="s">
        <v>170</v>
      </c>
      <c r="C30" s="16"/>
      <c r="D30" s="16"/>
      <c r="E30" s="15">
        <f t="shared" ref="E30" si="29">+E18/E$20</f>
        <v>0.24527982675779927</v>
      </c>
      <c r="F30" s="16"/>
      <c r="G30" s="15">
        <f>+H18/G$20</f>
        <v>0</v>
      </c>
      <c r="H30" s="15">
        <f t="shared" ref="H30" si="30">+H18/H$20</f>
        <v>0</v>
      </c>
      <c r="I30" s="15">
        <f t="shared" ref="I30" si="31">+I18/I$20</f>
        <v>0</v>
      </c>
      <c r="J30" s="16"/>
      <c r="K30" s="15">
        <f t="shared" si="25"/>
        <v>0</v>
      </c>
      <c r="L30" s="15">
        <f t="shared" si="25"/>
        <v>0</v>
      </c>
      <c r="M30" s="16"/>
      <c r="N30" s="16"/>
      <c r="O30" s="16"/>
      <c r="P30" s="16"/>
      <c r="Q30" s="16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</row>
    <row r="31" spans="2:35" s="12" customFormat="1"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</row>
    <row r="32" spans="2:35" s="2" customFormat="1">
      <c r="B32" s="15" t="s">
        <v>180</v>
      </c>
      <c r="C32" s="15"/>
      <c r="D32" s="15"/>
      <c r="E32" s="15"/>
      <c r="F32" s="15"/>
      <c r="G32" s="15"/>
      <c r="H32" s="15"/>
      <c r="I32" s="15"/>
      <c r="J32" s="15"/>
      <c r="K32" s="15">
        <f>+K15/G15-1</f>
        <v>9.0996398559423763E-2</v>
      </c>
      <c r="L32" s="15">
        <f>+L15/H15-1</f>
        <v>0.11919611919611928</v>
      </c>
      <c r="M32" s="15"/>
      <c r="N32" s="15"/>
      <c r="O32" s="15"/>
      <c r="P32" s="15"/>
      <c r="Q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2:35" s="12" customFormat="1">
      <c r="B33" s="16" t="s">
        <v>181</v>
      </c>
      <c r="C33" s="16"/>
      <c r="D33" s="16"/>
      <c r="E33" s="16"/>
      <c r="F33" s="16"/>
      <c r="G33" s="16"/>
      <c r="H33" s="16"/>
      <c r="I33" s="16"/>
      <c r="J33" s="16"/>
      <c r="K33" s="15">
        <f t="shared" ref="K33:L34" si="32">+K16/G16-1</f>
        <v>6.2293729372937312E-2</v>
      </c>
      <c r="L33" s="15">
        <f t="shared" si="32"/>
        <v>5.0072833211944667E-2</v>
      </c>
      <c r="M33" s="16"/>
      <c r="N33" s="16"/>
      <c r="O33" s="16"/>
      <c r="P33" s="16"/>
      <c r="Q33" s="16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</row>
    <row r="34" spans="2:35" s="12" customFormat="1">
      <c r="B34" s="16" t="s">
        <v>182</v>
      </c>
      <c r="C34" s="16"/>
      <c r="D34" s="16"/>
      <c r="E34" s="16"/>
      <c r="F34" s="16"/>
      <c r="G34" s="16"/>
      <c r="H34" s="16"/>
      <c r="I34" s="16"/>
      <c r="J34" s="16"/>
      <c r="K34" s="15">
        <f t="shared" si="32"/>
        <v>9.3824542804134659E-2</v>
      </c>
      <c r="L34" s="15">
        <f t="shared" si="32"/>
        <v>0.13195601466177931</v>
      </c>
      <c r="M34" s="16"/>
      <c r="N34" s="16"/>
      <c r="O34" s="16"/>
      <c r="P34" s="16"/>
      <c r="Q34" s="16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2:35" s="12" customFormat="1"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5"/>
      <c r="M35" s="16"/>
      <c r="N35" s="16"/>
      <c r="O35" s="16"/>
      <c r="P35" s="16"/>
      <c r="Q35" s="16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</row>
    <row r="36" spans="2:35" s="12" customFormat="1">
      <c r="B36" s="17" t="s">
        <v>71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</row>
    <row r="37" spans="2:35" s="12" customFormat="1">
      <c r="B37" s="16" t="s">
        <v>173</v>
      </c>
      <c r="C37" s="16"/>
      <c r="D37" s="16"/>
      <c r="E37" s="16">
        <v>10450</v>
      </c>
      <c r="F37" s="16"/>
      <c r="G37" s="16">
        <v>10669</v>
      </c>
      <c r="H37" s="16">
        <v>12014</v>
      </c>
      <c r="I37" s="16">
        <v>12335</v>
      </c>
      <c r="J37" s="16"/>
      <c r="K37" s="16">
        <v>12301</v>
      </c>
      <c r="L37" s="16">
        <v>13392</v>
      </c>
      <c r="M37" s="16"/>
      <c r="N37" s="16"/>
      <c r="O37" s="16"/>
      <c r="P37" s="16"/>
      <c r="Q37" s="16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</row>
    <row r="38" spans="2:35" s="12" customFormat="1">
      <c r="B38" s="16" t="s">
        <v>174</v>
      </c>
      <c r="C38" s="16"/>
      <c r="D38" s="16"/>
      <c r="E38" s="16">
        <v>1942</v>
      </c>
      <c r="F38" s="16"/>
      <c r="G38" s="16">
        <v>2299</v>
      </c>
      <c r="H38" s="16">
        <v>2816</v>
      </c>
      <c r="I38" s="16">
        <v>2932</v>
      </c>
      <c r="J38" s="16"/>
      <c r="K38" s="16">
        <v>3623</v>
      </c>
      <c r="L38" s="16">
        <v>4476</v>
      </c>
      <c r="M38" s="16"/>
      <c r="N38" s="16"/>
      <c r="O38" s="16"/>
      <c r="P38" s="16"/>
      <c r="Q38" s="16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</row>
    <row r="39" spans="2:35" s="12" customFormat="1">
      <c r="B39" s="16" t="s">
        <v>175</v>
      </c>
      <c r="C39" s="16"/>
      <c r="D39" s="16"/>
      <c r="E39" s="16">
        <v>1693</v>
      </c>
      <c r="F39" s="16"/>
      <c r="G39" s="16">
        <v>2082</v>
      </c>
      <c r="H39" s="16">
        <v>2194</v>
      </c>
      <c r="I39" s="16">
        <v>1976</v>
      </c>
      <c r="J39" s="16"/>
      <c r="K39" s="16">
        <v>2050</v>
      </c>
      <c r="L39" s="16">
        <v>2406</v>
      </c>
      <c r="M39" s="16"/>
      <c r="N39" s="16"/>
      <c r="O39" s="16"/>
      <c r="P39" s="16"/>
      <c r="Q39" s="16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</row>
    <row r="40" spans="2:35" s="12" customFormat="1">
      <c r="B40" s="16" t="s">
        <v>176</v>
      </c>
      <c r="C40" s="16"/>
      <c r="D40" s="16"/>
      <c r="E40" s="16">
        <v>1017</v>
      </c>
      <c r="F40" s="16"/>
      <c r="G40" s="16">
        <v>941</v>
      </c>
      <c r="H40" s="16">
        <v>956</v>
      </c>
      <c r="I40" s="16">
        <v>1037</v>
      </c>
      <c r="J40" s="16"/>
      <c r="K40" s="16">
        <v>1010</v>
      </c>
      <c r="L40" s="16">
        <v>1006</v>
      </c>
      <c r="M40" s="16"/>
      <c r="N40" s="16"/>
      <c r="O40" s="16"/>
      <c r="P40" s="16"/>
      <c r="Q40" s="16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2:35" s="12" customFormat="1">
      <c r="B41" s="16" t="s">
        <v>177</v>
      </c>
      <c r="C41" s="16"/>
      <c r="D41" s="16"/>
      <c r="E41" s="16">
        <v>743</v>
      </c>
      <c r="F41" s="16"/>
      <c r="G41" s="16">
        <v>701</v>
      </c>
      <c r="H41" s="16">
        <v>664</v>
      </c>
      <c r="I41" s="16">
        <v>691</v>
      </c>
      <c r="J41" s="16"/>
      <c r="K41" s="16">
        <v>637</v>
      </c>
      <c r="L41" s="16">
        <v>621</v>
      </c>
      <c r="M41" s="16"/>
      <c r="N41" s="16"/>
      <c r="O41" s="16"/>
      <c r="P41" s="16"/>
      <c r="Q41" s="16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</row>
    <row r="42" spans="2:35" s="7" customFormat="1">
      <c r="B42" s="17" t="s">
        <v>66</v>
      </c>
      <c r="C42" s="17">
        <v>15163</v>
      </c>
      <c r="D42" s="17">
        <v>16375</v>
      </c>
      <c r="E42" s="17">
        <f>+SUM(E37:E41)</f>
        <v>15845</v>
      </c>
      <c r="F42" s="17">
        <f>+X42-SUM(C42:E42)</f>
        <v>16527</v>
      </c>
      <c r="G42" s="17">
        <f>+SUM(G37:G41)</f>
        <v>16692</v>
      </c>
      <c r="H42" s="17">
        <f>+SUM(H37:H41)</f>
        <v>18644</v>
      </c>
      <c r="I42" s="17">
        <f>+SUM(I37:I41)</f>
        <v>18971</v>
      </c>
      <c r="J42" s="17">
        <f>+Y42-SUM(G42:I42)</f>
        <v>19249</v>
      </c>
      <c r="K42" s="17">
        <f>+SUM(K37:K41)</f>
        <v>19621</v>
      </c>
      <c r="L42" s="17">
        <f>+SUM(L37:L41)</f>
        <v>21901</v>
      </c>
      <c r="M42" s="24">
        <f>+M46*M47</f>
        <v>20542.637729549253</v>
      </c>
      <c r="N42" s="17">
        <f>+N46*N47</f>
        <v>20488.680000000004</v>
      </c>
      <c r="O42" s="17"/>
      <c r="P42" s="17"/>
      <c r="Q42" s="17"/>
      <c r="R42" s="25"/>
      <c r="S42" s="25"/>
      <c r="T42" s="25"/>
      <c r="U42" s="25"/>
      <c r="V42" s="25"/>
      <c r="W42" s="7">
        <v>58792</v>
      </c>
      <c r="X42" s="7">
        <v>63910</v>
      </c>
      <c r="Y42" s="7">
        <v>73556</v>
      </c>
      <c r="Z42" s="7">
        <f>+SUM(K42:N42)</f>
        <v>82553.317729549264</v>
      </c>
      <c r="AA42" s="17">
        <f>+AA46*AA47</f>
        <v>89157.583147913218</v>
      </c>
      <c r="AB42" s="17">
        <f t="shared" ref="AB42:AI42" si="33">+AB46*AB47</f>
        <v>96290.18979974628</v>
      </c>
      <c r="AC42" s="17">
        <f t="shared" si="33"/>
        <v>103993.40498372598</v>
      </c>
      <c r="AD42" s="17">
        <f t="shared" si="33"/>
        <v>112312.87738242408</v>
      </c>
      <c r="AE42" s="17">
        <f t="shared" si="33"/>
        <v>121297.907573018</v>
      </c>
      <c r="AF42" s="17">
        <f t="shared" si="33"/>
        <v>131001.74017885946</v>
      </c>
      <c r="AG42" s="17">
        <f t="shared" si="33"/>
        <v>141481.87939316823</v>
      </c>
      <c r="AH42" s="17">
        <f t="shared" si="33"/>
        <v>152800.42974462168</v>
      </c>
      <c r="AI42" s="17">
        <f t="shared" si="33"/>
        <v>165024.46412419144</v>
      </c>
    </row>
    <row r="43" spans="2:35">
      <c r="B43" s="14" t="s">
        <v>72</v>
      </c>
      <c r="C43" s="14">
        <v>14069</v>
      </c>
      <c r="D43" s="14">
        <v>15264</v>
      </c>
      <c r="E43" s="14">
        <v>14596</v>
      </c>
      <c r="F43" s="14">
        <f t="shared" ref="F43:F44" si="34">+X43-SUM(C43:E43)</f>
        <v>15255</v>
      </c>
      <c r="G43" s="14">
        <v>14937</v>
      </c>
      <c r="H43" s="14">
        <v>16437</v>
      </c>
      <c r="I43" s="14">
        <v>16614</v>
      </c>
      <c r="J43" s="14">
        <f t="shared" ref="J43:J44" si="35">+Y43-SUM(G43:I43)</f>
        <v>16872</v>
      </c>
      <c r="K43" s="14">
        <v>16532</v>
      </c>
      <c r="L43" s="14">
        <v>17999</v>
      </c>
      <c r="M43" s="14">
        <f>+(L43/L42)*M42</f>
        <v>16882.650860424499</v>
      </c>
      <c r="N43" s="14">
        <f>+(M43/M42)*N42</f>
        <v>16838.30653029542</v>
      </c>
      <c r="O43" s="14"/>
      <c r="P43" s="14"/>
      <c r="Q43" s="14"/>
      <c r="R43" s="9"/>
      <c r="S43" s="9"/>
      <c r="T43" s="9"/>
      <c r="U43" s="9"/>
      <c r="V43" s="9"/>
      <c r="W43" s="3">
        <v>52792</v>
      </c>
      <c r="X43" s="3">
        <v>59184</v>
      </c>
      <c r="Y43" s="3">
        <v>64860</v>
      </c>
      <c r="AA43" s="14">
        <f>+(Z43/Z42)*AA42</f>
        <v>0</v>
      </c>
      <c r="AB43" s="14">
        <f t="shared" ref="AB43:AI43" si="36">+(AA43/AA42)*AB42</f>
        <v>0</v>
      </c>
      <c r="AC43" s="14">
        <f t="shared" si="36"/>
        <v>0</v>
      </c>
      <c r="AD43" s="14">
        <f t="shared" si="36"/>
        <v>0</v>
      </c>
      <c r="AE43" s="14">
        <f t="shared" si="36"/>
        <v>0</v>
      </c>
      <c r="AF43" s="14">
        <f t="shared" si="36"/>
        <v>0</v>
      </c>
      <c r="AG43" s="14">
        <f t="shared" si="36"/>
        <v>0</v>
      </c>
      <c r="AH43" s="14">
        <f t="shared" si="36"/>
        <v>0</v>
      </c>
      <c r="AI43" s="14">
        <f t="shared" si="36"/>
        <v>0</v>
      </c>
    </row>
    <row r="44" spans="2:35">
      <c r="B44" s="14" t="s">
        <v>67</v>
      </c>
      <c r="C44" s="14">
        <v>494</v>
      </c>
      <c r="D44" s="14">
        <v>592</v>
      </c>
      <c r="E44" s="14">
        <v>431</v>
      </c>
      <c r="F44" s="14">
        <f t="shared" si="34"/>
        <v>389</v>
      </c>
      <c r="G44" s="14">
        <v>575</v>
      </c>
      <c r="H44" s="14">
        <v>660</v>
      </c>
      <c r="I44" s="14">
        <v>475</v>
      </c>
      <c r="J44" s="14">
        <f t="shared" si="35"/>
        <v>549</v>
      </c>
      <c r="K44" s="14">
        <v>460</v>
      </c>
      <c r="L44" s="14">
        <v>427</v>
      </c>
      <c r="M44" s="14">
        <f>+M42*(L44/L42)</f>
        <v>400.51624631375421</v>
      </c>
      <c r="N44" s="14">
        <f>+N42*(M44/M42)</f>
        <v>399.46424181544228</v>
      </c>
      <c r="O44" s="14"/>
      <c r="P44" s="14"/>
      <c r="Q44" s="14"/>
      <c r="R44" s="9"/>
      <c r="S44" s="9"/>
      <c r="T44" s="9"/>
      <c r="U44" s="9"/>
      <c r="V44" s="9"/>
      <c r="W44" s="3">
        <v>1906</v>
      </c>
      <c r="X44" s="3">
        <v>1906</v>
      </c>
      <c r="Y44" s="3">
        <v>2259</v>
      </c>
      <c r="Z44" s="3">
        <f>+SUM(K44:N44)</f>
        <v>1686.9804881291966</v>
      </c>
      <c r="AA44" s="14">
        <f>+AA42*(Z44/Z42)</f>
        <v>1821.9389271795326</v>
      </c>
      <c r="AB44" s="14">
        <f t="shared" ref="AB44:AI44" si="37">+AB42*(AA44/AA42)</f>
        <v>1967.6940413538953</v>
      </c>
      <c r="AC44" s="14">
        <f t="shared" si="37"/>
        <v>2125.109564662207</v>
      </c>
      <c r="AD44" s="14">
        <f t="shared" si="37"/>
        <v>2295.1183298351839</v>
      </c>
      <c r="AE44" s="14">
        <f t="shared" si="37"/>
        <v>2478.7277962219987</v>
      </c>
      <c r="AF44" s="14">
        <f t="shared" si="37"/>
        <v>2677.0260199197587</v>
      </c>
      <c r="AG44" s="14">
        <f t="shared" si="37"/>
        <v>2891.1881015133399</v>
      </c>
      <c r="AH44" s="14">
        <f t="shared" si="37"/>
        <v>3122.4831496344068</v>
      </c>
      <c r="AI44" s="14">
        <f t="shared" si="37"/>
        <v>3372.2818016051597</v>
      </c>
    </row>
    <row r="45" spans="2:35" s="2" customFormat="1">
      <c r="B45" s="15" t="s">
        <v>59</v>
      </c>
      <c r="C45" s="15">
        <f>+C44/C42</f>
        <v>3.2579304886895734E-2</v>
      </c>
      <c r="D45" s="15">
        <f t="shared" ref="D45" si="38">+D44/D42</f>
        <v>3.6152671755725188E-2</v>
      </c>
      <c r="E45" s="15">
        <f t="shared" ref="E45:F45" si="39">+E44/E42</f>
        <v>2.7201009782265698E-2</v>
      </c>
      <c r="F45" s="15">
        <f t="shared" si="39"/>
        <v>2.3537242088703333E-2</v>
      </c>
      <c r="G45" s="15">
        <f>+G44/G42</f>
        <v>3.4447639587826505E-2</v>
      </c>
      <c r="H45" s="15">
        <f t="shared" ref="H45" si="40">+H44/H42</f>
        <v>3.5400128727740829E-2</v>
      </c>
      <c r="I45" s="15">
        <f t="shared" ref="I45" si="41">+I44/I42</f>
        <v>2.5038216224764112E-2</v>
      </c>
      <c r="J45" s="15">
        <f t="shared" ref="J45" si="42">+J44/J42</f>
        <v>2.8520962127902748E-2</v>
      </c>
      <c r="K45" s="15">
        <f>+K44/K42</f>
        <v>2.3444268895571073E-2</v>
      </c>
      <c r="L45" s="15">
        <f>+L44/L42</f>
        <v>1.9496826628921052E-2</v>
      </c>
      <c r="M45" s="15">
        <f t="shared" ref="M45:N45" si="43">+M44/M42</f>
        <v>1.9496826628921052E-2</v>
      </c>
      <c r="N45" s="15">
        <f t="shared" si="43"/>
        <v>1.9496826628921052E-2</v>
      </c>
      <c r="O45" s="15"/>
      <c r="P45" s="15"/>
      <c r="Q45" s="15"/>
      <c r="W45" s="2">
        <f t="shared" ref="W45:X45" si="44">+W44/W42</f>
        <v>3.2419376785957271E-2</v>
      </c>
      <c r="X45" s="2">
        <f t="shared" si="44"/>
        <v>2.9823188859333438E-2</v>
      </c>
      <c r="Y45" s="2">
        <f>+Y44/Y42</f>
        <v>3.0711294795801838E-2</v>
      </c>
      <c r="Z45" s="2">
        <f>+Z44/Z42</f>
        <v>2.0435041673986607E-2</v>
      </c>
      <c r="AA45" s="15">
        <f t="shared" ref="AA45" si="45">+AA44/AA42</f>
        <v>2.0435041673986607E-2</v>
      </c>
      <c r="AB45" s="15">
        <f t="shared" ref="AB45" si="46">+AB44/AB42</f>
        <v>2.0435041673986607E-2</v>
      </c>
      <c r="AC45" s="15">
        <f t="shared" ref="AC45" si="47">+AC44/AC42</f>
        <v>2.0435041673986607E-2</v>
      </c>
      <c r="AD45" s="15">
        <f t="shared" ref="AD45" si="48">+AD44/AD42</f>
        <v>2.0435041673986607E-2</v>
      </c>
      <c r="AE45" s="15">
        <f t="shared" ref="AE45" si="49">+AE44/AE42</f>
        <v>2.0435041673986607E-2</v>
      </c>
      <c r="AF45" s="15">
        <f t="shared" ref="AF45" si="50">+AF44/AF42</f>
        <v>2.0435041673986607E-2</v>
      </c>
      <c r="AG45" s="15">
        <f t="shared" ref="AG45" si="51">+AG44/AG42</f>
        <v>2.0435041673986607E-2</v>
      </c>
      <c r="AH45" s="15">
        <f t="shared" ref="AH45" si="52">+AH44/AH42</f>
        <v>2.0435041673986607E-2</v>
      </c>
      <c r="AI45" s="15">
        <f t="shared" ref="AI45" si="53">+AI44/AI42</f>
        <v>2.0435041673986607E-2</v>
      </c>
    </row>
    <row r="46" spans="2:35">
      <c r="B46" s="14" t="s">
        <v>68</v>
      </c>
      <c r="C46" s="14">
        <v>599</v>
      </c>
      <c r="D46" s="14">
        <v>599</v>
      </c>
      <c r="E46" s="14">
        <v>599</v>
      </c>
      <c r="F46" s="14">
        <f>+X46</f>
        <v>599</v>
      </c>
      <c r="G46" s="14">
        <v>599</v>
      </c>
      <c r="H46" s="14">
        <v>599</v>
      </c>
      <c r="I46" s="14">
        <v>600</v>
      </c>
      <c r="J46" s="14">
        <f>+Y46</f>
        <v>600</v>
      </c>
      <c r="K46" s="14">
        <v>600</v>
      </c>
      <c r="L46" s="14">
        <v>600</v>
      </c>
      <c r="M46" s="16">
        <f>+L46</f>
        <v>600</v>
      </c>
      <c r="N46" s="16">
        <f>+M46</f>
        <v>600</v>
      </c>
      <c r="O46" s="14"/>
      <c r="P46" s="14"/>
      <c r="Q46" s="14"/>
      <c r="R46" s="9"/>
      <c r="S46" s="9"/>
      <c r="T46" s="9"/>
      <c r="U46" s="9"/>
      <c r="V46" s="9"/>
      <c r="W46" s="3">
        <v>599</v>
      </c>
      <c r="X46" s="3">
        <v>599</v>
      </c>
      <c r="Y46" s="3">
        <v>600</v>
      </c>
      <c r="Z46" s="3">
        <f>+N46</f>
        <v>600</v>
      </c>
      <c r="AA46" s="16">
        <f>+Z46</f>
        <v>600</v>
      </c>
      <c r="AB46" s="16">
        <f t="shared" ref="AB46:AI46" si="54">+AA46</f>
        <v>600</v>
      </c>
      <c r="AC46" s="16">
        <f t="shared" si="54"/>
        <v>600</v>
      </c>
      <c r="AD46" s="16">
        <f t="shared" si="54"/>
        <v>600</v>
      </c>
      <c r="AE46" s="16">
        <f t="shared" si="54"/>
        <v>600</v>
      </c>
      <c r="AF46" s="16">
        <f t="shared" si="54"/>
        <v>600</v>
      </c>
      <c r="AG46" s="16">
        <f t="shared" si="54"/>
        <v>600</v>
      </c>
      <c r="AH46" s="16">
        <f t="shared" si="54"/>
        <v>600</v>
      </c>
      <c r="AI46" s="16">
        <f t="shared" si="54"/>
        <v>600</v>
      </c>
    </row>
    <row r="47" spans="2:35">
      <c r="B47" s="16" t="s">
        <v>69</v>
      </c>
      <c r="C47" s="16">
        <f>+C42/C46</f>
        <v>25.313856427378965</v>
      </c>
      <c r="D47" s="16">
        <f>+D42/D46</f>
        <v>27.337228714524208</v>
      </c>
      <c r="E47" s="16">
        <f t="shared" ref="E47:G47" si="55">+E42/E46</f>
        <v>26.452420701168613</v>
      </c>
      <c r="F47" s="16">
        <f t="shared" si="55"/>
        <v>27.590984974958264</v>
      </c>
      <c r="G47" s="16">
        <f t="shared" si="55"/>
        <v>27.86644407345576</v>
      </c>
      <c r="H47" s="16">
        <f>+H42/H46</f>
        <v>31.125208681135227</v>
      </c>
      <c r="I47" s="16">
        <f t="shared" ref="I47:J47" si="56">+I42/I46</f>
        <v>31.618333333333332</v>
      </c>
      <c r="J47" s="16">
        <f t="shared" si="56"/>
        <v>32.081666666666663</v>
      </c>
      <c r="K47" s="16">
        <f>+K42/K46</f>
        <v>32.701666666666668</v>
      </c>
      <c r="L47" s="16">
        <f>+L42/L46</f>
        <v>36.501666666666665</v>
      </c>
      <c r="M47" s="16">
        <f>+H47*1.1</f>
        <v>34.237729549248755</v>
      </c>
      <c r="N47" s="16">
        <f>+I47*1.08</f>
        <v>34.147800000000004</v>
      </c>
      <c r="O47" s="14"/>
      <c r="P47" s="14"/>
      <c r="Q47" s="14"/>
      <c r="R47" s="9"/>
      <c r="S47" s="9"/>
      <c r="T47" s="9"/>
      <c r="U47" s="9"/>
      <c r="V47" s="9"/>
      <c r="W47" s="3">
        <f t="shared" ref="W47:X47" si="57">+W42/W46</f>
        <v>98.150250417362273</v>
      </c>
      <c r="X47" s="3">
        <f t="shared" si="57"/>
        <v>106.69449081803005</v>
      </c>
      <c r="Y47" s="3">
        <f>+Y42/Y46</f>
        <v>122.59333333333333</v>
      </c>
      <c r="Z47" s="3">
        <f>+Z42/Z46</f>
        <v>137.58886288258211</v>
      </c>
      <c r="AA47" s="16">
        <f>+Z47*1.08</f>
        <v>148.59597191318869</v>
      </c>
      <c r="AB47" s="16">
        <f t="shared" ref="AB47:AI47" si="58">+AA47*1.08</f>
        <v>160.48364966624379</v>
      </c>
      <c r="AC47" s="16">
        <f t="shared" si="58"/>
        <v>173.32234163954331</v>
      </c>
      <c r="AD47" s="16">
        <f t="shared" si="58"/>
        <v>187.1881289707068</v>
      </c>
      <c r="AE47" s="16">
        <f t="shared" si="58"/>
        <v>202.16317928836335</v>
      </c>
      <c r="AF47" s="16">
        <f t="shared" si="58"/>
        <v>218.33623363143244</v>
      </c>
      <c r="AG47" s="16">
        <f t="shared" si="58"/>
        <v>235.80313232194703</v>
      </c>
      <c r="AH47" s="16">
        <f t="shared" si="58"/>
        <v>254.6673829077028</v>
      </c>
      <c r="AI47" s="16">
        <f t="shared" si="58"/>
        <v>275.04077354031904</v>
      </c>
    </row>
    <row r="48" spans="2:35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4"/>
      <c r="P48" s="14"/>
      <c r="Q48" s="14"/>
      <c r="R48" s="9"/>
      <c r="S48" s="9"/>
      <c r="T48" s="9"/>
      <c r="U48" s="9"/>
      <c r="V48" s="9"/>
      <c r="AA48" s="16"/>
      <c r="AB48" s="16"/>
      <c r="AC48" s="16"/>
      <c r="AD48" s="16"/>
      <c r="AE48" s="16"/>
      <c r="AF48" s="16"/>
      <c r="AG48" s="16"/>
      <c r="AH48" s="16"/>
      <c r="AI48" s="16"/>
    </row>
    <row r="49" spans="2:35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4"/>
      <c r="P49" s="14"/>
      <c r="Q49" s="14"/>
      <c r="R49" s="9"/>
      <c r="S49" s="9"/>
      <c r="T49" s="9"/>
      <c r="U49" s="9"/>
      <c r="V49" s="9"/>
      <c r="AA49" s="16"/>
      <c r="AB49" s="16"/>
      <c r="AC49" s="16"/>
      <c r="AD49" s="16"/>
      <c r="AE49" s="16"/>
      <c r="AF49" s="16"/>
      <c r="AG49" s="16"/>
      <c r="AH49" s="16"/>
      <c r="AI49" s="16"/>
    </row>
    <row r="50" spans="2:35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>
        <f>+SUM(L15:L19)</f>
        <v>24350</v>
      </c>
      <c r="M50" s="16"/>
      <c r="N50" s="16"/>
      <c r="O50" s="14"/>
      <c r="P50" s="14"/>
      <c r="Q50" s="14"/>
      <c r="R50" s="9"/>
      <c r="S50" s="9"/>
      <c r="T50" s="9"/>
      <c r="U50" s="9"/>
      <c r="V50" s="9"/>
      <c r="AA50" s="16"/>
      <c r="AB50" s="16"/>
      <c r="AC50" s="16"/>
      <c r="AD50" s="16"/>
      <c r="AE50" s="16"/>
      <c r="AF50" s="16"/>
      <c r="AG50" s="16"/>
      <c r="AH50" s="16"/>
      <c r="AI50" s="16"/>
    </row>
    <row r="51" spans="2:35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4"/>
      <c r="P51" s="14"/>
      <c r="Q51" s="14"/>
      <c r="R51" s="9"/>
      <c r="S51" s="9"/>
      <c r="T51" s="9"/>
      <c r="U51" s="9"/>
      <c r="V51" s="9"/>
      <c r="AA51" s="16"/>
      <c r="AB51" s="16"/>
      <c r="AC51" s="16"/>
      <c r="AD51" s="16"/>
      <c r="AE51" s="16"/>
      <c r="AF51" s="16"/>
      <c r="AG51" s="16"/>
      <c r="AH51" s="16"/>
      <c r="AI51" s="16"/>
    </row>
    <row r="52" spans="2:35"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4"/>
      <c r="P52" s="14"/>
      <c r="Q52" s="14"/>
      <c r="R52" s="9"/>
      <c r="S52" s="9"/>
      <c r="T52" s="9"/>
      <c r="U52" s="9"/>
      <c r="V52" s="9"/>
      <c r="AA52" s="16"/>
      <c r="AB52" s="16"/>
      <c r="AC52" s="16"/>
      <c r="AD52" s="16"/>
      <c r="AE52" s="16"/>
      <c r="AF52" s="16"/>
      <c r="AG52" s="16"/>
      <c r="AH52" s="16"/>
      <c r="AI52" s="16"/>
    </row>
    <row r="53" spans="2:35">
      <c r="B53" s="16"/>
      <c r="C53" s="16"/>
      <c r="D53" s="16"/>
      <c r="E53" s="16"/>
      <c r="F53" s="16"/>
      <c r="G53" s="16"/>
      <c r="H53" s="15"/>
      <c r="I53" s="15"/>
      <c r="J53" s="15"/>
      <c r="K53" s="15"/>
      <c r="L53" s="15"/>
      <c r="M53" s="16"/>
      <c r="N53" s="16"/>
      <c r="O53" s="14"/>
      <c r="P53" s="14"/>
      <c r="Q53" s="14"/>
      <c r="R53" s="9"/>
      <c r="S53" s="9"/>
      <c r="T53" s="9"/>
      <c r="U53" s="9"/>
      <c r="V53" s="9"/>
    </row>
    <row r="54" spans="2:35">
      <c r="R54" s="9"/>
      <c r="S54" s="9"/>
      <c r="T54" s="9"/>
      <c r="U54" s="9"/>
      <c r="V54" s="9"/>
    </row>
    <row r="55" spans="2:35">
      <c r="B55" s="3" t="s">
        <v>37</v>
      </c>
      <c r="C55" s="3">
        <v>133672</v>
      </c>
      <c r="D55" s="3">
        <v>136824</v>
      </c>
      <c r="E55" s="3">
        <v>133752</v>
      </c>
      <c r="F55" s="3">
        <f>+X55-SUM(C55:E55)</f>
        <v>150985</v>
      </c>
      <c r="G55" s="3">
        <v>137159</v>
      </c>
      <c r="H55" s="3">
        <f>+H8+H20+H42</f>
        <v>139871</v>
      </c>
      <c r="I55" s="3">
        <v>139207</v>
      </c>
      <c r="J55" s="3">
        <f>+Y55-SUM(G55:I55)</f>
        <v>151525</v>
      </c>
      <c r="K55" s="3">
        <v>140288</v>
      </c>
      <c r="L55" s="3">
        <f>+L8+L20+L42</f>
        <v>151381</v>
      </c>
      <c r="M55" s="3">
        <f>+M8+M20+M42</f>
        <v>146051.82992864592</v>
      </c>
      <c r="N55" s="3">
        <f>+N8+N20+N42</f>
        <v>154976.5193429389</v>
      </c>
      <c r="P55" s="3">
        <v>465604</v>
      </c>
      <c r="Q55" s="3">
        <v>473076</v>
      </c>
      <c r="R55" s="3">
        <v>482229</v>
      </c>
      <c r="S55" s="3">
        <v>478614</v>
      </c>
      <c r="T55" s="3">
        <v>481317</v>
      </c>
      <c r="U55" s="3">
        <v>495761</v>
      </c>
      <c r="V55" s="3">
        <v>510329</v>
      </c>
      <c r="W55" s="3">
        <v>519926</v>
      </c>
      <c r="X55" s="3">
        <v>555233</v>
      </c>
      <c r="Y55" s="3">
        <v>567762</v>
      </c>
      <c r="Z55" s="3">
        <f>+SUM(K55:N55)</f>
        <v>592697.34927158477</v>
      </c>
      <c r="AA55" s="3">
        <f t="shared" ref="AA55:AI55" si="59">+AA8+AA20+AA42</f>
        <v>610014.63935233152</v>
      </c>
      <c r="AB55" s="3">
        <f t="shared" si="59"/>
        <v>628085.24418445735</v>
      </c>
      <c r="AC55" s="3">
        <f t="shared" si="59"/>
        <v>646956.15551051591</v>
      </c>
      <c r="AD55" s="3">
        <f t="shared" si="59"/>
        <v>666677.84567027655</v>
      </c>
      <c r="AE55" s="3">
        <f t="shared" si="59"/>
        <v>687304.54019491537</v>
      </c>
      <c r="AF55" s="3">
        <f t="shared" si="59"/>
        <v>708894.51208581659</v>
      </c>
      <c r="AG55" s="3">
        <f t="shared" si="59"/>
        <v>731510.3995101715</v>
      </c>
      <c r="AH55" s="3">
        <f t="shared" si="59"/>
        <v>755219.54878408182</v>
      </c>
      <c r="AI55" s="3">
        <f t="shared" si="59"/>
        <v>780094.38466348022</v>
      </c>
    </row>
    <row r="56" spans="2:35">
      <c r="B56" s="3" t="s">
        <v>38</v>
      </c>
      <c r="C56" s="3">
        <v>950</v>
      </c>
      <c r="D56" s="3">
        <v>918</v>
      </c>
      <c r="E56" s="3">
        <v>956</v>
      </c>
      <c r="F56" s="3">
        <f t="shared" ref="F56:F71" si="60">+X56-SUM(C56:E56)</f>
        <v>1094</v>
      </c>
      <c r="G56" s="3">
        <v>1151</v>
      </c>
      <c r="H56" s="3">
        <v>1177</v>
      </c>
      <c r="I56" s="3">
        <v>1318</v>
      </c>
      <c r="J56" s="3">
        <f t="shared" ref="J56:J71" si="61">+Y56-SUM(G56:I56)</f>
        <v>1346</v>
      </c>
      <c r="K56" s="3">
        <v>1281</v>
      </c>
      <c r="L56" s="3">
        <v>1478</v>
      </c>
      <c r="M56" s="3">
        <f>+M55*(L56/L55)</f>
        <v>1425.9689434905217</v>
      </c>
      <c r="N56" s="3">
        <f>+N55*(M56/M55)</f>
        <v>1513.1046537469281</v>
      </c>
      <c r="P56" s="3">
        <v>3047</v>
      </c>
      <c r="Q56" s="3">
        <v>3218</v>
      </c>
      <c r="R56" s="3">
        <v>3422</v>
      </c>
      <c r="S56" s="3">
        <v>3516</v>
      </c>
      <c r="T56" s="3">
        <v>4556</v>
      </c>
      <c r="U56" s="3">
        <v>4582</v>
      </c>
      <c r="V56" s="3">
        <v>4076</v>
      </c>
      <c r="W56" s="3">
        <v>4038</v>
      </c>
      <c r="X56" s="3">
        <v>3918</v>
      </c>
      <c r="Y56" s="3">
        <v>4992</v>
      </c>
      <c r="Z56" s="3">
        <f t="shared" ref="Z56:Z71" si="62">+SUM(K56:N56)</f>
        <v>5698.0735972374496</v>
      </c>
      <c r="AA56" s="3">
        <f>+AA55*(Z56/Z55)</f>
        <v>5864.5585553802102</v>
      </c>
      <c r="AB56" s="3">
        <f t="shared" ref="AB56:AI56" si="63">+AB55*(AA56/AA55)</f>
        <v>6038.28573065203</v>
      </c>
      <c r="AC56" s="3">
        <f t="shared" si="63"/>
        <v>6219.7068922532644</v>
      </c>
      <c r="AD56" s="3">
        <f t="shared" si="63"/>
        <v>6409.3072711487284</v>
      </c>
      <c r="AE56" s="3">
        <f t="shared" si="63"/>
        <v>6607.6081807336495</v>
      </c>
      <c r="AF56" s="3">
        <f t="shared" si="63"/>
        <v>6815.169845971117</v>
      </c>
      <c r="AG56" s="3">
        <f t="shared" si="63"/>
        <v>7032.5944576539368</v>
      </c>
      <c r="AH56" s="3">
        <f t="shared" si="63"/>
        <v>7260.529469775488</v>
      </c>
      <c r="AI56" s="3">
        <f t="shared" si="63"/>
        <v>7499.6711594324597</v>
      </c>
    </row>
    <row r="57" spans="2:35" s="7" customFormat="1">
      <c r="B57" s="7" t="s">
        <v>39</v>
      </c>
      <c r="C57" s="7">
        <f>+SUM(C55:C56)</f>
        <v>134622</v>
      </c>
      <c r="D57" s="7">
        <f>+SUM(D55:D56)</f>
        <v>137742</v>
      </c>
      <c r="E57" s="7">
        <f>+SUM(E55:E56)</f>
        <v>134708</v>
      </c>
      <c r="F57" s="7">
        <f t="shared" si="60"/>
        <v>152079</v>
      </c>
      <c r="G57" s="7">
        <f>+SUM(G55:G56)</f>
        <v>138310</v>
      </c>
      <c r="H57" s="7">
        <f>+SUM(H55:H56)</f>
        <v>141048</v>
      </c>
      <c r="I57" s="7">
        <f>+SUM(I55:I56)</f>
        <v>140525</v>
      </c>
      <c r="J57" s="7">
        <f t="shared" si="61"/>
        <v>152871</v>
      </c>
      <c r="K57" s="7">
        <f>+SUM(K55:K56)</f>
        <v>141569</v>
      </c>
      <c r="L57" s="7">
        <f>+SUM(L55:L56)</f>
        <v>152859</v>
      </c>
      <c r="M57" s="7">
        <f t="shared" ref="M57:N57" si="64">+SUM(M55:M56)</f>
        <v>147477.79887213645</v>
      </c>
      <c r="N57" s="7">
        <f t="shared" si="64"/>
        <v>156489.62399668584</v>
      </c>
      <c r="P57" s="7">
        <f t="shared" ref="P57" si="65">+SUM(P55:P56)</f>
        <v>468651</v>
      </c>
      <c r="Q57" s="7">
        <f t="shared" ref="Q57:R57" si="66">+SUM(Q55:Q56)</f>
        <v>476294</v>
      </c>
      <c r="R57" s="7">
        <f t="shared" si="66"/>
        <v>485651</v>
      </c>
      <c r="S57" s="7">
        <f t="shared" ref="S57:T57" si="67">+SUM(S55:S56)</f>
        <v>482130</v>
      </c>
      <c r="T57" s="7">
        <f t="shared" si="67"/>
        <v>485873</v>
      </c>
      <c r="U57" s="7">
        <f t="shared" ref="U57:V57" si="68">+SUM(U55:U56)</f>
        <v>500343</v>
      </c>
      <c r="V57" s="7">
        <f t="shared" si="68"/>
        <v>514405</v>
      </c>
      <c r="W57" s="7">
        <f t="shared" ref="W57:X57" si="69">+SUM(W55:W56)</f>
        <v>523964</v>
      </c>
      <c r="X57" s="7">
        <f t="shared" si="69"/>
        <v>559151</v>
      </c>
      <c r="Y57" s="7">
        <f>+SUM(Y55:Y56)</f>
        <v>572754</v>
      </c>
      <c r="Z57" s="3">
        <f t="shared" si="62"/>
        <v>598395.42286882224</v>
      </c>
      <c r="AA57" s="7">
        <f>+SUM(AA55:AA56)</f>
        <v>615879.19790771173</v>
      </c>
      <c r="AB57" s="7">
        <f t="shared" ref="AB57:AI57" si="70">+SUM(AB55:AB56)</f>
        <v>634123.52991510939</v>
      </c>
      <c r="AC57" s="7">
        <f t="shared" si="70"/>
        <v>653175.86240276915</v>
      </c>
      <c r="AD57" s="7">
        <f t="shared" si="70"/>
        <v>673087.15294142533</v>
      </c>
      <c r="AE57" s="7">
        <f t="shared" si="70"/>
        <v>693912.14837564901</v>
      </c>
      <c r="AF57" s="7">
        <f t="shared" si="70"/>
        <v>715709.68193178775</v>
      </c>
      <c r="AG57" s="7">
        <f t="shared" si="70"/>
        <v>738542.99396782543</v>
      </c>
      <c r="AH57" s="7">
        <f t="shared" si="70"/>
        <v>762480.07825385733</v>
      </c>
      <c r="AI57" s="7">
        <f t="shared" si="70"/>
        <v>787594.05582291272</v>
      </c>
    </row>
    <row r="58" spans="2:35">
      <c r="B58" s="3" t="s">
        <v>40</v>
      </c>
      <c r="C58" s="3">
        <v>102026</v>
      </c>
      <c r="D58" s="3">
        <v>102689</v>
      </c>
      <c r="E58" s="3">
        <v>100339</v>
      </c>
      <c r="F58" s="3">
        <f t="shared" si="60"/>
        <v>115261</v>
      </c>
      <c r="G58" s="3">
        <v>103272</v>
      </c>
      <c r="H58" s="3">
        <v>105183</v>
      </c>
      <c r="I58" s="3">
        <v>105023</v>
      </c>
      <c r="J58" s="3">
        <f t="shared" si="61"/>
        <v>115522</v>
      </c>
      <c r="K58" s="3">
        <v>106847</v>
      </c>
      <c r="L58" s="3">
        <v>115838</v>
      </c>
      <c r="M58" s="3">
        <f>+M$57*(I58/I$57)</f>
        <v>110219.25544172486</v>
      </c>
      <c r="N58" s="3">
        <f>+N$57*(J58/J$57)</f>
        <v>118256.53226148282</v>
      </c>
      <c r="P58" s="3">
        <v>352297</v>
      </c>
      <c r="Q58" s="3">
        <v>358069</v>
      </c>
      <c r="R58" s="3">
        <v>365086</v>
      </c>
      <c r="S58" s="3">
        <v>360984</v>
      </c>
      <c r="T58" s="3">
        <v>361256</v>
      </c>
      <c r="U58" s="3">
        <v>373396</v>
      </c>
      <c r="V58" s="3">
        <v>385301</v>
      </c>
      <c r="W58" s="3">
        <v>394605</v>
      </c>
      <c r="X58" s="3">
        <v>420315</v>
      </c>
      <c r="Y58" s="3">
        <v>429000</v>
      </c>
      <c r="Z58" s="3">
        <f t="shared" si="62"/>
        <v>451160.78770320769</v>
      </c>
      <c r="AA58" s="3">
        <f>+AA$57*(Z58/Z$57)</f>
        <v>464342.69621573359</v>
      </c>
      <c r="AB58" s="3">
        <f t="shared" ref="AB58:AI58" si="71">+AB$57*(AA58/AA$57)</f>
        <v>478098.02736468316</v>
      </c>
      <c r="AC58" s="3">
        <f t="shared" si="71"/>
        <v>492462.55123003415</v>
      </c>
      <c r="AD58" s="3">
        <f t="shared" si="71"/>
        <v>507474.68731981306</v>
      </c>
      <c r="AE58" s="3">
        <f t="shared" si="71"/>
        <v>523175.71206859307</v>
      </c>
      <c r="AF58" s="3">
        <f t="shared" si="71"/>
        <v>539609.98284230265</v>
      </c>
      <c r="AG58" s="3">
        <f t="shared" si="71"/>
        <v>556825.17976788164</v>
      </c>
      <c r="AH58" s="3">
        <f t="shared" si="71"/>
        <v>574872.56681176892</v>
      </c>
      <c r="AI58" s="3">
        <f t="shared" si="71"/>
        <v>593807.273645079</v>
      </c>
    </row>
    <row r="59" spans="2:35">
      <c r="B59" s="3" t="s">
        <v>41</v>
      </c>
      <c r="C59" s="3">
        <v>27372</v>
      </c>
      <c r="D59" s="3">
        <v>28994</v>
      </c>
      <c r="E59" s="3">
        <v>28591</v>
      </c>
      <c r="F59" s="3">
        <f t="shared" si="60"/>
        <v>31331</v>
      </c>
      <c r="G59" s="3">
        <v>28129</v>
      </c>
      <c r="H59" s="3">
        <v>28511</v>
      </c>
      <c r="I59" s="3">
        <v>29710</v>
      </c>
      <c r="J59" s="3">
        <f t="shared" si="61"/>
        <v>31462</v>
      </c>
      <c r="K59" s="3">
        <v>29404</v>
      </c>
      <c r="L59" s="3">
        <v>30167</v>
      </c>
      <c r="M59" s="3">
        <f>+M57*0.217</f>
        <v>32002.682355253612</v>
      </c>
      <c r="N59" s="3">
        <f>+N$57*(J59/J$57)</f>
        <v>32206.739997669472</v>
      </c>
      <c r="O59" s="5"/>
      <c r="P59" s="3">
        <v>88629</v>
      </c>
      <c r="Q59" s="3">
        <v>91353</v>
      </c>
      <c r="R59" s="3">
        <v>93418</v>
      </c>
      <c r="S59" s="3">
        <v>97041</v>
      </c>
      <c r="T59" s="3">
        <v>101853</v>
      </c>
      <c r="U59" s="3">
        <v>106510</v>
      </c>
      <c r="V59" s="3">
        <v>107147</v>
      </c>
      <c r="W59" s="3">
        <v>108791</v>
      </c>
      <c r="X59" s="3">
        <v>116288</v>
      </c>
      <c r="Y59" s="3">
        <v>117812</v>
      </c>
      <c r="Z59" s="3">
        <f t="shared" si="62"/>
        <v>123780.42235292308</v>
      </c>
      <c r="AA59" s="3">
        <f t="shared" ref="AA59:AI59" si="72">+AA$57*(Z59/Z$57)</f>
        <v>127397.0092717566</v>
      </c>
      <c r="AB59" s="3">
        <f t="shared" si="72"/>
        <v>131170.92035983939</v>
      </c>
      <c r="AC59" s="3">
        <f t="shared" si="72"/>
        <v>135111.96949224197</v>
      </c>
      <c r="AD59" s="3">
        <f t="shared" si="72"/>
        <v>139230.69744081271</v>
      </c>
      <c r="AE59" s="3">
        <f t="shared" si="72"/>
        <v>143538.4288034421</v>
      </c>
      <c r="AF59" s="3">
        <f t="shared" si="72"/>
        <v>148047.33346199652</v>
      </c>
      <c r="AG59" s="3">
        <f t="shared" si="72"/>
        <v>152770.49293067513</v>
      </c>
      <c r="AH59" s="3">
        <f t="shared" si="72"/>
        <v>157721.97198547411</v>
      </c>
      <c r="AI59" s="3">
        <f t="shared" si="72"/>
        <v>162916.8959966843</v>
      </c>
    </row>
    <row r="60" spans="2:35" s="7" customFormat="1">
      <c r="B60" s="7" t="s">
        <v>42</v>
      </c>
      <c r="C60" s="7">
        <f>+C57-SUM(C58:C59)</f>
        <v>5224</v>
      </c>
      <c r="D60" s="7">
        <f>+D57-SUM(D58:D59)</f>
        <v>6059</v>
      </c>
      <c r="E60" s="7">
        <f>+E57-SUM(E58:E59)</f>
        <v>5778</v>
      </c>
      <c r="F60" s="3">
        <f t="shared" si="60"/>
        <v>5487</v>
      </c>
      <c r="G60" s="7">
        <f>+G57-SUM(G58:G59)</f>
        <v>6909</v>
      </c>
      <c r="H60" s="7">
        <f>+H57-SUM(H58:H59)</f>
        <v>7354</v>
      </c>
      <c r="I60" s="7">
        <f>+I57-SUM(I58:I59)</f>
        <v>5792</v>
      </c>
      <c r="J60" s="3">
        <f t="shared" si="61"/>
        <v>5887</v>
      </c>
      <c r="K60" s="7">
        <f>+K57-SUM(K58:K59)</f>
        <v>5318</v>
      </c>
      <c r="L60" s="7">
        <f>+L57-SUM(L58:L59)</f>
        <v>6854</v>
      </c>
      <c r="M60" s="7">
        <f t="shared" ref="M60:N60" si="73">+M57-SUM(M58:M59)</f>
        <v>5255.861075157969</v>
      </c>
      <c r="N60" s="7">
        <f t="shared" si="73"/>
        <v>6026.3517375335505</v>
      </c>
      <c r="O60" s="5"/>
      <c r="P60" s="7">
        <f>+P57-SUM(P58:P59)</f>
        <v>27725</v>
      </c>
      <c r="Q60" s="7">
        <f>+Q57-SUM(Q58:Q59)</f>
        <v>26872</v>
      </c>
      <c r="R60" s="7">
        <f>+R57-SUM(R58:R59)</f>
        <v>27147</v>
      </c>
      <c r="S60" s="7">
        <f>+S57-SUM(S58:S59)</f>
        <v>24105</v>
      </c>
      <c r="T60" s="7">
        <f>+T57-SUM(T58:T59)</f>
        <v>22764</v>
      </c>
      <c r="U60" s="7">
        <f>+U57-SUM(U58:U59)</f>
        <v>20437</v>
      </c>
      <c r="V60" s="7">
        <f>+V57-SUM(V58:V59)</f>
        <v>21957</v>
      </c>
      <c r="W60" s="7">
        <f>+W57-SUM(W58:W59)</f>
        <v>20568</v>
      </c>
      <c r="X60" s="7">
        <f>+X57-SUM(X58:X59)</f>
        <v>22548</v>
      </c>
      <c r="Y60" s="7">
        <f>+Y57-SUM(Y58:Y59)</f>
        <v>25942</v>
      </c>
      <c r="Z60" s="3">
        <f t="shared" si="62"/>
        <v>23454.21281269152</v>
      </c>
      <c r="AA60" s="7">
        <f t="shared" ref="AA60" si="74">+AA57-SUM(AA58:AA59)</f>
        <v>24139.492420221562</v>
      </c>
      <c r="AB60" s="7">
        <f t="shared" ref="AB60" si="75">+AB57-SUM(AB58:AB59)</f>
        <v>24854.582190586836</v>
      </c>
      <c r="AC60" s="7">
        <f t="shared" ref="AC60" si="76">+AC57-SUM(AC58:AC59)</f>
        <v>25601.341680493089</v>
      </c>
      <c r="AD60" s="7">
        <f t="shared" ref="AD60" si="77">+AD57-SUM(AD58:AD59)</f>
        <v>26381.768180799554</v>
      </c>
      <c r="AE60" s="7">
        <f t="shared" ref="AE60" si="78">+AE57-SUM(AE58:AE59)</f>
        <v>27198.00750361383</v>
      </c>
      <c r="AF60" s="7">
        <f t="shared" ref="AF60" si="79">+AF57-SUM(AF58:AF59)</f>
        <v>28052.365627488587</v>
      </c>
      <c r="AG60" s="7">
        <f t="shared" ref="AG60" si="80">+AG57-SUM(AG58:AG59)</f>
        <v>28947.321269268636</v>
      </c>
      <c r="AH60" s="7">
        <f t="shared" ref="AH60" si="81">+AH57-SUM(AH58:AH59)</f>
        <v>29885.539456614293</v>
      </c>
      <c r="AI60" s="7">
        <f t="shared" ref="AI60" si="82">+AI57-SUM(AI58:AI59)</f>
        <v>30869.886181149399</v>
      </c>
    </row>
    <row r="61" spans="2:35">
      <c r="B61" s="3" t="s">
        <v>4</v>
      </c>
      <c r="C61" s="3">
        <v>510</v>
      </c>
      <c r="D61" s="3">
        <v>577</v>
      </c>
      <c r="E61" s="3">
        <v>455</v>
      </c>
      <c r="F61" s="3">
        <f t="shared" si="60"/>
        <v>434</v>
      </c>
      <c r="G61" s="3">
        <v>481</v>
      </c>
      <c r="H61" s="3">
        <v>437</v>
      </c>
      <c r="I61" s="3">
        <v>408</v>
      </c>
      <c r="J61" s="3">
        <f t="shared" si="61"/>
        <v>348</v>
      </c>
      <c r="K61" s="3">
        <v>372</v>
      </c>
      <c r="L61" s="3">
        <v>395</v>
      </c>
      <c r="M61" s="3">
        <f>+M$60*(L61/L$60)</f>
        <v>302.89832574954738</v>
      </c>
      <c r="N61" s="3">
        <f>+N$60*(M61/M$60)</f>
        <v>347.30215003293733</v>
      </c>
      <c r="P61" s="3">
        <v>1977</v>
      </c>
      <c r="Q61" s="3">
        <v>2072</v>
      </c>
      <c r="R61" s="3">
        <v>2161</v>
      </c>
      <c r="S61" s="3">
        <v>2027</v>
      </c>
      <c r="T61" s="3">
        <v>2044</v>
      </c>
      <c r="U61" s="3">
        <v>1978</v>
      </c>
      <c r="V61" s="3">
        <v>1975</v>
      </c>
      <c r="W61" s="3">
        <v>2262</v>
      </c>
      <c r="X61" s="3">
        <v>1976</v>
      </c>
      <c r="Y61" s="3">
        <v>1674</v>
      </c>
      <c r="Z61" s="3">
        <f t="shared" si="62"/>
        <v>1417.2004757824848</v>
      </c>
      <c r="AA61" s="3">
        <f>+AA$60*(Z61/Z$60)</f>
        <v>1458.6079019703332</v>
      </c>
      <c r="AB61" s="3">
        <f t="shared" ref="AB61:AI61" si="83">+AB$60*(AA61/AA$60)</f>
        <v>1501.8165814038407</v>
      </c>
      <c r="AC61" s="3">
        <f t="shared" si="83"/>
        <v>1546.9388761848261</v>
      </c>
      <c r="AD61" s="3">
        <f t="shared" si="83"/>
        <v>1594.0954708819243</v>
      </c>
      <c r="AE61" s="3">
        <f t="shared" si="83"/>
        <v>1643.4160243314441</v>
      </c>
      <c r="AF61" s="3">
        <f t="shared" si="83"/>
        <v>1695.0398732882827</v>
      </c>
      <c r="AG61" s="3">
        <f t="shared" si="83"/>
        <v>1749.1167920688861</v>
      </c>
      <c r="AH61" s="3">
        <f t="shared" si="83"/>
        <v>1805.8078126592061</v>
      </c>
      <c r="AI61" s="3">
        <f t="shared" si="83"/>
        <v>1865.2861101184674</v>
      </c>
    </row>
    <row r="62" spans="2:35">
      <c r="B62" s="3" t="s">
        <v>43</v>
      </c>
      <c r="C62" s="3">
        <v>82</v>
      </c>
      <c r="D62" s="3">
        <v>81</v>
      </c>
      <c r="E62" s="3">
        <v>86</v>
      </c>
      <c r="F62" s="3">
        <f t="shared" si="60"/>
        <v>90</v>
      </c>
      <c r="G62" s="3">
        <v>85</v>
      </c>
      <c r="H62" s="3">
        <v>78</v>
      </c>
      <c r="I62" s="3">
        <v>78</v>
      </c>
      <c r="J62" s="3">
        <f t="shared" si="61"/>
        <v>79</v>
      </c>
      <c r="K62" s="3">
        <v>83</v>
      </c>
      <c r="L62" s="3">
        <v>84</v>
      </c>
      <c r="M62" s="3">
        <f t="shared" ref="M62:N63" si="84">+M$60*(L62/L$60)</f>
        <v>64.413821172055648</v>
      </c>
      <c r="N62" s="3">
        <f t="shared" si="84"/>
        <v>73.85665975383985</v>
      </c>
      <c r="P62" s="3">
        <v>272</v>
      </c>
      <c r="Q62" s="3">
        <v>263</v>
      </c>
      <c r="R62" s="3">
        <v>300</v>
      </c>
      <c r="S62" s="3">
        <v>521</v>
      </c>
      <c r="T62" s="3">
        <v>323</v>
      </c>
      <c r="U62" s="3">
        <v>352</v>
      </c>
      <c r="V62" s="3">
        <v>371</v>
      </c>
      <c r="W62" s="3">
        <v>337</v>
      </c>
      <c r="X62" s="3">
        <v>339</v>
      </c>
      <c r="Y62" s="3">
        <v>320</v>
      </c>
      <c r="Z62" s="3">
        <f t="shared" si="62"/>
        <v>305.27048092589547</v>
      </c>
      <c r="AA62" s="3">
        <f t="shared" ref="AA62:AI62" si="85">+AA$60*(Z62/Z$60)</f>
        <v>314.18980117893784</v>
      </c>
      <c r="AB62" s="3">
        <f t="shared" si="85"/>
        <v>323.49711836958221</v>
      </c>
      <c r="AC62" s="3">
        <f t="shared" si="85"/>
        <v>333.21663573050182</v>
      </c>
      <c r="AD62" s="3">
        <f t="shared" si="85"/>
        <v>343.37434918601167</v>
      </c>
      <c r="AE62" s="3">
        <f t="shared" si="85"/>
        <v>353.99818775250191</v>
      </c>
      <c r="AF62" s="3">
        <f t="shared" si="85"/>
        <v>365.11816510757495</v>
      </c>
      <c r="AG62" s="3">
        <f t="shared" si="85"/>
        <v>376.76654322008631</v>
      </c>
      <c r="AH62" s="3">
        <f t="shared" si="85"/>
        <v>388.97800900458066</v>
      </c>
      <c r="AI62" s="3">
        <f t="shared" si="85"/>
        <v>401.78986504069798</v>
      </c>
    </row>
    <row r="63" spans="2:35" s="7" customFormat="1">
      <c r="B63" s="7" t="s">
        <v>44</v>
      </c>
      <c r="C63" s="7">
        <v>-43</v>
      </c>
      <c r="D63" s="7">
        <v>-23</v>
      </c>
      <c r="E63" s="7">
        <v>-25</v>
      </c>
      <c r="F63" s="7">
        <f t="shared" si="60"/>
        <v>-30</v>
      </c>
      <c r="G63" s="7">
        <v>-30</v>
      </c>
      <c r="H63" s="7">
        <v>-37</v>
      </c>
      <c r="I63" s="7">
        <v>-44</v>
      </c>
      <c r="J63" s="7">
        <f t="shared" si="61"/>
        <v>-47</v>
      </c>
      <c r="K63" s="7">
        <v>-36</v>
      </c>
      <c r="L63" s="7">
        <v>-31</v>
      </c>
      <c r="M63" s="7">
        <f t="shared" si="84"/>
        <v>-23.771767337306251</v>
      </c>
      <c r="N63" s="7">
        <f t="shared" si="84"/>
        <v>-27.256624432964699</v>
      </c>
      <c r="P63" s="7">
        <v>-186</v>
      </c>
      <c r="Q63" s="7">
        <v>-119</v>
      </c>
      <c r="R63" s="7">
        <v>-113</v>
      </c>
      <c r="S63" s="7">
        <v>-81</v>
      </c>
      <c r="T63" s="7">
        <v>-100</v>
      </c>
      <c r="U63" s="7">
        <v>-152</v>
      </c>
      <c r="V63" s="7">
        <v>-217</v>
      </c>
      <c r="W63" s="7">
        <v>-189</v>
      </c>
      <c r="X63" s="7">
        <v>-121</v>
      </c>
      <c r="Y63" s="7">
        <v>-158</v>
      </c>
      <c r="Z63" s="7">
        <f t="shared" si="62"/>
        <v>-118.02839177027094</v>
      </c>
      <c r="AA63" s="7">
        <f>+Z109*$AM$84</f>
        <v>-425.26075575991354</v>
      </c>
      <c r="AB63" s="7">
        <f>+AA109*$AM$84</f>
        <v>-382.73468018392219</v>
      </c>
      <c r="AC63" s="7">
        <f>+AB109*$AM$84</f>
        <v>-344.46121216552996</v>
      </c>
      <c r="AD63" s="7">
        <f>+AC109*$AM$84</f>
        <v>-310.01509094897693</v>
      </c>
      <c r="AE63" s="7">
        <f>+AD109*$AM$84</f>
        <v>-279.01358185407923</v>
      </c>
      <c r="AF63" s="7">
        <f>+AE109*$AM$84</f>
        <v>-251.11222366867133</v>
      </c>
      <c r="AG63" s="7">
        <f>+AF109*$AM$84</f>
        <v>-226.00100130180422</v>
      </c>
      <c r="AH63" s="7">
        <f>+AG109*$AM$84</f>
        <v>-203.40090117162381</v>
      </c>
      <c r="AI63" s="7">
        <f>+AH109*$AM$84</f>
        <v>-183.06081105446145</v>
      </c>
    </row>
    <row r="64" spans="2:35">
      <c r="B64" s="3" t="s">
        <v>45</v>
      </c>
      <c r="C64" s="3">
        <f>+SUM(C61:C63)</f>
        <v>549</v>
      </c>
      <c r="D64" s="3">
        <f>+SUM(D61:D63)</f>
        <v>635</v>
      </c>
      <c r="E64" s="3">
        <f>+SUM(E61:E63)</f>
        <v>516</v>
      </c>
      <c r="F64" s="3">
        <f t="shared" si="60"/>
        <v>494</v>
      </c>
      <c r="G64" s="3">
        <f>+SUM(G61:G63)</f>
        <v>536</v>
      </c>
      <c r="H64" s="3">
        <f>+SUM(H61:H63)</f>
        <v>478</v>
      </c>
      <c r="I64" s="3">
        <f>+SUM(I61:I63)</f>
        <v>442</v>
      </c>
      <c r="J64" s="3">
        <f t="shared" si="61"/>
        <v>380</v>
      </c>
      <c r="K64" s="3">
        <f>+SUM(K61:K63)</f>
        <v>419</v>
      </c>
      <c r="L64" s="3">
        <f>+SUM(L61:L63)</f>
        <v>448</v>
      </c>
      <c r="M64" s="3">
        <f t="shared" ref="M64:N64" si="86">+SUM(M61:M63)</f>
        <v>343.54037958429677</v>
      </c>
      <c r="N64" s="3">
        <f t="shared" si="86"/>
        <v>393.90218535381246</v>
      </c>
      <c r="P64" s="3">
        <f>+SUM(P61:P63)</f>
        <v>2063</v>
      </c>
      <c r="Q64" s="3">
        <f>+SUM(Q61:Q63)</f>
        <v>2216</v>
      </c>
      <c r="R64" s="3">
        <f>+SUM(R61:R63)</f>
        <v>2348</v>
      </c>
      <c r="S64" s="3">
        <f>+SUM(S61:S63)</f>
        <v>2467</v>
      </c>
      <c r="T64" s="3">
        <f>+SUM(T61:T63)</f>
        <v>2267</v>
      </c>
      <c r="U64" s="3">
        <f>+SUM(U61:U63)</f>
        <v>2178</v>
      </c>
      <c r="V64" s="3">
        <f>+SUM(V61:V63)</f>
        <v>2129</v>
      </c>
      <c r="W64" s="3">
        <f>+SUM(W61:W63)</f>
        <v>2410</v>
      </c>
      <c r="X64" s="3">
        <f>+SUM(X61:X63)</f>
        <v>2194</v>
      </c>
      <c r="Y64" s="3">
        <f>+SUM(Y61:Y63)</f>
        <v>1836</v>
      </c>
      <c r="Z64" s="3">
        <f t="shared" si="62"/>
        <v>1604.4425649381092</v>
      </c>
      <c r="AA64" s="3">
        <f t="shared" ref="AA64:AG64" si="87">+SUM(AA61:AA63)</f>
        <v>1347.5369473893575</v>
      </c>
      <c r="AB64" s="3">
        <f t="shared" si="87"/>
        <v>1442.5790195895008</v>
      </c>
      <c r="AC64" s="3">
        <f t="shared" si="87"/>
        <v>1535.6942997497979</v>
      </c>
      <c r="AD64" s="3">
        <f t="shared" si="87"/>
        <v>1627.454729118959</v>
      </c>
      <c r="AE64" s="3">
        <f t="shared" si="87"/>
        <v>1718.4006302298667</v>
      </c>
      <c r="AF64" s="3">
        <f t="shared" si="87"/>
        <v>1809.0458147271863</v>
      </c>
      <c r="AG64" s="3">
        <f t="shared" si="87"/>
        <v>1899.8823339871681</v>
      </c>
      <c r="AH64" s="3">
        <f t="shared" ref="AH64:AI64" si="88">+SUM(AH61:AH63)</f>
        <v>1991.384920492163</v>
      </c>
      <c r="AI64" s="3">
        <f t="shared" si="88"/>
        <v>2084.0151641047041</v>
      </c>
    </row>
    <row r="65" spans="2:120">
      <c r="B65" s="3" t="s">
        <v>56</v>
      </c>
      <c r="E65" s="3">
        <v>0</v>
      </c>
      <c r="F65" s="3">
        <f t="shared" si="60"/>
        <v>0</v>
      </c>
      <c r="I65" s="3">
        <v>2410</v>
      </c>
      <c r="J65" s="3">
        <f t="shared" si="61"/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3136</v>
      </c>
      <c r="V65" s="3">
        <v>0</v>
      </c>
      <c r="W65" s="3">
        <v>0</v>
      </c>
      <c r="X65" s="3">
        <v>0</v>
      </c>
      <c r="Y65" s="3">
        <v>2410</v>
      </c>
      <c r="Z65" s="3">
        <f t="shared" si="62"/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</row>
    <row r="66" spans="2:120">
      <c r="B66" s="3" t="s">
        <v>46</v>
      </c>
      <c r="C66" s="3">
        <v>-721</v>
      </c>
      <c r="D66" s="3">
        <v>-3222</v>
      </c>
      <c r="E66" s="3">
        <v>-1853</v>
      </c>
      <c r="F66" s="3">
        <f t="shared" si="60"/>
        <v>5586</v>
      </c>
      <c r="G66" s="3">
        <v>2529</v>
      </c>
      <c r="H66" s="3">
        <v>953</v>
      </c>
      <c r="I66" s="3">
        <v>-1207</v>
      </c>
      <c r="J66" s="3">
        <f t="shared" si="61"/>
        <v>725</v>
      </c>
      <c r="K66" s="3">
        <v>1998</v>
      </c>
      <c r="L66" s="3">
        <v>-238</v>
      </c>
      <c r="M66" s="3">
        <f>+M60*(L66/L60)</f>
        <v>-182.50582665415766</v>
      </c>
      <c r="N66" s="3">
        <f>+N60*(M66/M60)</f>
        <v>-209.26053596921287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8368</v>
      </c>
      <c r="W66" s="3">
        <v>-1958</v>
      </c>
      <c r="X66" s="3">
        <v>-210</v>
      </c>
      <c r="Y66" s="3">
        <v>3000</v>
      </c>
      <c r="Z66" s="3">
        <f t="shared" si="62"/>
        <v>1368.2336373766293</v>
      </c>
      <c r="AA66" s="3">
        <f>+AA60*(Z66/Z60)</f>
        <v>1408.2103621347289</v>
      </c>
      <c r="AB66" s="3">
        <f t="shared" ref="AB66:AI66" si="89">+AB60*(AA66/AA60)</f>
        <v>1449.9261035826048</v>
      </c>
      <c r="AC66" s="3">
        <f t="shared" si="89"/>
        <v>1493.4893415083334</v>
      </c>
      <c r="AD66" s="3">
        <f t="shared" si="89"/>
        <v>1539.0165906105337</v>
      </c>
      <c r="AE66" s="3">
        <f t="shared" si="89"/>
        <v>1586.6330297783275</v>
      </c>
      <c r="AF66" s="3">
        <f t="shared" si="89"/>
        <v>1636.4731814298416</v>
      </c>
      <c r="AG66" s="3">
        <f t="shared" si="89"/>
        <v>1688.6816449081318</v>
      </c>
      <c r="AH66" s="3">
        <f t="shared" si="89"/>
        <v>1743.4138882529276</v>
      </c>
      <c r="AI66" s="3">
        <f t="shared" si="89"/>
        <v>1800.8371030120966</v>
      </c>
    </row>
    <row r="67" spans="2:120" s="7" customFormat="1">
      <c r="B67" s="7" t="s">
        <v>47</v>
      </c>
      <c r="C67" s="7">
        <f>+C60-SUM(C64:C66)</f>
        <v>5396</v>
      </c>
      <c r="D67" s="7">
        <f>+D60-SUM(D64:D66)</f>
        <v>8646</v>
      </c>
      <c r="E67" s="7">
        <f>+E60-SUM(E64:E66)</f>
        <v>7115</v>
      </c>
      <c r="F67" s="3">
        <f t="shared" si="60"/>
        <v>-593</v>
      </c>
      <c r="G67" s="7">
        <f>+G60-SUM(G64:G66)</f>
        <v>3844</v>
      </c>
      <c r="H67" s="7">
        <f>+H60-SUM(H64:H66)</f>
        <v>5923</v>
      </c>
      <c r="I67" s="7">
        <f>+I60-SUM(I64:I66)</f>
        <v>4147</v>
      </c>
      <c r="J67" s="3">
        <f t="shared" si="61"/>
        <v>4782</v>
      </c>
      <c r="K67" s="7">
        <f>+K60-SUM(K64:K66)</f>
        <v>2901</v>
      </c>
      <c r="L67" s="7">
        <f>+L60-SUM(L64:L66)</f>
        <v>6644</v>
      </c>
      <c r="M67" s="7">
        <f>+M60-SUM(M64:M66)</f>
        <v>5094.8265222278296</v>
      </c>
      <c r="N67" s="7">
        <f>+N60-SUM(N64:N66)</f>
        <v>5841.7100881489505</v>
      </c>
      <c r="O67" s="5"/>
      <c r="P67" s="7">
        <f>+P60-SUM(P64:P66)</f>
        <v>25662</v>
      </c>
      <c r="Q67" s="7">
        <f>+Q60-SUM(Q64:Q66)</f>
        <v>24656</v>
      </c>
      <c r="R67" s="7">
        <f>+R60-SUM(R64:R66)</f>
        <v>24799</v>
      </c>
      <c r="S67" s="7">
        <f>+S60-SUM(S64:S66)</f>
        <v>21638</v>
      </c>
      <c r="T67" s="7">
        <f>+T60-SUM(T64:T66)</f>
        <v>20497</v>
      </c>
      <c r="U67" s="7">
        <f>+U60-SUM(U64:U66)</f>
        <v>15123</v>
      </c>
      <c r="V67" s="7">
        <f>+V60-SUM(V64:V66)</f>
        <v>11460</v>
      </c>
      <c r="W67" s="7">
        <f>+W60-SUM(W64:W66)</f>
        <v>20116</v>
      </c>
      <c r="X67" s="7">
        <f>+X60-SUM(X64:X66)</f>
        <v>20564</v>
      </c>
      <c r="Y67" s="7">
        <f>+Y60-SUM(Y64:Y66)</f>
        <v>18696</v>
      </c>
      <c r="Z67" s="3">
        <f t="shared" si="62"/>
        <v>20481.536610376781</v>
      </c>
      <c r="AA67" s="7">
        <f>+AA60-SUM(AA64:AA66)</f>
        <v>21383.745110697477</v>
      </c>
      <c r="AB67" s="7">
        <f t="shared" ref="AB67:AI67" si="90">+AB60-SUM(AB64:AB66)</f>
        <v>21962.077067414732</v>
      </c>
      <c r="AC67" s="7">
        <f t="shared" si="90"/>
        <v>22572.158039234957</v>
      </c>
      <c r="AD67" s="7">
        <f t="shared" si="90"/>
        <v>23215.296861070063</v>
      </c>
      <c r="AE67" s="7">
        <f t="shared" si="90"/>
        <v>23892.973843605636</v>
      </c>
      <c r="AF67" s="7">
        <f t="shared" si="90"/>
        <v>24606.846631331558</v>
      </c>
      <c r="AG67" s="7">
        <f t="shared" si="90"/>
        <v>25358.757290373334</v>
      </c>
      <c r="AH67" s="7">
        <f t="shared" si="90"/>
        <v>26150.740647869203</v>
      </c>
      <c r="AI67" s="7">
        <f t="shared" si="90"/>
        <v>26985.0339140326</v>
      </c>
    </row>
    <row r="68" spans="2:120">
      <c r="B68" s="3" t="s">
        <v>50</v>
      </c>
      <c r="C68" s="3">
        <v>1322</v>
      </c>
      <c r="D68" s="3">
        <v>2207</v>
      </c>
      <c r="E68" s="3">
        <v>1914</v>
      </c>
      <c r="F68" s="3">
        <f t="shared" si="60"/>
        <v>1415</v>
      </c>
      <c r="G68" s="3">
        <v>1033</v>
      </c>
      <c r="H68" s="3">
        <v>1559</v>
      </c>
      <c r="I68" s="3">
        <v>1015</v>
      </c>
      <c r="J68" s="3">
        <f t="shared" si="61"/>
        <v>1149</v>
      </c>
      <c r="K68" s="3">
        <v>798</v>
      </c>
      <c r="L68" s="3">
        <v>1497</v>
      </c>
      <c r="M68" s="3">
        <f>+M67*0.25</f>
        <v>1273.7066305569574</v>
      </c>
      <c r="N68" s="3">
        <f>+N67*0.25</f>
        <v>1460.4275220372376</v>
      </c>
      <c r="P68" s="3">
        <v>7958</v>
      </c>
      <c r="Q68" s="3">
        <v>8105</v>
      </c>
      <c r="R68" s="3">
        <v>7985</v>
      </c>
      <c r="S68" s="3">
        <v>6558</v>
      </c>
      <c r="T68" s="3">
        <v>6204</v>
      </c>
      <c r="U68" s="3">
        <v>4600</v>
      </c>
      <c r="V68" s="3">
        <v>4281</v>
      </c>
      <c r="W68" s="3">
        <v>4915</v>
      </c>
      <c r="X68" s="3">
        <v>6858</v>
      </c>
      <c r="Y68" s="3">
        <v>4756</v>
      </c>
      <c r="Z68" s="3">
        <f t="shared" si="62"/>
        <v>5029.1341525941953</v>
      </c>
      <c r="AA68" s="3">
        <f>+AA67*(Z68/Z67)</f>
        <v>5250.6667293748269</v>
      </c>
      <c r="AB68" s="3">
        <f t="shared" ref="AB68:AI68" si="91">+AB67*(AA68/AA67)</f>
        <v>5392.6731154381559</v>
      </c>
      <c r="AC68" s="3">
        <f t="shared" si="91"/>
        <v>5542.4753060450121</v>
      </c>
      <c r="AD68" s="3">
        <f t="shared" si="91"/>
        <v>5700.394678760018</v>
      </c>
      <c r="AE68" s="3">
        <f t="shared" si="91"/>
        <v>5866.7947161268403</v>
      </c>
      <c r="AF68" s="3">
        <f t="shared" si="91"/>
        <v>6042.0824440769557</v>
      </c>
      <c r="AG68" s="3">
        <f t="shared" si="91"/>
        <v>6226.7101723095511</v>
      </c>
      <c r="AH68" s="3">
        <f t="shared" si="91"/>
        <v>6421.1775419819387</v>
      </c>
      <c r="AI68" s="3">
        <f t="shared" si="91"/>
        <v>6626.033888356651</v>
      </c>
    </row>
    <row r="69" spans="2:120" s="7" customFormat="1">
      <c r="B69" s="7" t="s">
        <v>51</v>
      </c>
      <c r="C69" s="7">
        <f>+C67-C68</f>
        <v>4074</v>
      </c>
      <c r="D69" s="7">
        <f>+D67-D68</f>
        <v>6439</v>
      </c>
      <c r="E69" s="7">
        <f>+E67-E68</f>
        <v>5201</v>
      </c>
      <c r="F69" s="3">
        <f t="shared" si="60"/>
        <v>-2008</v>
      </c>
      <c r="G69" s="7">
        <f>+G67-G68</f>
        <v>2811</v>
      </c>
      <c r="H69" s="7">
        <f>+H67-H68</f>
        <v>4364</v>
      </c>
      <c r="I69" s="7">
        <f>+I67-I68</f>
        <v>3132</v>
      </c>
      <c r="J69" s="3">
        <f t="shared" si="61"/>
        <v>3633</v>
      </c>
      <c r="K69" s="7">
        <f>+K67-K68</f>
        <v>2103</v>
      </c>
      <c r="L69" s="7">
        <f>+L67-L68</f>
        <v>5147</v>
      </c>
      <c r="M69" s="7">
        <f>+M67-M68</f>
        <v>3821.1198916708722</v>
      </c>
      <c r="N69" s="7">
        <f>+N67-N68</f>
        <v>4381.2825661117131</v>
      </c>
      <c r="P69" s="7">
        <f>+P67-P68</f>
        <v>17704</v>
      </c>
      <c r="Q69" s="7">
        <f>+Q67-Q68</f>
        <v>16551</v>
      </c>
      <c r="R69" s="7">
        <f>+R67-R68</f>
        <v>16814</v>
      </c>
      <c r="S69" s="7">
        <f>+S67-S68</f>
        <v>15080</v>
      </c>
      <c r="T69" s="7">
        <f>+T67-T68</f>
        <v>14293</v>
      </c>
      <c r="U69" s="7">
        <f>+U67-U68</f>
        <v>10523</v>
      </c>
      <c r="V69" s="7">
        <f>+V67-V68</f>
        <v>7179</v>
      </c>
      <c r="W69" s="7">
        <f>+W67-W68</f>
        <v>15201</v>
      </c>
      <c r="X69" s="7">
        <f>+X67-X68</f>
        <v>13706</v>
      </c>
      <c r="Y69" s="7">
        <f>+Y67-Y68</f>
        <v>13940</v>
      </c>
      <c r="Z69" s="3">
        <f t="shared" si="62"/>
        <v>15452.402457782586</v>
      </c>
      <c r="AA69" s="7">
        <f>+AA67-AA68</f>
        <v>16133.07838132265</v>
      </c>
      <c r="AB69" s="7">
        <f>+AB67-AB68</f>
        <v>16569.403951976576</v>
      </c>
      <c r="AC69" s="7">
        <f t="shared" ref="AC69:AI69" si="92">+AC67-AC68</f>
        <v>17029.682733189944</v>
      </c>
      <c r="AD69" s="7">
        <f t="shared" si="92"/>
        <v>17514.902182310045</v>
      </c>
      <c r="AE69" s="7">
        <f t="shared" si="92"/>
        <v>18026.179127478797</v>
      </c>
      <c r="AF69" s="7">
        <f t="shared" si="92"/>
        <v>18564.764187254601</v>
      </c>
      <c r="AG69" s="7">
        <f t="shared" si="92"/>
        <v>19132.047118063783</v>
      </c>
      <c r="AH69" s="7">
        <f t="shared" si="92"/>
        <v>19729.563105887264</v>
      </c>
      <c r="AI69" s="7">
        <f t="shared" si="92"/>
        <v>20359.000025675949</v>
      </c>
      <c r="AJ69" s="7">
        <f>+AI69*(1+$AM$85)</f>
        <v>20562.59002593271</v>
      </c>
      <c r="AK69" s="7">
        <f>+AJ69*(1+$AM$85)</f>
        <v>20768.215926192039</v>
      </c>
      <c r="AL69" s="7">
        <f>+AK69*(1+$AM$85)</f>
        <v>20975.898085453959</v>
      </c>
      <c r="AM69" s="7">
        <f>+AL69*(1+$AM$85)</f>
        <v>21185.657066308497</v>
      </c>
      <c r="AN69" s="7">
        <f>+AM69*(1+$AM$85)</f>
        <v>21397.51363697158</v>
      </c>
      <c r="AO69" s="7">
        <f>+AN69*(1+$AM$85)</f>
        <v>21611.488773341298</v>
      </c>
      <c r="AP69" s="7">
        <f>+AO69*(1+$AM$85)</f>
        <v>21827.603661074711</v>
      </c>
      <c r="AQ69" s="7">
        <f>+AP69*(1+$AM$85)</f>
        <v>22045.879697685457</v>
      </c>
      <c r="AR69" s="7">
        <f>+AQ69*(1+$AM$85)</f>
        <v>22266.338494662312</v>
      </c>
      <c r="AS69" s="7">
        <f>+AR69*(1+$AM$85)</f>
        <v>22489.001879608935</v>
      </c>
      <c r="AT69" s="7">
        <f>+AS69*(1+$AM$85)</f>
        <v>22713.891898405025</v>
      </c>
      <c r="AU69" s="7">
        <f>+AT69*(1+$AM$85)</f>
        <v>22941.030817389077</v>
      </c>
      <c r="AV69" s="7">
        <f>+AU69*(1+$AM$85)</f>
        <v>23170.441125562967</v>
      </c>
      <c r="AW69" s="7">
        <f>+AV69*(1+$AM$85)</f>
        <v>23402.145536818596</v>
      </c>
      <c r="AX69" s="7">
        <f>+AW69*(1+$AM$85)</f>
        <v>23636.166992186783</v>
      </c>
      <c r="AY69" s="7">
        <f>+AX69*(1+$AM$85)</f>
        <v>23872.528662108652</v>
      </c>
      <c r="AZ69" s="7">
        <f>+AY69*(1+$AM$85)</f>
        <v>24111.25394872974</v>
      </c>
      <c r="BA69" s="7">
        <f>+AZ69*(1+$AM$85)</f>
        <v>24352.366488217038</v>
      </c>
      <c r="BB69" s="7">
        <f>+BA69*(1+$AM$85)</f>
        <v>24595.890153099208</v>
      </c>
      <c r="BC69" s="7">
        <f>+BB69*(1+$AM$85)</f>
        <v>24841.849054630202</v>
      </c>
      <c r="BD69" s="7">
        <f>+BC69*(1+$AM$85)</f>
        <v>25090.267545176503</v>
      </c>
      <c r="BE69" s="7">
        <f>+BD69*(1+$AM$85)</f>
        <v>25341.170220628268</v>
      </c>
      <c r="BF69" s="7">
        <f>+BE69*(1+$AM$85)</f>
        <v>25594.58192283455</v>
      </c>
      <c r="BG69" s="7">
        <f>+BF69*(1+$AM$85)</f>
        <v>25850.527742062895</v>
      </c>
      <c r="BH69" s="7">
        <f>+BG69*(1+$AM$85)</f>
        <v>26109.033019483526</v>
      </c>
      <c r="BI69" s="7">
        <f>+BH69*(1+$AM$85)</f>
        <v>26370.123349678361</v>
      </c>
      <c r="BJ69" s="7">
        <f>+BI69*(1+$AM$85)</f>
        <v>26633.824583175145</v>
      </c>
      <c r="BK69" s="7">
        <f>+BJ69*(1+$AM$85)</f>
        <v>26900.162829006895</v>
      </c>
      <c r="BL69" s="7">
        <f>+BK69*(1+$AM$85)</f>
        <v>27169.164457296964</v>
      </c>
      <c r="BM69" s="7">
        <f>+BL69*(1+$AM$85)</f>
        <v>27440.856101869933</v>
      </c>
      <c r="BN69" s="7">
        <f>+BM69*(1+$AM$85)</f>
        <v>27715.264662888632</v>
      </c>
      <c r="BO69" s="7">
        <f>+BN69*(1+$AM$85)</f>
        <v>27992.417309517517</v>
      </c>
      <c r="BP69" s="7">
        <f>+BO69*(1+$AM$85)</f>
        <v>28272.341482612694</v>
      </c>
      <c r="BQ69" s="7">
        <f>+BP69*(1+$AM$85)</f>
        <v>28555.06489743882</v>
      </c>
      <c r="BR69" s="7">
        <f>+BQ69*(1+$AM$85)</f>
        <v>28840.61554641321</v>
      </c>
      <c r="BS69" s="7">
        <f>+BR69*(1+$AM$85)</f>
        <v>29129.021701877344</v>
      </c>
      <c r="BT69" s="7">
        <f>+BS69*(1+$AM$85)</f>
        <v>29420.311918896117</v>
      </c>
      <c r="BU69" s="7">
        <f>+BT69*(1+$AM$85)</f>
        <v>29714.515038085079</v>
      </c>
      <c r="BV69" s="7">
        <f>+BU69*(1+$AM$85)</f>
        <v>30011.660188465929</v>
      </c>
      <c r="BW69" s="7">
        <f>+BV69*(1+$AM$85)</f>
        <v>30311.776790350588</v>
      </c>
      <c r="BX69" s="7">
        <f>+BW69*(1+$AM$85)</f>
        <v>30614.894558254095</v>
      </c>
      <c r="BY69" s="7">
        <f>+BX69*(1+$AM$85)</f>
        <v>30921.043503836634</v>
      </c>
      <c r="BZ69" s="7">
        <f>+BY69*(1+$AM$85)</f>
        <v>31230.253938875001</v>
      </c>
      <c r="CA69" s="7">
        <f>+BZ69*(1+$AM$85)</f>
        <v>31542.556478263752</v>
      </c>
      <c r="CB69" s="7">
        <f>+CA69*(1+$AM$85)</f>
        <v>31857.982043046391</v>
      </c>
      <c r="CC69" s="7">
        <f>+CB69*(1+$AM$85)</f>
        <v>32176.561863476854</v>
      </c>
      <c r="CD69" s="7">
        <f>+CC69*(1+$AM$85)</f>
        <v>32498.327482111625</v>
      </c>
      <c r="CE69" s="7">
        <f>+CD69*(1+$AM$85)</f>
        <v>32823.31075693274</v>
      </c>
      <c r="CF69" s="7">
        <f>+CE69*(1+$AM$85)</f>
        <v>33151.543864502069</v>
      </c>
      <c r="CG69" s="7">
        <f>+CF69*(1+$AM$85)</f>
        <v>33483.059303147093</v>
      </c>
      <c r="CH69" s="7">
        <f>+CG69*(1+$AM$85)</f>
        <v>33817.889896178567</v>
      </c>
      <c r="CI69" s="7">
        <f>+CH69*(1+$AM$85)</f>
        <v>34156.068795140352</v>
      </c>
      <c r="CJ69" s="7">
        <f>+CI69*(1+$AM$85)</f>
        <v>34497.629483091754</v>
      </c>
      <c r="CK69" s="7">
        <f>+CJ69*(1+$AM$85)</f>
        <v>34842.605777922668</v>
      </c>
      <c r="CL69" s="7">
        <f>+CK69*(1+$AM$85)</f>
        <v>35191.031835701899</v>
      </c>
      <c r="CM69" s="7">
        <f>+CL69*(1+$AM$85)</f>
        <v>35542.942154058917</v>
      </c>
      <c r="CN69" s="7">
        <f>+CM69*(1+$AM$85)</f>
        <v>35898.371575599507</v>
      </c>
      <c r="CO69" s="7">
        <f>+CN69*(1+$AM$85)</f>
        <v>36257.355291355503</v>
      </c>
      <c r="CP69" s="7">
        <f>+CO69*(1+$AM$85)</f>
        <v>36619.928844269059</v>
      </c>
      <c r="CQ69" s="7">
        <f>+CP69*(1+$AM$85)</f>
        <v>36986.128132711754</v>
      </c>
      <c r="CR69" s="7">
        <f>+CQ69*(1+$AM$85)</f>
        <v>37355.989414038871</v>
      </c>
      <c r="CS69" s="7">
        <f>+CR69*(1+$AM$85)</f>
        <v>37729.549308179259</v>
      </c>
      <c r="CT69" s="7">
        <f>+CS69*(1+$AM$85)</f>
        <v>38106.844801261053</v>
      </c>
      <c r="CU69" s="7">
        <f>+CT69*(1+$AM$85)</f>
        <v>38487.913249273661</v>
      </c>
      <c r="CV69" s="7">
        <f>+CU69*(1+$AM$85)</f>
        <v>38872.792381766398</v>
      </c>
      <c r="CW69" s="7">
        <f>+CV69*(1+$AM$85)</f>
        <v>39261.520305584061</v>
      </c>
      <c r="CX69" s="7">
        <f>+CW69*(1+$AM$85)</f>
        <v>39654.135508639905</v>
      </c>
      <c r="CY69" s="7">
        <f>+CX69*(1+$AM$85)</f>
        <v>40050.676863726301</v>
      </c>
      <c r="CZ69" s="7">
        <f>+CY69*(1+$AM$85)</f>
        <v>40451.183632363565</v>
      </c>
      <c r="DA69" s="7">
        <f>+CZ69*(1+$AM$85)</f>
        <v>40855.695468687198</v>
      </c>
      <c r="DB69" s="7">
        <f>+DA69*(1+$AM$85)</f>
        <v>41264.25242337407</v>
      </c>
      <c r="DC69" s="7">
        <f>+DB69*(1+$AM$85)</f>
        <v>41676.894947607812</v>
      </c>
      <c r="DD69" s="7">
        <f>+DC69*(1+$AM$85)</f>
        <v>42093.66389708389</v>
      </c>
      <c r="DE69" s="7">
        <f>+DD69*(1+$AM$85)</f>
        <v>42514.600536054728</v>
      </c>
      <c r="DF69" s="7">
        <f>+DE69*(1+$AM$85)</f>
        <v>42939.746541415276</v>
      </c>
      <c r="DG69" s="7">
        <f>+DF69*(1+$AM$85)</f>
        <v>43369.144006829432</v>
      </c>
      <c r="DH69" s="7">
        <f>+DG69*(1+$AM$85)</f>
        <v>43802.835446897727</v>
      </c>
      <c r="DI69" s="7">
        <f>+DH69*(1+$AM$85)</f>
        <v>44240.863801366708</v>
      </c>
      <c r="DJ69" s="7">
        <f>+DI69*(1+$AM$85)</f>
        <v>44683.272439380373</v>
      </c>
      <c r="DK69" s="7">
        <f>+DJ69*(1+$AM$85)</f>
        <v>45130.105163774177</v>
      </c>
      <c r="DL69" s="7">
        <f>+DK69*(1+$AM$85)</f>
        <v>45581.406215411916</v>
      </c>
      <c r="DM69" s="7">
        <f>+DL69*(1+$AM$85)</f>
        <v>46037.220277566033</v>
      </c>
      <c r="DN69" s="7">
        <f>+DM69*(1+$AM$85)</f>
        <v>46497.592480341693</v>
      </c>
      <c r="DO69" s="7">
        <f>+DN69*(1+$AM$85)</f>
        <v>46962.56840514511</v>
      </c>
      <c r="DP69" s="7">
        <f>+DO69*(1+$AM$85)</f>
        <v>47432.194089196564</v>
      </c>
    </row>
    <row r="70" spans="2:120">
      <c r="B70" s="3" t="s">
        <v>48</v>
      </c>
      <c r="C70" s="3">
        <v>2849</v>
      </c>
      <c r="D70" s="3">
        <v>2848</v>
      </c>
      <c r="E70" s="3">
        <v>2849</v>
      </c>
      <c r="F70" s="3">
        <f>+F69/F71</f>
        <v>2859.4916799231623</v>
      </c>
      <c r="G70" s="3">
        <v>2829</v>
      </c>
      <c r="H70" s="3">
        <v>2812</v>
      </c>
      <c r="I70" s="3">
        <v>2797</v>
      </c>
      <c r="J70" s="3">
        <f>+J69/J71</f>
        <v>2785.2566710678811</v>
      </c>
      <c r="K70" s="3">
        <v>2765</v>
      </c>
      <c r="L70" s="3">
        <v>2745</v>
      </c>
      <c r="M70" s="3">
        <f>+L70</f>
        <v>2745</v>
      </c>
      <c r="N70" s="3">
        <f>+M70</f>
        <v>2745</v>
      </c>
      <c r="P70" s="3">
        <v>3389</v>
      </c>
      <c r="Q70" s="3">
        <v>3283</v>
      </c>
      <c r="R70" s="3">
        <v>3243</v>
      </c>
      <c r="S70" s="3">
        <v>3217</v>
      </c>
      <c r="T70" s="3">
        <v>3112</v>
      </c>
      <c r="U70" s="3">
        <v>3010</v>
      </c>
      <c r="V70" s="3">
        <v>2945</v>
      </c>
      <c r="W70" s="3">
        <v>2868</v>
      </c>
      <c r="X70" s="3">
        <v>2847</v>
      </c>
      <c r="Y70" s="3">
        <v>2805</v>
      </c>
      <c r="Z70" s="3">
        <f>+Z69/Z71</f>
        <v>2747.7048812732546</v>
      </c>
      <c r="AA70" s="3">
        <f>+Z70</f>
        <v>2747.7048812732546</v>
      </c>
      <c r="AB70" s="3">
        <f t="shared" ref="AB70:AI70" si="93">+AA70</f>
        <v>2747.7048812732546</v>
      </c>
      <c r="AC70" s="3">
        <f t="shared" si="93"/>
        <v>2747.7048812732546</v>
      </c>
      <c r="AD70" s="3">
        <f t="shared" si="93"/>
        <v>2747.7048812732546</v>
      </c>
      <c r="AE70" s="3">
        <f t="shared" si="93"/>
        <v>2747.7048812732546</v>
      </c>
      <c r="AF70" s="3">
        <f t="shared" si="93"/>
        <v>2747.7048812732546</v>
      </c>
      <c r="AG70" s="3">
        <f t="shared" si="93"/>
        <v>2747.7048812732546</v>
      </c>
      <c r="AH70" s="3">
        <f t="shared" si="93"/>
        <v>2747.7048812732546</v>
      </c>
      <c r="AI70" s="3">
        <f t="shared" si="93"/>
        <v>2747.7048812732546</v>
      </c>
    </row>
    <row r="71" spans="2:120" s="11" customFormat="1">
      <c r="B71" s="11" t="s">
        <v>49</v>
      </c>
      <c r="C71" s="11">
        <f>+C69/C70</f>
        <v>1.4299754299754299</v>
      </c>
      <c r="D71" s="11">
        <f>+D69/D70</f>
        <v>2.260884831460674</v>
      </c>
      <c r="E71" s="11">
        <f>+E69/E70</f>
        <v>1.8255528255528255</v>
      </c>
      <c r="F71" s="11">
        <f t="shared" si="60"/>
        <v>-0.70222271115471724</v>
      </c>
      <c r="G71" s="11">
        <f>+G69/G70</f>
        <v>0.99363732767762458</v>
      </c>
      <c r="H71" s="11">
        <f>+H69/H70</f>
        <v>1.5519203413940257</v>
      </c>
      <c r="I71" s="11">
        <f>+I69/I70</f>
        <v>1.1197711834107973</v>
      </c>
      <c r="J71" s="11">
        <f t="shared" si="61"/>
        <v>1.3043681172145223</v>
      </c>
      <c r="K71" s="11">
        <f>+K69/K70</f>
        <v>0.76057866184448464</v>
      </c>
      <c r="L71" s="11">
        <f>+L69/L70</f>
        <v>1.8750455373406194</v>
      </c>
      <c r="M71" s="11">
        <f>+M69/M70</f>
        <v>1.3920291044338333</v>
      </c>
      <c r="N71" s="11">
        <f>+N69/N70</f>
        <v>1.5960956524997134</v>
      </c>
      <c r="P71" s="11">
        <f t="shared" ref="P71:U71" si="94">+P69/P70</f>
        <v>5.2239598701681915</v>
      </c>
      <c r="Q71" s="11">
        <f t="shared" si="94"/>
        <v>5.0414255254340539</v>
      </c>
      <c r="R71" s="11">
        <f t="shared" si="94"/>
        <v>5.1847055195806355</v>
      </c>
      <c r="S71" s="11">
        <f t="shared" si="94"/>
        <v>4.6875971401927261</v>
      </c>
      <c r="T71" s="11">
        <f t="shared" si="94"/>
        <v>4.5928663239074554</v>
      </c>
      <c r="U71" s="11">
        <f t="shared" si="94"/>
        <v>3.496013289036545</v>
      </c>
      <c r="V71" s="11">
        <f>+V69/V70</f>
        <v>2.4376910016977931</v>
      </c>
      <c r="W71" s="11">
        <f>+W69/W70</f>
        <v>5.3002092050209209</v>
      </c>
      <c r="X71" s="11">
        <f>+X69/X70</f>
        <v>4.8141903758342117</v>
      </c>
      <c r="Y71" s="11">
        <f>+Y69/Y70</f>
        <v>4.9696969696969697</v>
      </c>
      <c r="Z71" s="11">
        <f t="shared" si="62"/>
        <v>5.62374895611865</v>
      </c>
      <c r="AA71" s="11">
        <f>+AA69/AA70</f>
        <v>5.8714742224597165</v>
      </c>
      <c r="AB71" s="11">
        <f t="shared" ref="AB71:AI71" si="95">+AB69/AB70</f>
        <v>6.0302705959813654</v>
      </c>
      <c r="AC71" s="11">
        <f t="shared" si="95"/>
        <v>6.1977845034429562</v>
      </c>
      <c r="AD71" s="11">
        <f t="shared" si="95"/>
        <v>6.3743753201740656</v>
      </c>
      <c r="AE71" s="11">
        <f t="shared" si="95"/>
        <v>6.560449504724712</v>
      </c>
      <c r="AF71" s="11">
        <f t="shared" si="95"/>
        <v>6.7564622073429899</v>
      </c>
      <c r="AG71" s="11">
        <f t="shared" si="95"/>
        <v>6.9629192161271023</v>
      </c>
      <c r="AH71" s="11">
        <f t="shared" si="95"/>
        <v>7.1803792468224659</v>
      </c>
      <c r="AI71" s="11">
        <f t="shared" si="95"/>
        <v>7.4094565848140954</v>
      </c>
    </row>
    <row r="72" spans="2:120" s="11" customFormat="1"/>
    <row r="73" spans="2:120" s="34" customFormat="1" ht="17">
      <c r="B73" s="34" t="s">
        <v>185</v>
      </c>
      <c r="O73" s="35"/>
      <c r="P73" s="36">
        <v>5.16</v>
      </c>
      <c r="Q73" s="36">
        <v>17.89</v>
      </c>
      <c r="R73" s="36">
        <v>13.15</v>
      </c>
      <c r="S73" s="36">
        <v>15.03</v>
      </c>
      <c r="T73" s="36">
        <v>26.26</v>
      </c>
      <c r="U73" s="36">
        <v>53.53</v>
      </c>
      <c r="V73" s="36">
        <v>23.82</v>
      </c>
      <c r="W73" s="36">
        <v>20.8</v>
      </c>
      <c r="X73" s="36">
        <v>50.59</v>
      </c>
      <c r="Y73" s="36">
        <v>28.14</v>
      </c>
      <c r="Z73" s="35"/>
    </row>
    <row r="74" spans="2:120" s="11" customFormat="1"/>
    <row r="75" spans="2:120" s="11" customFormat="1">
      <c r="X75" s="11" t="s">
        <v>186</v>
      </c>
      <c r="Y75" s="4">
        <f>_xlfn.RRI(10,P71,Y71)</f>
        <v>-4.9772565803747337E-3</v>
      </c>
    </row>
    <row r="76" spans="2:120" s="11" customFormat="1">
      <c r="X76" s="11" t="s">
        <v>187</v>
      </c>
      <c r="Y76" s="34">
        <f>FV(Y75,10,,-Y71,0)</f>
        <v>4.727809666313548</v>
      </c>
    </row>
    <row r="77" spans="2:120" s="11" customFormat="1">
      <c r="X77" s="11" t="s">
        <v>185</v>
      </c>
      <c r="Y77" s="27">
        <f>AVERAGE(V73:Y73)</f>
        <v>30.837500000000002</v>
      </c>
    </row>
    <row r="78" spans="2:120">
      <c r="J78" s="3" t="s">
        <v>62</v>
      </c>
    </row>
    <row r="79" spans="2:120" s="5" customFormat="1">
      <c r="B79" s="5" t="s">
        <v>52</v>
      </c>
      <c r="G79" s="5">
        <f t="shared" ref="G79:J79" si="96">+G57/C57-1</f>
        <v>2.7395225148935554E-2</v>
      </c>
      <c r="H79" s="5">
        <f t="shared" si="96"/>
        <v>2.4001393910354052E-2</v>
      </c>
      <c r="I79" s="5">
        <f t="shared" si="96"/>
        <v>4.3182290584078187E-2</v>
      </c>
      <c r="J79" s="5">
        <f t="shared" si="96"/>
        <v>5.2078196200657789E-3</v>
      </c>
      <c r="K79" s="5">
        <f>+K57/G57-1</f>
        <v>2.3563010628298686E-2</v>
      </c>
      <c r="L79" s="5">
        <f>+L57/H57-1</f>
        <v>8.3737451080483138E-2</v>
      </c>
      <c r="M79" s="13">
        <f t="shared" ref="M79:N79" si="97">+M57/I57-1</f>
        <v>4.947730917727422E-2</v>
      </c>
      <c r="N79" s="5">
        <f t="shared" si="97"/>
        <v>2.3671095215481275E-2</v>
      </c>
      <c r="W79" s="7"/>
      <c r="X79" s="5">
        <f>+X57/W57-1</f>
        <v>6.7155377086975498E-2</v>
      </c>
      <c r="Y79" s="5">
        <f>+Y57/X57-1</f>
        <v>2.4327954345069625E-2</v>
      </c>
      <c r="Z79" s="13">
        <f>+Z57/Y57-1</f>
        <v>4.4768649138761551E-2</v>
      </c>
      <c r="AA79" s="13">
        <f t="shared" ref="AA79:AI79" si="98">+AA57/Z57-1</f>
        <v>2.9217761985994128E-2</v>
      </c>
      <c r="AB79" s="13">
        <f t="shared" si="98"/>
        <v>2.9623231421645579E-2</v>
      </c>
      <c r="AC79" s="13">
        <f t="shared" si="98"/>
        <v>3.0045143554616738E-2</v>
      </c>
      <c r="AD79" s="13">
        <f t="shared" si="98"/>
        <v>3.0483812530075038E-2</v>
      </c>
      <c r="AE79" s="13">
        <f t="shared" si="98"/>
        <v>3.0939522977399658E-2</v>
      </c>
      <c r="AF79" s="13">
        <f t="shared" si="98"/>
        <v>3.1412526221314518E-2</v>
      </c>
      <c r="AG79" s="13">
        <f t="shared" si="98"/>
        <v>3.1903036402145313E-2</v>
      </c>
      <c r="AH79" s="13">
        <f t="shared" si="98"/>
        <v>3.2411226538660687E-2</v>
      </c>
      <c r="AI79" s="13">
        <f t="shared" si="98"/>
        <v>3.2937224571910839E-2</v>
      </c>
    </row>
    <row r="80" spans="2:120" s="2" customFormat="1">
      <c r="B80" s="2" t="s">
        <v>54</v>
      </c>
      <c r="G80" s="2">
        <f t="shared" ref="G80:J80" si="99">+G55/C55-1</f>
        <v>2.6086240947992057E-2</v>
      </c>
      <c r="H80" s="2">
        <f t="shared" si="99"/>
        <v>2.2269484885692581E-2</v>
      </c>
      <c r="I80" s="2">
        <f t="shared" si="99"/>
        <v>4.0784436868233742E-2</v>
      </c>
      <c r="J80" s="2">
        <f t="shared" si="99"/>
        <v>3.5765142232671021E-3</v>
      </c>
      <c r="K80" s="2">
        <f>+K55/G55-1</f>
        <v>2.2812939726886361E-2</v>
      </c>
      <c r="L80" s="2">
        <f t="shared" ref="L80:N80" si="100">+L55/H55-1</f>
        <v>8.2290110172944964E-2</v>
      </c>
      <c r="M80" s="2">
        <f t="shared" si="100"/>
        <v>4.9170156160580403E-2</v>
      </c>
      <c r="N80" s="2">
        <f t="shared" si="100"/>
        <v>2.2778547057838106E-2</v>
      </c>
      <c r="W80" s="3"/>
      <c r="X80" s="2">
        <f t="shared" ref="X80" si="101">+X55/W55-1</f>
        <v>6.7907740716948162E-2</v>
      </c>
      <c r="Y80" s="2">
        <f>+Y55/X55-1</f>
        <v>2.2565301414001038E-2</v>
      </c>
      <c r="Z80" s="2">
        <f t="shared" ref="Z80:AI80" si="102">+Z55/Y55-1</f>
        <v>4.3918665341436736E-2</v>
      </c>
      <c r="AA80" s="2">
        <f t="shared" si="102"/>
        <v>2.9217761985994128E-2</v>
      </c>
      <c r="AB80" s="2">
        <f t="shared" si="102"/>
        <v>2.9623231421645579E-2</v>
      </c>
      <c r="AC80" s="2">
        <f t="shared" si="102"/>
        <v>3.0045143554616738E-2</v>
      </c>
      <c r="AD80" s="2">
        <f t="shared" si="102"/>
        <v>3.0483812530075038E-2</v>
      </c>
      <c r="AE80" s="2">
        <f t="shared" si="102"/>
        <v>3.0939522977399658E-2</v>
      </c>
      <c r="AF80" s="2">
        <f t="shared" si="102"/>
        <v>3.1412526221314296E-2</v>
      </c>
      <c r="AG80" s="2">
        <f t="shared" si="102"/>
        <v>3.1903036402145313E-2</v>
      </c>
      <c r="AH80" s="2">
        <f t="shared" si="102"/>
        <v>3.2411226538660687E-2</v>
      </c>
      <c r="AI80" s="2">
        <f t="shared" si="102"/>
        <v>3.2937224571910839E-2</v>
      </c>
      <c r="AN80" s="2" t="s">
        <v>95</v>
      </c>
    </row>
    <row r="81" spans="2:42" s="2" customFormat="1">
      <c r="B81" s="2" t="s">
        <v>53</v>
      </c>
      <c r="G81" s="2">
        <f t="shared" ref="G81:J81" si="103">+G56/C56-1</f>
        <v>0.21157894736842109</v>
      </c>
      <c r="H81" s="2">
        <f t="shared" si="103"/>
        <v>0.28213507625272327</v>
      </c>
      <c r="I81" s="2">
        <f t="shared" si="103"/>
        <v>0.37866108786610875</v>
      </c>
      <c r="J81" s="2">
        <f t="shared" si="103"/>
        <v>0.23034734917733091</v>
      </c>
      <c r="K81" s="2">
        <f>+K56/G56-1</f>
        <v>0.11294526498696777</v>
      </c>
      <c r="L81" s="2">
        <f t="shared" ref="L81:N81" si="104">+L56/H56-1</f>
        <v>0.25573491928632119</v>
      </c>
      <c r="M81" s="2">
        <f t="shared" si="104"/>
        <v>8.1918773513294241E-2</v>
      </c>
      <c r="N81" s="2">
        <f t="shared" si="104"/>
        <v>0.12414907410618725</v>
      </c>
      <c r="W81" s="3"/>
      <c r="X81" s="2">
        <f t="shared" ref="X81" si="105">+X56/W56-1</f>
        <v>-2.9717682020802383E-2</v>
      </c>
      <c r="Y81" s="2">
        <f>+Y56/X56-1</f>
        <v>0.27411944869831539</v>
      </c>
      <c r="Z81" s="2">
        <f t="shared" ref="Z81:AI81" si="106">+Z56/Y56-1</f>
        <v>0.14144102508763012</v>
      </c>
      <c r="AA81" s="2">
        <f>+AA56/Z56-1</f>
        <v>2.9217761985994128E-2</v>
      </c>
      <c r="AB81" s="2">
        <f>+AB56/AA56-1</f>
        <v>2.9623231421645579E-2</v>
      </c>
      <c r="AC81" s="2">
        <f>+AC56/AB56-1</f>
        <v>3.0045143554616738E-2</v>
      </c>
      <c r="AD81" s="2">
        <f t="shared" si="106"/>
        <v>3.0483812530075038E-2</v>
      </c>
      <c r="AE81" s="2">
        <f t="shared" si="106"/>
        <v>3.0939522977399658E-2</v>
      </c>
      <c r="AF81" s="2">
        <f t="shared" si="106"/>
        <v>3.1412526221314518E-2</v>
      </c>
      <c r="AG81" s="2">
        <f t="shared" si="106"/>
        <v>3.1903036402145313E-2</v>
      </c>
      <c r="AH81" s="2">
        <f t="shared" si="106"/>
        <v>3.2411226538660687E-2</v>
      </c>
      <c r="AI81" s="2">
        <f t="shared" si="106"/>
        <v>3.2937224571910839E-2</v>
      </c>
      <c r="AO81" s="2" t="s">
        <v>98</v>
      </c>
      <c r="AP81" s="4">
        <v>4.5699999999999998E-2</v>
      </c>
    </row>
    <row r="82" spans="2:42" s="2" customFormat="1">
      <c r="B82" s="2" t="s">
        <v>65</v>
      </c>
      <c r="G82" s="2">
        <f t="shared" ref="G82:K82" si="107">((G57-G58)/(C57-C58))-1</f>
        <v>7.4917167750644165E-2</v>
      </c>
      <c r="H82" s="2">
        <f t="shared" si="107"/>
        <v>2.3164921690012275E-2</v>
      </c>
      <c r="I82" s="2">
        <f t="shared" si="107"/>
        <v>3.2965754022520333E-2</v>
      </c>
      <c r="J82" s="2">
        <f t="shared" si="107"/>
        <v>1.4422293443424383E-2</v>
      </c>
      <c r="K82" s="2">
        <f t="shared" si="107"/>
        <v>-9.0187796107084051E-3</v>
      </c>
      <c r="L82" s="2">
        <f t="shared" ref="L82" si="108">((L57-L58)/(H57-H58))-1</f>
        <v>3.2231981040011126E-2</v>
      </c>
      <c r="M82" s="2">
        <f t="shared" ref="M82" si="109">((M57-M58)/(I57-I58))-1</f>
        <v>4.947730917727422E-2</v>
      </c>
      <c r="N82" s="2">
        <f t="shared" ref="N82" si="110">((N57-N58)/(J57-J58))-1</f>
        <v>2.3671095215481719E-2</v>
      </c>
      <c r="W82" s="3"/>
      <c r="X82" s="2">
        <f t="shared" ref="X82" si="111">((X57-X58)/(W57-W58))-1</f>
        <v>7.3261234239596851E-2</v>
      </c>
      <c r="Y82" s="2">
        <f>((Y57-Y58)/(X57-X58))-1</f>
        <v>3.5423089112333939E-2</v>
      </c>
      <c r="Z82" s="2">
        <f t="shared" ref="Z82:AI82" si="112">((Z57-Z58)/(Y57-Y58))-1</f>
        <v>2.4212440458105888E-2</v>
      </c>
      <c r="AA82" s="2">
        <f t="shared" si="112"/>
        <v>2.9217761985994128E-2</v>
      </c>
      <c r="AB82" s="2">
        <f t="shared" si="112"/>
        <v>2.9623231421645801E-2</v>
      </c>
      <c r="AC82" s="2">
        <f t="shared" si="112"/>
        <v>3.0045143554616738E-2</v>
      </c>
      <c r="AD82" s="2">
        <f t="shared" si="112"/>
        <v>3.0483812530075038E-2</v>
      </c>
      <c r="AE82" s="2">
        <f t="shared" si="112"/>
        <v>3.0939522977399658E-2</v>
      </c>
      <c r="AF82" s="2">
        <f t="shared" si="112"/>
        <v>3.1412526221314296E-2</v>
      </c>
      <c r="AG82" s="2">
        <f t="shared" si="112"/>
        <v>3.1903036402145313E-2</v>
      </c>
      <c r="AH82" s="2">
        <f t="shared" si="112"/>
        <v>3.2411226538660687E-2</v>
      </c>
      <c r="AI82" s="2">
        <f t="shared" si="112"/>
        <v>3.2937224571910395E-2</v>
      </c>
      <c r="AO82" s="2" t="s">
        <v>96</v>
      </c>
      <c r="AP82" s="4">
        <v>4.0099999999999997E-2</v>
      </c>
    </row>
    <row r="83" spans="2:42" s="2" customFormat="1">
      <c r="B83" s="2" t="s">
        <v>63</v>
      </c>
      <c r="G83" s="2">
        <f t="shared" ref="G83:K83" si="113">+G58/C58-1</f>
        <v>1.2212573265638182E-2</v>
      </c>
      <c r="H83" s="2">
        <f t="shared" si="113"/>
        <v>2.4286924597571202E-2</v>
      </c>
      <c r="I83" s="2">
        <f t="shared" si="113"/>
        <v>4.6681748871326256E-2</v>
      </c>
      <c r="J83" s="2">
        <f t="shared" si="113"/>
        <v>2.2644259550064216E-3</v>
      </c>
      <c r="K83" s="2">
        <f t="shared" si="113"/>
        <v>3.4617321248741284E-2</v>
      </c>
      <c r="L83" s="2">
        <f>+L58/H58-1</f>
        <v>0.10129963967561295</v>
      </c>
      <c r="M83" s="2">
        <f>+M58/I58-1</f>
        <v>4.947730917727422E-2</v>
      </c>
      <c r="N83" s="2">
        <f>+N58/J58-1</f>
        <v>2.3671095215481275E-2</v>
      </c>
      <c r="W83" s="3"/>
      <c r="X83" s="2">
        <f t="shared" ref="X83" si="114">+X58/W58-1</f>
        <v>6.5153761356292916E-2</v>
      </c>
      <c r="Y83" s="2">
        <f>+Y58/X58-1</f>
        <v>2.0663074122979186E-2</v>
      </c>
      <c r="Z83" s="2">
        <f t="shared" ref="Z83:AI83" si="115">+Z58/Y58-1</f>
        <v>5.1656847793024818E-2</v>
      </c>
      <c r="AA83" s="2">
        <f t="shared" si="115"/>
        <v>2.9217761985994128E-2</v>
      </c>
      <c r="AB83" s="2">
        <f t="shared" si="115"/>
        <v>2.9623231421645579E-2</v>
      </c>
      <c r="AC83" s="2">
        <f t="shared" si="115"/>
        <v>3.0045143554616738E-2</v>
      </c>
      <c r="AD83" s="2">
        <f t="shared" si="115"/>
        <v>3.048381253007526E-2</v>
      </c>
      <c r="AE83" s="2">
        <f t="shared" si="115"/>
        <v>3.0939522977399658E-2</v>
      </c>
      <c r="AF83" s="2">
        <f t="shared" si="115"/>
        <v>3.1412526221314518E-2</v>
      </c>
      <c r="AG83" s="2">
        <f t="shared" si="115"/>
        <v>3.1903036402145313E-2</v>
      </c>
      <c r="AH83" s="2">
        <f t="shared" si="115"/>
        <v>3.2411226538660687E-2</v>
      </c>
      <c r="AI83" s="2">
        <f t="shared" si="115"/>
        <v>3.2937224571910839E-2</v>
      </c>
      <c r="AO83" s="2" t="s">
        <v>97</v>
      </c>
      <c r="AP83" s="4">
        <v>4.1300000000000003E-2</v>
      </c>
    </row>
    <row r="84" spans="2:42" s="2" customFormat="1">
      <c r="B84" s="2" t="s">
        <v>64</v>
      </c>
      <c r="G84" s="2">
        <f t="shared" ref="G84:K84" si="116">+G59/C59-1</f>
        <v>2.7655998830922179E-2</v>
      </c>
      <c r="H84" s="2">
        <f t="shared" si="116"/>
        <v>-1.6658619024625732E-2</v>
      </c>
      <c r="I84" s="2">
        <f t="shared" si="116"/>
        <v>3.9138190339617296E-2</v>
      </c>
      <c r="J84" s="2">
        <f t="shared" si="116"/>
        <v>4.1811624269891823E-3</v>
      </c>
      <c r="K84" s="2">
        <f t="shared" si="116"/>
        <v>4.5326886842760095E-2</v>
      </c>
      <c r="L84" s="2">
        <f>+L59/H59-1</f>
        <v>5.8082845217635404E-2</v>
      </c>
      <c r="M84" s="2">
        <f>+M59/I59-1</f>
        <v>7.7168709365655008E-2</v>
      </c>
      <c r="N84" s="2">
        <f>+N59/J59-1</f>
        <v>2.3671095215481275E-2</v>
      </c>
      <c r="W84" s="3"/>
      <c r="X84" s="2">
        <f t="shared" ref="X84" si="117">+X59/W59-1</f>
        <v>6.8911950437076541E-2</v>
      </c>
      <c r="Y84" s="2">
        <f>+Y59/X59-1</f>
        <v>1.3105393505778773E-2</v>
      </c>
      <c r="Z84" s="2">
        <f t="shared" ref="Z84:AI84" si="118">+Z59/Y59-1</f>
        <v>5.0660563889273424E-2</v>
      </c>
      <c r="AA84" s="2">
        <f t="shared" si="118"/>
        <v>2.9217761985993906E-2</v>
      </c>
      <c r="AB84" s="2">
        <f t="shared" si="118"/>
        <v>2.9623231421645801E-2</v>
      </c>
      <c r="AC84" s="2">
        <f t="shared" si="118"/>
        <v>3.0045143554616738E-2</v>
      </c>
      <c r="AD84" s="2">
        <f t="shared" si="118"/>
        <v>3.048381253007526E-2</v>
      </c>
      <c r="AE84" s="2">
        <f t="shared" si="118"/>
        <v>3.0939522977399658E-2</v>
      </c>
      <c r="AF84" s="2">
        <f t="shared" si="118"/>
        <v>3.1412526221314518E-2</v>
      </c>
      <c r="AG84" s="2">
        <f t="shared" si="118"/>
        <v>3.1903036402145313E-2</v>
      </c>
      <c r="AH84" s="2">
        <f t="shared" si="118"/>
        <v>3.2411226538660687E-2</v>
      </c>
      <c r="AI84" s="2">
        <f t="shared" si="118"/>
        <v>3.2937224571910839E-2</v>
      </c>
      <c r="AL84" s="3" t="s">
        <v>130</v>
      </c>
      <c r="AM84" s="2">
        <v>0.02</v>
      </c>
    </row>
    <row r="85" spans="2:42" s="2" customFormat="1">
      <c r="B85" s="2" t="s">
        <v>76</v>
      </c>
      <c r="C85" s="2">
        <f>+C68/C67</f>
        <v>0.24499629355077834</v>
      </c>
      <c r="D85" s="2">
        <f t="shared" ref="D85:K85" si="119">+D68/D67</f>
        <v>0.25526254915567892</v>
      </c>
      <c r="E85" s="2">
        <f t="shared" si="119"/>
        <v>0.2690091356289529</v>
      </c>
      <c r="F85" s="2">
        <f t="shared" si="119"/>
        <v>-2.3861720067453627</v>
      </c>
      <c r="G85" s="2">
        <f t="shared" si="119"/>
        <v>0.26873048907388136</v>
      </c>
      <c r="H85" s="2">
        <f t="shared" si="119"/>
        <v>0.26321121053520175</v>
      </c>
      <c r="I85" s="2">
        <f t="shared" si="119"/>
        <v>0.24475524475524477</v>
      </c>
      <c r="J85" s="2">
        <f t="shared" si="119"/>
        <v>0.24027603513174403</v>
      </c>
      <c r="K85" s="2">
        <f t="shared" si="119"/>
        <v>0.27507755946225437</v>
      </c>
      <c r="L85" s="2">
        <f t="shared" ref="L85:N85" si="120">+L68/L67</f>
        <v>0.225316074653823</v>
      </c>
      <c r="M85" s="2">
        <f t="shared" si="120"/>
        <v>0.25</v>
      </c>
      <c r="N85" s="2">
        <f t="shared" si="120"/>
        <v>0.25</v>
      </c>
      <c r="X85" s="2">
        <f t="shared" ref="X85:Y85" si="121">+X68/X67</f>
        <v>0.33349542890488232</v>
      </c>
      <c r="Y85" s="2">
        <f t="shared" si="121"/>
        <v>0.25438596491228072</v>
      </c>
      <c r="Z85" s="2">
        <f t="shared" ref="Z85:AI85" si="122">+Z68/Z67</f>
        <v>0.24554476786894158</v>
      </c>
      <c r="AA85" s="2">
        <f t="shared" si="122"/>
        <v>0.24554476786894161</v>
      </c>
      <c r="AB85" s="2">
        <f t="shared" si="122"/>
        <v>0.24554476786894161</v>
      </c>
      <c r="AC85" s="2">
        <f t="shared" si="122"/>
        <v>0.24554476786894164</v>
      </c>
      <c r="AD85" s="2">
        <f t="shared" si="122"/>
        <v>0.24554476786894164</v>
      </c>
      <c r="AE85" s="2">
        <f t="shared" si="122"/>
        <v>0.24554476786894164</v>
      </c>
      <c r="AF85" s="2">
        <f t="shared" si="122"/>
        <v>0.24554476786894161</v>
      </c>
      <c r="AG85" s="2">
        <f t="shared" si="122"/>
        <v>0.24554476786894161</v>
      </c>
      <c r="AH85" s="2">
        <f t="shared" si="122"/>
        <v>0.24554476786894158</v>
      </c>
      <c r="AI85" s="2">
        <f t="shared" si="122"/>
        <v>0.24554476786894158</v>
      </c>
      <c r="AL85" s="7" t="s">
        <v>78</v>
      </c>
      <c r="AM85" s="19">
        <v>0.01</v>
      </c>
    </row>
    <row r="86" spans="2:42">
      <c r="AL86" s="2" t="s">
        <v>79</v>
      </c>
      <c r="AM86" s="19">
        <v>0.06</v>
      </c>
    </row>
    <row r="87" spans="2:42" s="2" customFormat="1">
      <c r="B87" s="2" t="s">
        <v>55</v>
      </c>
      <c r="C87" s="2">
        <f t="shared" ref="C87:D87" si="123">+(C57-C58)/C57</f>
        <v>0.24212981533478925</v>
      </c>
      <c r="D87" s="2">
        <f t="shared" si="123"/>
        <v>0.25448301897750869</v>
      </c>
      <c r="E87" s="2">
        <f t="shared" ref="E87:K87" si="124">+(E57-E58)/E57</f>
        <v>0.2551370371470143</v>
      </c>
      <c r="F87" s="2">
        <f t="shared" si="124"/>
        <v>0.24209785703483058</v>
      </c>
      <c r="G87" s="2">
        <f t="shared" si="124"/>
        <v>0.25332947726122479</v>
      </c>
      <c r="H87" s="2">
        <f t="shared" si="124"/>
        <v>0.25427514037774374</v>
      </c>
      <c r="I87" s="2">
        <f t="shared" si="124"/>
        <v>0.25263832058352609</v>
      </c>
      <c r="J87" s="2">
        <f t="shared" si="124"/>
        <v>0.24431710396347248</v>
      </c>
      <c r="K87" s="2">
        <f t="shared" si="124"/>
        <v>0.24526555955046656</v>
      </c>
      <c r="L87" s="2">
        <f t="shared" ref="L87:N87" si="125">+(L57-L58)/L57</f>
        <v>0.24219051544233575</v>
      </c>
      <c r="M87" s="2">
        <f t="shared" si="125"/>
        <v>0.25263832058352609</v>
      </c>
      <c r="N87" s="2">
        <f t="shared" si="125"/>
        <v>0.24431710396347256</v>
      </c>
      <c r="W87" s="2">
        <f t="shared" ref="W87:X87" si="126">+(W57-W58)/W57</f>
        <v>0.24688528219495995</v>
      </c>
      <c r="X87" s="2">
        <f t="shared" si="126"/>
        <v>0.24829786587165184</v>
      </c>
      <c r="Y87" s="2">
        <f>+(Y57-Y58)/Y57</f>
        <v>0.25098733487675334</v>
      </c>
      <c r="Z87" s="2">
        <f t="shared" ref="Z87:AI87" si="127">+(Z57-Z58)/Z57</f>
        <v>0.24604906645131661</v>
      </c>
      <c r="AA87" s="2">
        <f t="shared" si="127"/>
        <v>0.24604906645131661</v>
      </c>
      <c r="AB87" s="2">
        <f t="shared" si="127"/>
        <v>0.24604906645131663</v>
      </c>
      <c r="AC87" s="2">
        <f t="shared" si="127"/>
        <v>0.24604906645131663</v>
      </c>
      <c r="AD87" s="2">
        <f t="shared" si="127"/>
        <v>0.24604906645131661</v>
      </c>
      <c r="AE87" s="2">
        <f t="shared" si="127"/>
        <v>0.24604906645131661</v>
      </c>
      <c r="AF87" s="2">
        <f t="shared" si="127"/>
        <v>0.24604906645131658</v>
      </c>
      <c r="AG87" s="2">
        <f t="shared" si="127"/>
        <v>0.24604906645131661</v>
      </c>
      <c r="AH87" s="2">
        <f t="shared" si="127"/>
        <v>0.24604906645131658</v>
      </c>
      <c r="AI87" s="2">
        <f t="shared" si="127"/>
        <v>0.24604906645131649</v>
      </c>
      <c r="AL87" s="5" t="s">
        <v>80</v>
      </c>
      <c r="AM87" s="29">
        <f>+NPV(AM86,Z69:DP69)</f>
        <v>355391.62316561892</v>
      </c>
    </row>
    <row r="88" spans="2:42" s="2" customFormat="1">
      <c r="B88" s="2" t="s">
        <v>59</v>
      </c>
      <c r="C88" s="2">
        <f t="shared" ref="C88:K88" si="128">(C60/C57)</f>
        <v>3.8804950156735157E-2</v>
      </c>
      <c r="D88" s="2">
        <f t="shared" si="128"/>
        <v>4.3988035602793629E-2</v>
      </c>
      <c r="E88" s="2">
        <f t="shared" si="128"/>
        <v>4.2892775484752205E-2</v>
      </c>
      <c r="F88" s="2">
        <f t="shared" si="128"/>
        <v>3.6079932140532227E-2</v>
      </c>
      <c r="G88" s="2">
        <f t="shared" si="128"/>
        <v>4.9953004121177064E-2</v>
      </c>
      <c r="H88" s="2">
        <f t="shared" si="128"/>
        <v>5.2138279167375644E-2</v>
      </c>
      <c r="I88" s="2">
        <f t="shared" si="128"/>
        <v>4.1216865326454369E-2</v>
      </c>
      <c r="J88" s="2">
        <f t="shared" si="128"/>
        <v>3.8509593055582811E-2</v>
      </c>
      <c r="K88" s="2">
        <f t="shared" si="128"/>
        <v>3.7564721090069156E-2</v>
      </c>
      <c r="L88" s="2">
        <f t="shared" ref="L88:N88" si="129">(L60/L57)</f>
        <v>4.4838707567104327E-2</v>
      </c>
      <c r="M88" s="2">
        <f t="shared" si="129"/>
        <v>3.5638320583526006E-2</v>
      </c>
      <c r="N88" s="2">
        <f t="shared" si="129"/>
        <v>3.8509593055582887E-2</v>
      </c>
      <c r="W88" s="2">
        <f t="shared" ref="W88:X88" si="130">(W60/W57)</f>
        <v>3.9254605278225219E-2</v>
      </c>
      <c r="X88" s="2">
        <f t="shared" si="130"/>
        <v>4.032542193432543E-2</v>
      </c>
      <c r="Y88" s="2">
        <f>(Y60/Y57)</f>
        <v>4.5293441861602016E-2</v>
      </c>
      <c r="Z88" s="2">
        <f t="shared" ref="Z88:AI88" si="131">(Z60/Z57)</f>
        <v>3.9195174154654344E-2</v>
      </c>
      <c r="AA88" s="2">
        <f t="shared" si="131"/>
        <v>3.9195174154654296E-2</v>
      </c>
      <c r="AB88" s="2">
        <f t="shared" si="131"/>
        <v>3.9195174154654282E-2</v>
      </c>
      <c r="AC88" s="2">
        <f t="shared" si="131"/>
        <v>3.9195174154654358E-2</v>
      </c>
      <c r="AD88" s="2">
        <f t="shared" si="131"/>
        <v>3.9195174154654233E-2</v>
      </c>
      <c r="AE88" s="2">
        <f t="shared" si="131"/>
        <v>3.9195174154654233E-2</v>
      </c>
      <c r="AF88" s="2">
        <f t="shared" si="131"/>
        <v>3.9195174154654205E-2</v>
      </c>
      <c r="AG88" s="2">
        <f t="shared" si="131"/>
        <v>3.9195174154654192E-2</v>
      </c>
      <c r="AH88" s="2">
        <f t="shared" si="131"/>
        <v>3.9195174154654192E-2</v>
      </c>
      <c r="AI88" s="2">
        <f t="shared" si="131"/>
        <v>3.9195174154654067E-2</v>
      </c>
      <c r="AL88" s="2" t="s">
        <v>48</v>
      </c>
      <c r="AM88" s="3">
        <f>+Main!E5</f>
        <v>2714.2379369999999</v>
      </c>
    </row>
    <row r="89" spans="2:42" s="2" customFormat="1">
      <c r="B89" s="2" t="s">
        <v>60</v>
      </c>
      <c r="C89" s="2">
        <f t="shared" ref="C89:K89" si="132">C67/C57</f>
        <v>4.008260165500438E-2</v>
      </c>
      <c r="D89" s="2">
        <f t="shared" si="132"/>
        <v>6.2769525634882611E-2</v>
      </c>
      <c r="E89" s="2">
        <f t="shared" si="132"/>
        <v>5.2817946966772576E-2</v>
      </c>
      <c r="F89" s="2">
        <f t="shared" si="132"/>
        <v>-3.8992891852260994E-3</v>
      </c>
      <c r="G89" s="2">
        <f t="shared" si="132"/>
        <v>2.7792639722362809E-2</v>
      </c>
      <c r="H89" s="2">
        <f t="shared" si="132"/>
        <v>4.1992796778401682E-2</v>
      </c>
      <c r="I89" s="2">
        <f t="shared" si="132"/>
        <v>2.9510763209393345E-2</v>
      </c>
      <c r="J89" s="2">
        <f t="shared" si="132"/>
        <v>3.1281276370272976E-2</v>
      </c>
      <c r="K89" s="2">
        <f t="shared" si="132"/>
        <v>2.0491774329125727E-2</v>
      </c>
      <c r="L89" s="2">
        <f t="shared" ref="L89:N89" si="133">L67/L57</f>
        <v>4.3464892482614696E-2</v>
      </c>
      <c r="M89" s="2">
        <f t="shared" si="133"/>
        <v>3.4546396550473708E-2</v>
      </c>
      <c r="N89" s="2">
        <f t="shared" si="133"/>
        <v>3.7329695982096976E-2</v>
      </c>
      <c r="W89" s="2">
        <f t="shared" ref="W89:X89" si="134">W67/W57</f>
        <v>3.8391950592025409E-2</v>
      </c>
      <c r="X89" s="2">
        <f t="shared" si="134"/>
        <v>3.6777185411454152E-2</v>
      </c>
      <c r="Y89" s="2">
        <f>Y67/Y57</f>
        <v>3.2642286217119391E-2</v>
      </c>
      <c r="Z89" s="2">
        <f t="shared" ref="Z89:AI89" si="135">Z67/Z57</f>
        <v>3.4227428599277E-2</v>
      </c>
      <c r="AA89" s="2">
        <f t="shared" si="135"/>
        <v>3.4720680911683899E-2</v>
      </c>
      <c r="AB89" s="2">
        <f t="shared" si="135"/>
        <v>3.4633751992068189E-2</v>
      </c>
      <c r="AC89" s="2">
        <f t="shared" si="135"/>
        <v>3.4557550789156753E-2</v>
      </c>
      <c r="AD89" s="2">
        <f t="shared" si="135"/>
        <v>3.4490773980186705E-2</v>
      </c>
      <c r="AE89" s="2">
        <f t="shared" si="135"/>
        <v>3.4432274891765098E-2</v>
      </c>
      <c r="AF89" s="2">
        <f t="shared" si="135"/>
        <v>3.4381044790276802E-2</v>
      </c>
      <c r="AG89" s="2">
        <f t="shared" si="135"/>
        <v>3.4336196399526182E-2</v>
      </c>
      <c r="AH89" s="2">
        <f t="shared" si="135"/>
        <v>3.4296949380968181E-2</v>
      </c>
      <c r="AI89" s="2">
        <f t="shared" si="135"/>
        <v>3.4262617543294502E-2</v>
      </c>
      <c r="AL89" s="2" t="s">
        <v>188</v>
      </c>
      <c r="AM89" s="9">
        <f>+AM87/AM88</f>
        <v>130.93606066033664</v>
      </c>
    </row>
    <row r="90" spans="2:42" s="2" customFormat="1">
      <c r="B90" s="2" t="s">
        <v>61</v>
      </c>
      <c r="C90" s="2">
        <f t="shared" ref="C90:K90" si="136">C69/C57</f>
        <v>3.0262512813656016E-2</v>
      </c>
      <c r="D90" s="2">
        <f t="shared" si="136"/>
        <v>4.6746816512029735E-2</v>
      </c>
      <c r="E90" s="2">
        <f t="shared" si="136"/>
        <v>3.8609436707545207E-2</v>
      </c>
      <c r="F90" s="2">
        <f t="shared" si="136"/>
        <v>-1.3203663885217551E-2</v>
      </c>
      <c r="G90" s="2">
        <f t="shared" si="136"/>
        <v>2.0323910057118068E-2</v>
      </c>
      <c r="H90" s="2">
        <f t="shared" si="136"/>
        <v>3.0939821904599853E-2</v>
      </c>
      <c r="I90" s="2">
        <f t="shared" si="136"/>
        <v>2.2287849137164206E-2</v>
      </c>
      <c r="J90" s="2">
        <f t="shared" si="136"/>
        <v>2.3765135310163471E-2</v>
      </c>
      <c r="K90" s="2">
        <f t="shared" si="136"/>
        <v>1.4854947057618546E-2</v>
      </c>
      <c r="L90" s="2">
        <f t="shared" ref="L90:N90" si="137">L69/L57</f>
        <v>3.3671553523181491E-2</v>
      </c>
      <c r="M90" s="2">
        <f t="shared" si="137"/>
        <v>2.590979741285528E-2</v>
      </c>
      <c r="N90" s="2">
        <f t="shared" si="137"/>
        <v>2.7997271986572737E-2</v>
      </c>
      <c r="W90" s="2">
        <f t="shared" ref="W90:X90" si="138">W69/W57</f>
        <v>2.9011535143635823E-2</v>
      </c>
      <c r="X90" s="2">
        <f t="shared" si="138"/>
        <v>2.4512162188746869E-2</v>
      </c>
      <c r="Y90" s="2">
        <f>Y69/Y57</f>
        <v>2.4338546740834636E-2</v>
      </c>
      <c r="Z90" s="2">
        <f t="shared" ref="Z90:AI90" si="139">Z69/Z57</f>
        <v>2.5823062589116756E-2</v>
      </c>
      <c r="AA90" s="2">
        <f t="shared" si="139"/>
        <v>2.6195199376972886E-2</v>
      </c>
      <c r="AB90" s="2">
        <f t="shared" si="139"/>
        <v>2.6129615398745313E-2</v>
      </c>
      <c r="AC90" s="2">
        <f t="shared" si="139"/>
        <v>2.6072125002514095E-2</v>
      </c>
      <c r="AD90" s="2">
        <f t="shared" si="139"/>
        <v>2.6021744889601628E-2</v>
      </c>
      <c r="AE90" s="2">
        <f t="shared" si="139"/>
        <v>2.597760994626705E-2</v>
      </c>
      <c r="AF90" s="2">
        <f t="shared" si="139"/>
        <v>2.5938959128156597E-2</v>
      </c>
      <c r="AG90" s="2">
        <f t="shared" si="139"/>
        <v>2.5905123025102138E-2</v>
      </c>
      <c r="AH90" s="2">
        <f t="shared" si="139"/>
        <v>2.5875512906605509E-2</v>
      </c>
      <c r="AI90" s="2">
        <f t="shared" si="139"/>
        <v>2.5849611072043928E-2</v>
      </c>
      <c r="AL90" s="2" t="s">
        <v>99</v>
      </c>
      <c r="AM90" s="3">
        <f>+Main!E4</f>
        <v>140.97</v>
      </c>
    </row>
    <row r="91" spans="2:42">
      <c r="AL91" s="2" t="s">
        <v>100</v>
      </c>
      <c r="AM91" s="2">
        <f>+AM89/AM90-1</f>
        <v>-7.1177834572344167E-2</v>
      </c>
      <c r="AN91" s="3">
        <v>150000</v>
      </c>
    </row>
    <row r="92" spans="2:42" hidden="1" outlineLevel="1">
      <c r="B92" s="3" t="s">
        <v>37</v>
      </c>
      <c r="C92" s="2">
        <f>+C55/C$57</f>
        <v>0.99294320393397806</v>
      </c>
      <c r="D92" s="2">
        <f t="shared" ref="D92:N92" si="140">+D55/D$57</f>
        <v>0.99333536611926643</v>
      </c>
      <c r="E92" s="2">
        <f t="shared" si="140"/>
        <v>0.99290316833447156</v>
      </c>
      <c r="F92" s="2">
        <f t="shared" si="140"/>
        <v>0.99280637037329278</v>
      </c>
      <c r="G92" s="2">
        <f t="shared" si="140"/>
        <v>0.99167811438073894</v>
      </c>
      <c r="H92" s="2">
        <f t="shared" si="140"/>
        <v>0.99165532301060633</v>
      </c>
      <c r="I92" s="2">
        <f t="shared" si="140"/>
        <v>0.99062088596335174</v>
      </c>
      <c r="J92" s="2">
        <f t="shared" si="140"/>
        <v>0.99119519071635565</v>
      </c>
      <c r="K92" s="2">
        <f t="shared" si="140"/>
        <v>0.9909514088536332</v>
      </c>
      <c r="L92" s="2">
        <f t="shared" si="140"/>
        <v>0.99033095859583009</v>
      </c>
      <c r="M92" s="2">
        <f t="shared" si="140"/>
        <v>0.99033095859583009</v>
      </c>
      <c r="N92" s="2">
        <f t="shared" si="140"/>
        <v>0.99033095859583009</v>
      </c>
    </row>
    <row r="93" spans="2:42" hidden="1" outlineLevel="1">
      <c r="B93" s="3" t="s">
        <v>38</v>
      </c>
      <c r="C93" s="2">
        <f>+C56/C$57</f>
        <v>7.0567960660218986E-3</v>
      </c>
      <c r="D93" s="2">
        <f>+D56/D$57</f>
        <v>6.6646338807335457E-3</v>
      </c>
      <c r="E93" s="2">
        <f>+E56/E$57</f>
        <v>7.096831665528402E-3</v>
      </c>
      <c r="F93" s="2">
        <f>+F56/F$57</f>
        <v>7.1936296267071723E-3</v>
      </c>
      <c r="G93" s="2">
        <f>+G56/G$57</f>
        <v>8.321885619261081E-3</v>
      </c>
      <c r="H93" s="2">
        <f>+H56/H$57</f>
        <v>8.3446769893936821E-3</v>
      </c>
      <c r="I93" s="2">
        <f>+I56/I$57</f>
        <v>9.3791140366482825E-3</v>
      </c>
      <c r="J93" s="2">
        <f>+J56/J$57</f>
        <v>8.8048092836443791E-3</v>
      </c>
      <c r="K93" s="2">
        <f>+K56/K$57</f>
        <v>9.0485911463667901E-3</v>
      </c>
      <c r="L93" s="2">
        <f>+L56/L$57</f>
        <v>9.6690414041698553E-3</v>
      </c>
      <c r="M93" s="2">
        <f>+M56/M$57</f>
        <v>9.6690414041698553E-3</v>
      </c>
      <c r="N93" s="2">
        <f>+N56/N$57</f>
        <v>9.6690414041698553E-3</v>
      </c>
      <c r="AL93" s="2" t="s">
        <v>159</v>
      </c>
      <c r="AM93" s="3">
        <f>+Main!E9</f>
        <v>414454.12197888998</v>
      </c>
    </row>
    <row r="94" spans="2:42" hidden="1" outlineLevel="1">
      <c r="B94" s="7" t="s">
        <v>39</v>
      </c>
      <c r="C94" s="2">
        <f>+C57/C$57</f>
        <v>1</v>
      </c>
      <c r="D94" s="2">
        <f>+D57/D$57</f>
        <v>1</v>
      </c>
      <c r="E94" s="2">
        <f>+E57/E$57</f>
        <v>1</v>
      </c>
      <c r="F94" s="2">
        <f>+F57/F$57</f>
        <v>1</v>
      </c>
      <c r="G94" s="2">
        <f>+G57/G$57</f>
        <v>1</v>
      </c>
      <c r="H94" s="2">
        <f>+H57/H$57</f>
        <v>1</v>
      </c>
      <c r="I94" s="2">
        <f>+I57/I$57</f>
        <v>1</v>
      </c>
      <c r="J94" s="2">
        <f>+J57/J$57</f>
        <v>1</v>
      </c>
      <c r="K94" s="2">
        <f>+K57/K$57</f>
        <v>1</v>
      </c>
      <c r="L94" s="2">
        <f>+L57/L$57</f>
        <v>1</v>
      </c>
      <c r="M94" s="2">
        <f>+M57/M$57</f>
        <v>1</v>
      </c>
      <c r="N94" s="2">
        <f>+N57/N$57</f>
        <v>1</v>
      </c>
      <c r="AL94" s="2" t="s">
        <v>160</v>
      </c>
      <c r="AM94" s="27">
        <f>+AM93/Z69</f>
        <v>26.821338824899076</v>
      </c>
    </row>
    <row r="95" spans="2:42" hidden="1" outlineLevel="1">
      <c r="B95" s="3" t="s">
        <v>40</v>
      </c>
      <c r="C95" s="2">
        <f>+C58/C$57</f>
        <v>0.75787018466521072</v>
      </c>
      <c r="D95" s="2">
        <f>+D58/D$57</f>
        <v>0.74551698102249131</v>
      </c>
      <c r="E95" s="2">
        <f>+E58/E$57</f>
        <v>0.7448629628529857</v>
      </c>
      <c r="F95" s="2">
        <f>+F58/F$57</f>
        <v>0.75790214296516945</v>
      </c>
      <c r="G95" s="2">
        <f>+G58/G$57</f>
        <v>0.74667052273877521</v>
      </c>
      <c r="H95" s="2">
        <f>+H58/H$57</f>
        <v>0.74572485962225621</v>
      </c>
      <c r="I95" s="2">
        <f>+I58/I$57</f>
        <v>0.74736167941647391</v>
      </c>
      <c r="J95" s="2">
        <f>+J58/J$57</f>
        <v>0.7556828960365275</v>
      </c>
      <c r="K95" s="2">
        <f>+K58/K$57</f>
        <v>0.75473444044953342</v>
      </c>
      <c r="L95" s="2">
        <f>+L58/L$57</f>
        <v>0.75780948455766428</v>
      </c>
      <c r="M95" s="2">
        <f>+M58/M$57</f>
        <v>0.74736167941647391</v>
      </c>
      <c r="N95" s="2">
        <f>+N58/N$57</f>
        <v>0.7556828960365275</v>
      </c>
      <c r="R95" s="4"/>
    </row>
    <row r="96" spans="2:42" hidden="1" outlineLevel="1">
      <c r="B96" s="3" t="s">
        <v>41</v>
      </c>
      <c r="C96" s="2">
        <f>+C59/C$57</f>
        <v>0.20332486517805412</v>
      </c>
      <c r="D96" s="2">
        <f>+D59/D$57</f>
        <v>0.21049498337471503</v>
      </c>
      <c r="E96" s="2">
        <f>+E59/E$57</f>
        <v>0.21224426166226207</v>
      </c>
      <c r="F96" s="2">
        <f>+F59/F$57</f>
        <v>0.20601792489429835</v>
      </c>
      <c r="G96" s="2">
        <f>+G59/G$57</f>
        <v>0.20337647314004773</v>
      </c>
      <c r="H96" s="2">
        <f>+H59/H$57</f>
        <v>0.20213686121036811</v>
      </c>
      <c r="I96" s="2">
        <f>+I59/I$57</f>
        <v>0.21142145525707171</v>
      </c>
      <c r="J96" s="2">
        <f>+J59/J$57</f>
        <v>0.20580751090788965</v>
      </c>
      <c r="K96" s="2">
        <f>+K59/K$57</f>
        <v>0.20770083846039741</v>
      </c>
      <c r="L96" s="2">
        <f>+L59/L$57</f>
        <v>0.19735180787523143</v>
      </c>
      <c r="M96" s="2">
        <f>+M59/M$57</f>
        <v>0.217</v>
      </c>
      <c r="N96" s="2">
        <f>+N59/N$57</f>
        <v>0.20580751090788965</v>
      </c>
    </row>
    <row r="97" spans="2:39" hidden="1" outlineLevel="1">
      <c r="B97" s="7" t="s">
        <v>42</v>
      </c>
      <c r="C97" s="2">
        <f>+C60/C$57</f>
        <v>3.8804950156735157E-2</v>
      </c>
      <c r="D97" s="2">
        <f>+D60/D$57</f>
        <v>4.3988035602793629E-2</v>
      </c>
      <c r="E97" s="2">
        <f>+E60/E$57</f>
        <v>4.2892775484752205E-2</v>
      </c>
      <c r="F97" s="2">
        <f>+F60/F$57</f>
        <v>3.6079932140532227E-2</v>
      </c>
      <c r="G97" s="2">
        <f>+G60/G$57</f>
        <v>4.9953004121177064E-2</v>
      </c>
      <c r="H97" s="2">
        <f>+H60/H$57</f>
        <v>5.2138279167375644E-2</v>
      </c>
      <c r="I97" s="2">
        <f>+I60/I$57</f>
        <v>4.1216865326454369E-2</v>
      </c>
      <c r="J97" s="2">
        <f>+J60/J$57</f>
        <v>3.8509593055582811E-2</v>
      </c>
      <c r="K97" s="2">
        <f>+K60/K$57</f>
        <v>3.7564721090069156E-2</v>
      </c>
      <c r="L97" s="2">
        <f>+L60/L$57</f>
        <v>4.4838707567104327E-2</v>
      </c>
      <c r="M97" s="2">
        <f>+M60/M$57</f>
        <v>3.5638320583526006E-2</v>
      </c>
      <c r="N97" s="2">
        <f>+N60/N$57</f>
        <v>3.8509593055582887E-2</v>
      </c>
    </row>
    <row r="98" spans="2:39" hidden="1" outlineLevel="1">
      <c r="B98" s="3" t="s">
        <v>4</v>
      </c>
      <c r="C98" s="2">
        <f>+C61/C$57</f>
        <v>3.7883852564959664E-3</v>
      </c>
      <c r="D98" s="2">
        <f>+D61/D$57</f>
        <v>4.1889910121821958E-3</v>
      </c>
      <c r="E98" s="2">
        <f>+E61/E$57</f>
        <v>3.3776761588027436E-3</v>
      </c>
      <c r="F98" s="2">
        <f>+F61/F$57</f>
        <v>2.8537799433189328E-3</v>
      </c>
      <c r="G98" s="2">
        <f>+G61/G$57</f>
        <v>3.477695032897115E-3</v>
      </c>
      <c r="H98" s="2">
        <f>+H61/H$57</f>
        <v>3.0982360614826157E-3</v>
      </c>
      <c r="I98" s="2">
        <f>+I61/I$57</f>
        <v>2.9033979718911225E-3</v>
      </c>
      <c r="J98" s="2">
        <f>+J61/J$57</f>
        <v>2.2764291461428261E-3</v>
      </c>
      <c r="K98" s="2">
        <f>+K61/K$57</f>
        <v>2.627693916040941E-3</v>
      </c>
      <c r="L98" s="2">
        <f>+L61/L$57</f>
        <v>2.5840807541590615E-3</v>
      </c>
      <c r="M98" s="2">
        <f>+M61/M$57</f>
        <v>2.0538571097888491E-3</v>
      </c>
      <c r="N98" s="2">
        <f>+N61/N$57</f>
        <v>2.2193302096520633E-3</v>
      </c>
    </row>
    <row r="99" spans="2:39" hidden="1" outlineLevel="1">
      <c r="B99" s="3" t="s">
        <v>43</v>
      </c>
      <c r="C99" s="2">
        <f>+C62/C$57</f>
        <v>6.0911292359346915E-4</v>
      </c>
      <c r="D99" s="2">
        <f>+D62/D$57</f>
        <v>5.8805593065295984E-4</v>
      </c>
      <c r="E99" s="2">
        <f>+E62/E$57</f>
        <v>6.3841791133414493E-4</v>
      </c>
      <c r="F99" s="2">
        <f>+F62/F$57</f>
        <v>5.9179768409839623E-4</v>
      </c>
      <c r="G99" s="2">
        <f>+G62/G$57</f>
        <v>6.1456149229990604E-4</v>
      </c>
      <c r="H99" s="2">
        <f>+H62/H$57</f>
        <v>5.5300323294197717E-4</v>
      </c>
      <c r="I99" s="2">
        <f>+I62/I$57</f>
        <v>5.550613769791852E-4</v>
      </c>
      <c r="J99" s="2">
        <f>+J62/J$57</f>
        <v>5.1677558202667612E-4</v>
      </c>
      <c r="K99" s="2">
        <f>+K62/K$57</f>
        <v>5.8628654578332824E-4</v>
      </c>
      <c r="L99" s="2">
        <f>+L62/L$57</f>
        <v>5.4952603379585104E-4</v>
      </c>
      <c r="M99" s="2">
        <f>+M62/M$57</f>
        <v>4.3676961322091984E-4</v>
      </c>
      <c r="N99" s="2">
        <f>+N62/N$57</f>
        <v>4.7195882939436289E-4</v>
      </c>
    </row>
    <row r="100" spans="2:39" hidden="1" outlineLevel="1">
      <c r="B100" s="7" t="s">
        <v>44</v>
      </c>
      <c r="C100" s="2">
        <f>+C63/C$57</f>
        <v>-3.1941287456730696E-4</v>
      </c>
      <c r="D100" s="2">
        <f>+D63/D$57</f>
        <v>-1.6697884450639602E-4</v>
      </c>
      <c r="E100" s="2">
        <f>+E63/E$57</f>
        <v>-1.855866021320189E-4</v>
      </c>
      <c r="F100" s="2">
        <f>+F63/F$57</f>
        <v>-1.9726589469946541E-4</v>
      </c>
      <c r="G100" s="2">
        <f>+G63/G$57</f>
        <v>-2.1690405610584918E-4</v>
      </c>
      <c r="H100" s="2">
        <f>+H63/H$57</f>
        <v>-2.6232204639555331E-4</v>
      </c>
      <c r="I100" s="2">
        <f>+I63/I$57</f>
        <v>-3.1311154598825833E-4</v>
      </c>
      <c r="J100" s="2">
        <f>+J63/J$57</f>
        <v>-3.0744876399055413E-4</v>
      </c>
      <c r="K100" s="2">
        <f>+K63/K$57</f>
        <v>-2.5429295961686528E-4</v>
      </c>
      <c r="L100" s="2">
        <f>+L63/L$57</f>
        <v>-2.0280127437704028E-4</v>
      </c>
      <c r="M100" s="2">
        <f>+M63/M$57</f>
        <v>-1.6118878583152994E-4</v>
      </c>
      <c r="N100" s="2">
        <f>+N63/N$57</f>
        <v>-1.7417528227649102E-4</v>
      </c>
    </row>
    <row r="101" spans="2:39" hidden="1" outlineLevel="1">
      <c r="B101" s="3" t="s">
        <v>45</v>
      </c>
      <c r="C101" s="2">
        <f>+C64/C$57</f>
        <v>4.0780853055221288E-3</v>
      </c>
      <c r="D101" s="2">
        <f>+D64/D$57</f>
        <v>4.6100680983287593E-3</v>
      </c>
      <c r="E101" s="2">
        <f>+E64/E$57</f>
        <v>3.8305074680048696E-3</v>
      </c>
      <c r="F101" s="2">
        <f>+F64/F$57</f>
        <v>3.2483117327178636E-3</v>
      </c>
      <c r="G101" s="2">
        <f>+G64/G$57</f>
        <v>3.875352469091172E-3</v>
      </c>
      <c r="H101" s="2">
        <f>+H64/H$57</f>
        <v>3.3889172480290396E-3</v>
      </c>
      <c r="I101" s="2">
        <f>+I64/I$57</f>
        <v>3.1453478028820496E-3</v>
      </c>
      <c r="J101" s="2">
        <f>+J64/J$57</f>
        <v>2.4857559641789481E-3</v>
      </c>
      <c r="K101" s="2">
        <f>+K64/K$57</f>
        <v>2.959687502207404E-3</v>
      </c>
      <c r="L101" s="2">
        <f>+L64/L$57</f>
        <v>2.9308055135778724E-3</v>
      </c>
      <c r="M101" s="2">
        <f>+M64/M$57</f>
        <v>2.3294379371782393E-3</v>
      </c>
      <c r="N101" s="2">
        <f>+N64/N$57</f>
        <v>2.517113756769935E-3</v>
      </c>
    </row>
    <row r="102" spans="2:39" hidden="1" outlineLevel="1">
      <c r="B102" s="3" t="s">
        <v>56</v>
      </c>
      <c r="C102" s="2">
        <f>+C65/C$57</f>
        <v>0</v>
      </c>
      <c r="D102" s="2">
        <f>+D65/D$57</f>
        <v>0</v>
      </c>
      <c r="E102" s="2">
        <f>+E65/E$57</f>
        <v>0</v>
      </c>
      <c r="F102" s="2">
        <f>+F65/F$57</f>
        <v>0</v>
      </c>
      <c r="G102" s="2">
        <f>+G65/G$57</f>
        <v>0</v>
      </c>
      <c r="H102" s="2">
        <f>+H65/H$57</f>
        <v>0</v>
      </c>
      <c r="I102" s="2">
        <f>+I65/I$57</f>
        <v>1.7149973314356876E-2</v>
      </c>
      <c r="J102" s="2">
        <f>+J65/J$57</f>
        <v>0</v>
      </c>
      <c r="K102" s="2">
        <f>+K65/K$57</f>
        <v>0</v>
      </c>
      <c r="L102" s="2">
        <f>+L65/L$57</f>
        <v>0</v>
      </c>
      <c r="M102" s="2">
        <f>+M65/M$57</f>
        <v>0</v>
      </c>
      <c r="N102" s="2">
        <f>+N65/N$57</f>
        <v>0</v>
      </c>
    </row>
    <row r="103" spans="2:39" hidden="1" outlineLevel="1">
      <c r="B103" s="3" t="s">
        <v>46</v>
      </c>
      <c r="C103" s="2">
        <f>+C66/C$57</f>
        <v>-5.3557368037913562E-3</v>
      </c>
      <c r="D103" s="2">
        <f>+D66/D$57</f>
        <v>-2.3391558130417739E-2</v>
      </c>
      <c r="E103" s="2">
        <f>+E66/E$57</f>
        <v>-1.3755678950025239E-2</v>
      </c>
      <c r="F103" s="2">
        <f>+F66/F$57</f>
        <v>3.6730909593040456E-2</v>
      </c>
      <c r="G103" s="2">
        <f>+G66/G$57</f>
        <v>1.8285011929723087E-2</v>
      </c>
      <c r="H103" s="2">
        <f>+H66/H$57</f>
        <v>6.7565651409449267E-3</v>
      </c>
      <c r="I103" s="2">
        <f>+I66/I$57</f>
        <v>-8.5892190001779049E-3</v>
      </c>
      <c r="J103" s="2">
        <f>+J66/J$57</f>
        <v>4.7425607211308883E-3</v>
      </c>
      <c r="K103" s="2">
        <f>+K66/K$57</f>
        <v>1.4113259258736023E-2</v>
      </c>
      <c r="L103" s="2">
        <f>+L66/L$57</f>
        <v>-1.5569904290882448E-3</v>
      </c>
      <c r="M103" s="2">
        <f>+M66/M$57</f>
        <v>-1.2375139041259395E-3</v>
      </c>
      <c r="N103" s="2">
        <f>+N66/N$57</f>
        <v>-1.3372166832840279E-3</v>
      </c>
    </row>
    <row r="104" spans="2:39" hidden="1" outlineLevel="1">
      <c r="B104" s="7" t="s">
        <v>47</v>
      </c>
      <c r="C104" s="2">
        <f>+C67/C$57</f>
        <v>4.008260165500438E-2</v>
      </c>
      <c r="D104" s="2">
        <f>+D67/D$57</f>
        <v>6.2769525634882611E-2</v>
      </c>
      <c r="E104" s="2">
        <f>+E67/E$57</f>
        <v>5.2817946966772576E-2</v>
      </c>
      <c r="F104" s="2">
        <f>+F67/F$57</f>
        <v>-3.8992891852260994E-3</v>
      </c>
      <c r="G104" s="2">
        <f>+G67/G$57</f>
        <v>2.7792639722362809E-2</v>
      </c>
      <c r="H104" s="2">
        <f>+H67/H$57</f>
        <v>4.1992796778401682E-2</v>
      </c>
      <c r="I104" s="2">
        <f>+I67/I$57</f>
        <v>2.9510763209393345E-2</v>
      </c>
      <c r="J104" s="2">
        <f>+J67/J$57</f>
        <v>3.1281276370272976E-2</v>
      </c>
      <c r="K104" s="2">
        <f>+K67/K$57</f>
        <v>2.0491774329125727E-2</v>
      </c>
      <c r="L104" s="2">
        <f>+L67/L$57</f>
        <v>4.3464892482614696E-2</v>
      </c>
      <c r="M104" s="2">
        <f>+M67/M$57</f>
        <v>3.4546396550473708E-2</v>
      </c>
      <c r="N104" s="2">
        <f>+N67/N$57</f>
        <v>3.7329695982096976E-2</v>
      </c>
    </row>
    <row r="105" spans="2:39" hidden="1" outlineLevel="1">
      <c r="B105" s="3" t="s">
        <v>50</v>
      </c>
      <c r="C105" s="2">
        <f>+C68/C$57</f>
        <v>9.8200888413483688E-3</v>
      </c>
      <c r="D105" s="2">
        <f>+D68/D$57</f>
        <v>1.602270912285287E-2</v>
      </c>
      <c r="E105" s="2">
        <f>+E68/E$57</f>
        <v>1.4208510259227366E-2</v>
      </c>
      <c r="F105" s="2">
        <f>+F68/F$57</f>
        <v>9.3043746999914526E-3</v>
      </c>
      <c r="G105" s="2">
        <f>+G68/G$57</f>
        <v>7.4687296652447398E-3</v>
      </c>
      <c r="H105" s="2">
        <f>+H68/H$57</f>
        <v>1.1052974873801826E-2</v>
      </c>
      <c r="I105" s="2">
        <f>+I68/I$57</f>
        <v>7.2229140722291406E-3</v>
      </c>
      <c r="J105" s="2">
        <f>+J68/J$57</f>
        <v>7.5161410601095038E-3</v>
      </c>
      <c r="K105" s="2">
        <f>+K68/K$57</f>
        <v>5.6368272715071801E-3</v>
      </c>
      <c r="L105" s="2">
        <f>+L68/L$57</f>
        <v>9.7933389594332034E-3</v>
      </c>
      <c r="M105" s="2">
        <f>+M68/M$57</f>
        <v>8.6365991376184271E-3</v>
      </c>
      <c r="N105" s="2">
        <f>+N68/N$57</f>
        <v>9.3324239955242441E-3</v>
      </c>
    </row>
    <row r="106" spans="2:39" hidden="1" outlineLevel="1">
      <c r="B106" s="7" t="s">
        <v>51</v>
      </c>
      <c r="C106" s="2">
        <f>+C69/C$57</f>
        <v>3.0262512813656016E-2</v>
      </c>
      <c r="D106" s="2">
        <f>+D69/D$57</f>
        <v>4.6746816512029735E-2</v>
      </c>
      <c r="E106" s="2">
        <f>+E69/E$57</f>
        <v>3.8609436707545207E-2</v>
      </c>
      <c r="F106" s="2">
        <f>+F69/F$57</f>
        <v>-1.3203663885217551E-2</v>
      </c>
      <c r="G106" s="2">
        <f>+G69/G$57</f>
        <v>2.0323910057118068E-2</v>
      </c>
      <c r="H106" s="2">
        <f>+H69/H$57</f>
        <v>3.0939821904599853E-2</v>
      </c>
      <c r="I106" s="2">
        <f>+I69/I$57</f>
        <v>2.2287849137164206E-2</v>
      </c>
      <c r="J106" s="2">
        <f>+J69/J$57</f>
        <v>2.3765135310163471E-2</v>
      </c>
      <c r="K106" s="2">
        <f>+K69/K$57</f>
        <v>1.4854947057618546E-2</v>
      </c>
      <c r="L106" s="2">
        <f>+L69/L$57</f>
        <v>3.3671553523181491E-2</v>
      </c>
      <c r="M106" s="2">
        <f>+M69/M$57</f>
        <v>2.590979741285528E-2</v>
      </c>
      <c r="N106" s="2">
        <f>+N69/N$57</f>
        <v>2.7997271986572737E-2</v>
      </c>
    </row>
    <row r="107" spans="2:39" collapsed="1"/>
    <row r="108" spans="2:39">
      <c r="AL108" s="3" t="s">
        <v>189</v>
      </c>
      <c r="AM108" s="34">
        <f>+Y77*Y76</f>
        <v>145.79383058494406</v>
      </c>
    </row>
    <row r="109" spans="2:39" s="7" customFormat="1">
      <c r="B109" s="7" t="s">
        <v>24</v>
      </c>
      <c r="J109" s="7">
        <f>J110-J122-J127-J131</f>
        <v>-23317</v>
      </c>
      <c r="K109" s="7">
        <f>K110-K122-K127-K131</f>
        <v>-35369</v>
      </c>
      <c r="L109" s="7">
        <f>L110-L122-L127-L131</f>
        <v>-31828</v>
      </c>
      <c r="M109" s="7">
        <f>+L109+M69</f>
        <v>-28006.880108329129</v>
      </c>
      <c r="N109" s="7">
        <f>+M109+N69</f>
        <v>-23625.597542217416</v>
      </c>
      <c r="Y109" s="7">
        <f>+N109</f>
        <v>-23625.597542217416</v>
      </c>
      <c r="Z109" s="7">
        <f>+Y109*(1-10%)</f>
        <v>-21263.037787995676</v>
      </c>
      <c r="AA109" s="7">
        <f t="shared" ref="AA109:AI109" si="141">+Z109*(1-10%)</f>
        <v>-19136.734009196109</v>
      </c>
      <c r="AB109" s="7">
        <f t="shared" si="141"/>
        <v>-17223.060608276497</v>
      </c>
      <c r="AC109" s="7">
        <f t="shared" si="141"/>
        <v>-15500.754547448847</v>
      </c>
      <c r="AD109" s="7">
        <f t="shared" si="141"/>
        <v>-13950.679092703962</v>
      </c>
      <c r="AE109" s="7">
        <f t="shared" si="141"/>
        <v>-12555.611183433566</v>
      </c>
      <c r="AF109" s="7">
        <f t="shared" si="141"/>
        <v>-11300.05006509021</v>
      </c>
      <c r="AG109" s="7">
        <f t="shared" si="141"/>
        <v>-10170.04505858119</v>
      </c>
      <c r="AH109" s="7">
        <f t="shared" si="141"/>
        <v>-9153.0405527230723</v>
      </c>
      <c r="AI109" s="7">
        <f t="shared" si="141"/>
        <v>-8237.7364974507655</v>
      </c>
      <c r="AL109" s="7" t="s">
        <v>190</v>
      </c>
      <c r="AM109" s="7">
        <f>AVERAGE(AM108,AM89)</f>
        <v>138.36494562264033</v>
      </c>
    </row>
    <row r="110" spans="2:39">
      <c r="B110" s="3" t="s">
        <v>3</v>
      </c>
      <c r="J110" s="3">
        <v>14760</v>
      </c>
      <c r="K110" s="3">
        <v>11817</v>
      </c>
      <c r="L110" s="3">
        <v>13923</v>
      </c>
      <c r="AL110" s="3" t="s">
        <v>100</v>
      </c>
      <c r="AM110" s="2">
        <f>+AM109/AM90-1</f>
        <v>-1.8479494767394966E-2</v>
      </c>
    </row>
    <row r="111" spans="2:39">
      <c r="B111" s="3" t="s">
        <v>104</v>
      </c>
      <c r="J111" s="3">
        <v>8280</v>
      </c>
      <c r="K111" s="3">
        <v>7674</v>
      </c>
      <c r="L111" s="3">
        <v>7522</v>
      </c>
    </row>
    <row r="112" spans="2:39">
      <c r="B112" s="3" t="s">
        <v>105</v>
      </c>
      <c r="J112" s="3">
        <v>56511</v>
      </c>
      <c r="K112" s="3">
        <v>61229</v>
      </c>
      <c r="L112" s="3">
        <v>59921</v>
      </c>
    </row>
    <row r="113" spans="2:39">
      <c r="B113" s="3" t="s">
        <v>106</v>
      </c>
      <c r="J113" s="3">
        <v>1519</v>
      </c>
      <c r="K113" s="3">
        <v>2500</v>
      </c>
      <c r="L113" s="3">
        <v>2798</v>
      </c>
      <c r="AL113" s="3" t="s">
        <v>192</v>
      </c>
      <c r="AM113" s="7" t="s">
        <v>191</v>
      </c>
    </row>
    <row r="114" spans="2:39" s="7" customFormat="1">
      <c r="B114" s="7" t="s">
        <v>103</v>
      </c>
      <c r="J114" s="7">
        <f>+SUM(J110:J113)</f>
        <v>81070</v>
      </c>
      <c r="K114" s="7">
        <f>+SUM(K110:K113)</f>
        <v>83220</v>
      </c>
      <c r="L114" s="7">
        <f>+SUM(L110:L113)</f>
        <v>84164</v>
      </c>
      <c r="AM114" s="7" t="s">
        <v>193</v>
      </c>
    </row>
    <row r="115" spans="2:39">
      <c r="B115" s="3" t="s">
        <v>75</v>
      </c>
      <c r="J115" s="3">
        <v>94515</v>
      </c>
      <c r="K115" s="3">
        <v>94741</v>
      </c>
      <c r="L115" s="3">
        <v>96006</v>
      </c>
    </row>
    <row r="116" spans="2:39">
      <c r="B116" s="3" t="s">
        <v>110</v>
      </c>
      <c r="J116" s="3">
        <v>13758</v>
      </c>
      <c r="K116" s="3">
        <v>13971</v>
      </c>
      <c r="L116" s="3">
        <v>13872</v>
      </c>
    </row>
    <row r="117" spans="2:39">
      <c r="B117" s="3" t="s">
        <v>109</v>
      </c>
      <c r="J117" s="3">
        <v>4351</v>
      </c>
      <c r="K117" s="3">
        <v>4505</v>
      </c>
      <c r="L117" s="3">
        <v>4514</v>
      </c>
    </row>
    <row r="118" spans="2:39">
      <c r="B118" s="3" t="s">
        <v>108</v>
      </c>
      <c r="J118" s="3">
        <v>29014</v>
      </c>
      <c r="K118" s="3">
        <v>29438</v>
      </c>
      <c r="L118" s="3">
        <v>28664</v>
      </c>
    </row>
    <row r="119" spans="2:39">
      <c r="B119" s="3" t="s">
        <v>46</v>
      </c>
      <c r="J119" s="3">
        <v>22152</v>
      </c>
      <c r="K119" s="3">
        <v>20267</v>
      </c>
      <c r="L119" s="3">
        <v>19979</v>
      </c>
    </row>
    <row r="120" spans="2:39" s="7" customFormat="1">
      <c r="B120" s="7" t="s">
        <v>107</v>
      </c>
      <c r="J120" s="7">
        <f>+SUM(J114:J119)</f>
        <v>244860</v>
      </c>
      <c r="K120" s="7">
        <f>+SUM(K114:K119)</f>
        <v>246142</v>
      </c>
      <c r="L120" s="7">
        <f>+SUM(L114:L119)</f>
        <v>247199</v>
      </c>
    </row>
    <row r="122" spans="2:39">
      <c r="B122" s="3" t="s">
        <v>116</v>
      </c>
      <c r="J122" s="3">
        <v>410</v>
      </c>
      <c r="K122" s="3">
        <v>11432</v>
      </c>
      <c r="L122" s="3">
        <v>10634</v>
      </c>
    </row>
    <row r="123" spans="2:39">
      <c r="B123" s="3" t="s">
        <v>115</v>
      </c>
      <c r="J123" s="3">
        <v>55261</v>
      </c>
      <c r="K123" s="3">
        <v>52926</v>
      </c>
      <c r="L123" s="3">
        <v>54191</v>
      </c>
    </row>
    <row r="124" spans="2:39">
      <c r="B124" s="3" t="s">
        <v>114</v>
      </c>
      <c r="J124" s="3">
        <v>0</v>
      </c>
      <c r="K124" s="3">
        <v>4631</v>
      </c>
      <c r="L124" s="3">
        <v>3049</v>
      </c>
    </row>
    <row r="125" spans="2:39">
      <c r="B125" s="3" t="s">
        <v>113</v>
      </c>
      <c r="J125" s="3">
        <v>26060</v>
      </c>
      <c r="K125" s="3">
        <v>21061</v>
      </c>
      <c r="L125" s="3">
        <v>23843</v>
      </c>
    </row>
    <row r="126" spans="2:39">
      <c r="B126" s="3" t="s">
        <v>112</v>
      </c>
      <c r="J126" s="3">
        <v>851</v>
      </c>
      <c r="K126" s="3">
        <v>904</v>
      </c>
      <c r="L126" s="3">
        <v>868</v>
      </c>
    </row>
    <row r="127" spans="2:39">
      <c r="B127" s="3" t="s">
        <v>117</v>
      </c>
      <c r="J127" s="3">
        <v>2803</v>
      </c>
      <c r="K127" s="3">
        <v>3580</v>
      </c>
      <c r="L127" s="3">
        <v>5316</v>
      </c>
    </row>
    <row r="128" spans="2:39">
      <c r="B128" s="3" t="s">
        <v>110</v>
      </c>
      <c r="J128" s="3">
        <v>1483</v>
      </c>
      <c r="K128" s="3">
        <v>1485</v>
      </c>
      <c r="L128" s="3">
        <v>1464</v>
      </c>
    </row>
    <row r="129" spans="2:15">
      <c r="B129" s="3" t="s">
        <v>109</v>
      </c>
      <c r="J129" s="3">
        <v>511</v>
      </c>
      <c r="K129" s="3">
        <v>511</v>
      </c>
      <c r="L129" s="3">
        <v>534</v>
      </c>
    </row>
    <row r="130" spans="2:15" s="7" customFormat="1">
      <c r="B130" s="7" t="s">
        <v>120</v>
      </c>
      <c r="J130" s="7">
        <f>+SUM(J122:J129)</f>
        <v>87379</v>
      </c>
      <c r="K130" s="7">
        <f>+SUM(K122:K129)</f>
        <v>96530</v>
      </c>
      <c r="L130" s="7">
        <f>+SUM(L122:L129)</f>
        <v>99899</v>
      </c>
    </row>
    <row r="131" spans="2:15">
      <c r="B131" s="3" t="s">
        <v>111</v>
      </c>
      <c r="J131" s="3">
        <v>34864</v>
      </c>
      <c r="K131" s="3">
        <v>32174</v>
      </c>
      <c r="L131" s="3">
        <v>29801</v>
      </c>
    </row>
    <row r="132" spans="2:15">
      <c r="B132" s="3" t="s">
        <v>121</v>
      </c>
      <c r="J132" s="3">
        <v>13009</v>
      </c>
      <c r="K132" s="3">
        <v>13226</v>
      </c>
      <c r="L132" s="3">
        <v>13140</v>
      </c>
    </row>
    <row r="133" spans="2:15">
      <c r="B133" s="3" t="s">
        <v>122</v>
      </c>
      <c r="J133" s="3">
        <v>4243</v>
      </c>
      <c r="K133" s="3">
        <v>4409</v>
      </c>
      <c r="L133" s="3">
        <v>4420</v>
      </c>
    </row>
    <row r="134" spans="2:15">
      <c r="B134" s="3" t="s">
        <v>123</v>
      </c>
      <c r="J134" s="3">
        <v>13474</v>
      </c>
      <c r="K134" s="3">
        <v>13943</v>
      </c>
      <c r="L134" s="3">
        <v>14092</v>
      </c>
    </row>
    <row r="135" spans="2:15">
      <c r="B135" s="3" t="s">
        <v>119</v>
      </c>
      <c r="J135" s="3">
        <v>0</v>
      </c>
      <c r="K135" s="3">
        <v>260</v>
      </c>
      <c r="L135" s="3">
        <v>260</v>
      </c>
    </row>
    <row r="136" spans="2:15" s="7" customFormat="1">
      <c r="B136" s="7" t="s">
        <v>118</v>
      </c>
      <c r="J136" s="7">
        <f>+SUM(J130:J135)</f>
        <v>152969</v>
      </c>
      <c r="K136" s="7">
        <f>+SUM(K130:K135)</f>
        <v>160542</v>
      </c>
      <c r="L136" s="7">
        <f>+SUM(L130:L135)</f>
        <v>161612</v>
      </c>
      <c r="O136" s="7" t="s">
        <v>124</v>
      </c>
    </row>
    <row r="137" spans="2:15">
      <c r="B137" s="3" t="s">
        <v>125</v>
      </c>
      <c r="J137" s="3">
        <v>91891</v>
      </c>
      <c r="K137" s="3">
        <v>85600</v>
      </c>
      <c r="L137" s="3">
        <v>85587</v>
      </c>
    </row>
    <row r="138" spans="2:15" s="7" customFormat="1">
      <c r="B138" s="7" t="s">
        <v>126</v>
      </c>
      <c r="J138" s="7">
        <f>+J136+J137</f>
        <v>244860</v>
      </c>
      <c r="K138" s="7">
        <f>+K136+K137</f>
        <v>246142</v>
      </c>
      <c r="L138" s="7">
        <f>+L136+L137</f>
        <v>247199</v>
      </c>
    </row>
    <row r="139" spans="2:15" s="7" customFormat="1"/>
    <row r="140" spans="2:15" s="7" customFormat="1">
      <c r="B140" s="7" t="s">
        <v>127</v>
      </c>
      <c r="J140" s="7">
        <f>+J114-J130</f>
        <v>-6309</v>
      </c>
      <c r="K140" s="7">
        <f>+K114-K130</f>
        <v>-13310</v>
      </c>
      <c r="L140" s="7">
        <f>+L114-L130</f>
        <v>-15735</v>
      </c>
    </row>
    <row r="141" spans="2:15" s="26" customFormat="1">
      <c r="B141" s="26" t="s">
        <v>128</v>
      </c>
      <c r="J141" s="26">
        <f>+J114/J130</f>
        <v>0.92779729683333523</v>
      </c>
      <c r="K141" s="26">
        <f>+K114/K130</f>
        <v>0.8621154045374495</v>
      </c>
      <c r="L141" s="26">
        <f>+L114/L130</f>
        <v>0.84249091582498326</v>
      </c>
    </row>
    <row r="142" spans="2:15" s="7" customFormat="1"/>
    <row r="143" spans="2:15" s="5" customFormat="1">
      <c r="B143" s="5" t="s">
        <v>129</v>
      </c>
      <c r="J143" s="5">
        <f>SUM(G69:J69)/J137</f>
        <v>0.15170147239664386</v>
      </c>
      <c r="K143" s="5">
        <f>SUM(H69:K69)/K137</f>
        <v>0.15457943925233644</v>
      </c>
      <c r="L143" s="5">
        <f>SUM(I69:L69)/L137</f>
        <v>0.16375150431724445</v>
      </c>
    </row>
    <row r="144" spans="2:15" s="5" customFormat="1"/>
    <row r="145" spans="2:13" s="5" customFormat="1"/>
    <row r="146" spans="2:13" s="5" customFormat="1" hidden="1" outlineLevel="1">
      <c r="B146" s="3" t="s">
        <v>3</v>
      </c>
      <c r="J146" s="30">
        <f>+J110/J$120</f>
        <v>6.0279343298211226E-2</v>
      </c>
      <c r="K146" s="30">
        <f>+K110/K$120</f>
        <v>4.8008872927009609E-2</v>
      </c>
      <c r="L146" s="30">
        <f>+L110/L$120</f>
        <v>5.6323043378007191E-2</v>
      </c>
    </row>
    <row r="147" spans="2:13" s="5" customFormat="1" hidden="1" outlineLevel="1">
      <c r="B147" s="3" t="s">
        <v>104</v>
      </c>
      <c r="J147" s="30">
        <f t="shared" ref="J147" si="142">+J111/J$120</f>
        <v>3.3815241362411173E-2</v>
      </c>
      <c r="K147" s="30">
        <f t="shared" ref="K147:L156" si="143">+K111/K$120</f>
        <v>3.1177125399159834E-2</v>
      </c>
      <c r="L147" s="30">
        <f t="shared" si="143"/>
        <v>3.0428925683356325E-2</v>
      </c>
    </row>
    <row r="148" spans="2:13" s="5" customFormat="1" hidden="1" outlineLevel="1">
      <c r="B148" s="3" t="s">
        <v>105</v>
      </c>
      <c r="J148" s="30">
        <f t="shared" ref="J148" si="144">+J112/J$120</f>
        <v>0.23078902229845627</v>
      </c>
      <c r="K148" s="30">
        <f t="shared" si="143"/>
        <v>0.24875478382397154</v>
      </c>
      <c r="L148" s="30">
        <f t="shared" si="143"/>
        <v>0.24239984789582483</v>
      </c>
    </row>
    <row r="149" spans="2:13" s="5" customFormat="1" hidden="1" outlineLevel="1">
      <c r="B149" s="3" t="s">
        <v>106</v>
      </c>
      <c r="J149" s="30">
        <f t="shared" ref="J149" si="145">+J113/J$120</f>
        <v>6.2035448827901657E-3</v>
      </c>
      <c r="K149" s="30">
        <f t="shared" si="143"/>
        <v>1.0156738793054416E-2</v>
      </c>
      <c r="L149" s="30">
        <f t="shared" si="143"/>
        <v>1.1318816014627892E-2</v>
      </c>
    </row>
    <row r="150" spans="2:13" s="5" customFormat="1" hidden="1" outlineLevel="1">
      <c r="B150" s="7" t="s">
        <v>103</v>
      </c>
      <c r="J150" s="5">
        <f t="shared" ref="J150" si="146">+J114/J$120</f>
        <v>0.33108715184186882</v>
      </c>
      <c r="K150" s="5">
        <f t="shared" si="143"/>
        <v>0.3380975209431954</v>
      </c>
      <c r="L150" s="5">
        <f t="shared" si="143"/>
        <v>0.34047063297181623</v>
      </c>
    </row>
    <row r="151" spans="2:13" s="5" customFormat="1" hidden="1" outlineLevel="1">
      <c r="B151" s="3" t="s">
        <v>75</v>
      </c>
      <c r="J151" s="30">
        <f t="shared" ref="J151" si="147">+J115/J$120</f>
        <v>0.38599607939230579</v>
      </c>
      <c r="K151" s="30">
        <f t="shared" si="143"/>
        <v>0.38490383599710737</v>
      </c>
      <c r="L151" s="30">
        <f t="shared" si="143"/>
        <v>0.38837535750549151</v>
      </c>
    </row>
    <row r="152" spans="2:13" s="5" customFormat="1" hidden="1" outlineLevel="1">
      <c r="B152" s="3" t="s">
        <v>110</v>
      </c>
      <c r="J152" s="30">
        <f t="shared" ref="J152" si="148">+J116/J$120</f>
        <v>5.6187209017397696E-2</v>
      </c>
      <c r="K152" s="30">
        <f t="shared" si="143"/>
        <v>5.6759919071105294E-2</v>
      </c>
      <c r="L152" s="30">
        <f t="shared" si="143"/>
        <v>5.611673186380204E-2</v>
      </c>
    </row>
    <row r="153" spans="2:13" s="5" customFormat="1" hidden="1" outlineLevel="1">
      <c r="B153" s="3" t="s">
        <v>109</v>
      </c>
      <c r="J153" s="30">
        <f t="shared" ref="J153" si="149">+J117/J$120</f>
        <v>1.7769337580658337E-2</v>
      </c>
      <c r="K153" s="30">
        <f t="shared" si="143"/>
        <v>1.8302443305084057E-2</v>
      </c>
      <c r="L153" s="30">
        <f t="shared" si="143"/>
        <v>1.8260591669060151E-2</v>
      </c>
    </row>
    <row r="154" spans="2:13" s="5" customFormat="1" hidden="1" outlineLevel="1">
      <c r="B154" s="3" t="s">
        <v>108</v>
      </c>
      <c r="J154" s="30">
        <f t="shared" ref="J154" si="150">+J118/J$120</f>
        <v>0.1184921996242751</v>
      </c>
      <c r="K154" s="30">
        <f t="shared" si="143"/>
        <v>0.11959763063597435</v>
      </c>
      <c r="L154" s="30">
        <f t="shared" si="143"/>
        <v>0.11595516163091274</v>
      </c>
    </row>
    <row r="155" spans="2:13" s="5" customFormat="1" hidden="1" outlineLevel="1">
      <c r="B155" s="3" t="s">
        <v>46</v>
      </c>
      <c r="J155" s="30">
        <f t="shared" ref="J155" si="151">+J119/J$120</f>
        <v>9.0468022543494245E-2</v>
      </c>
      <c r="K155" s="30">
        <f t="shared" si="143"/>
        <v>8.2338650047533532E-2</v>
      </c>
      <c r="L155" s="30">
        <f t="shared" si="143"/>
        <v>8.0821524358917304E-2</v>
      </c>
    </row>
    <row r="156" spans="2:13" s="5" customFormat="1" hidden="1" outlineLevel="1">
      <c r="B156" s="7" t="s">
        <v>107</v>
      </c>
      <c r="J156" s="5">
        <f t="shared" ref="J156" si="152">+J120/J$120</f>
        <v>1</v>
      </c>
      <c r="K156" s="5">
        <f t="shared" si="143"/>
        <v>1</v>
      </c>
      <c r="L156" s="5">
        <f t="shared" si="143"/>
        <v>1</v>
      </c>
    </row>
    <row r="157" spans="2:13" s="5" customFormat="1" hidden="1" outlineLevel="1"/>
    <row r="158" spans="2:13" s="5" customFormat="1" hidden="1" outlineLevel="1">
      <c r="B158" s="3" t="s">
        <v>116</v>
      </c>
      <c r="J158" s="30">
        <f t="shared" ref="J158" si="153">+J122/J$120</f>
        <v>1.6744262027280894E-3</v>
      </c>
      <c r="K158" s="30">
        <f t="shared" ref="K158" si="154">+K122/K$120</f>
        <v>4.6444735152879231E-2</v>
      </c>
      <c r="L158" s="30">
        <f>+L122/L$120</f>
        <v>4.3017973373678693E-2</v>
      </c>
      <c r="M158" s="31"/>
    </row>
    <row r="159" spans="2:13" s="5" customFormat="1" hidden="1" outlineLevel="1">
      <c r="B159" s="3" t="s">
        <v>115</v>
      </c>
      <c r="J159" s="30">
        <f t="shared" ref="J159" si="155">+J123/J$120</f>
        <v>0.22568406436330965</v>
      </c>
      <c r="K159" s="30">
        <f t="shared" ref="K159:L174" si="156">+K123/K$120</f>
        <v>0.2150222229444792</v>
      </c>
      <c r="L159" s="30">
        <f t="shared" si="156"/>
        <v>0.2192201424763045</v>
      </c>
      <c r="M159" s="13"/>
    </row>
    <row r="160" spans="2:13" s="5" customFormat="1" hidden="1" outlineLevel="1">
      <c r="B160" s="3" t="s">
        <v>114</v>
      </c>
      <c r="J160" s="30">
        <f t="shared" ref="J160" si="157">+J124/J$120</f>
        <v>0</v>
      </c>
      <c r="K160" s="30">
        <f t="shared" si="156"/>
        <v>1.8814342940254001E-2</v>
      </c>
      <c r="L160" s="30">
        <f t="shared" si="156"/>
        <v>1.2334192290421887E-2</v>
      </c>
      <c r="M160" s="31"/>
    </row>
    <row r="161" spans="2:13" s="5" customFormat="1" hidden="1" outlineLevel="1">
      <c r="B161" s="3" t="s">
        <v>113</v>
      </c>
      <c r="J161" s="30">
        <f t="shared" ref="J161" si="158">+J125/J$120</f>
        <v>0.10642816303193661</v>
      </c>
      <c r="K161" s="30">
        <f t="shared" si="156"/>
        <v>8.5564430288207621E-2</v>
      </c>
      <c r="L161" s="30">
        <f t="shared" si="156"/>
        <v>9.6452655552813724E-2</v>
      </c>
      <c r="M161" s="13"/>
    </row>
    <row r="162" spans="2:13" s="5" customFormat="1" hidden="1" outlineLevel="1">
      <c r="B162" s="3" t="s">
        <v>112</v>
      </c>
      <c r="J162" s="30">
        <f t="shared" ref="J162" si="159">+J126/J$120</f>
        <v>3.4754553622478152E-3</v>
      </c>
      <c r="K162" s="30">
        <f t="shared" si="156"/>
        <v>3.6726767475684769E-3</v>
      </c>
      <c r="L162" s="30">
        <f t="shared" si="156"/>
        <v>3.5113410652955718E-3</v>
      </c>
      <c r="M162" s="13"/>
    </row>
    <row r="163" spans="2:13" s="5" customFormat="1" hidden="1" outlineLevel="1">
      <c r="B163" s="3" t="s">
        <v>117</v>
      </c>
      <c r="J163" s="30">
        <f t="shared" ref="J163" si="160">+J127/J$120</f>
        <v>1.1447357673772768E-2</v>
      </c>
      <c r="K163" s="30">
        <f t="shared" si="156"/>
        <v>1.4544449951653923E-2</v>
      </c>
      <c r="L163" s="30">
        <f t="shared" si="156"/>
        <v>2.1504941363031403E-2</v>
      </c>
      <c r="M163" s="13"/>
    </row>
    <row r="164" spans="2:13" s="5" customFormat="1" hidden="1" outlineLevel="1">
      <c r="B164" s="3" t="s">
        <v>110</v>
      </c>
      <c r="J164" s="30">
        <f t="shared" ref="J164" si="161">+J128/J$120</f>
        <v>6.0565220942579434E-3</v>
      </c>
      <c r="K164" s="30">
        <f t="shared" si="156"/>
        <v>6.0331028430743233E-3</v>
      </c>
      <c r="L164" s="30">
        <f t="shared" si="156"/>
        <v>5.9223540548303186E-3</v>
      </c>
      <c r="M164" s="13"/>
    </row>
    <row r="165" spans="2:13" s="5" customFormat="1" hidden="1" outlineLevel="1">
      <c r="B165" s="3" t="s">
        <v>109</v>
      </c>
      <c r="J165" s="30">
        <f t="shared" ref="J165" si="162">+J129/J$120</f>
        <v>2.0869068038879362E-3</v>
      </c>
      <c r="K165" s="30">
        <f t="shared" si="156"/>
        <v>2.0760374093003226E-3</v>
      </c>
      <c r="L165" s="30">
        <f t="shared" si="156"/>
        <v>2.1602029134422064E-3</v>
      </c>
      <c r="M165" s="13"/>
    </row>
    <row r="166" spans="2:13" s="5" customFormat="1" hidden="1" outlineLevel="1">
      <c r="B166" s="7" t="s">
        <v>120</v>
      </c>
      <c r="J166" s="30">
        <f t="shared" ref="J166" si="163">+J130/J$120</f>
        <v>0.35685289553214083</v>
      </c>
      <c r="K166" s="30">
        <f t="shared" si="156"/>
        <v>0.39217199827741711</v>
      </c>
      <c r="L166" s="30">
        <f t="shared" si="156"/>
        <v>0.40412380308981832</v>
      </c>
      <c r="M166" s="13"/>
    </row>
    <row r="167" spans="2:13" s="5" customFormat="1" hidden="1" outlineLevel="1">
      <c r="B167" s="3" t="s">
        <v>111</v>
      </c>
      <c r="J167" s="30">
        <f t="shared" ref="J167" si="164">+J131/J$120</f>
        <v>0.14238340276076125</v>
      </c>
      <c r="K167" s="30">
        <f t="shared" si="156"/>
        <v>0.13071316557109311</v>
      </c>
      <c r="L167" s="30">
        <f t="shared" si="156"/>
        <v>0.12055469480054531</v>
      </c>
      <c r="M167" s="31"/>
    </row>
    <row r="168" spans="2:13" s="5" customFormat="1" hidden="1" outlineLevel="1">
      <c r="B168" s="3" t="s">
        <v>121</v>
      </c>
      <c r="J168" s="30">
        <f t="shared" ref="J168" si="165">+J132/J$120</f>
        <v>5.3128318222657844E-2</v>
      </c>
      <c r="K168" s="30">
        <f t="shared" si="156"/>
        <v>5.3733210910775084E-2</v>
      </c>
      <c r="L168" s="30">
        <f t="shared" si="156"/>
        <v>5.3155554836386877E-2</v>
      </c>
      <c r="M168" s="31"/>
    </row>
    <row r="169" spans="2:13" s="5" customFormat="1" hidden="1" outlineLevel="1">
      <c r="B169" s="3" t="s">
        <v>122</v>
      </c>
      <c r="J169" s="30">
        <f t="shared" ref="J169" si="166">+J133/J$120</f>
        <v>1.7328269215061667E-2</v>
      </c>
      <c r="K169" s="30">
        <f t="shared" si="156"/>
        <v>1.7912424535430769E-2</v>
      </c>
      <c r="L169" s="30">
        <f t="shared" si="156"/>
        <v>1.7880331231113395E-2</v>
      </c>
      <c r="M169" s="13"/>
    </row>
    <row r="170" spans="2:13" s="5" customFormat="1" hidden="1" outlineLevel="1">
      <c r="B170" s="3" t="s">
        <v>123</v>
      </c>
      <c r="J170" s="30">
        <f t="shared" ref="J170" si="167">+J134/J$120</f>
        <v>5.5027362574532383E-2</v>
      </c>
      <c r="K170" s="30">
        <f t="shared" si="156"/>
        <v>5.6646163596623091E-2</v>
      </c>
      <c r="L170" s="30">
        <f t="shared" si="156"/>
        <v>5.7006703101549761E-2</v>
      </c>
      <c r="M170" s="13"/>
    </row>
    <row r="171" spans="2:13" s="5" customFormat="1" hidden="1" outlineLevel="1">
      <c r="B171" s="3" t="s">
        <v>119</v>
      </c>
      <c r="J171" s="30">
        <f t="shared" ref="J171" si="168">+J135/J$120</f>
        <v>0</v>
      </c>
      <c r="K171" s="30">
        <f t="shared" si="156"/>
        <v>1.0563008344776593E-3</v>
      </c>
      <c r="L171" s="30">
        <f t="shared" si="156"/>
        <v>1.0517841900654938E-3</v>
      </c>
      <c r="M171" s="13"/>
    </row>
    <row r="172" spans="2:13" s="5" customFormat="1" hidden="1" outlineLevel="1">
      <c r="B172" s="7" t="s">
        <v>118</v>
      </c>
      <c r="J172" s="30">
        <f t="shared" ref="J172" si="169">+J136/J$120</f>
        <v>0.62472024830515394</v>
      </c>
      <c r="K172" s="30">
        <f t="shared" si="156"/>
        <v>0.6522332637258168</v>
      </c>
      <c r="L172" s="30">
        <f t="shared" si="156"/>
        <v>0.65377287124947914</v>
      </c>
      <c r="M172" s="13"/>
    </row>
    <row r="173" spans="2:13" s="5" customFormat="1" hidden="1" outlineLevel="1">
      <c r="B173" s="3" t="s">
        <v>125</v>
      </c>
      <c r="J173" s="30">
        <f t="shared" ref="J173" si="170">+J137/J$120</f>
        <v>0.37527975169484601</v>
      </c>
      <c r="K173" s="30">
        <f t="shared" si="156"/>
        <v>0.3477667362741832</v>
      </c>
      <c r="L173" s="30">
        <f t="shared" si="156"/>
        <v>0.34622712875052086</v>
      </c>
    </row>
    <row r="174" spans="2:13" s="5" customFormat="1" hidden="1" outlineLevel="1">
      <c r="B174" s="7" t="s">
        <v>126</v>
      </c>
      <c r="J174" s="30">
        <f t="shared" ref="J174" si="171">+J138/J$120</f>
        <v>1</v>
      </c>
      <c r="K174" s="30">
        <f t="shared" si="156"/>
        <v>1</v>
      </c>
      <c r="L174" s="30">
        <f t="shared" si="156"/>
        <v>1</v>
      </c>
    </row>
    <row r="175" spans="2:13" s="5" customFormat="1" collapsed="1"/>
    <row r="176" spans="2:13" s="5" customFormat="1"/>
    <row r="177" spans="2:14" s="5" customFormat="1"/>
    <row r="178" spans="2:14" s="7" customFormat="1"/>
    <row r="179" spans="2:14">
      <c r="B179" s="3" t="s">
        <v>51</v>
      </c>
      <c r="G179" s="3">
        <v>2811</v>
      </c>
      <c r="K179" s="3">
        <v>2103</v>
      </c>
      <c r="L179" s="3">
        <f>7250-K179</f>
        <v>5147</v>
      </c>
    </row>
    <row r="180" spans="2:14">
      <c r="B180" s="3" t="s">
        <v>132</v>
      </c>
      <c r="G180" s="3">
        <v>2661</v>
      </c>
      <c r="K180" s="3">
        <v>2680</v>
      </c>
      <c r="L180" s="3">
        <f>5379-K180</f>
        <v>2699</v>
      </c>
    </row>
    <row r="181" spans="2:14">
      <c r="B181" s="3" t="s">
        <v>133</v>
      </c>
      <c r="G181" s="3">
        <v>2077</v>
      </c>
      <c r="K181" s="3">
        <v>1989</v>
      </c>
      <c r="L181" s="3">
        <f>1988-K181</f>
        <v>-1</v>
      </c>
    </row>
    <row r="182" spans="2:14">
      <c r="B182" s="3" t="s">
        <v>134</v>
      </c>
      <c r="G182" s="3">
        <v>433</v>
      </c>
      <c r="K182" s="3">
        <v>0</v>
      </c>
      <c r="L182" s="3">
        <v>0</v>
      </c>
    </row>
    <row r="183" spans="2:14">
      <c r="B183" s="3" t="s">
        <v>135</v>
      </c>
      <c r="G183" s="3">
        <v>-155</v>
      </c>
      <c r="K183" s="3">
        <v>-69</v>
      </c>
      <c r="L183" s="3">
        <f>111-K183</f>
        <v>180</v>
      </c>
    </row>
    <row r="184" spans="2:14">
      <c r="B184" s="3" t="s">
        <v>136</v>
      </c>
      <c r="G184" s="3">
        <v>270</v>
      </c>
      <c r="K184" s="3">
        <v>-59</v>
      </c>
      <c r="L184" s="3">
        <f>244-K184</f>
        <v>303</v>
      </c>
    </row>
    <row r="185" spans="2:14">
      <c r="B185" s="3" t="s">
        <v>104</v>
      </c>
      <c r="G185" s="3">
        <v>828</v>
      </c>
      <c r="K185" s="3">
        <v>837</v>
      </c>
      <c r="L185" s="3">
        <f>874-K185</f>
        <v>37</v>
      </c>
    </row>
    <row r="186" spans="2:14">
      <c r="B186" s="3" t="s">
        <v>105</v>
      </c>
      <c r="G186" s="3">
        <v>-1487</v>
      </c>
      <c r="K186" s="3">
        <v>-4699</v>
      </c>
      <c r="L186" s="3">
        <f>+-3730-K186</f>
        <v>969</v>
      </c>
    </row>
    <row r="187" spans="2:14">
      <c r="B187" s="3" t="s">
        <v>115</v>
      </c>
      <c r="G187" s="3">
        <v>-1004</v>
      </c>
      <c r="K187" s="3">
        <v>-1640</v>
      </c>
      <c r="L187" s="3">
        <f>-453-K187</f>
        <v>1187</v>
      </c>
    </row>
    <row r="188" spans="2:14">
      <c r="B188" s="3" t="s">
        <v>113</v>
      </c>
      <c r="G188" s="3">
        <v>-4004</v>
      </c>
      <c r="K188" s="3">
        <v>-4949</v>
      </c>
      <c r="L188" s="3">
        <f>-2439-K188</f>
        <v>2510</v>
      </c>
    </row>
    <row r="189" spans="2:14" s="8" customFormat="1">
      <c r="B189" s="8" t="s">
        <v>112</v>
      </c>
      <c r="G189" s="8">
        <v>428</v>
      </c>
      <c r="K189" s="8">
        <v>49</v>
      </c>
      <c r="L189" s="8">
        <f>16-K189</f>
        <v>-33</v>
      </c>
      <c r="N189" s="3"/>
    </row>
    <row r="190" spans="2:14" s="7" customFormat="1">
      <c r="B190" s="7" t="s">
        <v>131</v>
      </c>
      <c r="G190" s="7">
        <f>+SUM(G179:G189)</f>
        <v>2858</v>
      </c>
      <c r="K190" s="7">
        <f>+SUM(K179:K189)</f>
        <v>-3758</v>
      </c>
      <c r="L190" s="7">
        <f>+SUM(L179:L189)</f>
        <v>12998</v>
      </c>
    </row>
    <row r="192" spans="2:14">
      <c r="B192" s="3" t="s">
        <v>137</v>
      </c>
      <c r="G192" s="3">
        <v>-2214</v>
      </c>
      <c r="K192" s="3">
        <v>-3539</v>
      </c>
      <c r="L192" s="3">
        <f>+-7492-K192</f>
        <v>-3953</v>
      </c>
    </row>
    <row r="193" spans="2:14">
      <c r="B193" s="3" t="s">
        <v>138</v>
      </c>
      <c r="G193" s="3">
        <v>72</v>
      </c>
      <c r="K193" s="3">
        <v>35</v>
      </c>
      <c r="L193" s="3">
        <f>72-K193</f>
        <v>37</v>
      </c>
    </row>
    <row r="194" spans="2:14">
      <c r="B194" s="3" t="s">
        <v>139</v>
      </c>
      <c r="G194" s="3">
        <v>7935</v>
      </c>
      <c r="K194" s="3">
        <v>0</v>
      </c>
      <c r="L194" s="3">
        <v>0</v>
      </c>
    </row>
    <row r="195" spans="2:14">
      <c r="B195" s="3" t="s">
        <v>140</v>
      </c>
      <c r="G195" s="3">
        <v>0</v>
      </c>
      <c r="K195" s="3">
        <v>-598</v>
      </c>
      <c r="L195" s="3">
        <f>+-616-K195</f>
        <v>-18</v>
      </c>
    </row>
    <row r="196" spans="2:14">
      <c r="B196" s="3" t="s">
        <v>141</v>
      </c>
      <c r="G196" s="3">
        <v>57</v>
      </c>
      <c r="K196" s="3">
        <v>-456</v>
      </c>
      <c r="L196" s="3">
        <f>+-548-K196</f>
        <v>-92</v>
      </c>
    </row>
    <row r="197" spans="2:14" s="7" customFormat="1">
      <c r="B197" s="7" t="s">
        <v>142</v>
      </c>
      <c r="G197" s="7">
        <f>+SUM(G192:G196)</f>
        <v>5850</v>
      </c>
      <c r="K197" s="7">
        <f>+SUM(K192:K196)</f>
        <v>-4558</v>
      </c>
      <c r="L197" s="7">
        <f>+SUM(L192:L196)</f>
        <v>-4026</v>
      </c>
      <c r="N197" s="3"/>
    </row>
    <row r="199" spans="2:14">
      <c r="B199" s="3" t="s">
        <v>149</v>
      </c>
      <c r="G199" s="3">
        <v>138</v>
      </c>
      <c r="K199" s="3">
        <v>10995</v>
      </c>
      <c r="L199" s="3">
        <f>10230-K199</f>
        <v>-765</v>
      </c>
    </row>
    <row r="200" spans="2:14">
      <c r="B200" s="3" t="s">
        <v>150</v>
      </c>
      <c r="G200" s="3">
        <v>-510</v>
      </c>
      <c r="K200" s="3">
        <v>-926</v>
      </c>
      <c r="L200" s="3">
        <f>+-1439-K200</f>
        <v>-513</v>
      </c>
    </row>
    <row r="201" spans="2:14">
      <c r="B201" s="3" t="s">
        <v>151</v>
      </c>
      <c r="G201" s="3">
        <v>-1549</v>
      </c>
      <c r="K201" s="3">
        <v>-1543</v>
      </c>
      <c r="L201" s="3">
        <f>+-3081-K201</f>
        <v>-1538</v>
      </c>
    </row>
    <row r="202" spans="2:14">
      <c r="B202" s="3" t="s">
        <v>152</v>
      </c>
      <c r="G202" s="3">
        <v>-2809</v>
      </c>
      <c r="K202" s="3">
        <v>-2408</v>
      </c>
      <c r="L202" s="3">
        <f>-5747-K202</f>
        <v>-3339</v>
      </c>
    </row>
    <row r="203" spans="2:14">
      <c r="B203" s="3" t="s">
        <v>153</v>
      </c>
      <c r="G203" s="3">
        <v>75</v>
      </c>
      <c r="K203" s="3">
        <v>35</v>
      </c>
      <c r="L203" s="3">
        <f>45-K203</f>
        <v>10</v>
      </c>
    </row>
    <row r="204" spans="2:14">
      <c r="B204" s="3" t="s">
        <v>154</v>
      </c>
      <c r="G204" s="3">
        <v>-744</v>
      </c>
      <c r="K204" s="3">
        <v>-838</v>
      </c>
      <c r="L204" s="3">
        <f>+-1408-K204</f>
        <v>-570</v>
      </c>
    </row>
    <row r="205" spans="2:14" s="7" customFormat="1">
      <c r="B205" s="7" t="s">
        <v>155</v>
      </c>
      <c r="G205" s="7">
        <f>+SUM(G199:G204)</f>
        <v>-5399</v>
      </c>
      <c r="K205" s="7">
        <f>+SUM(K199:K204)</f>
        <v>5315</v>
      </c>
      <c r="L205" s="7">
        <f>+SUM(L199:L204)</f>
        <v>-6715</v>
      </c>
      <c r="N205" s="3"/>
    </row>
    <row r="206" spans="2:14">
      <c r="B206" s="3" t="s">
        <v>148</v>
      </c>
      <c r="G206" s="3">
        <v>-51</v>
      </c>
      <c r="K206" s="3">
        <v>49</v>
      </c>
      <c r="L206" s="3">
        <f>+-100-K206</f>
        <v>-149</v>
      </c>
    </row>
    <row r="207" spans="2:14" s="7" customFormat="1">
      <c r="B207" s="7" t="s">
        <v>156</v>
      </c>
      <c r="G207" s="7">
        <f>+G190+G197+G205+G206</f>
        <v>3258</v>
      </c>
      <c r="K207" s="7">
        <f>+K190+K197+K205+K206</f>
        <v>-2952</v>
      </c>
      <c r="L207" s="7">
        <f>+L190+L197+L205+L206</f>
        <v>2108</v>
      </c>
      <c r="N207" s="3"/>
    </row>
    <row r="208" spans="2:14">
      <c r="B208" s="3" t="s">
        <v>157</v>
      </c>
      <c r="G208" s="3">
        <f>17788+1848</f>
        <v>19636</v>
      </c>
      <c r="K208" s="3">
        <v>14834</v>
      </c>
      <c r="L208" s="3">
        <v>14834</v>
      </c>
    </row>
    <row r="209" spans="2:14" s="7" customFormat="1">
      <c r="B209" s="7" t="s">
        <v>158</v>
      </c>
      <c r="G209" s="7">
        <f>+G207+G208</f>
        <v>22894</v>
      </c>
      <c r="K209" s="7">
        <f>+K207+K208</f>
        <v>11882</v>
      </c>
      <c r="L209" s="7">
        <f>+L207+L208</f>
        <v>16942</v>
      </c>
      <c r="N209" s="3"/>
    </row>
    <row r="212" spans="2:14" s="7" customFormat="1">
      <c r="B212" s="7" t="s">
        <v>144</v>
      </c>
      <c r="G212" s="7">
        <f>+G190+G192</f>
        <v>644</v>
      </c>
      <c r="K212" s="7">
        <f>+K190+K192</f>
        <v>-7297</v>
      </c>
      <c r="L212" s="7">
        <f>+L190+L192</f>
        <v>9045</v>
      </c>
    </row>
    <row r="213" spans="2:14">
      <c r="B213" s="3" t="s">
        <v>145</v>
      </c>
      <c r="G213" s="3">
        <f>+G212</f>
        <v>644</v>
      </c>
      <c r="K213" s="3">
        <f>+K212</f>
        <v>-7297</v>
      </c>
      <c r="L213" s="3">
        <f>+L212</f>
        <v>9045</v>
      </c>
    </row>
    <row r="214" spans="2:14">
      <c r="B214" s="3" t="s">
        <v>146</v>
      </c>
      <c r="G214" s="3">
        <f>+G190+G192-G180</f>
        <v>-2017</v>
      </c>
      <c r="K214" s="3">
        <f>+K190+K192-K180</f>
        <v>-9977</v>
      </c>
      <c r="L214" s="3">
        <f>+L190+L192-L180</f>
        <v>6346</v>
      </c>
    </row>
    <row r="216" spans="2:14">
      <c r="B216" s="3" t="s">
        <v>143</v>
      </c>
      <c r="G216" s="3">
        <f>+G212</f>
        <v>644</v>
      </c>
      <c r="K216" s="3">
        <f>+K212</f>
        <v>-7297</v>
      </c>
      <c r="L216" s="3">
        <f>+L212</f>
        <v>9045</v>
      </c>
    </row>
    <row r="217" spans="2:14" s="7" customFormat="1">
      <c r="B217" s="7" t="s">
        <v>147</v>
      </c>
      <c r="G217" s="7">
        <f>+G69</f>
        <v>2811</v>
      </c>
      <c r="K217" s="7">
        <f>+K69</f>
        <v>2103</v>
      </c>
      <c r="L217" s="7">
        <f>+L69</f>
        <v>5147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ECDF-18F5-D047-A826-E75A715E198D}">
  <dimension ref="C4:K12"/>
  <sheetViews>
    <sheetView topLeftCell="D1" zoomScale="372" workbookViewId="0">
      <selection activeCell="K12" sqref="K12"/>
    </sheetView>
  </sheetViews>
  <sheetFormatPr baseColWidth="10" defaultRowHeight="14"/>
  <sheetData>
    <row r="4" spans="3:11">
      <c r="C4" s="1" t="s">
        <v>81</v>
      </c>
      <c r="D4" t="s">
        <v>82</v>
      </c>
    </row>
    <row r="6" spans="3:11">
      <c r="C6" t="s">
        <v>83</v>
      </c>
    </row>
    <row r="8" spans="3:11">
      <c r="C8" t="s">
        <v>84</v>
      </c>
    </row>
    <row r="9" spans="3:11">
      <c r="H9" s="20" t="s">
        <v>94</v>
      </c>
    </row>
    <row r="10" spans="3:11">
      <c r="G10" t="s">
        <v>93</v>
      </c>
      <c r="H10" t="s">
        <v>92</v>
      </c>
      <c r="I10" t="s">
        <v>89</v>
      </c>
      <c r="J10" t="s">
        <v>86</v>
      </c>
      <c r="K10" t="s">
        <v>85</v>
      </c>
    </row>
    <row r="11" spans="3:11">
      <c r="C11" t="s">
        <v>85</v>
      </c>
      <c r="D11" t="s">
        <v>87</v>
      </c>
      <c r="E11" s="21" t="s">
        <v>91</v>
      </c>
      <c r="G11" s="23">
        <v>10000</v>
      </c>
      <c r="H11" s="2">
        <v>0.5</v>
      </c>
      <c r="I11">
        <v>10</v>
      </c>
      <c r="J11" s="22">
        <f>G11*(1+$H$11)^I11</f>
        <v>576650.390625</v>
      </c>
    </row>
    <row r="12" spans="3:11">
      <c r="C12" t="s">
        <v>86</v>
      </c>
      <c r="D12" t="s">
        <v>88</v>
      </c>
      <c r="E12" s="20" t="s">
        <v>90</v>
      </c>
      <c r="G12" s="23">
        <v>10000</v>
      </c>
      <c r="H12" s="2">
        <v>0.5</v>
      </c>
      <c r="I12">
        <v>10</v>
      </c>
      <c r="K12">
        <f>+G12/(1+H12)^I12</f>
        <v>173.41529915832615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Brannon, Jameel A.</cp:lastModifiedBy>
  <dcterms:created xsi:type="dcterms:W3CDTF">2022-10-29T18:29:25Z</dcterms:created>
  <dcterms:modified xsi:type="dcterms:W3CDTF">2022-11-05T02:08:37Z</dcterms:modified>
</cp:coreProperties>
</file>