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E66F5B10-7265-E94C-9824-41C57611E6D5}" xr6:coauthVersionLast="47" xr6:coauthVersionMax="47" xr10:uidLastSave="{00000000-0000-0000-0000-000000000000}"/>
  <bookViews>
    <workbookView xWindow="2320" yWindow="1080" windowWidth="42920" windowHeight="27660" xr2:uid="{36C3922D-9DD2-884D-A200-E351F62EB896}"/>
  </bookViews>
  <sheets>
    <sheet name="Main" sheetId="1" r:id="rId1"/>
    <sheet name="Model" sheetId="2" r:id="rId2"/>
    <sheet name="Notes on FB Pape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U40" i="2" l="1"/>
  <c r="CI2" i="2"/>
  <c r="CI35" i="2" s="1"/>
  <c r="CT40" i="2"/>
  <c r="CH35" i="2"/>
  <c r="CG35" i="2"/>
  <c r="HZ31" i="2"/>
  <c r="BI105" i="2"/>
  <c r="CG5" i="2"/>
  <c r="CI5" i="2"/>
  <c r="CH5" i="2"/>
  <c r="CH28" i="2"/>
  <c r="CG28" i="2"/>
  <c r="CG52" i="2"/>
  <c r="CF52" i="2"/>
  <c r="CP49" i="2"/>
  <c r="CP48" i="2"/>
  <c r="CP47" i="2"/>
  <c r="CP46" i="2"/>
  <c r="CP45" i="2"/>
  <c r="CP21" i="2"/>
  <c r="CP24" i="2" s="1"/>
  <c r="CP14" i="2"/>
  <c r="CP11" i="2"/>
  <c r="CP9" i="2"/>
  <c r="CP6" i="2"/>
  <c r="CP5" i="2"/>
  <c r="CP4" i="2"/>
  <c r="CP3" i="2"/>
  <c r="CG11" i="2"/>
  <c r="CG21" i="2"/>
  <c r="BF80" i="2"/>
  <c r="BG80" i="2"/>
  <c r="BH80" i="2"/>
  <c r="BI80" i="2"/>
  <c r="BI81" i="2" s="1"/>
  <c r="BI82" i="2" s="1"/>
  <c r="AM80" i="2"/>
  <c r="AN80" i="2"/>
  <c r="AO80" i="2"/>
  <c r="AP80" i="2"/>
  <c r="AQ80" i="2"/>
  <c r="AR80" i="2"/>
  <c r="AS80" i="2"/>
  <c r="AT80" i="2"/>
  <c r="AU80" i="2"/>
  <c r="AV80" i="2"/>
  <c r="AW80" i="2"/>
  <c r="AX80" i="2"/>
  <c r="AY80" i="2"/>
  <c r="AZ80" i="2"/>
  <c r="BA80" i="2"/>
  <c r="BB80" i="2"/>
  <c r="BC80" i="2"/>
  <c r="BD80" i="2"/>
  <c r="BE80" i="2"/>
  <c r="AL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C80" i="2"/>
  <c r="D80" i="2"/>
  <c r="E80" i="2"/>
  <c r="F80" i="2"/>
  <c r="G80" i="2"/>
  <c r="BI14" i="2"/>
  <c r="BI11" i="2"/>
  <c r="BI7" i="2"/>
  <c r="BI5" i="2"/>
  <c r="BI6" i="2" s="1"/>
  <c r="BM21" i="2"/>
  <c r="BM26" i="2"/>
  <c r="BL26" i="2"/>
  <c r="BK26" i="2"/>
  <c r="BK22" i="2" s="1"/>
  <c r="BJ26" i="2"/>
  <c r="BJ32" i="2"/>
  <c r="BK32" i="2" s="1"/>
  <c r="BL32" i="2" s="1"/>
  <c r="BM32" i="2" s="1"/>
  <c r="BJ21" i="2"/>
  <c r="BJ45" i="2" s="1"/>
  <c r="CF30" i="2"/>
  <c r="CF28" i="2"/>
  <c r="CF25" i="2"/>
  <c r="CF24" i="2"/>
  <c r="CF23" i="2"/>
  <c r="CF22" i="2"/>
  <c r="CF20" i="2"/>
  <c r="CF18" i="2"/>
  <c r="CF17" i="2"/>
  <c r="BI19" i="2"/>
  <c r="BI43" i="2" s="1"/>
  <c r="BI49" i="2"/>
  <c r="BI48" i="2"/>
  <c r="BI47" i="2"/>
  <c r="BI46" i="2"/>
  <c r="BI44" i="2"/>
  <c r="BI42" i="2"/>
  <c r="BI41" i="2"/>
  <c r="BI93" i="2"/>
  <c r="BI86" i="2"/>
  <c r="BI87" i="2" s="1"/>
  <c r="BI79" i="2"/>
  <c r="BI71" i="2"/>
  <c r="BI75" i="2" s="1"/>
  <c r="BI77" i="2" s="1"/>
  <c r="BI57" i="2"/>
  <c r="BI64" i="2" s="1"/>
  <c r="BI52" i="2"/>
  <c r="BI26" i="2"/>
  <c r="BM23" i="2" s="1"/>
  <c r="K9" i="1"/>
  <c r="K7" i="1"/>
  <c r="BG44" i="2"/>
  <c r="BF44" i="2"/>
  <c r="BE44" i="2"/>
  <c r="BD44" i="2"/>
  <c r="BC44" i="2"/>
  <c r="BB44" i="2"/>
  <c r="BG42" i="2"/>
  <c r="BF42" i="2"/>
  <c r="BE42" i="2"/>
  <c r="BD42" i="2"/>
  <c r="BC42" i="2"/>
  <c r="BB42" i="2"/>
  <c r="BG41" i="2"/>
  <c r="BF41" i="2"/>
  <c r="BE41" i="2"/>
  <c r="BD41" i="2"/>
  <c r="BC41" i="2"/>
  <c r="BB41" i="2"/>
  <c r="BH44" i="2"/>
  <c r="BH42" i="2"/>
  <c r="BH41" i="2"/>
  <c r="AV45" i="2"/>
  <c r="AU45" i="2"/>
  <c r="AT45" i="2"/>
  <c r="AR45" i="2"/>
  <c r="AQ45" i="2"/>
  <c r="AP45" i="2"/>
  <c r="AN45" i="2"/>
  <c r="AM45" i="2"/>
  <c r="AL45" i="2"/>
  <c r="AJ45" i="2"/>
  <c r="AI45" i="2"/>
  <c r="AH45" i="2"/>
  <c r="AF45" i="2"/>
  <c r="AE45" i="2"/>
  <c r="AD45" i="2"/>
  <c r="AB45" i="2"/>
  <c r="AA45" i="2"/>
  <c r="Z45" i="2"/>
  <c r="X45" i="2"/>
  <c r="W45" i="2"/>
  <c r="V45" i="2"/>
  <c r="T45" i="2"/>
  <c r="S45" i="2"/>
  <c r="CH2" i="2"/>
  <c r="BG10" i="2"/>
  <c r="BF10" i="2"/>
  <c r="CD20" i="2"/>
  <c r="CD18" i="2"/>
  <c r="CD17" i="2"/>
  <c r="CE20" i="2"/>
  <c r="CE18" i="2"/>
  <c r="CE17" i="2"/>
  <c r="BH10" i="2"/>
  <c r="BE10" i="2"/>
  <c r="BD14" i="2"/>
  <c r="BH14" i="2"/>
  <c r="BG14" i="2"/>
  <c r="BF14" i="2"/>
  <c r="BE14" i="2"/>
  <c r="BH7" i="2"/>
  <c r="BG7" i="2"/>
  <c r="BF7" i="2"/>
  <c r="BE7" i="2"/>
  <c r="BF57" i="2"/>
  <c r="BH93" i="2"/>
  <c r="BG93" i="2"/>
  <c r="BF93" i="2"/>
  <c r="BE93" i="2"/>
  <c r="BH86" i="2"/>
  <c r="BH87" i="2" s="1"/>
  <c r="BG86" i="2"/>
  <c r="BG87" i="2" s="1"/>
  <c r="BF86" i="2"/>
  <c r="BF87" i="2" s="1"/>
  <c r="BE86" i="2"/>
  <c r="BE87" i="2" s="1"/>
  <c r="BD86" i="2"/>
  <c r="BD87" i="2" s="1"/>
  <c r="BC86" i="2"/>
  <c r="BC87" i="2" s="1"/>
  <c r="BB86" i="2"/>
  <c r="BB87" i="2" s="1"/>
  <c r="BA86" i="2"/>
  <c r="BA87" i="2" s="1"/>
  <c r="AZ86" i="2"/>
  <c r="AZ87" i="2" s="1"/>
  <c r="AY86" i="2"/>
  <c r="AY87" i="2" s="1"/>
  <c r="AX86" i="2"/>
  <c r="AX87" i="2" s="1"/>
  <c r="AW86" i="2"/>
  <c r="AW87" i="2" s="1"/>
  <c r="AV86" i="2"/>
  <c r="AV87" i="2" s="1"/>
  <c r="AU86" i="2"/>
  <c r="AU87" i="2" s="1"/>
  <c r="AT86" i="2"/>
  <c r="AT87" i="2" s="1"/>
  <c r="AS86" i="2"/>
  <c r="AS87" i="2" s="1"/>
  <c r="AR86" i="2"/>
  <c r="AR87" i="2" s="1"/>
  <c r="AQ86" i="2"/>
  <c r="AQ87" i="2" s="1"/>
  <c r="AP86" i="2"/>
  <c r="AP87" i="2" s="1"/>
  <c r="AO86" i="2"/>
  <c r="AO87" i="2" s="1"/>
  <c r="AN86" i="2"/>
  <c r="AN87" i="2" s="1"/>
  <c r="AM86" i="2"/>
  <c r="AM87" i="2" s="1"/>
  <c r="AL86" i="2"/>
  <c r="AL87" i="2" s="1"/>
  <c r="AK86" i="2"/>
  <c r="AK87" i="2" s="1"/>
  <c r="AJ86" i="2"/>
  <c r="AJ87" i="2" s="1"/>
  <c r="AI86" i="2"/>
  <c r="AI87" i="2" s="1"/>
  <c r="AH86" i="2"/>
  <c r="AH87" i="2" s="1"/>
  <c r="AG86" i="2"/>
  <c r="AG87" i="2" s="1"/>
  <c r="AF86" i="2"/>
  <c r="AF87" i="2" s="1"/>
  <c r="AE86" i="2"/>
  <c r="AE87" i="2" s="1"/>
  <c r="AD86" i="2"/>
  <c r="AD87" i="2" s="1"/>
  <c r="AC86" i="2"/>
  <c r="AC87" i="2" s="1"/>
  <c r="AB86" i="2"/>
  <c r="AB87" i="2" s="1"/>
  <c r="AA86" i="2"/>
  <c r="AA87" i="2" s="1"/>
  <c r="Z86" i="2"/>
  <c r="Z87" i="2" s="1"/>
  <c r="Y86" i="2"/>
  <c r="Y87" i="2" s="1"/>
  <c r="X86" i="2"/>
  <c r="X87" i="2" s="1"/>
  <c r="W86" i="2"/>
  <c r="W87" i="2" s="1"/>
  <c r="V86" i="2"/>
  <c r="V87" i="2" s="1"/>
  <c r="U86" i="2"/>
  <c r="U87" i="2" s="1"/>
  <c r="T86" i="2"/>
  <c r="T87" i="2" s="1"/>
  <c r="S86" i="2"/>
  <c r="S87" i="2" s="1"/>
  <c r="R86" i="2"/>
  <c r="R87" i="2" s="1"/>
  <c r="Q86" i="2"/>
  <c r="Q87" i="2" s="1"/>
  <c r="P86" i="2"/>
  <c r="P87" i="2" s="1"/>
  <c r="O86" i="2"/>
  <c r="O87" i="2" s="1"/>
  <c r="N86" i="2"/>
  <c r="N87" i="2" s="1"/>
  <c r="M86" i="2"/>
  <c r="M87" i="2" s="1"/>
  <c r="L86" i="2"/>
  <c r="L87" i="2" s="1"/>
  <c r="K86" i="2"/>
  <c r="K87" i="2" s="1"/>
  <c r="J86" i="2"/>
  <c r="J87" i="2" s="1"/>
  <c r="I86" i="2"/>
  <c r="I87" i="2" s="1"/>
  <c r="H86" i="2"/>
  <c r="H87" i="2" s="1"/>
  <c r="G86" i="2"/>
  <c r="G87" i="2" s="1"/>
  <c r="F86" i="2"/>
  <c r="F87" i="2" s="1"/>
  <c r="E86" i="2"/>
  <c r="E87" i="2" s="1"/>
  <c r="D86" i="2"/>
  <c r="D87" i="2" s="1"/>
  <c r="C86" i="2"/>
  <c r="C87" i="2" s="1"/>
  <c r="Y85" i="2"/>
  <c r="X85" i="2"/>
  <c r="W85" i="2"/>
  <c r="V85" i="2"/>
  <c r="U85" i="2"/>
  <c r="T85" i="2"/>
  <c r="S85" i="2"/>
  <c r="R85" i="2"/>
  <c r="Q85" i="2"/>
  <c r="P85" i="2"/>
  <c r="O85" i="2"/>
  <c r="N85" i="2"/>
  <c r="M85" i="2"/>
  <c r="L85" i="2"/>
  <c r="K85" i="2"/>
  <c r="J85" i="2"/>
  <c r="I85" i="2"/>
  <c r="H85" i="2"/>
  <c r="G85" i="2"/>
  <c r="F85" i="2"/>
  <c r="E85" i="2"/>
  <c r="D85" i="2"/>
  <c r="C85" i="2"/>
  <c r="BE79" i="2"/>
  <c r="BD79" i="2"/>
  <c r="BG79" i="2"/>
  <c r="BF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H79" i="2"/>
  <c r="AB84" i="2"/>
  <c r="AA84" i="2"/>
  <c r="Z84" i="2"/>
  <c r="Y84" i="2"/>
  <c r="X84" i="2"/>
  <c r="W84" i="2"/>
  <c r="V84" i="2"/>
  <c r="U84" i="2"/>
  <c r="T84" i="2"/>
  <c r="S84" i="2"/>
  <c r="R84" i="2"/>
  <c r="Q84" i="2"/>
  <c r="P84" i="2"/>
  <c r="O84" i="2"/>
  <c r="N84" i="2"/>
  <c r="M84" i="2"/>
  <c r="L84" i="2"/>
  <c r="K84" i="2"/>
  <c r="J84" i="2"/>
  <c r="I84" i="2"/>
  <c r="H84" i="2"/>
  <c r="G84" i="2"/>
  <c r="F84" i="2"/>
  <c r="E84" i="2"/>
  <c r="D84" i="2"/>
  <c r="C84" i="2"/>
  <c r="AB83" i="2"/>
  <c r="AA83" i="2"/>
  <c r="Z83" i="2"/>
  <c r="Y83" i="2"/>
  <c r="X83" i="2"/>
  <c r="W83" i="2"/>
  <c r="V83" i="2"/>
  <c r="U83" i="2"/>
  <c r="T83" i="2"/>
  <c r="S83" i="2"/>
  <c r="R83" i="2"/>
  <c r="Q83" i="2"/>
  <c r="P83" i="2"/>
  <c r="O83" i="2"/>
  <c r="N83" i="2"/>
  <c r="M83" i="2"/>
  <c r="L83" i="2"/>
  <c r="K83" i="2"/>
  <c r="J83" i="2"/>
  <c r="I83" i="2"/>
  <c r="H83" i="2"/>
  <c r="G83" i="2"/>
  <c r="F83" i="2"/>
  <c r="E83" i="2"/>
  <c r="D83" i="2"/>
  <c r="C83" i="2"/>
  <c r="BH81" i="2"/>
  <c r="BG81" i="2"/>
  <c r="BF81" i="2"/>
  <c r="BD81" i="2"/>
  <c r="BG71" i="2"/>
  <c r="BG75" i="2" s="1"/>
  <c r="BG77" i="2" s="1"/>
  <c r="BF71" i="2"/>
  <c r="BF75" i="2" s="1"/>
  <c r="BF77" i="2" s="1"/>
  <c r="BE71" i="2"/>
  <c r="BE75" i="2" s="1"/>
  <c r="BE77" i="2" s="1"/>
  <c r="BH71" i="2"/>
  <c r="BH75" i="2" s="1"/>
  <c r="BH77" i="2" s="1"/>
  <c r="BG57" i="2"/>
  <c r="BG64" i="2" s="1"/>
  <c r="BE57" i="2"/>
  <c r="BE64" i="2" s="1"/>
  <c r="BH57" i="2"/>
  <c r="BH64" i="2" s="1"/>
  <c r="BH52" i="2"/>
  <c r="BG52" i="2"/>
  <c r="BF52" i="2"/>
  <c r="BE52" i="2"/>
  <c r="BG19" i="2"/>
  <c r="BG21" i="2" s="1"/>
  <c r="BG11" i="2" s="1"/>
  <c r="BF19" i="2"/>
  <c r="BF21" i="2" s="1"/>
  <c r="BF11" i="2" s="1"/>
  <c r="BE19" i="2"/>
  <c r="BE21" i="2" s="1"/>
  <c r="BE11" i="2" s="1"/>
  <c r="BD19" i="2"/>
  <c r="BD21" i="2" s="1"/>
  <c r="BD39" i="2" s="1"/>
  <c r="BC19" i="2"/>
  <c r="BC21" i="2" s="1"/>
  <c r="BC11" i="2" s="1"/>
  <c r="BB19" i="2"/>
  <c r="BB21" i="2" s="1"/>
  <c r="BA19" i="2"/>
  <c r="BA21" i="2" s="1"/>
  <c r="BA5" i="2" s="1"/>
  <c r="AZ19" i="2"/>
  <c r="AZ21" i="2" s="1"/>
  <c r="AZ45" i="2" s="1"/>
  <c r="AY19" i="2"/>
  <c r="AY21" i="2" s="1"/>
  <c r="AY45" i="2" s="1"/>
  <c r="AX19" i="2"/>
  <c r="AX21" i="2" s="1"/>
  <c r="AX39" i="2" s="1"/>
  <c r="BH19" i="2"/>
  <c r="BH21" i="2" s="1"/>
  <c r="BH38" i="2" s="1"/>
  <c r="BF26" i="2"/>
  <c r="BJ24" i="2" s="1"/>
  <c r="BJ48" i="2" s="1"/>
  <c r="BG26" i="2"/>
  <c r="BH26" i="2"/>
  <c r="BL23" i="2" s="1"/>
  <c r="BD52" i="2"/>
  <c r="C21" i="3"/>
  <c r="N5" i="2"/>
  <c r="N6" i="2" s="1"/>
  <c r="BB93" i="2"/>
  <c r="BC92" i="2"/>
  <c r="BD92" i="2" s="1"/>
  <c r="BC91" i="2"/>
  <c r="BD91" i="2" s="1"/>
  <c r="BB71" i="2"/>
  <c r="BB75" i="2" s="1"/>
  <c r="BB77" i="2" s="1"/>
  <c r="BB57" i="2"/>
  <c r="BB64" i="2" s="1"/>
  <c r="BB52" i="2"/>
  <c r="BC71" i="2"/>
  <c r="BC75" i="2" s="1"/>
  <c r="BC77" i="2" s="1"/>
  <c r="BC57" i="2"/>
  <c r="BC64" i="2" s="1"/>
  <c r="BC52" i="2"/>
  <c r="BA71" i="2"/>
  <c r="BA75" i="2" s="1"/>
  <c r="BA77" i="2" s="1"/>
  <c r="BA57" i="2"/>
  <c r="BA64" i="2" s="1"/>
  <c r="BA52" i="2"/>
  <c r="BD71" i="2"/>
  <c r="BD75" i="2" s="1"/>
  <c r="BD77" i="2" s="1"/>
  <c r="BD57" i="2"/>
  <c r="BD64" i="2" s="1"/>
  <c r="BC14" i="2"/>
  <c r="BB14" i="2"/>
  <c r="BA14" i="2"/>
  <c r="AZ14" i="2"/>
  <c r="AY14" i="2"/>
  <c r="AX14" i="2"/>
  <c r="AW14" i="2"/>
  <c r="AV14" i="2"/>
  <c r="AU14" i="2"/>
  <c r="AT14" i="2"/>
  <c r="CC9" i="2"/>
  <c r="CC11" i="2" s="1"/>
  <c r="CD9" i="2"/>
  <c r="BV45" i="2"/>
  <c r="BW45" i="2"/>
  <c r="BX45" i="2"/>
  <c r="BY45" i="2"/>
  <c r="BZ45" i="2"/>
  <c r="CA45" i="2"/>
  <c r="CB45" i="2"/>
  <c r="CC45" i="2"/>
  <c r="CD45" i="2"/>
  <c r="CD49" i="2"/>
  <c r="CC49" i="2"/>
  <c r="CB49" i="2"/>
  <c r="CA49" i="2"/>
  <c r="BZ49" i="2"/>
  <c r="BY49" i="2"/>
  <c r="BX49" i="2"/>
  <c r="BW49" i="2"/>
  <c r="BV49" i="2"/>
  <c r="BU49" i="2"/>
  <c r="BT49" i="2"/>
  <c r="CD48" i="2"/>
  <c r="CC48" i="2"/>
  <c r="CB48" i="2"/>
  <c r="CA48" i="2"/>
  <c r="BZ48" i="2"/>
  <c r="BY48" i="2"/>
  <c r="BX48" i="2"/>
  <c r="BW48" i="2"/>
  <c r="BV48" i="2"/>
  <c r="BU48" i="2"/>
  <c r="BT48" i="2"/>
  <c r="CD47" i="2"/>
  <c r="CC47" i="2"/>
  <c r="CB47" i="2"/>
  <c r="CA47" i="2"/>
  <c r="BZ47" i="2"/>
  <c r="BY47" i="2"/>
  <c r="BX47" i="2"/>
  <c r="BW47" i="2"/>
  <c r="BV47" i="2"/>
  <c r="BU47" i="2"/>
  <c r="BT47" i="2"/>
  <c r="CD46" i="2"/>
  <c r="CC46" i="2"/>
  <c r="CB46" i="2"/>
  <c r="CA46" i="2"/>
  <c r="BZ46" i="2"/>
  <c r="BY46" i="2"/>
  <c r="BX46" i="2"/>
  <c r="BW46" i="2"/>
  <c r="BV46" i="2"/>
  <c r="BU46" i="2"/>
  <c r="BT46" i="2"/>
  <c r="BS49" i="2"/>
  <c r="BS48" i="2"/>
  <c r="BS47" i="2"/>
  <c r="BS46" i="2"/>
  <c r="AI48" i="2"/>
  <c r="AH48" i="2"/>
  <c r="AF48" i="2"/>
  <c r="AE48" i="2"/>
  <c r="AF46" i="2"/>
  <c r="AE46" i="2"/>
  <c r="AV49" i="2"/>
  <c r="AU49" i="2"/>
  <c r="AT49" i="2"/>
  <c r="AR49" i="2"/>
  <c r="AQ49" i="2"/>
  <c r="AP49" i="2"/>
  <c r="AN49" i="2"/>
  <c r="AM49" i="2"/>
  <c r="AL49" i="2"/>
  <c r="AJ49" i="2"/>
  <c r="AI49" i="2"/>
  <c r="AH49" i="2"/>
  <c r="AF49" i="2"/>
  <c r="AE49" i="2"/>
  <c r="AV48" i="2"/>
  <c r="AU48" i="2"/>
  <c r="AT48" i="2"/>
  <c r="AR48" i="2"/>
  <c r="AQ48" i="2"/>
  <c r="AP48" i="2"/>
  <c r="AN48" i="2"/>
  <c r="AM48" i="2"/>
  <c r="AL48" i="2"/>
  <c r="AJ48" i="2"/>
  <c r="AV47" i="2"/>
  <c r="AU47" i="2"/>
  <c r="AT47" i="2"/>
  <c r="AR47" i="2"/>
  <c r="AQ47" i="2"/>
  <c r="AP47" i="2"/>
  <c r="AN47" i="2"/>
  <c r="AM47" i="2"/>
  <c r="AL47" i="2"/>
  <c r="AJ47" i="2"/>
  <c r="AI47" i="2"/>
  <c r="AH47" i="2"/>
  <c r="AF47" i="2"/>
  <c r="AE47" i="2"/>
  <c r="AV46" i="2"/>
  <c r="AU46" i="2"/>
  <c r="AT46" i="2"/>
  <c r="AR46" i="2"/>
  <c r="AQ46" i="2"/>
  <c r="AP46" i="2"/>
  <c r="AN46" i="2"/>
  <c r="AM46" i="2"/>
  <c r="AL46" i="2"/>
  <c r="AJ46" i="2"/>
  <c r="AI46" i="2"/>
  <c r="AH46" i="2"/>
  <c r="AD49" i="2"/>
  <c r="AD48" i="2"/>
  <c r="AD47" i="2"/>
  <c r="AD46" i="2"/>
  <c r="CE9" i="2"/>
  <c r="BD10" i="2"/>
  <c r="BC10" i="2"/>
  <c r="BB10" i="2"/>
  <c r="BA10" i="2"/>
  <c r="AZ10" i="2"/>
  <c r="AY10" i="2"/>
  <c r="AX10" i="2"/>
  <c r="BD7" i="2"/>
  <c r="BC7" i="2"/>
  <c r="BC26" i="2"/>
  <c r="BD26" i="2"/>
  <c r="AV11" i="2"/>
  <c r="AU11" i="2"/>
  <c r="AT11" i="2"/>
  <c r="BB7" i="2"/>
  <c r="BA7" i="2"/>
  <c r="BA30" i="2"/>
  <c r="BA28" i="2"/>
  <c r="BA25" i="2"/>
  <c r="BA24" i="2"/>
  <c r="BA23" i="2"/>
  <c r="BA22" i="2"/>
  <c r="CD26" i="2"/>
  <c r="BB26" i="2"/>
  <c r="K7" i="2"/>
  <c r="L7" i="2"/>
  <c r="M7" i="2"/>
  <c r="N7" i="2"/>
  <c r="O7" i="2"/>
  <c r="P7" i="2"/>
  <c r="Q7" i="2"/>
  <c r="R7" i="2"/>
  <c r="S7" i="2"/>
  <c r="T7" i="2"/>
  <c r="U7" i="2"/>
  <c r="V7" i="2"/>
  <c r="W7" i="2"/>
  <c r="X7" i="2"/>
  <c r="Y7" i="2"/>
  <c r="Z7" i="2"/>
  <c r="AA7" i="2"/>
  <c r="AB7" i="2"/>
  <c r="AC7" i="2"/>
  <c r="AD7" i="2"/>
  <c r="AE7" i="2"/>
  <c r="AF7" i="2"/>
  <c r="AG7" i="2"/>
  <c r="AZ7" i="2"/>
  <c r="CD4" i="2"/>
  <c r="CD5" i="2" s="1"/>
  <c r="AY52" i="2"/>
  <c r="AX52" i="2"/>
  <c r="AW52" i="2"/>
  <c r="AV52" i="2"/>
  <c r="AU52" i="2"/>
  <c r="AT52" i="2"/>
  <c r="AS52" i="2"/>
  <c r="AR52" i="2"/>
  <c r="AQ52" i="2"/>
  <c r="AP52" i="2"/>
  <c r="AO52" i="2"/>
  <c r="AN52" i="2"/>
  <c r="AM52" i="2"/>
  <c r="AL52" i="2"/>
  <c r="AK52" i="2"/>
  <c r="AJ52" i="2"/>
  <c r="AI52" i="2"/>
  <c r="AH52" i="2"/>
  <c r="AG52" i="2"/>
  <c r="AF52" i="2"/>
  <c r="AE52" i="2"/>
  <c r="AD52" i="2"/>
  <c r="AC52" i="2"/>
  <c r="AZ52" i="2"/>
  <c r="AZ93" i="2"/>
  <c r="AZ71" i="2"/>
  <c r="AZ75" i="2" s="1"/>
  <c r="AZ77" i="2" s="1"/>
  <c r="AZ57" i="2"/>
  <c r="AZ64" i="2" s="1"/>
  <c r="AH93" i="2"/>
  <c r="AI92" i="2"/>
  <c r="AJ92" i="2" s="1"/>
  <c r="AK92" i="2" s="1"/>
  <c r="AI91" i="2"/>
  <c r="AJ91" i="2" s="1"/>
  <c r="AL93" i="2"/>
  <c r="AM92" i="2"/>
  <c r="AN92" i="2" s="1"/>
  <c r="AM91" i="2"/>
  <c r="AN91" i="2" s="1"/>
  <c r="AO91" i="2" s="1"/>
  <c r="AP93" i="2"/>
  <c r="AQ92" i="2"/>
  <c r="AR92" i="2" s="1"/>
  <c r="AS92" i="2" s="1"/>
  <c r="AQ91" i="2"/>
  <c r="AR91" i="2" s="1"/>
  <c r="AS91" i="2" s="1"/>
  <c r="AT93" i="2"/>
  <c r="AX92" i="2"/>
  <c r="AY92" i="2" s="1"/>
  <c r="AU92" i="2"/>
  <c r="AV92" i="2" s="1"/>
  <c r="AW92" i="2" s="1"/>
  <c r="AU91" i="2"/>
  <c r="AY91" i="2"/>
  <c r="BA91" i="2" s="1"/>
  <c r="AD71" i="2"/>
  <c r="AD75" i="2" s="1"/>
  <c r="AD77" i="2" s="1"/>
  <c r="AD57" i="2"/>
  <c r="AD64" i="2" s="1"/>
  <c r="AE71" i="2"/>
  <c r="AE75" i="2" s="1"/>
  <c r="AE77" i="2" s="1"/>
  <c r="AE57" i="2"/>
  <c r="AE64" i="2" s="1"/>
  <c r="AC71" i="2"/>
  <c r="AC75" i="2" s="1"/>
  <c r="AC77" i="2" s="1"/>
  <c r="AC57" i="2"/>
  <c r="AC64" i="2" s="1"/>
  <c r="AF71" i="2"/>
  <c r="AF75" i="2" s="1"/>
  <c r="AF77" i="2" s="1"/>
  <c r="AF57" i="2"/>
  <c r="AF64" i="2" s="1"/>
  <c r="AH71" i="2"/>
  <c r="AH75" i="2" s="1"/>
  <c r="AH77" i="2" s="1"/>
  <c r="AH57" i="2"/>
  <c r="AH64" i="2" s="1"/>
  <c r="AG71" i="2"/>
  <c r="AG75" i="2" s="1"/>
  <c r="AG77" i="2" s="1"/>
  <c r="AG57" i="2"/>
  <c r="AG64" i="2" s="1"/>
  <c r="AI71" i="2"/>
  <c r="AI75" i="2" s="1"/>
  <c r="AI77" i="2" s="1"/>
  <c r="AI57" i="2"/>
  <c r="AI64" i="2" s="1"/>
  <c r="AJ71" i="2"/>
  <c r="AJ75" i="2" s="1"/>
  <c r="AJ77" i="2" s="1"/>
  <c r="AJ57" i="2"/>
  <c r="AJ64" i="2" s="1"/>
  <c r="AL71" i="2"/>
  <c r="AL75" i="2" s="1"/>
  <c r="AL77" i="2" s="1"/>
  <c r="AL57" i="2"/>
  <c r="AL64" i="2" s="1"/>
  <c r="AM71" i="2"/>
  <c r="AM75" i="2" s="1"/>
  <c r="AM77" i="2" s="1"/>
  <c r="AM57" i="2"/>
  <c r="AM64" i="2" s="1"/>
  <c r="AK71" i="2"/>
  <c r="AK75" i="2" s="1"/>
  <c r="AK77" i="2" s="1"/>
  <c r="AK57" i="2"/>
  <c r="AK64" i="2" s="1"/>
  <c r="AN71" i="2"/>
  <c r="AN75" i="2" s="1"/>
  <c r="AN77" i="2" s="1"/>
  <c r="AN57" i="2"/>
  <c r="AN64" i="2" s="1"/>
  <c r="AP71" i="2"/>
  <c r="AP75" i="2" s="1"/>
  <c r="AP77" i="2" s="1"/>
  <c r="AP57" i="2"/>
  <c r="AP64" i="2" s="1"/>
  <c r="AQ71" i="2"/>
  <c r="AQ75" i="2" s="1"/>
  <c r="AQ77" i="2" s="1"/>
  <c r="AQ57" i="2"/>
  <c r="AQ64" i="2" s="1"/>
  <c r="AO71" i="2"/>
  <c r="AO75" i="2" s="1"/>
  <c r="AO77" i="2" s="1"/>
  <c r="AO57" i="2"/>
  <c r="AO64" i="2" s="1"/>
  <c r="AR71" i="2"/>
  <c r="AR75" i="2" s="1"/>
  <c r="AR77" i="2" s="1"/>
  <c r="AR57" i="2"/>
  <c r="AR64" i="2" s="1"/>
  <c r="AT71" i="2"/>
  <c r="AT75" i="2" s="1"/>
  <c r="AT77" i="2" s="1"/>
  <c r="AT57" i="2"/>
  <c r="AT64" i="2" s="1"/>
  <c r="AU71" i="2"/>
  <c r="AU75" i="2" s="1"/>
  <c r="AU77" i="2" s="1"/>
  <c r="AU57" i="2"/>
  <c r="AU64" i="2" s="1"/>
  <c r="AS71" i="2"/>
  <c r="AS75" i="2" s="1"/>
  <c r="AS77" i="2" s="1"/>
  <c r="AS57" i="2"/>
  <c r="AS64" i="2" s="1"/>
  <c r="AV71" i="2"/>
  <c r="AV75" i="2" s="1"/>
  <c r="AV77" i="2" s="1"/>
  <c r="AV57" i="2"/>
  <c r="AV64" i="2" s="1"/>
  <c r="AX71" i="2"/>
  <c r="AX75" i="2" s="1"/>
  <c r="AX77" i="2" s="1"/>
  <c r="AX57" i="2"/>
  <c r="AX64" i="2" s="1"/>
  <c r="AW71" i="2"/>
  <c r="AW75" i="2" s="1"/>
  <c r="AW77" i="2" s="1"/>
  <c r="AW57" i="2"/>
  <c r="AW64" i="2" s="1"/>
  <c r="AY71" i="2"/>
  <c r="AY75" i="2" s="1"/>
  <c r="AY77" i="2" s="1"/>
  <c r="AY57" i="2"/>
  <c r="AY64" i="2" s="1"/>
  <c r="CT45" i="2"/>
  <c r="BU45" i="2"/>
  <c r="BT45" i="2"/>
  <c r="AA38" i="2"/>
  <c r="O5" i="2"/>
  <c r="O6" i="2" s="1"/>
  <c r="P5" i="2"/>
  <c r="P6" i="2" s="1"/>
  <c r="Q21" i="2"/>
  <c r="AC21" i="2"/>
  <c r="R5" i="2"/>
  <c r="R6" i="2" s="1"/>
  <c r="S5" i="2"/>
  <c r="S6" i="2" s="1"/>
  <c r="T5" i="2"/>
  <c r="T6" i="2" s="1"/>
  <c r="U21" i="2"/>
  <c r="U5" i="2" s="1"/>
  <c r="U6" i="2" s="1"/>
  <c r="V5" i="2"/>
  <c r="V6" i="2" s="1"/>
  <c r="W5" i="2"/>
  <c r="W6" i="2" s="1"/>
  <c r="X5" i="2"/>
  <c r="X6" i="2" s="1"/>
  <c r="Y21" i="2"/>
  <c r="AV39" i="2"/>
  <c r="AU39" i="2"/>
  <c r="AT39" i="2"/>
  <c r="AR39" i="2"/>
  <c r="AQ39" i="2"/>
  <c r="AP39" i="2"/>
  <c r="AN39" i="2"/>
  <c r="BV4" i="2"/>
  <c r="BV5" i="2" s="1"/>
  <c r="BW4" i="2"/>
  <c r="BW5" i="2" s="1"/>
  <c r="BX4" i="2"/>
  <c r="BX5" i="2" s="1"/>
  <c r="Z5" i="2"/>
  <c r="Z6" i="2" s="1"/>
  <c r="AA5" i="2"/>
  <c r="AA6" i="2" s="1"/>
  <c r="AB5" i="2"/>
  <c r="AB6" i="2" s="1"/>
  <c r="AC30" i="2"/>
  <c r="AC28" i="2"/>
  <c r="AC25" i="2"/>
  <c r="AC24" i="2"/>
  <c r="AC23" i="2"/>
  <c r="AC22" i="2"/>
  <c r="BS38" i="2"/>
  <c r="BS39" i="2"/>
  <c r="BS28" i="2"/>
  <c r="BS26" i="2"/>
  <c r="BS27" i="2" s="1"/>
  <c r="BT28" i="2"/>
  <c r="BT39" i="2"/>
  <c r="BT38" i="2"/>
  <c r="BT26" i="2"/>
  <c r="BT27" i="2" s="1"/>
  <c r="BU39" i="2"/>
  <c r="BU38" i="2"/>
  <c r="BU26" i="2"/>
  <c r="BU27" i="2" s="1"/>
  <c r="BV39" i="2"/>
  <c r="BV38" i="2"/>
  <c r="BV26" i="2"/>
  <c r="BV27" i="2" s="1"/>
  <c r="BW39" i="2"/>
  <c r="BW38" i="2"/>
  <c r="BW26" i="2"/>
  <c r="BW27" i="2" s="1"/>
  <c r="BX39" i="2"/>
  <c r="BX38" i="2"/>
  <c r="BX26" i="2"/>
  <c r="BX27" i="2" s="1"/>
  <c r="BX29" i="2" s="1"/>
  <c r="BX31" i="2" s="1"/>
  <c r="BX33" i="2" s="1"/>
  <c r="AA26" i="2"/>
  <c r="AA27" i="2" s="1"/>
  <c r="AA39" i="2" s="1"/>
  <c r="AB38" i="2"/>
  <c r="AB26" i="2"/>
  <c r="AB27" i="2" s="1"/>
  <c r="AB39" i="2" s="1"/>
  <c r="Z38" i="2"/>
  <c r="Z26" i="2"/>
  <c r="Z27" i="2" s="1"/>
  <c r="Z29" i="2" s="1"/>
  <c r="AH7" i="2"/>
  <c r="AI7" i="2"/>
  <c r="AJ7" i="2"/>
  <c r="AK7" i="2"/>
  <c r="AL7" i="2"/>
  <c r="AM7" i="2"/>
  <c r="AN7" i="2"/>
  <c r="AO7" i="2"/>
  <c r="AP7" i="2"/>
  <c r="AQ7" i="2"/>
  <c r="AR7" i="2"/>
  <c r="AS7" i="2"/>
  <c r="AG22" i="2"/>
  <c r="AG23" i="2"/>
  <c r="AG24" i="2"/>
  <c r="AG25" i="2"/>
  <c r="AG28" i="2"/>
  <c r="AG30" i="2"/>
  <c r="AG21" i="2"/>
  <c r="AG5" i="2" s="1"/>
  <c r="AG6" i="2" s="1"/>
  <c r="AI38" i="2"/>
  <c r="AJ38" i="2"/>
  <c r="AK22" i="2"/>
  <c r="AK23" i="2"/>
  <c r="AK24" i="2"/>
  <c r="AK25" i="2"/>
  <c r="AK28" i="2"/>
  <c r="AK30" i="2"/>
  <c r="AK21" i="2"/>
  <c r="BY4" i="2"/>
  <c r="BY5" i="2" s="1"/>
  <c r="BZ4" i="2"/>
  <c r="BZ5" i="2" s="1"/>
  <c r="CA4" i="2"/>
  <c r="CA5" i="2" s="1"/>
  <c r="BY39" i="2"/>
  <c r="BY38" i="2"/>
  <c r="BY26" i="2"/>
  <c r="BY27" i="2" s="1"/>
  <c r="BY29" i="2" s="1"/>
  <c r="BY31" i="2" s="1"/>
  <c r="BY33" i="2" s="1"/>
  <c r="BZ39" i="2"/>
  <c r="BZ38" i="2"/>
  <c r="BZ26" i="2"/>
  <c r="BZ27" i="2" s="1"/>
  <c r="BZ29" i="2" s="1"/>
  <c r="BZ31" i="2" s="1"/>
  <c r="BZ33" i="2" s="1"/>
  <c r="BZ3" i="2"/>
  <c r="BY3" i="2" s="1"/>
  <c r="BX3" i="2" s="1"/>
  <c r="BW3" i="2" s="1"/>
  <c r="BV3" i="2" s="1"/>
  <c r="BU3" i="2" s="1"/>
  <c r="BT3" i="2" s="1"/>
  <c r="BS3" i="2" s="1"/>
  <c r="AO22" i="2"/>
  <c r="AO23" i="2"/>
  <c r="AO24" i="2"/>
  <c r="AO25" i="2"/>
  <c r="AO28" i="2"/>
  <c r="AO30" i="2"/>
  <c r="AO21" i="2"/>
  <c r="AR38" i="2"/>
  <c r="AS30" i="2"/>
  <c r="AS28" i="2"/>
  <c r="AS25" i="2"/>
  <c r="AS24" i="2"/>
  <c r="AS23" i="2"/>
  <c r="AS22" i="2"/>
  <c r="AS21" i="2"/>
  <c r="AW22" i="2"/>
  <c r="AW23" i="2"/>
  <c r="AW24" i="2"/>
  <c r="AW25" i="2"/>
  <c r="AW28" i="2"/>
  <c r="AW30" i="2"/>
  <c r="AW21" i="2"/>
  <c r="AW11" i="2" s="1"/>
  <c r="CB4" i="2"/>
  <c r="CB5" i="2" s="1"/>
  <c r="CC4" i="2"/>
  <c r="CC5" i="2" s="1"/>
  <c r="CA39" i="2"/>
  <c r="CA38" i="2"/>
  <c r="CA26" i="2"/>
  <c r="CA27" i="2" s="1"/>
  <c r="CA29" i="2" s="1"/>
  <c r="CA31" i="2" s="1"/>
  <c r="CA33" i="2" s="1"/>
  <c r="CB26" i="2"/>
  <c r="CB27" i="2" s="1"/>
  <c r="CB29" i="2" s="1"/>
  <c r="CC26" i="2"/>
  <c r="CB39" i="2"/>
  <c r="AD5" i="2"/>
  <c r="AD6" i="2" s="1"/>
  <c r="AE5" i="2"/>
  <c r="AE6" i="2" s="1"/>
  <c r="AF5" i="2"/>
  <c r="AF6" i="2" s="1"/>
  <c r="AD38" i="2"/>
  <c r="AD26" i="2"/>
  <c r="AD27" i="2" s="1"/>
  <c r="AD29" i="2" s="1"/>
  <c r="AE38" i="2"/>
  <c r="AE26" i="2"/>
  <c r="AE27" i="2" s="1"/>
  <c r="AF38" i="2"/>
  <c r="AF26" i="2"/>
  <c r="AF27" i="2" s="1"/>
  <c r="AF29" i="2" s="1"/>
  <c r="AH5" i="2"/>
  <c r="AH6" i="2" s="1"/>
  <c r="AI5" i="2"/>
  <c r="AI6" i="2" s="1"/>
  <c r="AH38" i="2"/>
  <c r="AH26" i="2"/>
  <c r="AH27" i="2" s="1"/>
  <c r="AH29" i="2" s="1"/>
  <c r="AI26" i="2"/>
  <c r="AI27" i="2" s="1"/>
  <c r="AJ5" i="2"/>
  <c r="AJ6" i="2" s="1"/>
  <c r="AJ26" i="2"/>
  <c r="AJ27" i="2" s="1"/>
  <c r="AL5" i="2"/>
  <c r="AL6" i="2" s="1"/>
  <c r="AM5" i="2"/>
  <c r="AM6" i="2" s="1"/>
  <c r="AL38" i="2"/>
  <c r="AL26" i="2"/>
  <c r="AL27" i="2" s="1"/>
  <c r="AL29" i="2" s="1"/>
  <c r="AM38" i="2"/>
  <c r="AM26" i="2"/>
  <c r="AM27" i="2" s="1"/>
  <c r="AM29" i="2" s="1"/>
  <c r="AN5" i="2"/>
  <c r="AN6" i="2" s="1"/>
  <c r="AP5" i="2"/>
  <c r="AP6" i="2" s="1"/>
  <c r="AN38" i="2"/>
  <c r="AN26" i="2"/>
  <c r="AN27" i="2" s="1"/>
  <c r="AN29" i="2" s="1"/>
  <c r="AP38" i="2"/>
  <c r="AP26" i="2"/>
  <c r="AP27" i="2" s="1"/>
  <c r="AP29" i="2" s="1"/>
  <c r="AQ5" i="2"/>
  <c r="AQ6" i="2" s="1"/>
  <c r="AQ38" i="2"/>
  <c r="AQ26" i="2"/>
  <c r="AQ27" i="2" s="1"/>
  <c r="AQ29" i="2" s="1"/>
  <c r="AR5" i="2"/>
  <c r="AR6" i="2" s="1"/>
  <c r="AR26" i="2"/>
  <c r="AR27" i="2" s="1"/>
  <c r="AT7" i="2"/>
  <c r="AX7" i="2"/>
  <c r="AW7" i="2"/>
  <c r="AV7" i="2"/>
  <c r="AU7" i="2"/>
  <c r="AY7" i="2"/>
  <c r="CB3" i="2"/>
  <c r="CC3" i="2" s="1"/>
  <c r="CD3" i="2" s="1"/>
  <c r="CE3" i="2" s="1"/>
  <c r="CF3" i="2" s="1"/>
  <c r="CG3" i="2" s="1"/>
  <c r="CH3" i="2" s="1"/>
  <c r="CI3" i="2" s="1"/>
  <c r="CJ3" i="2" s="1"/>
  <c r="CK3" i="2" s="1"/>
  <c r="CL3" i="2" s="1"/>
  <c r="CM3" i="2" s="1"/>
  <c r="CN3" i="2" s="1"/>
  <c r="CO3" i="2" s="1"/>
  <c r="AV5" i="2"/>
  <c r="AU5" i="2"/>
  <c r="AU6" i="2" s="1"/>
  <c r="AT5" i="2"/>
  <c r="AT6" i="2" s="1"/>
  <c r="AV38" i="2"/>
  <c r="AV26" i="2"/>
  <c r="AV27" i="2" s="1"/>
  <c r="AV29" i="2" s="1"/>
  <c r="CJ2" i="2" l="1"/>
  <c r="CP25" i="2"/>
  <c r="CP23" i="2"/>
  <c r="CP39" i="2" s="1"/>
  <c r="CP22" i="2"/>
  <c r="CP26" i="2" s="1"/>
  <c r="CP27" i="2" s="1"/>
  <c r="CF21" i="2"/>
  <c r="BK24" i="2"/>
  <c r="BI83" i="2"/>
  <c r="BJ25" i="2"/>
  <c r="BJ49" i="2" s="1"/>
  <c r="CE41" i="2"/>
  <c r="BL24" i="2"/>
  <c r="BI88" i="2"/>
  <c r="BI96" i="2"/>
  <c r="CF26" i="2"/>
  <c r="BM24" i="2"/>
  <c r="BL22" i="2"/>
  <c r="BK25" i="2"/>
  <c r="BM22" i="2"/>
  <c r="BL25" i="2"/>
  <c r="BI84" i="2"/>
  <c r="BI45" i="2"/>
  <c r="CF19" i="2"/>
  <c r="BK23" i="2"/>
  <c r="BM25" i="2"/>
  <c r="BJ22" i="2"/>
  <c r="BJ38" i="2" s="1"/>
  <c r="BI12" i="2"/>
  <c r="BJ23" i="2"/>
  <c r="BJ47" i="2" s="1"/>
  <c r="BK21" i="2"/>
  <c r="BK38" i="2" s="1"/>
  <c r="CE44" i="2"/>
  <c r="BL21" i="2"/>
  <c r="BL45" i="2" s="1"/>
  <c r="BM45" i="2"/>
  <c r="BL46" i="2"/>
  <c r="BL49" i="2"/>
  <c r="BL27" i="2"/>
  <c r="BJ27" i="2"/>
  <c r="BB45" i="2"/>
  <c r="CE42" i="2"/>
  <c r="BF43" i="2"/>
  <c r="BG43" i="2"/>
  <c r="BC43" i="2"/>
  <c r="BB43" i="2"/>
  <c r="BH43" i="2"/>
  <c r="BD43" i="2"/>
  <c r="BE43" i="2"/>
  <c r="AW45" i="2"/>
  <c r="AG45" i="2"/>
  <c r="AO45" i="2"/>
  <c r="AK45" i="2"/>
  <c r="AC45" i="2"/>
  <c r="BD45" i="2"/>
  <c r="U45" i="2"/>
  <c r="AS45" i="2"/>
  <c r="BA45" i="2"/>
  <c r="BC45" i="2"/>
  <c r="Y45" i="2"/>
  <c r="AX45" i="2"/>
  <c r="BF45" i="2"/>
  <c r="BE45" i="2"/>
  <c r="BG45" i="2"/>
  <c r="BH45" i="2"/>
  <c r="BG12" i="2"/>
  <c r="BD11" i="2"/>
  <c r="CD19" i="2"/>
  <c r="CE21" i="2"/>
  <c r="CE45" i="2" s="1"/>
  <c r="AH83" i="2"/>
  <c r="AZ83" i="2"/>
  <c r="BH11" i="2"/>
  <c r="AP83" i="2"/>
  <c r="AI83" i="2"/>
  <c r="BI38" i="2"/>
  <c r="CE19" i="2"/>
  <c r="BE5" i="2"/>
  <c r="BI8" i="2" s="1"/>
  <c r="BF5" i="2"/>
  <c r="BG5" i="2"/>
  <c r="AO84" i="2"/>
  <c r="BH5" i="2"/>
  <c r="BH6" i="2" s="1"/>
  <c r="BY6" i="2"/>
  <c r="CT41" i="2"/>
  <c r="BF83" i="2"/>
  <c r="BF64" i="2"/>
  <c r="BG84" i="2"/>
  <c r="AY83" i="2"/>
  <c r="AN84" i="2"/>
  <c r="BD84" i="2"/>
  <c r="BH84" i="2"/>
  <c r="AR83" i="2"/>
  <c r="AV84" i="2"/>
  <c r="AN83" i="2"/>
  <c r="BH83" i="2"/>
  <c r="AV83" i="2"/>
  <c r="AJ83" i="2"/>
  <c r="BG83" i="2"/>
  <c r="AF83" i="2"/>
  <c r="AX83" i="2"/>
  <c r="AF84" i="2"/>
  <c r="BD83" i="2"/>
  <c r="AD84" i="2"/>
  <c r="AL84" i="2"/>
  <c r="AT84" i="2"/>
  <c r="BB84" i="2"/>
  <c r="AG83" i="2"/>
  <c r="AO83" i="2"/>
  <c r="AW83" i="2"/>
  <c r="BE83" i="2"/>
  <c r="AE84" i="2"/>
  <c r="AM84" i="2"/>
  <c r="AU84" i="2"/>
  <c r="BC84" i="2"/>
  <c r="AG84" i="2"/>
  <c r="AW84" i="2"/>
  <c r="AH84" i="2"/>
  <c r="AP84" i="2"/>
  <c r="AX84" i="2"/>
  <c r="AC83" i="2"/>
  <c r="AS83" i="2"/>
  <c r="AI84" i="2"/>
  <c r="AY84" i="2"/>
  <c r="AD83" i="2"/>
  <c r="AL83" i="2"/>
  <c r="AT83" i="2"/>
  <c r="BB83" i="2"/>
  <c r="AJ84" i="2"/>
  <c r="AR84" i="2"/>
  <c r="AZ84" i="2"/>
  <c r="AQ83" i="2"/>
  <c r="BE84" i="2"/>
  <c r="BF84" i="2"/>
  <c r="AK83" i="2"/>
  <c r="BA83" i="2"/>
  <c r="AQ84" i="2"/>
  <c r="AE83" i="2"/>
  <c r="AM83" i="2"/>
  <c r="AU83" i="2"/>
  <c r="BC83" i="2"/>
  <c r="AC84" i="2"/>
  <c r="AK84" i="2"/>
  <c r="AS84" i="2"/>
  <c r="BA84" i="2"/>
  <c r="BH96" i="2"/>
  <c r="BH88" i="2"/>
  <c r="BC46" i="2"/>
  <c r="BC49" i="2"/>
  <c r="BC27" i="2"/>
  <c r="BC29" i="2" s="1"/>
  <c r="BC31" i="2" s="1"/>
  <c r="BC94" i="2" s="1"/>
  <c r="BC38" i="2"/>
  <c r="AX47" i="2"/>
  <c r="AY39" i="2"/>
  <c r="AY11" i="2"/>
  <c r="AY12" i="2" s="1"/>
  <c r="AY5" i="2"/>
  <c r="AY6" i="2" s="1"/>
  <c r="BG47" i="2"/>
  <c r="BG38" i="2"/>
  <c r="BF39" i="2"/>
  <c r="BF49" i="2"/>
  <c r="BF48" i="2"/>
  <c r="BF47" i="2"/>
  <c r="BF46" i="2"/>
  <c r="AX5" i="2"/>
  <c r="AX6" i="2" s="1"/>
  <c r="AX48" i="2"/>
  <c r="BB39" i="2"/>
  <c r="BB5" i="2"/>
  <c r="BB48" i="2"/>
  <c r="BB47" i="2"/>
  <c r="BB38" i="2"/>
  <c r="BB49" i="2"/>
  <c r="BB46" i="2"/>
  <c r="BB11" i="2"/>
  <c r="BF12" i="2" s="1"/>
  <c r="AZ49" i="2"/>
  <c r="AZ46" i="2"/>
  <c r="AZ5" i="2"/>
  <c r="AZ6" i="2" s="1"/>
  <c r="AZ11" i="2"/>
  <c r="AZ12" i="2" s="1"/>
  <c r="AZ48" i="2"/>
  <c r="AZ47" i="2"/>
  <c r="AY38" i="2"/>
  <c r="BB27" i="2"/>
  <c r="BB29" i="2" s="1"/>
  <c r="BB31" i="2" s="1"/>
  <c r="AX11" i="2"/>
  <c r="AX12" i="2" s="1"/>
  <c r="BD5" i="2"/>
  <c r="BD6" i="2" s="1"/>
  <c r="BG27" i="2"/>
  <c r="BG29" i="2" s="1"/>
  <c r="BG31" i="2" s="1"/>
  <c r="AY47" i="2"/>
  <c r="BD49" i="2"/>
  <c r="BC39" i="2"/>
  <c r="BD27" i="2"/>
  <c r="BD29" i="2" s="1"/>
  <c r="BD31" i="2" s="1"/>
  <c r="AX46" i="2"/>
  <c r="BC47" i="2"/>
  <c r="BC48" i="2"/>
  <c r="AX49" i="2"/>
  <c r="BG48" i="2"/>
  <c r="AY48" i="2"/>
  <c r="BG39" i="2"/>
  <c r="BG46" i="2"/>
  <c r="BD38" i="2"/>
  <c r="AY46" i="2"/>
  <c r="BD47" i="2"/>
  <c r="BD48" i="2"/>
  <c r="AY49" i="2"/>
  <c r="BF38" i="2"/>
  <c r="BG49" i="2"/>
  <c r="BD46" i="2"/>
  <c r="BC5" i="2"/>
  <c r="BC6" i="2" s="1"/>
  <c r="BF27" i="2"/>
  <c r="BF29" i="2" s="1"/>
  <c r="BF31" i="2" s="1"/>
  <c r="BH49" i="2"/>
  <c r="BH39" i="2"/>
  <c r="BH46" i="2"/>
  <c r="BH47" i="2"/>
  <c r="BH48" i="2"/>
  <c r="BH27" i="2"/>
  <c r="BH29" i="2" s="1"/>
  <c r="BH31" i="2" s="1"/>
  <c r="AG48" i="2"/>
  <c r="AG47" i="2"/>
  <c r="CD14" i="2"/>
  <c r="AW46" i="2"/>
  <c r="AO48" i="2"/>
  <c r="AO47" i="2"/>
  <c r="CC14" i="2"/>
  <c r="CD10" i="2"/>
  <c r="BA92" i="2"/>
  <c r="BA93" i="2" s="1"/>
  <c r="BC93" i="2"/>
  <c r="BD93" i="2"/>
  <c r="BG96" i="2" s="1"/>
  <c r="CD11" i="2"/>
  <c r="CD12" i="2" s="1"/>
  <c r="AK47" i="2"/>
  <c r="BA49" i="2"/>
  <c r="AS49" i="2"/>
  <c r="AW47" i="2"/>
  <c r="AO49" i="2"/>
  <c r="AG49" i="2"/>
  <c r="AO46" i="2"/>
  <c r="AG46" i="2"/>
  <c r="AS47" i="2"/>
  <c r="AK49" i="2"/>
  <c r="BA47" i="2"/>
  <c r="AS48" i="2"/>
  <c r="AK48" i="2"/>
  <c r="BA48" i="2"/>
  <c r="AS46" i="2"/>
  <c r="BA46" i="2"/>
  <c r="AW49" i="2"/>
  <c r="AW48" i="2"/>
  <c r="AK46" i="2"/>
  <c r="CE10" i="2"/>
  <c r="BA11" i="2"/>
  <c r="BE12" i="2" s="1"/>
  <c r="CB6" i="2"/>
  <c r="BA6" i="2"/>
  <c r="BX6" i="2"/>
  <c r="BZ6" i="2"/>
  <c r="CD27" i="2"/>
  <c r="CA6" i="2"/>
  <c r="X8" i="2"/>
  <c r="AF8" i="2"/>
  <c r="AE8" i="2"/>
  <c r="W8" i="2"/>
  <c r="AD8" i="2"/>
  <c r="V8" i="2"/>
  <c r="BW6" i="2"/>
  <c r="AB8" i="2"/>
  <c r="T8" i="2"/>
  <c r="R8" i="2"/>
  <c r="AA8" i="2"/>
  <c r="S8" i="2"/>
  <c r="Z8" i="2"/>
  <c r="AI93" i="2"/>
  <c r="AX93" i="2"/>
  <c r="AV91" i="2"/>
  <c r="AW91" i="2" s="1"/>
  <c r="AW93" i="2" s="1"/>
  <c r="AY93" i="2"/>
  <c r="AS93" i="2"/>
  <c r="Q5" i="2"/>
  <c r="Q6" i="2" s="1"/>
  <c r="AM93" i="2"/>
  <c r="AO92" i="2"/>
  <c r="AO93" i="2" s="1"/>
  <c r="AU93" i="2"/>
  <c r="AK91" i="2"/>
  <c r="AK93" i="2" s="1"/>
  <c r="AJ93" i="2"/>
  <c r="AN93" i="2"/>
  <c r="AR93" i="2"/>
  <c r="AQ93" i="2"/>
  <c r="AS38" i="2"/>
  <c r="AO39" i="2"/>
  <c r="Y5" i="2"/>
  <c r="AW39" i="2"/>
  <c r="AC38" i="2"/>
  <c r="AC5" i="2"/>
  <c r="AS39" i="2"/>
  <c r="AC26" i="2"/>
  <c r="AC27" i="2"/>
  <c r="AC39" i="2" s="1"/>
  <c r="BS29" i="2"/>
  <c r="BT29" i="2"/>
  <c r="BU29" i="2"/>
  <c r="BU31" i="2" s="1"/>
  <c r="BU33" i="2" s="1"/>
  <c r="AL39" i="2"/>
  <c r="BV29" i="2"/>
  <c r="BV31" i="2" s="1"/>
  <c r="BV33" i="2" s="1"/>
  <c r="BW29" i="2"/>
  <c r="BW31" i="2" s="1"/>
  <c r="BW33" i="2" s="1"/>
  <c r="AM31" i="2"/>
  <c r="AI29" i="2"/>
  <c r="AI31" i="2" s="1"/>
  <c r="AH31" i="2"/>
  <c r="AD31" i="2"/>
  <c r="AJ29" i="2"/>
  <c r="AJ31" i="2" s="1"/>
  <c r="AR29" i="2"/>
  <c r="AR31" i="2" s="1"/>
  <c r="AQ31" i="2"/>
  <c r="AP31" i="2"/>
  <c r="AE29" i="2"/>
  <c r="AE31" i="2" s="1"/>
  <c r="AA29" i="2"/>
  <c r="AA31" i="2" s="1"/>
  <c r="AB29" i="2"/>
  <c r="AB31" i="2" s="1"/>
  <c r="AL31" i="2"/>
  <c r="AN31" i="2"/>
  <c r="AV31" i="2"/>
  <c r="AF31" i="2"/>
  <c r="AD39" i="2"/>
  <c r="Z39" i="2"/>
  <c r="Z31" i="2"/>
  <c r="AI39" i="2"/>
  <c r="AM39" i="2"/>
  <c r="AF39" i="2"/>
  <c r="AO38" i="2"/>
  <c r="AJ39" i="2"/>
  <c r="AE39" i="2"/>
  <c r="AH39" i="2"/>
  <c r="AV8" i="2"/>
  <c r="AN8" i="2"/>
  <c r="AK27" i="2"/>
  <c r="AK38" i="2"/>
  <c r="AK5" i="2"/>
  <c r="AK26" i="2"/>
  <c r="AU8" i="2"/>
  <c r="AM8" i="2"/>
  <c r="AT8" i="2"/>
  <c r="AL8" i="2"/>
  <c r="AG27" i="2"/>
  <c r="AG38" i="2"/>
  <c r="AR8" i="2"/>
  <c r="AJ8" i="2"/>
  <c r="AS5" i="2"/>
  <c r="AG26" i="2"/>
  <c r="AQ8" i="2"/>
  <c r="AI8" i="2"/>
  <c r="AP8" i="2"/>
  <c r="AH8" i="2"/>
  <c r="AO26" i="2"/>
  <c r="AO5" i="2"/>
  <c r="CC27" i="2"/>
  <c r="AO27" i="2"/>
  <c r="AS27" i="2"/>
  <c r="AS26" i="2"/>
  <c r="CB31" i="2"/>
  <c r="CB38" i="2"/>
  <c r="AV6" i="2"/>
  <c r="CE4" i="2"/>
  <c r="CK2" i="2" l="1"/>
  <c r="CJ35" i="2"/>
  <c r="CP38" i="2"/>
  <c r="BJ46" i="2"/>
  <c r="BK27" i="2"/>
  <c r="BK45" i="2"/>
  <c r="BK46" i="2"/>
  <c r="BK49" i="2"/>
  <c r="BK47" i="2"/>
  <c r="BJ39" i="2"/>
  <c r="BK39" i="2"/>
  <c r="BK48" i="2"/>
  <c r="BL38" i="2"/>
  <c r="BM49" i="2"/>
  <c r="CG24" i="2"/>
  <c r="CG23" i="2"/>
  <c r="BL39" i="2"/>
  <c r="BL47" i="2"/>
  <c r="BM48" i="2"/>
  <c r="BL48" i="2"/>
  <c r="CG25" i="2"/>
  <c r="BM38" i="2"/>
  <c r="CF49" i="2"/>
  <c r="CG49" i="2" s="1"/>
  <c r="CH49" i="2" s="1"/>
  <c r="CI49" i="2" s="1"/>
  <c r="CJ49" i="2" s="1"/>
  <c r="CK49" i="2" s="1"/>
  <c r="CL49" i="2" s="1"/>
  <c r="CM49" i="2" s="1"/>
  <c r="CN49" i="2" s="1"/>
  <c r="CO49" i="2" s="1"/>
  <c r="CE43" i="2"/>
  <c r="BH12" i="2"/>
  <c r="BG8" i="2"/>
  <c r="AU88" i="2"/>
  <c r="CE5" i="2"/>
  <c r="CE6" i="2" s="1"/>
  <c r="CF45" i="2"/>
  <c r="AT88" i="2"/>
  <c r="BB88" i="2"/>
  <c r="BH8" i="2"/>
  <c r="BG6" i="2"/>
  <c r="BD12" i="2"/>
  <c r="BF6" i="2"/>
  <c r="BF8" i="2"/>
  <c r="BE6" i="2"/>
  <c r="BE8" i="2"/>
  <c r="BD8" i="2"/>
  <c r="CF47" i="2"/>
  <c r="CG47" i="2" s="1"/>
  <c r="CH47" i="2" s="1"/>
  <c r="CI47" i="2" s="1"/>
  <c r="CJ47" i="2" s="1"/>
  <c r="CK47" i="2" s="1"/>
  <c r="CL47" i="2" s="1"/>
  <c r="CM47" i="2" s="1"/>
  <c r="CN47" i="2" s="1"/>
  <c r="CO47" i="2" s="1"/>
  <c r="BI39" i="2"/>
  <c r="CF46" i="2"/>
  <c r="CG46" i="2" s="1"/>
  <c r="CH46" i="2" s="1"/>
  <c r="CI46" i="2" s="1"/>
  <c r="CJ46" i="2" s="1"/>
  <c r="CK46" i="2" s="1"/>
  <c r="CL46" i="2" s="1"/>
  <c r="CM46" i="2" s="1"/>
  <c r="CN46" i="2" s="1"/>
  <c r="CO46" i="2" s="1"/>
  <c r="BF88" i="2"/>
  <c r="AZ88" i="2"/>
  <c r="CF48" i="2"/>
  <c r="CG48" i="2" s="1"/>
  <c r="CH48" i="2" s="1"/>
  <c r="CI48" i="2" s="1"/>
  <c r="CJ48" i="2" s="1"/>
  <c r="CK48" i="2" s="1"/>
  <c r="CL48" i="2" s="1"/>
  <c r="CM48" i="2" s="1"/>
  <c r="CN48" i="2" s="1"/>
  <c r="CO48" i="2" s="1"/>
  <c r="AR88" i="2"/>
  <c r="BA88" i="2"/>
  <c r="BC88" i="2"/>
  <c r="BD88" i="2"/>
  <c r="BG88" i="2"/>
  <c r="AQ88" i="2"/>
  <c r="BE96" i="2"/>
  <c r="AS88" i="2"/>
  <c r="BF33" i="2"/>
  <c r="BF94" i="2"/>
  <c r="BH33" i="2"/>
  <c r="BH94" i="2"/>
  <c r="BG33" i="2"/>
  <c r="BG94" i="2"/>
  <c r="BE88" i="2"/>
  <c r="BF96" i="2"/>
  <c r="AA85" i="2"/>
  <c r="Z85" i="2"/>
  <c r="AB85" i="2"/>
  <c r="BD94" i="2"/>
  <c r="BB94" i="2"/>
  <c r="BC33" i="2"/>
  <c r="AY8" i="2"/>
  <c r="BC12" i="2"/>
  <c r="BB12" i="2"/>
  <c r="BC8" i="2"/>
  <c r="AX8" i="2"/>
  <c r="AZ8" i="2"/>
  <c r="BD33" i="2"/>
  <c r="BB33" i="2"/>
  <c r="BD96" i="2"/>
  <c r="BC96" i="2"/>
  <c r="BB96" i="2"/>
  <c r="BA96" i="2"/>
  <c r="AZ96" i="2"/>
  <c r="CF4" i="2"/>
  <c r="CE14" i="2"/>
  <c r="BA12" i="2"/>
  <c r="CD29" i="2"/>
  <c r="BB6" i="2"/>
  <c r="BB8" i="2"/>
  <c r="Y6" i="2"/>
  <c r="Y8" i="2"/>
  <c r="AO96" i="2"/>
  <c r="AC6" i="2"/>
  <c r="AC8" i="2"/>
  <c r="U8" i="2"/>
  <c r="AG8" i="2"/>
  <c r="AU96" i="2"/>
  <c r="AR96" i="2"/>
  <c r="AN96" i="2"/>
  <c r="AV93" i="2"/>
  <c r="AW88" i="2" s="1"/>
  <c r="AB33" i="2"/>
  <c r="AH33" i="2"/>
  <c r="AH94" i="2"/>
  <c r="Z33" i="2"/>
  <c r="AA33" i="2"/>
  <c r="AI33" i="2"/>
  <c r="AI94" i="2"/>
  <c r="AQ96" i="2"/>
  <c r="AE33" i="2"/>
  <c r="AM33" i="2"/>
  <c r="AM94" i="2"/>
  <c r="AM96" i="2"/>
  <c r="AL96" i="2"/>
  <c r="AK96" i="2"/>
  <c r="AS96" i="2"/>
  <c r="AF33" i="2"/>
  <c r="AV33" i="2"/>
  <c r="AV94" i="2"/>
  <c r="AR33" i="2"/>
  <c r="AR94" i="2"/>
  <c r="AP33" i="2"/>
  <c r="AP94" i="2"/>
  <c r="AQ33" i="2"/>
  <c r="AQ94" i="2"/>
  <c r="AN33" i="2"/>
  <c r="AN94" i="2"/>
  <c r="AJ33" i="2"/>
  <c r="AJ94" i="2"/>
  <c r="AP96" i="2"/>
  <c r="AL33" i="2"/>
  <c r="AL94" i="2"/>
  <c r="AD33" i="2"/>
  <c r="AT96" i="2"/>
  <c r="AZ39" i="2"/>
  <c r="AC31" i="2"/>
  <c r="AF85" i="2" s="1"/>
  <c r="AC29" i="2"/>
  <c r="BS31" i="2"/>
  <c r="BS33" i="2" s="1"/>
  <c r="BT31" i="2"/>
  <c r="BT33" i="2" s="1"/>
  <c r="AO31" i="2"/>
  <c r="AR85" i="2" s="1"/>
  <c r="AK31" i="2"/>
  <c r="AN85" i="2" s="1"/>
  <c r="AS29" i="2"/>
  <c r="AO29" i="2"/>
  <c r="AK39" i="2"/>
  <c r="AK29" i="2"/>
  <c r="AG39" i="2"/>
  <c r="AG29" i="2"/>
  <c r="AG31" i="2"/>
  <c r="AJ85" i="2" s="1"/>
  <c r="AO6" i="2"/>
  <c r="AO8" i="2"/>
  <c r="AS6" i="2"/>
  <c r="AS8" i="2"/>
  <c r="AK6" i="2"/>
  <c r="AK8" i="2"/>
  <c r="CB33" i="2"/>
  <c r="AS31" i="2"/>
  <c r="AS85" i="2" s="1"/>
  <c r="AZ26" i="2"/>
  <c r="AZ27" i="2" s="1"/>
  <c r="AZ38" i="2"/>
  <c r="CL2" i="2" l="1"/>
  <c r="CK35" i="2"/>
  <c r="BM46" i="2"/>
  <c r="CG22" i="2"/>
  <c r="BM39" i="2"/>
  <c r="BM47" i="2"/>
  <c r="BM27" i="2"/>
  <c r="CG27" i="2" s="1"/>
  <c r="CG26" i="2"/>
  <c r="AV88" i="2"/>
  <c r="CG4" i="2"/>
  <c r="CF5" i="2"/>
  <c r="BI27" i="2"/>
  <c r="AQ85" i="2"/>
  <c r="B99" i="2"/>
  <c r="AO85" i="2"/>
  <c r="AG85" i="2"/>
  <c r="AX88" i="2"/>
  <c r="AL85" i="2"/>
  <c r="AK85" i="2"/>
  <c r="AP85" i="2"/>
  <c r="AD85" i="2"/>
  <c r="AE85" i="2"/>
  <c r="AH85" i="2"/>
  <c r="AM85" i="2"/>
  <c r="AC85" i="2"/>
  <c r="AY96" i="2"/>
  <c r="AY88" i="2"/>
  <c r="AI85" i="2"/>
  <c r="CE23" i="2"/>
  <c r="CE47" i="2" s="1"/>
  <c r="BE46" i="2"/>
  <c r="CE11" i="2"/>
  <c r="AW96" i="2"/>
  <c r="CD31" i="2"/>
  <c r="AO33" i="2"/>
  <c r="AO32" i="2" s="1"/>
  <c r="AG33" i="2"/>
  <c r="AG32" i="2" s="1"/>
  <c r="AC33" i="2"/>
  <c r="AC32" i="2" s="1"/>
  <c r="AK33" i="2"/>
  <c r="AK32" i="2" s="1"/>
  <c r="AV96" i="2"/>
  <c r="AX96" i="2"/>
  <c r="AK94" i="2"/>
  <c r="AN97" i="2" s="1"/>
  <c r="AN98" i="2" s="1"/>
  <c r="AS94" i="2"/>
  <c r="AS97" i="2" s="1"/>
  <c r="AS98" i="2" s="1"/>
  <c r="AS33" i="2"/>
  <c r="AS32" i="2" s="1"/>
  <c r="AO94" i="2"/>
  <c r="AR97" i="2" s="1"/>
  <c r="AR98" i="2" s="1"/>
  <c r="AZ29" i="2"/>
  <c r="CL35" i="2" l="1"/>
  <c r="CM2" i="2"/>
  <c r="CF27" i="2"/>
  <c r="BJ28" i="2"/>
  <c r="CE12" i="2"/>
  <c r="BI29" i="2"/>
  <c r="CF29" i="2" s="1"/>
  <c r="CH4" i="2"/>
  <c r="CI4" i="2" s="1"/>
  <c r="CJ4" i="2" s="1"/>
  <c r="CK4" i="2" s="1"/>
  <c r="CL4" i="2" s="1"/>
  <c r="CM4" i="2" s="1"/>
  <c r="CN4" i="2" s="1"/>
  <c r="CO4" i="2" s="1"/>
  <c r="CE24" i="2"/>
  <c r="CE48" i="2" s="1"/>
  <c r="BE48" i="2"/>
  <c r="CE25" i="2"/>
  <c r="CE49" i="2" s="1"/>
  <c r="BE49" i="2"/>
  <c r="BE26" i="2"/>
  <c r="CE22" i="2"/>
  <c r="CE46" i="2" s="1"/>
  <c r="BE39" i="2"/>
  <c r="BE38" i="2"/>
  <c r="CD33" i="2"/>
  <c r="AK97" i="2"/>
  <c r="AM97" i="2"/>
  <c r="AM98" i="2" s="1"/>
  <c r="AL97" i="2"/>
  <c r="AL98" i="2" s="1"/>
  <c r="AP97" i="2"/>
  <c r="AP98" i="2" s="1"/>
  <c r="AQ97" i="2"/>
  <c r="AQ98" i="2" s="1"/>
  <c r="AO97" i="2"/>
  <c r="AO98" i="2" s="1"/>
  <c r="CN2" i="2" l="1"/>
  <c r="CM35" i="2"/>
  <c r="BK28" i="2"/>
  <c r="BJ29" i="2"/>
  <c r="BJ30" i="2" s="1"/>
  <c r="BJ31" i="2" s="1"/>
  <c r="BJ33" i="2"/>
  <c r="BI31" i="2"/>
  <c r="AK98" i="2"/>
  <c r="BE27" i="2"/>
  <c r="CE26" i="2"/>
  <c r="CO2" i="2" l="1"/>
  <c r="CN35" i="2"/>
  <c r="BL28" i="2"/>
  <c r="BK29" i="2"/>
  <c r="BK30" i="2" s="1"/>
  <c r="BK31" i="2"/>
  <c r="CF31" i="2"/>
  <c r="CF35" i="2" s="1"/>
  <c r="BI85" i="2"/>
  <c r="BI94" i="2"/>
  <c r="BI97" i="2" s="1"/>
  <c r="BI98" i="2" s="1"/>
  <c r="BI33" i="2"/>
  <c r="CF33" i="2" s="1"/>
  <c r="CE27" i="2"/>
  <c r="CE28" i="2"/>
  <c r="CO35" i="2" l="1"/>
  <c r="CP2" i="2"/>
  <c r="BM28" i="2"/>
  <c r="BL29" i="2"/>
  <c r="BL30" i="2" s="1"/>
  <c r="BK33" i="2"/>
  <c r="BL31" i="2"/>
  <c r="BL33" i="2" s="1"/>
  <c r="CF32" i="2"/>
  <c r="CG45" i="2"/>
  <c r="BE29" i="2"/>
  <c r="CE29" i="2" s="1"/>
  <c r="CP35" i="2" l="1"/>
  <c r="CQ2" i="2"/>
  <c r="BM29" i="2"/>
  <c r="CE30" i="2"/>
  <c r="CR2" i="2" l="1"/>
  <c r="CQ35" i="2"/>
  <c r="CG29" i="2"/>
  <c r="BM30" i="2"/>
  <c r="BE31" i="2"/>
  <c r="BE33" i="2"/>
  <c r="CE33" i="2" s="1"/>
  <c r="AT38" i="2"/>
  <c r="AT26" i="2"/>
  <c r="AX38" i="2"/>
  <c r="AX26" i="2"/>
  <c r="AU38" i="2"/>
  <c r="AU26" i="2"/>
  <c r="AU27" i="2" s="1"/>
  <c r="AU29" i="2" s="1"/>
  <c r="CR35" i="2" l="1"/>
  <c r="CS2" i="2"/>
  <c r="BM31" i="2"/>
  <c r="CG30" i="2"/>
  <c r="BE94" i="2"/>
  <c r="BH85" i="2"/>
  <c r="BF85" i="2"/>
  <c r="BG85" i="2"/>
  <c r="BE85" i="2"/>
  <c r="CE31" i="2"/>
  <c r="CE32" i="2" s="1"/>
  <c r="AU31" i="2"/>
  <c r="AW26" i="2"/>
  <c r="AX27" i="2"/>
  <c r="AT27" i="2"/>
  <c r="AT29" i="2" s="1"/>
  <c r="AY26" i="2"/>
  <c r="AY27" i="2" s="1"/>
  <c r="AY29" i="2" s="1"/>
  <c r="CT2" i="2" l="1"/>
  <c r="CS35" i="2"/>
  <c r="BM33" i="2"/>
  <c r="CG33" i="2" s="1"/>
  <c r="CG31" i="2"/>
  <c r="BH97" i="2"/>
  <c r="BH98" i="2" s="1"/>
  <c r="BF97" i="2"/>
  <c r="BF98" i="2" s="1"/>
  <c r="BG97" i="2"/>
  <c r="BG98" i="2" s="1"/>
  <c r="BE97" i="2"/>
  <c r="BE98" i="2" s="1"/>
  <c r="BA27" i="2"/>
  <c r="BA26" i="2"/>
  <c r="AU33" i="2"/>
  <c r="AU94" i="2"/>
  <c r="AX29" i="2"/>
  <c r="BA29" i="2" s="1"/>
  <c r="AW27" i="2"/>
  <c r="AY31" i="2"/>
  <c r="CT43" i="2"/>
  <c r="L9" i="1"/>
  <c r="L10" i="1" s="1"/>
  <c r="CT35" i="2" l="1"/>
  <c r="CU2" i="2"/>
  <c r="CG32" i="2"/>
  <c r="CH32" i="2" s="1"/>
  <c r="CI32" i="2" s="1"/>
  <c r="CJ32" i="2" s="1"/>
  <c r="CK32" i="2" s="1"/>
  <c r="CL32" i="2" s="1"/>
  <c r="CM32" i="2" s="1"/>
  <c r="CN32" i="2" s="1"/>
  <c r="CO32" i="2" s="1"/>
  <c r="CP32" i="2" s="1"/>
  <c r="AY33" i="2"/>
  <c r="AY94" i="2"/>
  <c r="AW29" i="2"/>
  <c r="AZ31" i="2"/>
  <c r="AX31" i="2"/>
  <c r="K8" i="1"/>
  <c r="K11" i="1" s="1"/>
  <c r="AT31" i="2"/>
  <c r="CU35" i="2" l="1"/>
  <c r="CV2" i="2"/>
  <c r="AT85" i="2"/>
  <c r="AU85" i="2"/>
  <c r="AV85" i="2"/>
  <c r="AX94" i="2"/>
  <c r="BA31" i="2"/>
  <c r="BD85" i="2" s="1"/>
  <c r="AZ33" i="2"/>
  <c r="AZ94" i="2"/>
  <c r="AT94" i="2"/>
  <c r="AX33" i="2"/>
  <c r="AT33" i="2"/>
  <c r="CW2" i="2" l="1"/>
  <c r="CV35" i="2"/>
  <c r="BC85" i="2"/>
  <c r="BA85" i="2"/>
  <c r="BB85" i="2"/>
  <c r="BA94" i="2"/>
  <c r="BD97" i="2" s="1"/>
  <c r="BD98" i="2" s="1"/>
  <c r="BA33" i="2"/>
  <c r="BA32" i="2" s="1"/>
  <c r="AT97" i="2"/>
  <c r="AV97" i="2"/>
  <c r="AV98" i="2" s="1"/>
  <c r="AU97" i="2"/>
  <c r="AU98" i="2" s="1"/>
  <c r="CC38" i="2"/>
  <c r="CC39" i="2"/>
  <c r="AW38" i="2"/>
  <c r="AW5" i="2"/>
  <c r="BA8" i="2" s="1"/>
  <c r="CW35" i="2" l="1"/>
  <c r="CX2" i="2"/>
  <c r="BB97" i="2"/>
  <c r="BB98" i="2" s="1"/>
  <c r="AT98" i="2"/>
  <c r="BA97" i="2"/>
  <c r="BA98" i="2" s="1"/>
  <c r="BC97" i="2"/>
  <c r="BC98" i="2" s="1"/>
  <c r="CC6" i="2"/>
  <c r="AW8" i="2"/>
  <c r="AW6" i="2"/>
  <c r="CX35" i="2" l="1"/>
  <c r="CY2" i="2"/>
  <c r="CD6" i="2"/>
  <c r="BA38" i="2"/>
  <c r="CF6" i="2"/>
  <c r="CZ2" i="2" l="1"/>
  <c r="CY35" i="2"/>
  <c r="CD39" i="2"/>
  <c r="BA39" i="2"/>
  <c r="CD38" i="2"/>
  <c r="CG6" i="2"/>
  <c r="DA2" i="2" l="1"/>
  <c r="CZ35" i="2"/>
  <c r="CE38" i="2"/>
  <c r="CH6" i="2"/>
  <c r="CE39" i="2"/>
  <c r="DB2" i="2" l="1"/>
  <c r="DA35" i="2"/>
  <c r="CF38" i="2"/>
  <c r="CF39" i="2"/>
  <c r="CI6" i="2"/>
  <c r="DB35" i="2" l="1"/>
  <c r="DC2" i="2"/>
  <c r="CJ5" i="2"/>
  <c r="CJ6" i="2" s="1"/>
  <c r="DC35" i="2" l="1"/>
  <c r="DD2" i="2"/>
  <c r="CK5" i="2"/>
  <c r="CK6" i="2" s="1"/>
  <c r="DD35" i="2" l="1"/>
  <c r="DE2" i="2"/>
  <c r="CL5" i="2"/>
  <c r="CL6" i="2" s="1"/>
  <c r="DE35" i="2" l="1"/>
  <c r="DF2" i="2"/>
  <c r="CM5" i="2"/>
  <c r="CM6" i="2" s="1"/>
  <c r="DF35" i="2" l="1"/>
  <c r="DG2" i="2"/>
  <c r="CN5" i="2"/>
  <c r="CO5" i="2" s="1"/>
  <c r="CO6" i="2" s="1"/>
  <c r="DH2" i="2" l="1"/>
  <c r="DG35" i="2"/>
  <c r="CN6" i="2"/>
  <c r="DI2" i="2" l="1"/>
  <c r="DH35" i="2"/>
  <c r="CC29" i="2"/>
  <c r="CC31" i="2" s="1"/>
  <c r="CC33" i="2" s="1"/>
  <c r="AW33" i="2" s="1"/>
  <c r="DJ2" i="2" l="1"/>
  <c r="DI35" i="2"/>
  <c r="AW31" i="2"/>
  <c r="DK2" i="2" l="1"/>
  <c r="DJ35" i="2"/>
  <c r="AZ85" i="2"/>
  <c r="AY85" i="2"/>
  <c r="AX85" i="2"/>
  <c r="AW85" i="2"/>
  <c r="AW32" i="2"/>
  <c r="AW94" i="2"/>
  <c r="DK35" i="2" l="1"/>
  <c r="DL2" i="2"/>
  <c r="AZ97" i="2"/>
  <c r="AZ98" i="2" s="1"/>
  <c r="B100" i="2"/>
  <c r="AY97" i="2"/>
  <c r="AY98" i="2" s="1"/>
  <c r="AX97" i="2"/>
  <c r="AX98" i="2" s="1"/>
  <c r="AW97" i="2"/>
  <c r="DL35" i="2" l="1"/>
  <c r="DM2" i="2"/>
  <c r="AW98" i="2"/>
  <c r="BD82" i="2"/>
  <c r="BE81" i="2"/>
  <c r="BE82" i="2" s="1"/>
  <c r="BF82" i="2"/>
  <c r="BG82" i="2"/>
  <c r="BH82" i="2"/>
  <c r="CG39" i="2"/>
  <c r="DM35" i="2" l="1"/>
  <c r="DN2" i="2"/>
  <c r="CG38" i="2"/>
  <c r="DN35" i="2" l="1"/>
  <c r="DO2" i="2"/>
  <c r="BI10" i="2"/>
  <c r="CF9" i="2"/>
  <c r="CF14" i="2" s="1"/>
  <c r="DP2" i="2" l="1"/>
  <c r="DO35" i="2"/>
  <c r="CG9" i="2"/>
  <c r="CF11" i="2"/>
  <c r="DQ2" i="2" l="1"/>
  <c r="DP35" i="2"/>
  <c r="CF12" i="2"/>
  <c r="CH9" i="2"/>
  <c r="CG14" i="2"/>
  <c r="DR2" i="2" l="1"/>
  <c r="DQ35" i="2"/>
  <c r="CI9" i="2"/>
  <c r="CH14" i="2"/>
  <c r="DR35" i="2" l="1"/>
  <c r="DS2" i="2"/>
  <c r="CI14" i="2"/>
  <c r="CJ9" i="2"/>
  <c r="DS35" i="2" l="1"/>
  <c r="DT2" i="2"/>
  <c r="CK9" i="2"/>
  <c r="CJ14" i="2"/>
  <c r="DT35" i="2" l="1"/>
  <c r="DU2" i="2"/>
  <c r="CK14" i="2"/>
  <c r="CL9" i="2"/>
  <c r="DU35" i="2" l="1"/>
  <c r="DV2" i="2"/>
  <c r="CM9" i="2"/>
  <c r="CL14" i="2"/>
  <c r="DV35" i="2" l="1"/>
  <c r="DW2" i="2"/>
  <c r="CM14" i="2"/>
  <c r="CN9" i="2"/>
  <c r="DX2" i="2" l="1"/>
  <c r="DW35" i="2"/>
  <c r="CN14" i="2"/>
  <c r="CO9" i="2"/>
  <c r="DY2" i="2" l="1"/>
  <c r="DX35" i="2"/>
  <c r="CO14" i="2"/>
  <c r="DZ2" i="2" l="1"/>
  <c r="DY35" i="2"/>
  <c r="I81" i="2"/>
  <c r="I82" i="2" s="1"/>
  <c r="F81" i="2"/>
  <c r="F82" i="2" s="1"/>
  <c r="C81" i="2"/>
  <c r="C82" i="2" s="1"/>
  <c r="D81" i="2"/>
  <c r="D82" i="2" s="1"/>
  <c r="E81" i="2"/>
  <c r="E82" i="2" s="1"/>
  <c r="H81" i="2"/>
  <c r="H82" i="2" s="1"/>
  <c r="G81" i="2"/>
  <c r="G82" i="2"/>
  <c r="J81" i="2"/>
  <c r="J82" i="2" s="1"/>
  <c r="AO81" i="2"/>
  <c r="AO82" i="2" s="1"/>
  <c r="AA81" i="2"/>
  <c r="AA82" i="2" s="1"/>
  <c r="AI81" i="2"/>
  <c r="AI82" i="2" s="1"/>
  <c r="AG81" i="2"/>
  <c r="AG82" i="2" s="1"/>
  <c r="AL81" i="2"/>
  <c r="AL82" i="2" s="1"/>
  <c r="N81" i="2"/>
  <c r="N82" i="2" s="1"/>
  <c r="Y81" i="2"/>
  <c r="Y82" i="2" s="1"/>
  <c r="K81" i="2"/>
  <c r="K82" i="2" s="1"/>
  <c r="W81" i="2"/>
  <c r="W82" i="2" s="1"/>
  <c r="AK81" i="2"/>
  <c r="AK82" i="2" s="1"/>
  <c r="AE81" i="2"/>
  <c r="AE82" i="2" s="1"/>
  <c r="AS81" i="2"/>
  <c r="AS82" i="2" s="1"/>
  <c r="S81" i="2"/>
  <c r="S82" i="2" s="1"/>
  <c r="AF81" i="2"/>
  <c r="AF82" i="2"/>
  <c r="R81" i="2"/>
  <c r="R82" i="2" s="1"/>
  <c r="AH81" i="2"/>
  <c r="AH82" i="2" s="1"/>
  <c r="X81" i="2"/>
  <c r="X82" i="2" s="1"/>
  <c r="U81" i="2"/>
  <c r="U82" i="2" s="1"/>
  <c r="L81" i="2"/>
  <c r="L82" i="2" s="1"/>
  <c r="M81" i="2"/>
  <c r="M82" i="2" s="1"/>
  <c r="O81" i="2"/>
  <c r="O82" i="2" s="1"/>
  <c r="AM81" i="2"/>
  <c r="AM82" i="2" s="1"/>
  <c r="AB81" i="2"/>
  <c r="AB82" i="2" s="1"/>
  <c r="AC81" i="2"/>
  <c r="AC82" i="2" s="1"/>
  <c r="AR81" i="2"/>
  <c r="AR82" i="2" s="1"/>
  <c r="Z81" i="2"/>
  <c r="Z82" i="2"/>
  <c r="AQ81" i="2"/>
  <c r="AQ82" i="2" s="1"/>
  <c r="V81" i="2"/>
  <c r="V82" i="2" s="1"/>
  <c r="AJ81" i="2"/>
  <c r="AJ82" i="2"/>
  <c r="P81" i="2"/>
  <c r="P82" i="2" s="1"/>
  <c r="AP81" i="2"/>
  <c r="AP82" i="2"/>
  <c r="AN81" i="2"/>
  <c r="AN82" i="2" s="1"/>
  <c r="AD81" i="2"/>
  <c r="AD82" i="2" s="1"/>
  <c r="Q81" i="2"/>
  <c r="Q82" i="2"/>
  <c r="T81" i="2"/>
  <c r="T82" i="2" s="1"/>
  <c r="AZ81" i="2"/>
  <c r="AZ82" i="2" s="1"/>
  <c r="BA81" i="2"/>
  <c r="BA82" i="2" s="1"/>
  <c r="AU81" i="2"/>
  <c r="AU82" i="2" s="1"/>
  <c r="BC81" i="2"/>
  <c r="BC82" i="2"/>
  <c r="BB81" i="2"/>
  <c r="BB82" i="2" s="1"/>
  <c r="AW81" i="2"/>
  <c r="AW82" i="2" s="1"/>
  <c r="AX81" i="2"/>
  <c r="AX82" i="2"/>
  <c r="AT81" i="2"/>
  <c r="AT82" i="2" s="1"/>
  <c r="AV81" i="2"/>
  <c r="AV82" i="2" s="1"/>
  <c r="AY81" i="2"/>
  <c r="AY82" i="2" s="1"/>
  <c r="CG12" i="2"/>
  <c r="CH11" i="2"/>
  <c r="DZ35" i="2" l="1"/>
  <c r="EA2" i="2"/>
  <c r="CH21" i="2"/>
  <c r="CI11" i="2"/>
  <c r="EA35" i="2" l="1"/>
  <c r="EB2" i="2"/>
  <c r="CJ11" i="2"/>
  <c r="CI21" i="2"/>
  <c r="CH22" i="2"/>
  <c r="CH24" i="2"/>
  <c r="CH23" i="2"/>
  <c r="CH39" i="2" s="1"/>
  <c r="CH38" i="2"/>
  <c r="CH45" i="2"/>
  <c r="CH25" i="2"/>
  <c r="EB35" i="2" l="1"/>
  <c r="EC2" i="2"/>
  <c r="CI25" i="2"/>
  <c r="CI24" i="2"/>
  <c r="CI23" i="2"/>
  <c r="CI39" i="2" s="1"/>
  <c r="CI22" i="2"/>
  <c r="CI26" i="2" s="1"/>
  <c r="CI27" i="2" s="1"/>
  <c r="CI45" i="2"/>
  <c r="CH26" i="2"/>
  <c r="CH27" i="2" s="1"/>
  <c r="CH29" i="2" s="1"/>
  <c r="CJ21" i="2"/>
  <c r="CK11" i="2"/>
  <c r="EC35" i="2" l="1"/>
  <c r="ED2" i="2"/>
  <c r="CH30" i="2"/>
  <c r="CH31" i="2" s="1"/>
  <c r="CL11" i="2"/>
  <c r="CK21" i="2"/>
  <c r="CI38" i="2"/>
  <c r="CJ25" i="2"/>
  <c r="CJ45" i="2"/>
  <c r="CJ22" i="2"/>
  <c r="CJ24" i="2"/>
  <c r="CJ38" i="2"/>
  <c r="CJ23" i="2"/>
  <c r="ED35" i="2" l="1"/>
  <c r="EE2" i="2"/>
  <c r="CM11" i="2"/>
  <c r="CL21" i="2"/>
  <c r="CJ26" i="2"/>
  <c r="CJ27" i="2" s="1"/>
  <c r="CJ39" i="2"/>
  <c r="CK24" i="2"/>
  <c r="CK22" i="2"/>
  <c r="CK25" i="2"/>
  <c r="CK23" i="2"/>
  <c r="CK45" i="2"/>
  <c r="CH52" i="2"/>
  <c r="CI28" i="2" s="1"/>
  <c r="CH33" i="2"/>
  <c r="EF2" i="2" l="1"/>
  <c r="EE35" i="2"/>
  <c r="CK26" i="2"/>
  <c r="CK27" i="2" s="1"/>
  <c r="CK38" i="2"/>
  <c r="CI29" i="2"/>
  <c r="CK39" i="2"/>
  <c r="CL25" i="2"/>
  <c r="CL23" i="2"/>
  <c r="CL22" i="2"/>
  <c r="CL45" i="2"/>
  <c r="CL24" i="2"/>
  <c r="CM21" i="2"/>
  <c r="CN11" i="2"/>
  <c r="EG2" i="2" l="1"/>
  <c r="EF35" i="2"/>
  <c r="CN21" i="2"/>
  <c r="CO11" i="2"/>
  <c r="CO21" i="2" s="1"/>
  <c r="CI30" i="2"/>
  <c r="CI31" i="2" s="1"/>
  <c r="CM22" i="2"/>
  <c r="CM24" i="2"/>
  <c r="CM45" i="2"/>
  <c r="CM23" i="2"/>
  <c r="CM39" i="2" s="1"/>
  <c r="CM25" i="2"/>
  <c r="CL26" i="2"/>
  <c r="CL27" i="2" s="1"/>
  <c r="CL38" i="2"/>
  <c r="CL39" i="2"/>
  <c r="EH2" i="2" l="1"/>
  <c r="EG35" i="2"/>
  <c r="CI33" i="2"/>
  <c r="CI52" i="2"/>
  <c r="CJ28" i="2" s="1"/>
  <c r="CM26" i="2"/>
  <c r="CM27" i="2" s="1"/>
  <c r="CO25" i="2"/>
  <c r="CO23" i="2"/>
  <c r="CO45" i="2"/>
  <c r="CO22" i="2"/>
  <c r="CO38" i="2" s="1"/>
  <c r="CO24" i="2"/>
  <c r="CM38" i="2"/>
  <c r="CN23" i="2"/>
  <c r="CN22" i="2"/>
  <c r="CN25" i="2"/>
  <c r="CN45" i="2"/>
  <c r="CN24" i="2"/>
  <c r="CN38" i="2"/>
  <c r="EI2" i="2" l="1"/>
  <c r="EH35" i="2"/>
  <c r="CN26" i="2"/>
  <c r="CN27" i="2" s="1"/>
  <c r="CN39" i="2"/>
  <c r="CO26" i="2"/>
  <c r="CO27" i="2" s="1"/>
  <c r="CJ29" i="2"/>
  <c r="CO39" i="2"/>
  <c r="EI35" i="2" l="1"/>
  <c r="EJ2" i="2"/>
  <c r="CJ30" i="2"/>
  <c r="CJ31" i="2" s="1"/>
  <c r="EJ35" i="2" l="1"/>
  <c r="EK2" i="2"/>
  <c r="CJ33" i="2"/>
  <c r="CJ52" i="2"/>
  <c r="CK28" i="2" s="1"/>
  <c r="EK35" i="2" l="1"/>
  <c r="EL2" i="2"/>
  <c r="CK29" i="2"/>
  <c r="EL35" i="2" l="1"/>
  <c r="EM2" i="2"/>
  <c r="CK30" i="2"/>
  <c r="CK31" i="2" s="1"/>
  <c r="EN2" i="2" l="1"/>
  <c r="EM35" i="2"/>
  <c r="CK33" i="2"/>
  <c r="CK52" i="2"/>
  <c r="CL28" i="2" s="1"/>
  <c r="EO2" i="2" l="1"/>
  <c r="EN35" i="2"/>
  <c r="CL29" i="2"/>
  <c r="EP2" i="2" l="1"/>
  <c r="EO35" i="2"/>
  <c r="CL30" i="2"/>
  <c r="CL31" i="2" s="1"/>
  <c r="EP35" i="2" l="1"/>
  <c r="EQ2" i="2"/>
  <c r="CL33" i="2"/>
  <c r="CL52" i="2"/>
  <c r="CM28" i="2" s="1"/>
  <c r="EQ35" i="2" l="1"/>
  <c r="ER2" i="2"/>
  <c r="CM29" i="2"/>
  <c r="ER35" i="2" l="1"/>
  <c r="ES2" i="2"/>
  <c r="CM30" i="2"/>
  <c r="CM31" i="2" s="1"/>
  <c r="ES35" i="2" l="1"/>
  <c r="ET2" i="2"/>
  <c r="CM33" i="2"/>
  <c r="CM52" i="2"/>
  <c r="CN28" i="2" s="1"/>
  <c r="ET35" i="2" l="1"/>
  <c r="EU2" i="2"/>
  <c r="CN29" i="2"/>
  <c r="EV2" i="2" l="1"/>
  <c r="EU35" i="2"/>
  <c r="CN30" i="2"/>
  <c r="CN31" i="2" s="1"/>
  <c r="EW2" i="2" l="1"/>
  <c r="EV35" i="2"/>
  <c r="CN33" i="2"/>
  <c r="CN52" i="2"/>
  <c r="CO28" i="2" s="1"/>
  <c r="EX2" i="2" l="1"/>
  <c r="EW35" i="2"/>
  <c r="CO29" i="2"/>
  <c r="EY2" i="2" l="1"/>
  <c r="EX35" i="2"/>
  <c r="CO30" i="2"/>
  <c r="CO31" i="2"/>
  <c r="EY35" i="2" l="1"/>
  <c r="EZ2" i="2"/>
  <c r="CO33" i="2"/>
  <c r="CO52" i="2"/>
  <c r="CP28" i="2" s="1"/>
  <c r="EZ35" i="2" l="1"/>
  <c r="FA2" i="2"/>
  <c r="CP29" i="2"/>
  <c r="CP30" i="2" s="1"/>
  <c r="CP31" i="2" s="1"/>
  <c r="CP52" i="2" s="1"/>
  <c r="CQ31" i="2"/>
  <c r="FA35" i="2" l="1"/>
  <c r="FB2" i="2"/>
  <c r="CP33" i="2"/>
  <c r="CR31" i="2"/>
  <c r="FB35" i="2" l="1"/>
  <c r="FC2" i="2"/>
  <c r="CS31" i="2"/>
  <c r="FD2" i="2" l="1"/>
  <c r="FC35" i="2"/>
  <c r="CT31" i="2"/>
  <c r="FE2" i="2" l="1"/>
  <c r="FD35" i="2"/>
  <c r="CU31" i="2"/>
  <c r="FF2" i="2" l="1"/>
  <c r="FE35" i="2"/>
  <c r="CV31" i="2"/>
  <c r="FF35" i="2" l="1"/>
  <c r="FG2" i="2"/>
  <c r="CW31" i="2"/>
  <c r="FG35" i="2" l="1"/>
  <c r="FH2" i="2"/>
  <c r="CX31" i="2"/>
  <c r="FH35" i="2" l="1"/>
  <c r="FI2" i="2"/>
  <c r="CY31" i="2"/>
  <c r="FI35" i="2" l="1"/>
  <c r="FJ2" i="2"/>
  <c r="CZ31" i="2"/>
  <c r="FJ35" i="2" l="1"/>
  <c r="FK2" i="2"/>
  <c r="DA31" i="2"/>
  <c r="FL2" i="2" l="1"/>
  <c r="FK35" i="2"/>
  <c r="DB31" i="2"/>
  <c r="FM2" i="2" l="1"/>
  <c r="FL35" i="2"/>
  <c r="DC31" i="2"/>
  <c r="FN2" i="2" l="1"/>
  <c r="FM35" i="2"/>
  <c r="DD31" i="2"/>
  <c r="FN35" i="2" l="1"/>
  <c r="FO2" i="2"/>
  <c r="DE31" i="2"/>
  <c r="FO35" i="2" l="1"/>
  <c r="FP2" i="2"/>
  <c r="DF31" i="2"/>
  <c r="FP35" i="2" l="1"/>
  <c r="FQ2" i="2"/>
  <c r="DG31" i="2"/>
  <c r="FQ35" i="2" l="1"/>
  <c r="FR2" i="2"/>
  <c r="DH31" i="2"/>
  <c r="FR35" i="2" l="1"/>
  <c r="FS2" i="2"/>
  <c r="DI31" i="2"/>
  <c r="FT2" i="2" l="1"/>
  <c r="FS35" i="2"/>
  <c r="DJ31" i="2"/>
  <c r="FU2" i="2" l="1"/>
  <c r="FT35" i="2"/>
  <c r="DK31" i="2"/>
  <c r="FV2" i="2" l="1"/>
  <c r="FU35" i="2"/>
  <c r="DL31" i="2"/>
  <c r="FW2" i="2" l="1"/>
  <c r="FV35" i="2"/>
  <c r="DM31" i="2"/>
  <c r="FX2" i="2" l="1"/>
  <c r="FW35" i="2"/>
  <c r="DN31" i="2"/>
  <c r="FX35" i="2" l="1"/>
  <c r="FY2" i="2"/>
  <c r="DO31" i="2"/>
  <c r="FY35" i="2" l="1"/>
  <c r="FZ2" i="2"/>
  <c r="DP31" i="2"/>
  <c r="FZ35" i="2" l="1"/>
  <c r="GA2" i="2"/>
  <c r="DQ31" i="2"/>
  <c r="GB2" i="2" l="1"/>
  <c r="GA35" i="2"/>
  <c r="DR31" i="2"/>
  <c r="GC2" i="2" l="1"/>
  <c r="GB35" i="2"/>
  <c r="DS31" i="2"/>
  <c r="GD2" i="2" l="1"/>
  <c r="GC35" i="2"/>
  <c r="DT31" i="2"/>
  <c r="GD35" i="2" l="1"/>
  <c r="GE2" i="2"/>
  <c r="DU31" i="2"/>
  <c r="GE35" i="2" l="1"/>
  <c r="GF2" i="2"/>
  <c r="DV31" i="2"/>
  <c r="GF35" i="2" l="1"/>
  <c r="GG2" i="2"/>
  <c r="DW31" i="2"/>
  <c r="GG35" i="2" l="1"/>
  <c r="GH2" i="2"/>
  <c r="DX31" i="2"/>
  <c r="GH35" i="2" l="1"/>
  <c r="GI2" i="2"/>
  <c r="DY31" i="2"/>
  <c r="GJ2" i="2" l="1"/>
  <c r="GI35" i="2"/>
  <c r="DZ31" i="2"/>
  <c r="GK2" i="2" l="1"/>
  <c r="GJ35" i="2"/>
  <c r="EA31" i="2"/>
  <c r="GL2" i="2" l="1"/>
  <c r="GK35" i="2"/>
  <c r="EB31" i="2"/>
  <c r="GM2" i="2" l="1"/>
  <c r="GL35" i="2"/>
  <c r="EC31" i="2"/>
  <c r="GM35" i="2" l="1"/>
  <c r="GN2" i="2"/>
  <c r="ED31" i="2"/>
  <c r="GN35" i="2" l="1"/>
  <c r="GO2" i="2"/>
  <c r="EE31" i="2"/>
  <c r="GO35" i="2" l="1"/>
  <c r="GP2" i="2"/>
  <c r="EF31" i="2"/>
  <c r="GP35" i="2" l="1"/>
  <c r="GQ2" i="2"/>
  <c r="EG31" i="2"/>
  <c r="GR2" i="2" l="1"/>
  <c r="GQ35" i="2"/>
  <c r="EH31" i="2"/>
  <c r="GS2" i="2" l="1"/>
  <c r="GR35" i="2"/>
  <c r="EI31" i="2"/>
  <c r="GT2" i="2" l="1"/>
  <c r="GS35" i="2"/>
  <c r="EJ31" i="2"/>
  <c r="GU2" i="2" l="1"/>
  <c r="GT35" i="2"/>
  <c r="EK31" i="2"/>
  <c r="GU35" i="2" l="1"/>
  <c r="GV2" i="2"/>
  <c r="EL31" i="2"/>
  <c r="GV35" i="2" l="1"/>
  <c r="GW2" i="2"/>
  <c r="EM31" i="2"/>
  <c r="GW35" i="2" l="1"/>
  <c r="GX2" i="2"/>
  <c r="EN31" i="2"/>
  <c r="GX35" i="2" l="1"/>
  <c r="GY2" i="2"/>
  <c r="EO31" i="2"/>
  <c r="GZ2" i="2" l="1"/>
  <c r="GY35" i="2"/>
  <c r="EP31" i="2"/>
  <c r="HA2" i="2" l="1"/>
  <c r="GZ35" i="2"/>
  <c r="EQ31" i="2"/>
  <c r="HB2" i="2" l="1"/>
  <c r="HA35" i="2"/>
  <c r="ER31" i="2"/>
  <c r="HC2" i="2" l="1"/>
  <c r="HB35" i="2"/>
  <c r="ES31" i="2"/>
  <c r="HC35" i="2" l="1"/>
  <c r="HD2" i="2"/>
  <c r="ET31" i="2"/>
  <c r="HD35" i="2" l="1"/>
  <c r="HE2" i="2"/>
  <c r="EU31" i="2"/>
  <c r="HE35" i="2" l="1"/>
  <c r="HF2" i="2"/>
  <c r="EV31" i="2"/>
  <c r="HF35" i="2" l="1"/>
  <c r="HG2" i="2"/>
  <c r="EW31" i="2"/>
  <c r="HH2" i="2" l="1"/>
  <c r="HG35" i="2"/>
  <c r="EX31" i="2"/>
  <c r="HI2" i="2" l="1"/>
  <c r="HH35" i="2"/>
  <c r="EY31" i="2"/>
  <c r="HJ2" i="2" l="1"/>
  <c r="HI35" i="2"/>
  <c r="EZ31" i="2"/>
  <c r="HK2" i="2" l="1"/>
  <c r="HJ35" i="2"/>
  <c r="FA31" i="2"/>
  <c r="HK35" i="2" l="1"/>
  <c r="HL2" i="2"/>
  <c r="FB31" i="2"/>
  <c r="HL35" i="2" l="1"/>
  <c r="HM2" i="2"/>
  <c r="FC31" i="2"/>
  <c r="HM35" i="2" l="1"/>
  <c r="HN2" i="2"/>
  <c r="FD31" i="2"/>
  <c r="HN35" i="2" l="1"/>
  <c r="HO2" i="2"/>
  <c r="FE31" i="2"/>
  <c r="HP2" i="2" l="1"/>
  <c r="HO35" i="2"/>
  <c r="FF31" i="2"/>
  <c r="HQ2" i="2" l="1"/>
  <c r="HP35" i="2"/>
  <c r="FG31" i="2"/>
  <c r="HR2" i="2" l="1"/>
  <c r="HQ35" i="2"/>
  <c r="FH31" i="2"/>
  <c r="HS2" i="2" l="1"/>
  <c r="HR35" i="2"/>
  <c r="FI31" i="2"/>
  <c r="HS35" i="2" l="1"/>
  <c r="HT2" i="2"/>
  <c r="FJ31" i="2"/>
  <c r="HT35" i="2" l="1"/>
  <c r="HU2" i="2"/>
  <c r="FK31" i="2"/>
  <c r="HU35" i="2" l="1"/>
  <c r="HV2" i="2"/>
  <c r="FL31" i="2"/>
  <c r="HV35" i="2" l="1"/>
  <c r="HW2" i="2"/>
  <c r="FM31" i="2"/>
  <c r="HX2" i="2" l="1"/>
  <c r="HW35" i="2"/>
  <c r="FN31" i="2"/>
  <c r="HY2" i="2" l="1"/>
  <c r="HX35" i="2"/>
  <c r="FO31" i="2"/>
  <c r="HZ2" i="2" l="1"/>
  <c r="HZ35" i="2" s="1"/>
  <c r="HY35" i="2"/>
  <c r="FP31" i="2"/>
  <c r="FQ31" i="2" l="1"/>
  <c r="FR31" i="2" l="1"/>
  <c r="FS31" i="2" l="1"/>
  <c r="FT31" i="2" l="1"/>
  <c r="FU31" i="2" l="1"/>
  <c r="FV31" i="2" l="1"/>
  <c r="FW31" i="2" l="1"/>
  <c r="FX31" i="2" l="1"/>
  <c r="FY31" i="2" l="1"/>
  <c r="FZ31" i="2" l="1"/>
  <c r="GA31" i="2" l="1"/>
  <c r="GB31" i="2" l="1"/>
  <c r="GC31" i="2" l="1"/>
  <c r="GD31" i="2" l="1"/>
  <c r="GE31" i="2" l="1"/>
  <c r="GF31" i="2" l="1"/>
  <c r="GG31" i="2" l="1"/>
  <c r="GH31" i="2" l="1"/>
  <c r="GI31" i="2" l="1"/>
  <c r="GJ31" i="2" l="1"/>
  <c r="GK31" i="2" l="1"/>
  <c r="GL31" i="2" l="1"/>
  <c r="GM31" i="2" l="1"/>
  <c r="GN31" i="2" l="1"/>
  <c r="GO31" i="2" l="1"/>
  <c r="GP31" i="2" l="1"/>
  <c r="GQ31" i="2" l="1"/>
  <c r="GR31" i="2" l="1"/>
  <c r="GS31" i="2" l="1"/>
  <c r="GT31" i="2" l="1"/>
  <c r="GU31" i="2" l="1"/>
  <c r="GV31" i="2" l="1"/>
  <c r="GW31" i="2" l="1"/>
  <c r="GX31" i="2" l="1"/>
  <c r="GY31" i="2" l="1"/>
  <c r="GZ31" i="2" l="1"/>
  <c r="HA31" i="2" l="1"/>
  <c r="HB31" i="2" l="1"/>
  <c r="HC31" i="2" l="1"/>
  <c r="HD31" i="2" l="1"/>
  <c r="HE31" i="2" l="1"/>
  <c r="HF31" i="2" l="1"/>
  <c r="HG31" i="2" l="1"/>
  <c r="HH31" i="2" l="1"/>
  <c r="HI31" i="2" l="1"/>
  <c r="HJ31" i="2" l="1"/>
  <c r="HK31" i="2" l="1"/>
  <c r="HL31" i="2" l="1"/>
  <c r="HM31" i="2" l="1"/>
  <c r="HN31" i="2" l="1"/>
  <c r="HO31" i="2" l="1"/>
  <c r="HP31" i="2" l="1"/>
  <c r="HQ31" i="2" l="1"/>
  <c r="HR31" i="2" l="1"/>
  <c r="HS31" i="2" l="1"/>
  <c r="HT31" i="2" l="1"/>
  <c r="HU31" i="2" l="1"/>
  <c r="HV31" i="2" l="1"/>
  <c r="HW31" i="2" l="1"/>
  <c r="HX31" i="2" l="1"/>
  <c r="HY31" i="2" l="1"/>
  <c r="CT42" i="2" l="1"/>
  <c r="CT44" i="2" s="1"/>
  <c r="CT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tc={C0A1C0E5-7485-2D47-83E2-58E48E630EB7}</author>
    <author>tc={553B30D1-1837-F048-8808-5B348671367D}</author>
  </authors>
  <commentList>
    <comment ref="BJ21" authorId="0" shapeId="0" xr:uid="{C0A1C0E5-7485-2D47-83E2-58E48E630EB7}">
      <text>
        <t>[Threaded comment]
Your version of Excel allows you to read this threaded comment; however, any edits to it will get removed if the file is opened in a newer version of Excel. Learn more: https://go.microsoft.com/fwlink/?linkid=870924
Comment:
    AVERAGE OF GUIDANCE</t>
      </text>
    </comment>
    <comment ref="CG26" authorId="1" shapeId="0" xr:uid="{553B30D1-1837-F048-8808-5B348671367D}">
      <text>
        <t xml:space="preserve">[Threaded comment]
Your version of Excel allows you to read this threaded comment; however, any edits to it will get removed if the file is opened in a newer version of Excel. Learn more: https://go.microsoft.com/fwlink/?linkid=870924
Comment:
    MIDPOINT OF GUIDANCE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E6" authorId="0" shapeId="0" xr:uid="{1AB051E6-D728-9742-BEF6-8EFCA7040614}">
      <text>
        <r>
          <rPr>
            <b/>
            <sz val="10"/>
            <color rgb="FF000000"/>
            <rFont val="Tahoma"/>
            <family val="2"/>
          </rPr>
          <t>Brannon, Jameel A.:</t>
        </r>
        <r>
          <rPr>
            <sz val="10"/>
            <color rgb="FF000000"/>
            <rFont val="Tahoma"/>
            <family val="2"/>
          </rPr>
          <t xml:space="preserve">
</t>
        </r>
        <r>
          <rPr>
            <sz val="10"/>
            <color rgb="FF000000"/>
            <rFont val="Tahoma"/>
            <family val="2"/>
          </rPr>
          <t xml:space="preserve">~ 60% of content in news feed from groups, FB trying to get you to consume longer sessions and more content by multiplying existing content via reshares
</t>
        </r>
        <r>
          <rPr>
            <sz val="10"/>
            <color rgb="FF000000"/>
            <rFont val="Tahoma"/>
            <family val="2"/>
          </rPr>
          <t xml:space="preserve">
</t>
        </r>
        <r>
          <rPr>
            <sz val="10"/>
            <color rgb="FF000000"/>
            <rFont val="Tahoma"/>
            <family val="2"/>
          </rPr>
          <t xml:space="preserve">
</t>
        </r>
        <r>
          <rPr>
            <sz val="10"/>
            <color rgb="FF000000"/>
            <rFont val="Tahoma"/>
            <family val="2"/>
          </rPr>
          <t xml:space="preserve">Alogirthm takes ppl with mainstream interest and pushes to extreme
</t>
        </r>
        <r>
          <rPr>
            <sz val="10"/>
            <color rgb="FF000000"/>
            <rFont val="Tahoma"/>
            <family val="2"/>
          </rPr>
          <t xml:space="preserve">
</t>
        </r>
        <r>
          <rPr>
            <sz val="10"/>
            <color rgb="FF000000"/>
            <rFont val="Tahoma"/>
            <family val="2"/>
          </rPr>
          <t xml:space="preserve">
</t>
        </r>
        <r>
          <rPr>
            <sz val="10"/>
            <color rgb="FF000000"/>
            <rFont val="Tahoma"/>
            <family val="2"/>
          </rPr>
          <t xml:space="preserve">Should social media companies or companies in general be held accountable for what takes place on their platform OR should the users and their dialogues be held accountable?  ---&gt; Whistleblower blaims FB
</t>
        </r>
        <r>
          <rPr>
            <sz val="10"/>
            <color rgb="FF000000"/>
            <rFont val="Tahoma"/>
            <family val="2"/>
          </rPr>
          <t xml:space="preserve">
</t>
        </r>
        <r>
          <rPr>
            <sz val="10"/>
            <color rgb="FF000000"/>
            <rFont val="Tahoma"/>
            <family val="2"/>
          </rPr>
          <t xml:space="preserve">
</t>
        </r>
        <r>
          <rPr>
            <b/>
            <sz val="10"/>
            <color rgb="FF000000"/>
            <rFont val="Tahoma"/>
            <family val="2"/>
          </rPr>
          <t xml:space="preserve">Escalation issues intercompany?
</t>
        </r>
        <r>
          <rPr>
            <b/>
            <sz val="10"/>
            <color rgb="FF000000"/>
            <rFont val="Tahoma"/>
            <family val="2"/>
          </rPr>
          <t xml:space="preserve">
</t>
        </r>
        <r>
          <rPr>
            <b/>
            <sz val="10"/>
            <color rgb="FF000000"/>
            <rFont val="Tahoma"/>
            <family val="2"/>
          </rPr>
          <t xml:space="preserve">FB is making HATE worse?
</t>
        </r>
        <r>
          <rPr>
            <b/>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E7" authorId="0" shapeId="0" xr:uid="{7FB1030C-C4AC-164D-857B-248BA1D61F51}">
      <text>
        <r>
          <rPr>
            <b/>
            <sz val="10"/>
            <color rgb="FF000000"/>
            <rFont val="Tahoma"/>
            <family val="2"/>
          </rPr>
          <t>Brannon, Jameel A.:</t>
        </r>
        <r>
          <rPr>
            <sz val="10"/>
            <color rgb="FF000000"/>
            <rFont val="Tahoma"/>
            <family val="2"/>
          </rPr>
          <t xml:space="preserve">
</t>
        </r>
        <r>
          <rPr>
            <sz val="10"/>
            <color rgb="FF000000"/>
            <rFont val="Tahoma"/>
            <family val="2"/>
          </rPr>
          <t xml:space="preserve">Article shows that FB acted late to implement internal changes with respect to COVID-19 information.  For example, if posts are ra nked based on likes, dislikes, comments, etc -- and this post is shown, but it's spreading misformation -- then this coul dbe bad for users in terms of decision making.  Internally, the biz ran a study testing a new approach where popular posts were ranked based on "verified" information to try to stop the spread of misinformation with respect to the vaccine.  Vaccine acted late to implement.
</t>
        </r>
        <r>
          <rPr>
            <sz val="10"/>
            <color rgb="FF000000"/>
            <rFont val="Tahoma"/>
            <family val="2"/>
          </rPr>
          <t xml:space="preserve">
</t>
        </r>
        <r>
          <rPr>
            <sz val="10"/>
            <color rgb="FF000000"/>
            <rFont val="Tahoma"/>
            <family val="2"/>
          </rPr>
          <t xml:space="preserve">My Thoughts:
</t>
        </r>
        <r>
          <rPr>
            <sz val="10"/>
            <color rgb="FF000000"/>
            <rFont val="Tahoma"/>
            <family val="2"/>
          </rPr>
          <t xml:space="preserve">Doesn't matter.  If ppl are gonna get the vaccine then they're gonna get it anyway.  If ppl are gonna opt out from the vaccine, then they're gonna do it anyway.  How does this have any impact on the fundamentals of the company in terms of the value it's creating? If we poke fun at a company who may have soem room for internal improvement -- then every company (not just FB) should be held to this standard.  A perosn can use imessage and send spam texts to everyonme in their contact list about the virus, someone may use GMAIL to send spam emails about the virus, twitter?snapchat? tiktok? anyplace you can send messages then there's room for misinformation --- this shouldn't have any impact on the price of the stock </t>
        </r>
      </text>
    </comment>
    <comment ref="E8" authorId="0" shapeId="0" xr:uid="{936047B2-C1A8-9B48-A423-1749CF2D42C5}">
      <text>
        <r>
          <rPr>
            <b/>
            <sz val="10"/>
            <color rgb="FF000000"/>
            <rFont val="Tahoma"/>
            <family val="2"/>
          </rPr>
          <t>Brannon, Jameel A.:</t>
        </r>
        <r>
          <rPr>
            <sz val="10"/>
            <color rgb="FF000000"/>
            <rFont val="Tahoma"/>
            <family val="2"/>
          </rPr>
          <t xml:space="preserve">
</t>
        </r>
        <r>
          <rPr>
            <sz val="10"/>
            <color rgb="FF000000"/>
            <rFont val="Tahoma"/>
            <family val="2"/>
          </rPr>
          <t xml:space="preserve">Last May , IG banned the hashtag #alaqsa as it mistaken it for a terrorist group. 
</t>
        </r>
        <r>
          <rPr>
            <sz val="10"/>
            <color rgb="FF000000"/>
            <rFont val="Tahoma"/>
            <family val="2"/>
          </rPr>
          <t xml:space="preserve">
</t>
        </r>
        <r>
          <rPr>
            <sz val="10"/>
            <color rgb="FF000000"/>
            <rFont val="Tahoma"/>
            <family val="2"/>
          </rPr>
          <t xml:space="preserve">Company failed to implement AI tools that can catch harmful content in different languages.  Company doesn't have and good IQ on locations n the MId East and their politics 
</t>
        </r>
        <r>
          <rPr>
            <sz val="10"/>
            <color rgb="FF000000"/>
            <rFont val="Tahoma"/>
            <family val="2"/>
          </rPr>
          <t xml:space="preserve">
</t>
        </r>
        <r>
          <rPr>
            <sz val="10"/>
            <color rgb="FF000000"/>
            <rFont val="Tahoma"/>
            <family val="2"/>
          </rPr>
          <t xml:space="preserve">
</t>
        </r>
        <r>
          <rPr>
            <sz val="10"/>
            <color rgb="FF000000"/>
            <rFont val="Tahoma"/>
            <family val="2"/>
          </rPr>
          <t xml:space="preserve">My thoughts:
</t>
        </r>
        <r>
          <rPr>
            <sz val="10"/>
            <color rgb="FF000000"/>
            <rFont val="Tahoma"/>
            <family val="2"/>
          </rPr>
          <t xml:space="preserve">FB has work to do on developing the AI necessary to identify what's harmful versus what's not, laying the ground rules for what one can post versus what they can't and when mistakes are made bieng open about it </t>
        </r>
      </text>
    </comment>
    <comment ref="E9" authorId="0" shapeId="0" xr:uid="{792CC9E2-26A2-A645-B1C1-2034F57942FB}">
      <text>
        <r>
          <rPr>
            <b/>
            <sz val="10"/>
            <color rgb="FF000000"/>
            <rFont val="Tahoma"/>
            <family val="2"/>
          </rPr>
          <t>Brannon, Jameel A.:</t>
        </r>
        <r>
          <rPr>
            <sz val="10"/>
            <color rgb="FF000000"/>
            <rFont val="Tahoma"/>
            <family val="2"/>
          </rPr>
          <t xml:space="preserve">
</t>
        </r>
        <r>
          <rPr>
            <sz val="10"/>
            <color rgb="FF000000"/>
            <rFont val="Tahoma"/>
            <family val="2"/>
          </rPr>
          <t xml:space="preserve">Post on FB regarding slave/abuse behavior -- which FB openly condemned. 
</t>
        </r>
        <r>
          <rPr>
            <sz val="10"/>
            <color rgb="FF000000"/>
            <rFont val="Tahoma"/>
            <family val="2"/>
          </rPr>
          <t xml:space="preserve">
</t>
        </r>
        <r>
          <rPr>
            <sz val="10"/>
            <color rgb="FF000000"/>
            <rFont val="Tahoma"/>
            <family val="2"/>
          </rPr>
          <t xml:space="preserve">
</t>
        </r>
        <r>
          <rPr>
            <b/>
            <sz val="10"/>
            <color rgb="FF000000"/>
            <rFont val="Tahoma"/>
            <family val="2"/>
          </rPr>
          <t xml:space="preserve">My Thoughts
</t>
        </r>
        <r>
          <rPr>
            <sz val="10"/>
            <color rgb="FF000000"/>
            <rFont val="Tahoma"/>
            <family val="2"/>
          </rPr>
          <t xml:space="preserve">Is it FB's responsibility to police all the activity on their platform? ....  IDK -- iniital thought is I don't think so -- Fb provides a platofrm for indivualas to communication and connect with friends and family, set up different events, networking, etc....  I agree that this article and the content foun don the site is BAD, but to expect FB to police their entire platoform will turn the Platform into a mini government and then bye bye users ....
</t>
        </r>
        <r>
          <rPr>
            <sz val="10"/>
            <color rgb="FF000000"/>
            <rFont val="Tahoma"/>
            <family val="2"/>
          </rPr>
          <t xml:space="preserve">
</t>
        </r>
        <r>
          <rPr>
            <sz val="10"/>
            <color rgb="FF000000"/>
            <rFont val="Tahoma"/>
            <family val="2"/>
          </rPr>
          <t xml:space="preserve">
</t>
        </r>
        <r>
          <rPr>
            <sz val="10"/>
            <color rgb="FF000000"/>
            <rFont val="Tahoma"/>
            <family val="2"/>
          </rPr>
          <t xml:space="preserve">A company's goal is to maximize profits for shareholders NOT be the police ...  </t>
        </r>
      </text>
    </comment>
    <comment ref="E10" authorId="0" shapeId="0" xr:uid="{924B12AD-7A4C-D24C-B55D-D81508F9DC96}">
      <text>
        <r>
          <rPr>
            <b/>
            <sz val="10"/>
            <color rgb="FF000000"/>
            <rFont val="Tahoma"/>
            <family val="2"/>
          </rPr>
          <t>Brannon, Jameel A.:</t>
        </r>
        <r>
          <rPr>
            <sz val="10"/>
            <color rgb="FF000000"/>
            <rFont val="Tahoma"/>
            <family val="2"/>
          </rPr>
          <t xml:space="preserve">
</t>
        </r>
        <r>
          <rPr>
            <sz val="10"/>
            <color rgb="FF000000"/>
            <rFont val="Tahoma"/>
            <family val="2"/>
          </rPr>
          <t xml:space="preserve">ALGORITHMS ARE NOT PERFECT.
</t>
        </r>
        <r>
          <rPr>
            <sz val="10"/>
            <color rgb="FF000000"/>
            <rFont val="Tahoma"/>
            <family val="2"/>
          </rPr>
          <t xml:space="preserve">
</t>
        </r>
        <r>
          <rPr>
            <sz val="10"/>
            <color rgb="FF000000"/>
            <rFont val="Tahoma"/>
            <family val="2"/>
          </rPr>
          <t xml:space="preserve">An algorithm is a set of rules , and when dealing with tons of data --- the error rate can be HIGH ...
</t>
        </r>
        <r>
          <rPr>
            <sz val="10"/>
            <color rgb="FF000000"/>
            <rFont val="Tahoma"/>
            <family val="2"/>
          </rPr>
          <t xml:space="preserve">
</t>
        </r>
        <r>
          <rPr>
            <sz val="10"/>
            <color rgb="FF000000"/>
            <rFont val="Tahoma"/>
            <family val="2"/>
          </rPr>
          <t xml:space="preserve">Just because FB earns BiILLIONS of dollars per annum, doesn't mean they need to spend ALL profits on trying to fix this @ once!!!!!!!!!!!!!!!!
</t>
        </r>
        <r>
          <rPr>
            <sz val="10"/>
            <color rgb="FF000000"/>
            <rFont val="Tahoma"/>
            <family val="2"/>
          </rPr>
          <t xml:space="preserve">
</t>
        </r>
        <r>
          <rPr>
            <sz val="10"/>
            <color rgb="FF000000"/>
            <rFont val="Tahoma"/>
            <family val="2"/>
          </rPr>
          <t xml:space="preserve">
</t>
        </r>
        <r>
          <rPr>
            <b/>
            <sz val="10"/>
            <color rgb="FF000000"/>
            <rFont val="Tahoma"/>
            <family val="2"/>
          </rPr>
          <t xml:space="preserve">Merit:
</t>
        </r>
        <r>
          <rPr>
            <sz val="10"/>
            <color rgb="FF000000"/>
            <rFont val="Tahoma"/>
            <family val="2"/>
          </rPr>
          <t xml:space="preserve">FB does need to fix things internally -- employees should be happy as possible, not feeling like they're voice isn't heard.   
</t>
        </r>
        <r>
          <rPr>
            <sz val="10"/>
            <color rgb="FF000000"/>
            <rFont val="Tahoma"/>
            <family val="2"/>
          </rPr>
          <t xml:space="preserve">
</t>
        </r>
      </text>
    </comment>
    <comment ref="E11" authorId="0" shapeId="0" xr:uid="{F78DAF90-EEF9-3B4E-AB11-9DCD8B638CC8}">
      <text>
        <r>
          <rPr>
            <b/>
            <sz val="10"/>
            <color rgb="FF000000"/>
            <rFont val="Tahoma"/>
            <family val="2"/>
          </rPr>
          <t>Brannon, Jameel A.:</t>
        </r>
        <r>
          <rPr>
            <sz val="10"/>
            <color rgb="FF000000"/>
            <rFont val="Tahoma"/>
            <family val="2"/>
          </rPr>
          <t xml:space="preserve">
</t>
        </r>
        <r>
          <rPr>
            <sz val="10"/>
            <color rgb="FF000000"/>
            <rFont val="Tahoma"/>
            <family val="2"/>
          </rPr>
          <t xml:space="preserve">FB didn't do enough....
</t>
        </r>
        <r>
          <rPr>
            <sz val="10"/>
            <color rgb="FF000000"/>
            <rFont val="Tahoma"/>
            <family val="2"/>
          </rPr>
          <t>FB needs to hire more people in different languages where they operate</t>
        </r>
      </text>
    </comment>
    <comment ref="E12" authorId="0" shapeId="0" xr:uid="{AE666C58-6C57-264E-A012-88B87898A97A}">
      <text>
        <r>
          <rPr>
            <b/>
            <sz val="10"/>
            <color rgb="FF000000"/>
            <rFont val="Tahoma"/>
            <family val="2"/>
          </rPr>
          <t>Brannon, Jameel A.:</t>
        </r>
        <r>
          <rPr>
            <sz val="10"/>
            <color rgb="FF000000"/>
            <rFont val="Tahoma"/>
            <family val="2"/>
          </rPr>
          <t xml:space="preserve">
</t>
        </r>
        <r>
          <rPr>
            <sz val="10"/>
            <color rgb="FF000000"/>
            <rFont val="Tahoma"/>
            <family val="2"/>
          </rPr>
          <t xml:space="preserve">Same stuff from other articles, nothign new -- company didn't do enough to control hate.
</t>
        </r>
        <r>
          <rPr>
            <sz val="10"/>
            <color rgb="FF000000"/>
            <rFont val="Tahoma"/>
            <family val="2"/>
          </rPr>
          <t xml:space="preserve">
</t>
        </r>
        <r>
          <rPr>
            <sz val="10"/>
            <color rgb="FF000000"/>
            <rFont val="Tahoma"/>
            <family val="2"/>
          </rPr>
          <t xml:space="preserve">
</t>
        </r>
        <r>
          <rPr>
            <sz val="10"/>
            <color rgb="FF000000"/>
            <rFont val="Tahoma"/>
            <family val="2"/>
          </rPr>
          <t xml:space="preserve">Do you punish a company for it's algorithms when they behave "badly" ... ?
</t>
        </r>
        <r>
          <rPr>
            <sz val="10"/>
            <color rgb="FF000000"/>
            <rFont val="Tahoma"/>
            <family val="2"/>
          </rPr>
          <t xml:space="preserve">
</t>
        </r>
        <r>
          <rPr>
            <sz val="10"/>
            <color rgb="FF000000"/>
            <rFont val="Tahoma"/>
            <family val="2"/>
          </rPr>
          <t xml:space="preserve">Algorithms are rules displayed in pieces of code --- this code can be channged, but the bias will then be switched to the one who put forwarth the change... 
</t>
        </r>
        <r>
          <rPr>
            <sz val="10"/>
            <color rgb="FF000000"/>
            <rFont val="Tahoma"/>
            <family val="2"/>
          </rPr>
          <t xml:space="preserve">
</t>
        </r>
        <r>
          <rPr>
            <sz val="10"/>
            <color rgb="FF000000"/>
            <rFont val="Tahoma"/>
            <family val="2"/>
          </rPr>
          <t xml:space="preserve">
</t>
        </r>
        <r>
          <rPr>
            <sz val="10"/>
            <color rgb="FF000000"/>
            <rFont val="Tahoma"/>
            <family val="2"/>
          </rPr>
          <t xml:space="preserve">Gen pop says " change code to x so algorithm behaves in 2.0x fashion ....."
</t>
        </r>
        <r>
          <rPr>
            <sz val="10"/>
            <color rgb="FF000000"/>
            <rFont val="Tahoma"/>
            <family val="2"/>
          </rPr>
          <t xml:space="preserve">Code changes to 2.0x ( biased by gen pop) and then it misbehaves again....  do I blame FB or gen pop?
</t>
        </r>
        <r>
          <rPr>
            <sz val="10"/>
            <color rgb="FF000000"/>
            <rFont val="Tahoma"/>
            <family val="2"/>
          </rPr>
          <t xml:space="preserve">  
</t>
        </r>
        <r>
          <rPr>
            <sz val="10"/>
            <color rgb="FF000000"/>
            <rFont val="Tahoma"/>
            <family val="2"/>
          </rPr>
          <t xml:space="preserve">
</t>
        </r>
      </text>
    </comment>
  </commentList>
</comments>
</file>

<file path=xl/sharedStrings.xml><?xml version="1.0" encoding="utf-8"?>
<sst xmlns="http://schemas.openxmlformats.org/spreadsheetml/2006/main" count="252" uniqueCount="232">
  <si>
    <t>Price</t>
  </si>
  <si>
    <t>Shares</t>
  </si>
  <si>
    <t>MC</t>
  </si>
  <si>
    <t>Cash</t>
  </si>
  <si>
    <t>Debt</t>
  </si>
  <si>
    <t>EV</t>
  </si>
  <si>
    <t>Q119</t>
  </si>
  <si>
    <t>Q219</t>
  </si>
  <si>
    <t>Q319</t>
  </si>
  <si>
    <t>Q419</t>
  </si>
  <si>
    <t>Q120</t>
  </si>
  <si>
    <t>Q220</t>
  </si>
  <si>
    <t>Q320</t>
  </si>
  <si>
    <t>Q420</t>
  </si>
  <si>
    <t>Q121</t>
  </si>
  <si>
    <t>Q221</t>
  </si>
  <si>
    <t>Q321</t>
  </si>
  <si>
    <t>Q421</t>
  </si>
  <si>
    <t xml:space="preserve">Revenue </t>
  </si>
  <si>
    <t>Cost</t>
  </si>
  <si>
    <t>R&amp;D</t>
  </si>
  <si>
    <t>M&amp;S</t>
  </si>
  <si>
    <t>G&amp;A</t>
  </si>
  <si>
    <t>Total costs &amp; expenses</t>
  </si>
  <si>
    <t xml:space="preserve">Operating Income </t>
  </si>
  <si>
    <t xml:space="preserve">Interest &amp; other </t>
  </si>
  <si>
    <t>Income Before Taxes</t>
  </si>
  <si>
    <t>Taxes</t>
  </si>
  <si>
    <t xml:space="preserve">Net Income </t>
  </si>
  <si>
    <t>D. shares</t>
  </si>
  <si>
    <t>DAU WW</t>
  </si>
  <si>
    <t>Discount</t>
  </si>
  <si>
    <t>NPV</t>
  </si>
  <si>
    <t>Estimate</t>
  </si>
  <si>
    <t>ARPU Per Annum</t>
  </si>
  <si>
    <t>ARPU Per Q</t>
  </si>
  <si>
    <t>Q118</t>
  </si>
  <si>
    <t>Q218</t>
  </si>
  <si>
    <t>Q318</t>
  </si>
  <si>
    <t>Q418</t>
  </si>
  <si>
    <t>Q117</t>
  </si>
  <si>
    <t>Q217</t>
  </si>
  <si>
    <t>Q317</t>
  </si>
  <si>
    <t>Q417</t>
  </si>
  <si>
    <t>Q116</t>
  </si>
  <si>
    <t>Q216</t>
  </si>
  <si>
    <t>Q316</t>
  </si>
  <si>
    <t>Q416</t>
  </si>
  <si>
    <t xml:space="preserve">Operating Margin </t>
  </si>
  <si>
    <t xml:space="preserve">Gross Margin </t>
  </si>
  <si>
    <t>Q115</t>
  </si>
  <si>
    <t>Q215</t>
  </si>
  <si>
    <t>Q315</t>
  </si>
  <si>
    <t>Q415</t>
  </si>
  <si>
    <t>Q114</t>
  </si>
  <si>
    <t>Q214</t>
  </si>
  <si>
    <t>Q314</t>
  </si>
  <si>
    <t>Q414</t>
  </si>
  <si>
    <t>Q113</t>
  </si>
  <si>
    <t>Q213</t>
  </si>
  <si>
    <t>Q313</t>
  </si>
  <si>
    <t>Q413</t>
  </si>
  <si>
    <t>Q112</t>
  </si>
  <si>
    <t>Q212</t>
  </si>
  <si>
    <t>Q312</t>
  </si>
  <si>
    <t>Q412</t>
  </si>
  <si>
    <t>Current</t>
  </si>
  <si>
    <t>Delta</t>
  </si>
  <si>
    <t xml:space="preserve">Cash </t>
  </si>
  <si>
    <t>TL + E</t>
  </si>
  <si>
    <t>Equity</t>
  </si>
  <si>
    <t xml:space="preserve">marketable Securities </t>
  </si>
  <si>
    <t>A/R</t>
  </si>
  <si>
    <t>Prepaid exp</t>
  </si>
  <si>
    <t xml:space="preserve">Total Current Assets </t>
  </si>
  <si>
    <t>Equity investments</t>
  </si>
  <si>
    <t>PP&amp;E</t>
  </si>
  <si>
    <t>Op lease</t>
  </si>
  <si>
    <t>Intangibles</t>
  </si>
  <si>
    <t>Goodwill</t>
  </si>
  <si>
    <t>Other assets</t>
  </si>
  <si>
    <t xml:space="preserve">Total Assets </t>
  </si>
  <si>
    <t>A/P</t>
  </si>
  <si>
    <t xml:space="preserve">Partners payable </t>
  </si>
  <si>
    <t>Accrued expenses</t>
  </si>
  <si>
    <t xml:space="preserve">Deferred revenue </t>
  </si>
  <si>
    <t xml:space="preserve">Toal current liabilities </t>
  </si>
  <si>
    <t>Other liabilities</t>
  </si>
  <si>
    <t>Return on Equity</t>
  </si>
  <si>
    <t xml:space="preserve">Net Cash </t>
  </si>
  <si>
    <t>ROIC</t>
  </si>
  <si>
    <t>CFFO</t>
  </si>
  <si>
    <t>Capex</t>
  </si>
  <si>
    <t xml:space="preserve">Free Cash Flow </t>
  </si>
  <si>
    <t>4Q FCF</t>
  </si>
  <si>
    <t>4Q NI</t>
  </si>
  <si>
    <t xml:space="preserve">Facebook </t>
  </si>
  <si>
    <t xml:space="preserve">Instagram </t>
  </si>
  <si>
    <t xml:space="preserve">Contains </t>
  </si>
  <si>
    <t>Messenger</t>
  </si>
  <si>
    <t>WhatsApp</t>
  </si>
  <si>
    <t>Encrypted messaging</t>
  </si>
  <si>
    <t>Facebook Reality</t>
  </si>
  <si>
    <t>Acquired</t>
  </si>
  <si>
    <t>Feed, Stories, Shops, Groups, Marketplace, News</t>
  </si>
  <si>
    <t>Feed, Stories, Reels, IGTV, Live, Shops, &amp; messenging</t>
  </si>
  <si>
    <t xml:space="preserve">Messaging platform attached to FB </t>
  </si>
  <si>
    <t>4/9/12 Press Release</t>
  </si>
  <si>
    <t>Instagram Acquisition for $1n ( Cash/share combo)</t>
  </si>
  <si>
    <t>Founded</t>
  </si>
  <si>
    <t>4/23/12 Press Release</t>
  </si>
  <si>
    <t>Right to purchase AOL Patent Portfolio from MSFT .. IP</t>
  </si>
  <si>
    <t xml:space="preserve">5/17/12 Press Release </t>
  </si>
  <si>
    <t>IPO, 421,233,615 shares @ $38</t>
  </si>
  <si>
    <t xml:space="preserve">Insight </t>
  </si>
  <si>
    <t>6/25/12 Press Release</t>
  </si>
  <si>
    <t>Sheryl Sandberg COO joined BOD</t>
  </si>
  <si>
    <t>Major PR</t>
  </si>
  <si>
    <t>7/2/14 Press Release</t>
  </si>
  <si>
    <t xml:space="preserve">Live Rail Acquisition .. Advertising tech company </t>
  </si>
  <si>
    <t>5/26/16 Press Release</t>
  </si>
  <si>
    <t>MSFT/FB partnership to build MAREA cable</t>
  </si>
  <si>
    <t>12/2/16 Press Release</t>
  </si>
  <si>
    <t xml:space="preserve">Affordable housing partnership in EPA &amp; Menlo Park </t>
  </si>
  <si>
    <t>4/12/19 Press Release</t>
  </si>
  <si>
    <t xml:space="preserve">Peggy Alford to BOD </t>
  </si>
  <si>
    <t>04</t>
  </si>
  <si>
    <t>Q210</t>
  </si>
  <si>
    <t>Q310</t>
  </si>
  <si>
    <t>Q410</t>
  </si>
  <si>
    <t>Q111</t>
  </si>
  <si>
    <t>Q311</t>
  </si>
  <si>
    <t>Q411</t>
  </si>
  <si>
    <t>Q110</t>
  </si>
  <si>
    <t>Q409</t>
  </si>
  <si>
    <t>Q309</t>
  </si>
  <si>
    <t>Q209</t>
  </si>
  <si>
    <t>10/25/21 Press Release</t>
  </si>
  <si>
    <t xml:space="preserve">Facebook Reality Labs (FRL) -- new segment </t>
  </si>
  <si>
    <t>Family Of Apps  (FoA)</t>
  </si>
  <si>
    <t>FrL</t>
  </si>
  <si>
    <t>Segments</t>
  </si>
  <si>
    <t>Other Services</t>
  </si>
  <si>
    <t>Oculus (R/VR hardware), software, and content</t>
  </si>
  <si>
    <t>Facebook Froze as anti-vaccine comments swarned users</t>
  </si>
  <si>
    <t>x</t>
  </si>
  <si>
    <t>Whistle Blower Video Notes (FB Groups)</t>
  </si>
  <si>
    <t xml:space="preserve">Language gaps weaken screening of hate </t>
  </si>
  <si>
    <t>Apple Threatened FB over Mideast Maid Abuse</t>
  </si>
  <si>
    <t xml:space="preserve">People or Profit </t>
  </si>
  <si>
    <t>Q211</t>
  </si>
  <si>
    <t xml:space="preserve">Divisive User Content in India </t>
  </si>
  <si>
    <t>bad</t>
  </si>
  <si>
    <t>good</t>
  </si>
  <si>
    <t>Insider isurrection</t>
  </si>
  <si>
    <t>Score</t>
  </si>
  <si>
    <t>The Associated Press</t>
  </si>
  <si>
    <t xml:space="preserve">History Will Not Judge Us Kindly </t>
  </si>
  <si>
    <t xml:space="preserve">The Atlantic </t>
  </si>
  <si>
    <t xml:space="preserve">Higher the score the worst </t>
  </si>
  <si>
    <t>https://www.cnet.com/how-to/the-facebook-papers-how-to-read-the-reports/</t>
  </si>
  <si>
    <t>Original Ticker</t>
  </si>
  <si>
    <t>FB</t>
  </si>
  <si>
    <t>New Ticker</t>
  </si>
  <si>
    <t>META</t>
  </si>
  <si>
    <t>Q122</t>
  </si>
  <si>
    <t>Q222</t>
  </si>
  <si>
    <t>Q322</t>
  </si>
  <si>
    <t>Q422</t>
  </si>
  <si>
    <t>ARPU</t>
  </si>
  <si>
    <t>DAP (B)</t>
  </si>
  <si>
    <t>ARPU y/y</t>
  </si>
  <si>
    <t>DAP y/y</t>
  </si>
  <si>
    <t>Revenue y/y</t>
  </si>
  <si>
    <t>Cost % Rev</t>
  </si>
  <si>
    <t>R&amp;D % Rev</t>
  </si>
  <si>
    <t>G&amp;A % Rev</t>
  </si>
  <si>
    <t>M&amp;S % Rev</t>
  </si>
  <si>
    <t>DAU WW y/y</t>
  </si>
  <si>
    <t>DAU % DAP</t>
  </si>
  <si>
    <t xml:space="preserve">Total Value </t>
  </si>
  <si>
    <t>LTD</t>
  </si>
  <si>
    <t>Eps</t>
  </si>
  <si>
    <t>Catalyst</t>
  </si>
  <si>
    <t>Metaverse</t>
  </si>
  <si>
    <t>Cons</t>
  </si>
  <si>
    <t>Upfront costs, no guaranteed adoption</t>
  </si>
  <si>
    <t>Headcount?</t>
  </si>
  <si>
    <t>Expense savings, offset by Metaverse investments</t>
  </si>
  <si>
    <t>Hardware</t>
  </si>
  <si>
    <t>VR price point?</t>
  </si>
  <si>
    <t>Pros</t>
  </si>
  <si>
    <t>Unique communication/interactive platform</t>
  </si>
  <si>
    <t>Strong Oculus Brand</t>
  </si>
  <si>
    <t>Instagram</t>
  </si>
  <si>
    <t>Healthy Co with good attraction + addictive</t>
  </si>
  <si>
    <t>Facebook</t>
  </si>
  <si>
    <t>very bad</t>
  </si>
  <si>
    <t>article read</t>
  </si>
  <si>
    <t>11/9/2022 News</t>
  </si>
  <si>
    <t>Layoff ~13% workforce (11k ppl)</t>
  </si>
  <si>
    <t>Q123</t>
  </si>
  <si>
    <t>Q223</t>
  </si>
  <si>
    <t>Q323</t>
  </si>
  <si>
    <t>Q423</t>
  </si>
  <si>
    <t>Q124</t>
  </si>
  <si>
    <t>Q224</t>
  </si>
  <si>
    <t>Q324</t>
  </si>
  <si>
    <t>Q424</t>
  </si>
  <si>
    <t>Advertising</t>
  </si>
  <si>
    <t>Other revenue</t>
  </si>
  <si>
    <t>Family of Apps</t>
  </si>
  <si>
    <t>Reality Labs</t>
  </si>
  <si>
    <t>Total Debt</t>
  </si>
  <si>
    <t>Net Debt</t>
  </si>
  <si>
    <t>Net Debt Per Share</t>
  </si>
  <si>
    <t>WC</t>
  </si>
  <si>
    <t>NWC</t>
  </si>
  <si>
    <t xml:space="preserve">Book Value </t>
  </si>
  <si>
    <t xml:space="preserve">Tangible Book </t>
  </si>
  <si>
    <t>ROTB</t>
  </si>
  <si>
    <t xml:space="preserve">Terminal </t>
  </si>
  <si>
    <t xml:space="preserve">NPV Walk </t>
  </si>
  <si>
    <t>Older gen, expect it to phase out over the next 30 years</t>
  </si>
  <si>
    <t>Reducing excess heads, focusing spending … just mentioend that they will hire more technical roles as of Q3'23</t>
  </si>
  <si>
    <t>Sounds crazy, but an IG spinoff with FB controllingg ~51% of the shares may make sense.  Not sure how this can fit nto metaverse plan</t>
  </si>
  <si>
    <t>Not sure how this can fit into metaverse plans</t>
  </si>
  <si>
    <t xml:space="preserve">Good, free messaging app </t>
  </si>
  <si>
    <t>Articles</t>
  </si>
  <si>
    <t>Snapchat $3B buyout offer</t>
  </si>
  <si>
    <t xml:space="preserve">Annual Dividend </t>
  </si>
  <si>
    <t>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</si>
</sst>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9">
    <font>
      <sz val="10"/>
      <color theme="1"/>
      <name val="ArialMT"/>
      <family val="2"/>
    </font>
    <font>
      <sz val="10"/>
      <color theme="1"/>
      <name val="ArialMT"/>
      <family val="2"/>
    </font>
    <font>
      <b/>
      <sz val="10"/>
      <color theme="1"/>
      <name val="ArialMT"/>
    </font>
    <font>
      <sz val="10"/>
      <color theme="1"/>
      <name val="ArialMT"/>
    </font>
    <font>
      <sz val="10"/>
      <color rgb="FFFF0000"/>
      <name val="ArialMT"/>
      <family val="2"/>
    </font>
    <font>
      <u/>
      <sz val="10"/>
      <color theme="10"/>
      <name val="ArialMT"/>
      <family val="2"/>
    </font>
    <font>
      <sz val="10"/>
      <color rgb="FF000000"/>
      <name val="Tahoma"/>
      <family val="2"/>
    </font>
    <font>
      <b/>
      <sz val="10"/>
      <color rgb="FF000000"/>
      <name val="Tahoma"/>
      <family val="2"/>
    </font>
    <font>
      <sz val="10"/>
      <color rgb="FF000000"/>
      <name val="ArialMT"/>
    </font>
    <font>
      <b/>
      <sz val="10"/>
      <color rgb="FF000000"/>
      <name val="ArialMT"/>
    </font>
    <font>
      <i/>
      <sz val="10"/>
      <color theme="1"/>
      <name val="ArialMT"/>
    </font>
    <font>
      <i/>
      <sz val="10"/>
      <color rgb="FF0432FF"/>
      <name val="ArialMT"/>
    </font>
    <font>
      <b/>
      <i/>
      <sz val="10"/>
      <color rgb="FF0432FF"/>
      <name val="ArialMT"/>
    </font>
    <font>
      <b/>
      <u/>
      <sz val="10"/>
      <color theme="1"/>
      <name val="ArialMT"/>
    </font>
    <font>
      <sz val="10"/>
      <color rgb="FF0432FF"/>
      <name val="ArialMT"/>
    </font>
    <font>
      <u/>
      <sz val="10"/>
      <color theme="1"/>
      <name val="ArialMT"/>
    </font>
    <font>
      <sz val="10"/>
      <color rgb="FF0432FF"/>
      <name val="ArialMT"/>
      <family val="2"/>
    </font>
    <font>
      <b/>
      <sz val="10"/>
      <color rgb="FF0432FF"/>
      <name val="ArialMT"/>
    </font>
    <font>
      <u/>
      <sz val="10"/>
      <color theme="1"/>
      <name val="ArialMT"/>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4">
    <xf numFmtId="0" fontId="0" fillId="0" borderId="0" xfId="0"/>
    <xf numFmtId="3" fontId="0" fillId="0" borderId="0" xfId="0" applyNumberFormat="1"/>
    <xf numFmtId="3" fontId="0" fillId="0" borderId="0" xfId="0" applyNumberFormat="1" applyAlignment="1">
      <alignment horizontal="right"/>
    </xf>
    <xf numFmtId="3" fontId="2" fillId="0" borderId="0" xfId="0" applyNumberFormat="1" applyFont="1"/>
    <xf numFmtId="9" fontId="0" fillId="0" borderId="0" xfId="1" applyFont="1"/>
    <xf numFmtId="1" fontId="0" fillId="0" borderId="0" xfId="0" applyNumberFormat="1"/>
    <xf numFmtId="3" fontId="3" fillId="0" borderId="0" xfId="0" applyNumberFormat="1" applyFont="1"/>
    <xf numFmtId="9" fontId="3" fillId="0" borderId="0" xfId="1" applyFont="1"/>
    <xf numFmtId="4" fontId="3" fillId="0" borderId="0" xfId="0" applyNumberFormat="1" applyFont="1"/>
    <xf numFmtId="9" fontId="0" fillId="0" borderId="0" xfId="0" applyNumberFormat="1"/>
    <xf numFmtId="9" fontId="2" fillId="0" borderId="0" xfId="0" applyNumberFormat="1" applyFont="1"/>
    <xf numFmtId="3" fontId="4" fillId="0" borderId="0" xfId="0" applyNumberFormat="1" applyFont="1"/>
    <xf numFmtId="3" fontId="5" fillId="0" borderId="0" xfId="2" applyNumberFormat="1"/>
    <xf numFmtId="1" fontId="0" fillId="0" borderId="0" xfId="0" applyNumberFormat="1" applyAlignment="1">
      <alignment horizontal="left"/>
    </xf>
    <xf numFmtId="14" fontId="5" fillId="0" borderId="0" xfId="2" applyNumberFormat="1"/>
    <xf numFmtId="0" fontId="2" fillId="0" borderId="0" xfId="0" applyFont="1"/>
    <xf numFmtId="0" fontId="5" fillId="0" borderId="0" xfId="2"/>
    <xf numFmtId="0" fontId="3" fillId="0" borderId="0" xfId="0" applyFont="1"/>
    <xf numFmtId="3" fontId="8" fillId="0" borderId="0" xfId="0" applyNumberFormat="1" applyFont="1"/>
    <xf numFmtId="3" fontId="9" fillId="0" borderId="0" xfId="0" applyNumberFormat="1" applyFont="1"/>
    <xf numFmtId="1" fontId="0" fillId="0" borderId="0" xfId="0" applyNumberFormat="1" applyAlignment="1">
      <alignment horizontal="right"/>
    </xf>
    <xf numFmtId="164" fontId="0" fillId="0" borderId="0" xfId="0" applyNumberFormat="1"/>
    <xf numFmtId="164" fontId="3" fillId="0" borderId="0" xfId="0" applyNumberFormat="1" applyFont="1"/>
    <xf numFmtId="164" fontId="2" fillId="0" borderId="0" xfId="0" applyNumberFormat="1" applyFont="1"/>
    <xf numFmtId="164" fontId="8" fillId="0" borderId="0" xfId="0" applyNumberFormat="1" applyFont="1"/>
    <xf numFmtId="4" fontId="3" fillId="0" borderId="0" xfId="1" applyNumberFormat="1" applyFont="1"/>
    <xf numFmtId="3" fontId="3" fillId="0" borderId="0" xfId="1" applyNumberFormat="1" applyFont="1"/>
    <xf numFmtId="4" fontId="10" fillId="0" borderId="0" xfId="0" applyNumberFormat="1" applyFont="1"/>
    <xf numFmtId="4" fontId="10" fillId="0" borderId="0" xfId="1" applyNumberFormat="1" applyFont="1"/>
    <xf numFmtId="9" fontId="10" fillId="2" borderId="0" xfId="0" applyNumberFormat="1" applyFont="1" applyFill="1"/>
    <xf numFmtId="3" fontId="10" fillId="0" borderId="0" xfId="0" applyNumberFormat="1" applyFont="1"/>
    <xf numFmtId="9" fontId="10" fillId="0" borderId="0" xfId="1" applyFont="1"/>
    <xf numFmtId="9" fontId="10" fillId="0" borderId="0" xfId="0" applyNumberFormat="1" applyFont="1"/>
    <xf numFmtId="3" fontId="13" fillId="0" borderId="0" xfId="0" applyNumberFormat="1" applyFont="1"/>
    <xf numFmtId="9" fontId="13" fillId="0" borderId="0" xfId="1" applyFont="1"/>
    <xf numFmtId="9" fontId="3" fillId="2" borderId="0" xfId="1" applyFont="1" applyFill="1"/>
    <xf numFmtId="9" fontId="10" fillId="2" borderId="0" xfId="1" applyFont="1" applyFill="1"/>
    <xf numFmtId="9" fontId="11" fillId="2" borderId="0" xfId="0" applyNumberFormat="1" applyFont="1" applyFill="1"/>
    <xf numFmtId="9" fontId="12" fillId="0" borderId="0" xfId="0" applyNumberFormat="1" applyFont="1"/>
    <xf numFmtId="9" fontId="14" fillId="2" borderId="0" xfId="1" applyFont="1" applyFill="1"/>
    <xf numFmtId="3" fontId="15" fillId="0" borderId="0" xfId="0" applyNumberFormat="1" applyFont="1"/>
    <xf numFmtId="9" fontId="11" fillId="2" borderId="0" xfId="1" applyFont="1" applyFill="1"/>
    <xf numFmtId="165" fontId="0" fillId="0" borderId="0" xfId="0" applyNumberFormat="1"/>
    <xf numFmtId="9" fontId="3" fillId="2" borderId="0" xfId="0" applyNumberFormat="1" applyFont="1" applyFill="1"/>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left"/>
    </xf>
    <xf numFmtId="14" fontId="5" fillId="0" borderId="0" xfId="2" applyNumberFormat="1" applyAlignment="1">
      <alignment horizontal="left"/>
    </xf>
    <xf numFmtId="9" fontId="3" fillId="0" borderId="0" xfId="0" applyNumberFormat="1" applyFont="1"/>
    <xf numFmtId="3" fontId="0" fillId="0" borderId="0" xfId="0" applyNumberFormat="1" applyAlignment="1">
      <alignment horizontal="left"/>
    </xf>
    <xf numFmtId="166" fontId="10" fillId="2" borderId="0" xfId="0" applyNumberFormat="1" applyFont="1" applyFill="1"/>
    <xf numFmtId="166" fontId="11" fillId="2" borderId="0" xfId="0" applyNumberFormat="1" applyFont="1" applyFill="1"/>
    <xf numFmtId="3" fontId="16" fillId="0" borderId="0" xfId="0" applyNumberFormat="1" applyFont="1"/>
    <xf numFmtId="9" fontId="2" fillId="2" borderId="0" xfId="1" applyFont="1" applyFill="1"/>
    <xf numFmtId="9" fontId="2" fillId="2" borderId="0" xfId="0" applyNumberFormat="1" applyFont="1" applyFill="1"/>
    <xf numFmtId="9" fontId="12" fillId="2" borderId="0" xfId="1" applyFont="1" applyFill="1"/>
    <xf numFmtId="9" fontId="14" fillId="0" borderId="0" xfId="1" applyFont="1" applyFill="1"/>
    <xf numFmtId="9" fontId="17" fillId="0" borderId="0" xfId="1" applyFont="1" applyFill="1"/>
    <xf numFmtId="9" fontId="11" fillId="0" borderId="0" xfId="0" applyNumberFormat="1" applyFont="1"/>
    <xf numFmtId="166" fontId="0" fillId="0" borderId="0" xfId="1" applyNumberFormat="1" applyFont="1"/>
    <xf numFmtId="3" fontId="18" fillId="0" borderId="0" xfId="0" applyNumberFormat="1" applyFont="1"/>
    <xf numFmtId="14" fontId="0" fillId="0" borderId="0" xfId="0" quotePrefix="1" applyNumberFormat="1"/>
    <xf numFmtId="14" fontId="0" fillId="0" borderId="0" xfId="0" applyNumberFormat="1"/>
    <xf numFmtId="2"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1765300</xdr:colOff>
      <xdr:row>3</xdr:row>
      <xdr:rowOff>114300</xdr:rowOff>
    </xdr:from>
    <xdr:to>
      <xdr:col>3</xdr:col>
      <xdr:colOff>1136649</xdr:colOff>
      <xdr:row>7</xdr:row>
      <xdr:rowOff>125019</xdr:rowOff>
    </xdr:to>
    <xdr:pic>
      <xdr:nvPicPr>
        <xdr:cNvPr id="2" name="Picture 1">
          <a:extLst>
            <a:ext uri="{FF2B5EF4-FFF2-40B4-BE49-F238E27FC236}">
              <a16:creationId xmlns:a16="http://schemas.microsoft.com/office/drawing/2014/main" id="{F82F491B-7FFE-EF42-B870-37A7DC737A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35300" y="609600"/>
          <a:ext cx="1428750" cy="671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60</xdr:col>
      <xdr:colOff>585427</xdr:colOff>
      <xdr:row>0</xdr:row>
      <xdr:rowOff>10160</xdr:rowOff>
    </xdr:from>
    <xdr:to>
      <xdr:col>61</xdr:col>
      <xdr:colOff>93727</xdr:colOff>
      <xdr:row>117</xdr:row>
      <xdr:rowOff>119018</xdr:rowOff>
    </xdr:to>
    <xdr:cxnSp macro="">
      <xdr:nvCxnSpPr>
        <xdr:cNvPr id="3" name="Straight Connector 2">
          <a:extLst>
            <a:ext uri="{FF2B5EF4-FFF2-40B4-BE49-F238E27FC236}">
              <a16:creationId xmlns:a16="http://schemas.microsoft.com/office/drawing/2014/main" id="{D361F475-D2DA-4F4D-A4CD-5A88BF591B52}"/>
            </a:ext>
          </a:extLst>
        </xdr:cNvPr>
        <xdr:cNvCxnSpPr/>
      </xdr:nvCxnSpPr>
      <xdr:spPr>
        <a:xfrm>
          <a:off x="31217827" y="10160"/>
          <a:ext cx="97580" cy="19128378"/>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575874</xdr:colOff>
      <xdr:row>0</xdr:row>
      <xdr:rowOff>7384</xdr:rowOff>
    </xdr:from>
    <xdr:to>
      <xdr:col>84</xdr:col>
      <xdr:colOff>16615</xdr:colOff>
      <xdr:row>108</xdr:row>
      <xdr:rowOff>107298</xdr:rowOff>
    </xdr:to>
    <xdr:cxnSp macro="">
      <xdr:nvCxnSpPr>
        <xdr:cNvPr id="4" name="Straight Connector 3">
          <a:extLst>
            <a:ext uri="{FF2B5EF4-FFF2-40B4-BE49-F238E27FC236}">
              <a16:creationId xmlns:a16="http://schemas.microsoft.com/office/drawing/2014/main" id="{FB2455E7-BFA8-174C-9778-DE313280C283}"/>
            </a:ext>
          </a:extLst>
        </xdr:cNvPr>
        <xdr:cNvCxnSpPr/>
      </xdr:nvCxnSpPr>
      <xdr:spPr>
        <a:xfrm>
          <a:off x="40802386" y="7384"/>
          <a:ext cx="24055" cy="1764363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jameel" id="{95074452-7226-5C41-8090-3E6225769B78}" userId="jameel"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J21" dT="2024-02-14T02:27:40.89" personId="{95074452-7226-5C41-8090-3E6225769B78}" id="{C0A1C0E5-7485-2D47-83E2-58E48E630EB7}">
    <text>AVERAGE OF GUIDANCE</text>
  </threadedComment>
  <threadedComment ref="CG26" dT="2024-02-14T02:27:53.13" personId="{95074452-7226-5C41-8090-3E6225769B78}" id="{553B30D1-1837-F048-8808-5B348671367D}">
    <text xml:space="preserve">MIDPOINT OF GUIDANCE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21.q4cdn.com/399680738/files/doc_news/Peggy-Alford-Nominated-to-Facebook-Board-of-Directors.pdf" TargetMode="External"/><Relationship Id="rId3" Type="http://schemas.openxmlformats.org/officeDocument/2006/relationships/hyperlink" Target="https://s21.q4cdn.com/399680738/files/doc_news/2012/FB_News_2012_5_17_Financial_Releases.pdf" TargetMode="External"/><Relationship Id="rId7" Type="http://schemas.openxmlformats.org/officeDocument/2006/relationships/hyperlink" Target="https://s21.q4cdn.com/399680738/files/doc_news/Community-Groups-Facebook-And-The-Cities-Of-East-Palo-Alto-And-Menlo-Park-Partner-To-Create-Affordable-Housing-And-Economic-Opportunities.pdf" TargetMode="External"/><Relationship Id="rId12" Type="http://schemas.openxmlformats.org/officeDocument/2006/relationships/drawing" Target="../drawings/drawing1.xml"/><Relationship Id="rId2" Type="http://schemas.openxmlformats.org/officeDocument/2006/relationships/hyperlink" Target="https://s21.q4cdn.com/399680738/files/doc_news/2012/FCBK_News_2012_4_23_Financial_Releases.pdf" TargetMode="External"/><Relationship Id="rId1" Type="http://schemas.openxmlformats.org/officeDocument/2006/relationships/hyperlink" Target="https://s21.q4cdn.com/399680738/files/doc_news/2012/FCBK_News_2012_4_9_Financial_Releases.pdf" TargetMode="External"/><Relationship Id="rId6" Type="http://schemas.openxmlformats.org/officeDocument/2006/relationships/hyperlink" Target="https://s21.q4cdn.com/399680738/files/doc_news/Microsoft-and-Facebook-to-build-an-innovative-new-subsea-cable-across-the-Atlantic-Ocean.pdf" TargetMode="External"/><Relationship Id="rId11" Type="http://schemas.openxmlformats.org/officeDocument/2006/relationships/hyperlink" Target="https://finance.yahoo.com/news/snapchat-previously-rejected-mark-zuckerbergs-173012684.html" TargetMode="External"/><Relationship Id="rId5" Type="http://schemas.openxmlformats.org/officeDocument/2006/relationships/hyperlink" Target="https://s21.q4cdn.com/399680738/files/doc_news/2014/FB_News_2014_7_2_Financial_Releases.pdf" TargetMode="External"/><Relationship Id="rId10" Type="http://schemas.openxmlformats.org/officeDocument/2006/relationships/hyperlink" Target="https://about.fb.com/news/2022/11/mark-zuckerberg-layoff-message-to-employees/" TargetMode="External"/><Relationship Id="rId4" Type="http://schemas.openxmlformats.org/officeDocument/2006/relationships/hyperlink" Target="https://s21.q4cdn.com/399680738/files/doc_news/2012/FB_News_2012_6_25_Financial_Releases.pdf" TargetMode="External"/><Relationship Id="rId9" Type="http://schemas.openxmlformats.org/officeDocument/2006/relationships/hyperlink" Target="https://s21.q4cdn.com/399680738/files/doc_news/Facebook-Reports-Third-Quarter-2021-Results-2021.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apnews.com/article/the-facebook-papers-maid-abuse-94909f43c725af09522704348e35bd25" TargetMode="External"/><Relationship Id="rId7" Type="http://schemas.openxmlformats.org/officeDocument/2006/relationships/vmlDrawing" Target="../drawings/vmlDrawing2.vml"/><Relationship Id="rId2" Type="http://schemas.openxmlformats.org/officeDocument/2006/relationships/hyperlink" Target="https://apnews.com/article/the-facebook-papers-language-moderation-problems-392cb2d065f81980713f37384d07e61f" TargetMode="External"/><Relationship Id="rId1" Type="http://schemas.openxmlformats.org/officeDocument/2006/relationships/hyperlink" Target="https://apnews.com/article/the-facebook-papers-covid-vaccine-misinformation-c8bbc569be7cc2ca583dadb4236a0613" TargetMode="External"/><Relationship Id="rId6" Type="http://schemas.openxmlformats.org/officeDocument/2006/relationships/hyperlink" Target="https://apnews.com/article/donald-trump-technology-business-social-media-media-07124025bdbeba98a7c7b181562c3c1a" TargetMode="External"/><Relationship Id="rId5" Type="http://schemas.openxmlformats.org/officeDocument/2006/relationships/hyperlink" Target="https://apnews.com/article/coronavirus-pandemic-technology-business-media-religion-9255fdedb5e238bd3ec74781f50d35f4" TargetMode="External"/><Relationship Id="rId4" Type="http://schemas.openxmlformats.org/officeDocument/2006/relationships/hyperlink" Target="https://apnews.com/article/the-facebook-papers-whistleblower-misinfo-trafficking-64f11ccae637cdfb7a89e049c5095d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7B35-FB6B-854D-A3BD-AB958282B86E}">
  <dimension ref="A2:P43"/>
  <sheetViews>
    <sheetView showGridLines="0" tabSelected="1" zoomScale="160" zoomScaleNormal="160" workbookViewId="0">
      <selection activeCell="N14" sqref="N14"/>
    </sheetView>
  </sheetViews>
  <sheetFormatPr baseColWidth="10" defaultRowHeight="13"/>
  <cols>
    <col min="1" max="1" width="12" style="1" bestFit="1" customWidth="1"/>
    <col min="2" max="2" width="7.1640625" style="62" bestFit="1" customWidth="1"/>
    <col min="3" max="3" width="27" style="1" customWidth="1"/>
    <col min="4" max="4" width="42.83203125" style="1" customWidth="1"/>
    <col min="5" max="5" width="8" style="1" bestFit="1" customWidth="1"/>
    <col min="6" max="6" width="9.1640625" style="1" bestFit="1" customWidth="1"/>
    <col min="7" max="7" width="6.33203125" style="2" customWidth="1"/>
    <col min="8" max="9" width="10.83203125" style="1"/>
    <col min="10" max="10" width="6.6640625" style="1" bestFit="1" customWidth="1"/>
    <col min="11" max="11" width="9.1640625" style="1" bestFit="1" customWidth="1"/>
    <col min="12" max="12" width="5.83203125" style="1" bestFit="1" customWidth="1"/>
    <col min="13" max="13" width="10.83203125" style="1"/>
    <col min="14" max="14" width="10.6640625" style="1" bestFit="1" customWidth="1"/>
    <col min="15" max="15" width="35.5" style="1" bestFit="1" customWidth="1"/>
    <col min="16" max="16" width="41" style="1" bestFit="1" customWidth="1"/>
    <col min="17" max="16384" width="10.83203125" style="1"/>
  </cols>
  <sheetData>
    <row r="2" spans="1:16">
      <c r="A2" s="1" t="s">
        <v>109</v>
      </c>
      <c r="B2" s="61" t="s">
        <v>126</v>
      </c>
      <c r="C2" s="13"/>
    </row>
    <row r="4" spans="1:16">
      <c r="A4" s="1" t="s">
        <v>161</v>
      </c>
      <c r="B4" s="62" t="s">
        <v>162</v>
      </c>
    </row>
    <row r="5" spans="1:16">
      <c r="A5" s="1" t="s">
        <v>163</v>
      </c>
      <c r="B5" s="62" t="s">
        <v>164</v>
      </c>
      <c r="L5" s="2"/>
    </row>
    <row r="6" spans="1:16">
      <c r="J6" s="1" t="s">
        <v>0</v>
      </c>
      <c r="K6" s="1">
        <v>460.12</v>
      </c>
      <c r="L6" s="2"/>
      <c r="N6" s="33" t="s">
        <v>183</v>
      </c>
      <c r="O6" s="3" t="s">
        <v>191</v>
      </c>
      <c r="P6" s="3" t="s">
        <v>185</v>
      </c>
    </row>
    <row r="7" spans="1:16">
      <c r="J7" s="1" t="s">
        <v>1</v>
      </c>
      <c r="K7" s="1">
        <f>2200.048907+349.356199</f>
        <v>2549.4051059999997</v>
      </c>
      <c r="L7" s="2" t="s">
        <v>204</v>
      </c>
      <c r="N7" s="1" t="s">
        <v>184</v>
      </c>
      <c r="O7" s="1" t="s">
        <v>192</v>
      </c>
      <c r="P7" s="1" t="s">
        <v>186</v>
      </c>
    </row>
    <row r="8" spans="1:16">
      <c r="J8" s="1" t="s">
        <v>2</v>
      </c>
      <c r="K8" s="1">
        <f>+K6*K7</f>
        <v>1173032.27737272</v>
      </c>
      <c r="L8" s="2"/>
      <c r="N8" s="1" t="s">
        <v>187</v>
      </c>
      <c r="O8" s="1" t="s">
        <v>224</v>
      </c>
      <c r="P8" s="1" t="s">
        <v>188</v>
      </c>
    </row>
    <row r="9" spans="1:16">
      <c r="J9" s="1" t="s">
        <v>3</v>
      </c>
      <c r="K9" s="1">
        <f>41862+23541</f>
        <v>65403</v>
      </c>
      <c r="L9" s="2" t="str">
        <f>+L7</f>
        <v>Q423</v>
      </c>
      <c r="N9" s="1" t="s">
        <v>189</v>
      </c>
      <c r="O9" s="1" t="s">
        <v>193</v>
      </c>
      <c r="P9" s="1" t="s">
        <v>190</v>
      </c>
    </row>
    <row r="10" spans="1:16">
      <c r="J10" s="1" t="s">
        <v>4</v>
      </c>
      <c r="K10" s="1">
        <v>18385</v>
      </c>
      <c r="L10" s="2" t="str">
        <f>+L9</f>
        <v>Q423</v>
      </c>
      <c r="N10" s="1" t="s">
        <v>194</v>
      </c>
      <c r="O10" s="1" t="s">
        <v>195</v>
      </c>
      <c r="P10" s="1" t="s">
        <v>225</v>
      </c>
    </row>
    <row r="11" spans="1:16">
      <c r="J11" s="1" t="s">
        <v>5</v>
      </c>
      <c r="K11" s="1">
        <f>+K8-K9+K10</f>
        <v>1126014.27737272</v>
      </c>
      <c r="L11" s="2"/>
      <c r="N11" s="1" t="s">
        <v>196</v>
      </c>
      <c r="O11" s="1" t="s">
        <v>223</v>
      </c>
      <c r="P11" s="1" t="s">
        <v>226</v>
      </c>
    </row>
    <row r="12" spans="1:16">
      <c r="C12" s="1" t="s">
        <v>141</v>
      </c>
      <c r="D12" s="3"/>
      <c r="N12" s="1" t="s">
        <v>100</v>
      </c>
      <c r="O12" s="1" t="s">
        <v>227</v>
      </c>
    </row>
    <row r="13" spans="1:16">
      <c r="C13" s="3" t="s">
        <v>139</v>
      </c>
      <c r="D13" s="3" t="s">
        <v>98</v>
      </c>
      <c r="E13" s="1" t="s">
        <v>103</v>
      </c>
    </row>
    <row r="14" spans="1:16">
      <c r="C14" s="1" t="s">
        <v>96</v>
      </c>
      <c r="D14" s="1" t="s">
        <v>104</v>
      </c>
      <c r="N14" s="60"/>
    </row>
    <row r="15" spans="1:16">
      <c r="C15" s="1" t="s">
        <v>97</v>
      </c>
      <c r="D15" s="1" t="s">
        <v>105</v>
      </c>
      <c r="E15" s="5">
        <v>2012</v>
      </c>
    </row>
    <row r="16" spans="1:16">
      <c r="C16" s="1" t="s">
        <v>99</v>
      </c>
      <c r="D16" s="1" t="s">
        <v>106</v>
      </c>
      <c r="E16" s="5"/>
    </row>
    <row r="17" spans="3:5">
      <c r="C17" s="1" t="s">
        <v>100</v>
      </c>
      <c r="D17" s="1" t="s">
        <v>101</v>
      </c>
      <c r="E17" s="5">
        <v>2014</v>
      </c>
    </row>
    <row r="18" spans="3:5">
      <c r="C18" s="1" t="s">
        <v>142</v>
      </c>
    </row>
    <row r="20" spans="3:5">
      <c r="C20" s="3" t="s">
        <v>140</v>
      </c>
    </row>
    <row r="21" spans="3:5">
      <c r="C21" s="1" t="s">
        <v>102</v>
      </c>
      <c r="D21" s="1" t="s">
        <v>143</v>
      </c>
    </row>
    <row r="27" spans="3:5">
      <c r="C27" s="3" t="s">
        <v>117</v>
      </c>
      <c r="D27" s="3" t="s">
        <v>114</v>
      </c>
    </row>
    <row r="28" spans="3:5">
      <c r="C28" s="12" t="s">
        <v>107</v>
      </c>
      <c r="D28" s="1" t="s">
        <v>108</v>
      </c>
    </row>
    <row r="29" spans="3:5">
      <c r="C29" s="12" t="s">
        <v>110</v>
      </c>
      <c r="D29" s="1" t="s">
        <v>111</v>
      </c>
    </row>
    <row r="30" spans="3:5">
      <c r="C30" s="12" t="s">
        <v>112</v>
      </c>
      <c r="D30" s="1" t="s">
        <v>113</v>
      </c>
    </row>
    <row r="31" spans="3:5">
      <c r="C31" s="12" t="s">
        <v>115</v>
      </c>
      <c r="D31" s="1" t="s">
        <v>116</v>
      </c>
    </row>
    <row r="32" spans="3:5">
      <c r="C32" s="12" t="s">
        <v>118</v>
      </c>
      <c r="D32" s="1" t="s">
        <v>119</v>
      </c>
    </row>
    <row r="33" spans="2:4">
      <c r="C33" s="12" t="s">
        <v>120</v>
      </c>
      <c r="D33" s="1" t="s">
        <v>121</v>
      </c>
    </row>
    <row r="34" spans="2:4">
      <c r="C34" s="12" t="s">
        <v>122</v>
      </c>
      <c r="D34" s="1" t="s">
        <v>123</v>
      </c>
    </row>
    <row r="35" spans="2:4">
      <c r="C35" s="12" t="s">
        <v>124</v>
      </c>
      <c r="D35" s="1" t="s">
        <v>125</v>
      </c>
    </row>
    <row r="36" spans="2:4">
      <c r="C36" s="14" t="s">
        <v>137</v>
      </c>
      <c r="D36" s="3" t="s">
        <v>138</v>
      </c>
    </row>
    <row r="37" spans="2:4">
      <c r="C37" s="47" t="s">
        <v>199</v>
      </c>
      <c r="D37" s="1" t="s">
        <v>200</v>
      </c>
    </row>
    <row r="42" spans="2:4">
      <c r="C42" s="33" t="s">
        <v>228</v>
      </c>
    </row>
    <row r="43" spans="2:4">
      <c r="B43" s="62">
        <v>45335</v>
      </c>
      <c r="C43" s="12" t="s">
        <v>229</v>
      </c>
    </row>
  </sheetData>
  <hyperlinks>
    <hyperlink ref="C28" r:id="rId1" xr:uid="{FDF4375A-3E70-9245-A985-F674B9D81D1D}"/>
    <hyperlink ref="C29" r:id="rId2" xr:uid="{2BDC8530-87BA-094D-8DF2-249213295FD3}"/>
    <hyperlink ref="C30" r:id="rId3" xr:uid="{8905FC11-83C7-C644-8257-92453D765339}"/>
    <hyperlink ref="C31" r:id="rId4" xr:uid="{320A6335-D387-0749-AC38-3D7DD2C7E894}"/>
    <hyperlink ref="C32" r:id="rId5" xr:uid="{72DBDCE6-F201-8444-A93D-8848042FFF66}"/>
    <hyperlink ref="C33" r:id="rId6" xr:uid="{431FF7C6-AC11-B541-B33C-E121E7815479}"/>
    <hyperlink ref="C34" r:id="rId7" xr:uid="{69D35BDA-53E3-894A-874B-DD04E8C3F887}"/>
    <hyperlink ref="C35" r:id="rId8" xr:uid="{6DDA55A3-014B-6A41-8641-C8192A4CFBED}"/>
    <hyperlink ref="C36" r:id="rId9" xr:uid="{0071ACA6-2C14-B949-943E-DEC72A2621A9}"/>
    <hyperlink ref="C37" r:id="rId10" xr:uid="{2F78AD99-6B64-0D46-B40A-DB8CAEB94CC0}"/>
    <hyperlink ref="C43" r:id="rId11" xr:uid="{12446B2D-9A61-9049-9A3D-92B5F92A4C0F}"/>
  </hyperlinks>
  <pageMargins left="0.7" right="0.7" top="0.75" bottom="0.75" header="0.3" footer="0.3"/>
  <ignoredErrors>
    <ignoredError sqref="B2" numberStoredAsText="1"/>
  </ignoredErrors>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84DA7-9074-5448-9D07-FEAF2B38FB5B}">
  <dimension ref="B2:HZ105"/>
  <sheetViews>
    <sheetView zoomScale="125" zoomScaleNormal="110" workbookViewId="0">
      <pane xSplit="2" ySplit="3" topLeftCell="BN4" activePane="bottomRight" state="frozen"/>
      <selection pane="topRight" activeCell="B1" sqref="B1"/>
      <selection pane="bottomLeft" activeCell="A3" sqref="A3"/>
      <selection pane="bottomRight" activeCell="CK31" sqref="CK31"/>
    </sheetView>
  </sheetViews>
  <sheetFormatPr baseColWidth="10" defaultRowHeight="13"/>
  <cols>
    <col min="1" max="1" width="1.33203125" style="1" customWidth="1"/>
    <col min="2" max="2" width="19.33203125" style="1" bestFit="1" customWidth="1"/>
    <col min="3" max="13" width="5.5" style="1" bestFit="1" customWidth="1"/>
    <col min="14" max="28" width="5.6640625" style="1" customWidth="1"/>
    <col min="29" max="37" width="6.6640625" style="1" customWidth="1"/>
    <col min="38" max="39" width="7.1640625" style="1" bestFit="1" customWidth="1"/>
    <col min="40" max="40" width="6.6640625" style="1" customWidth="1"/>
    <col min="41" max="41" width="7.1640625" style="1" bestFit="1" customWidth="1"/>
    <col min="42" max="45" width="7.6640625" style="1" customWidth="1"/>
    <col min="46" max="61" width="7.6640625" style="1" bestFit="1" customWidth="1"/>
    <col min="62" max="65" width="6.6640625" style="1" bestFit="1" customWidth="1"/>
    <col min="67" max="67" width="7.5" style="1" customWidth="1"/>
    <col min="68" max="70" width="2.33203125" style="1" customWidth="1"/>
    <col min="71" max="74" width="5.6640625" style="1" customWidth="1"/>
    <col min="75" max="79" width="6.6640625" style="1" customWidth="1"/>
    <col min="80" max="81" width="6.6640625" style="1" bestFit="1" customWidth="1"/>
    <col min="82" max="96" width="7.6640625" style="1" bestFit="1" customWidth="1"/>
    <col min="97" max="97" width="10.5" style="1" bestFit="1" customWidth="1"/>
    <col min="98" max="99" width="9.1640625" style="1" bestFit="1" customWidth="1"/>
    <col min="100" max="234" width="7.6640625" style="1" bestFit="1" customWidth="1"/>
    <col min="235" max="352" width="6.6640625" style="1" bestFit="1" customWidth="1"/>
    <col min="353" max="581" width="5.6640625" style="1" bestFit="1" customWidth="1"/>
    <col min="582" max="811" width="4.1640625" style="1" bestFit="1" customWidth="1"/>
    <col min="812" max="1044" width="3.1640625" style="1" bestFit="1" customWidth="1"/>
    <col min="1045" max="1098" width="2.1640625" style="1" bestFit="1" customWidth="1"/>
    <col min="1099" max="16384" width="10.83203125" style="1"/>
  </cols>
  <sheetData>
    <row r="2" spans="2:234">
      <c r="CG2" s="1">
        <v>1</v>
      </c>
      <c r="CH2" s="1">
        <f>+CG2+1</f>
        <v>2</v>
      </c>
      <c r="CI2" s="1">
        <f t="shared" ref="CI2:ET2" si="0">+CH2+1</f>
        <v>3</v>
      </c>
      <c r="CJ2" s="1">
        <f t="shared" si="0"/>
        <v>4</v>
      </c>
      <c r="CK2" s="1">
        <f t="shared" si="0"/>
        <v>5</v>
      </c>
      <c r="CL2" s="1">
        <f t="shared" si="0"/>
        <v>6</v>
      </c>
      <c r="CM2" s="1">
        <f t="shared" si="0"/>
        <v>7</v>
      </c>
      <c r="CN2" s="1">
        <f t="shared" si="0"/>
        <v>8</v>
      </c>
      <c r="CO2" s="1">
        <f t="shared" si="0"/>
        <v>9</v>
      </c>
      <c r="CP2" s="1">
        <f t="shared" si="0"/>
        <v>10</v>
      </c>
      <c r="CQ2" s="1">
        <f t="shared" si="0"/>
        <v>11</v>
      </c>
      <c r="CR2" s="1">
        <f t="shared" si="0"/>
        <v>12</v>
      </c>
      <c r="CS2" s="1">
        <f t="shared" si="0"/>
        <v>13</v>
      </c>
      <c r="CT2" s="1">
        <f t="shared" si="0"/>
        <v>14</v>
      </c>
      <c r="CU2" s="1">
        <f t="shared" si="0"/>
        <v>15</v>
      </c>
      <c r="CV2" s="1">
        <f t="shared" si="0"/>
        <v>16</v>
      </c>
      <c r="CW2" s="1">
        <f t="shared" si="0"/>
        <v>17</v>
      </c>
      <c r="CX2" s="1">
        <f t="shared" si="0"/>
        <v>18</v>
      </c>
      <c r="CY2" s="1">
        <f t="shared" si="0"/>
        <v>19</v>
      </c>
      <c r="CZ2" s="1">
        <f t="shared" si="0"/>
        <v>20</v>
      </c>
      <c r="DA2" s="1">
        <f t="shared" si="0"/>
        <v>21</v>
      </c>
      <c r="DB2" s="1">
        <f t="shared" si="0"/>
        <v>22</v>
      </c>
      <c r="DC2" s="1">
        <f t="shared" si="0"/>
        <v>23</v>
      </c>
      <c r="DD2" s="1">
        <f t="shared" si="0"/>
        <v>24</v>
      </c>
      <c r="DE2" s="1">
        <f t="shared" si="0"/>
        <v>25</v>
      </c>
      <c r="DF2" s="1">
        <f t="shared" si="0"/>
        <v>26</v>
      </c>
      <c r="DG2" s="1">
        <f t="shared" si="0"/>
        <v>27</v>
      </c>
      <c r="DH2" s="1">
        <f t="shared" si="0"/>
        <v>28</v>
      </c>
      <c r="DI2" s="1">
        <f t="shared" si="0"/>
        <v>29</v>
      </c>
      <c r="DJ2" s="1">
        <f t="shared" si="0"/>
        <v>30</v>
      </c>
      <c r="DK2" s="1">
        <f t="shared" si="0"/>
        <v>31</v>
      </c>
      <c r="DL2" s="1">
        <f t="shared" si="0"/>
        <v>32</v>
      </c>
      <c r="DM2" s="1">
        <f t="shared" si="0"/>
        <v>33</v>
      </c>
      <c r="DN2" s="1">
        <f t="shared" si="0"/>
        <v>34</v>
      </c>
      <c r="DO2" s="1">
        <f t="shared" si="0"/>
        <v>35</v>
      </c>
      <c r="DP2" s="1">
        <f t="shared" si="0"/>
        <v>36</v>
      </c>
      <c r="DQ2" s="1">
        <f t="shared" si="0"/>
        <v>37</v>
      </c>
      <c r="DR2" s="1">
        <f t="shared" si="0"/>
        <v>38</v>
      </c>
      <c r="DS2" s="1">
        <f t="shared" si="0"/>
        <v>39</v>
      </c>
      <c r="DT2" s="1">
        <f t="shared" si="0"/>
        <v>40</v>
      </c>
      <c r="DU2" s="1">
        <f t="shared" si="0"/>
        <v>41</v>
      </c>
      <c r="DV2" s="1">
        <f t="shared" si="0"/>
        <v>42</v>
      </c>
      <c r="DW2" s="1">
        <f t="shared" si="0"/>
        <v>43</v>
      </c>
      <c r="DX2" s="1">
        <f t="shared" si="0"/>
        <v>44</v>
      </c>
      <c r="DY2" s="1">
        <f t="shared" si="0"/>
        <v>45</v>
      </c>
      <c r="DZ2" s="1">
        <f t="shared" si="0"/>
        <v>46</v>
      </c>
      <c r="EA2" s="1">
        <f t="shared" si="0"/>
        <v>47</v>
      </c>
      <c r="EB2" s="1">
        <f t="shared" si="0"/>
        <v>48</v>
      </c>
      <c r="EC2" s="1">
        <f t="shared" si="0"/>
        <v>49</v>
      </c>
      <c r="ED2" s="1">
        <f t="shared" si="0"/>
        <v>50</v>
      </c>
      <c r="EE2" s="1">
        <f t="shared" si="0"/>
        <v>51</v>
      </c>
      <c r="EF2" s="1">
        <f t="shared" si="0"/>
        <v>52</v>
      </c>
      <c r="EG2" s="1">
        <f t="shared" si="0"/>
        <v>53</v>
      </c>
      <c r="EH2" s="1">
        <f t="shared" si="0"/>
        <v>54</v>
      </c>
      <c r="EI2" s="1">
        <f t="shared" si="0"/>
        <v>55</v>
      </c>
      <c r="EJ2" s="1">
        <f t="shared" si="0"/>
        <v>56</v>
      </c>
      <c r="EK2" s="1">
        <f t="shared" si="0"/>
        <v>57</v>
      </c>
      <c r="EL2" s="1">
        <f t="shared" si="0"/>
        <v>58</v>
      </c>
      <c r="EM2" s="1">
        <f t="shared" si="0"/>
        <v>59</v>
      </c>
      <c r="EN2" s="1">
        <f t="shared" si="0"/>
        <v>60</v>
      </c>
      <c r="EO2" s="1">
        <f t="shared" si="0"/>
        <v>61</v>
      </c>
      <c r="EP2" s="1">
        <f t="shared" si="0"/>
        <v>62</v>
      </c>
      <c r="EQ2" s="1">
        <f t="shared" si="0"/>
        <v>63</v>
      </c>
      <c r="ER2" s="1">
        <f t="shared" si="0"/>
        <v>64</v>
      </c>
      <c r="ES2" s="1">
        <f t="shared" si="0"/>
        <v>65</v>
      </c>
      <c r="ET2" s="1">
        <f t="shared" si="0"/>
        <v>66</v>
      </c>
      <c r="EU2" s="1">
        <f t="shared" ref="EU2:HF2" si="1">+ET2+1</f>
        <v>67</v>
      </c>
      <c r="EV2" s="1">
        <f t="shared" si="1"/>
        <v>68</v>
      </c>
      <c r="EW2" s="1">
        <f t="shared" si="1"/>
        <v>69</v>
      </c>
      <c r="EX2" s="1">
        <f t="shared" si="1"/>
        <v>70</v>
      </c>
      <c r="EY2" s="1">
        <f t="shared" si="1"/>
        <v>71</v>
      </c>
      <c r="EZ2" s="1">
        <f t="shared" si="1"/>
        <v>72</v>
      </c>
      <c r="FA2" s="1">
        <f t="shared" si="1"/>
        <v>73</v>
      </c>
      <c r="FB2" s="1">
        <f t="shared" si="1"/>
        <v>74</v>
      </c>
      <c r="FC2" s="1">
        <f t="shared" si="1"/>
        <v>75</v>
      </c>
      <c r="FD2" s="1">
        <f t="shared" si="1"/>
        <v>76</v>
      </c>
      <c r="FE2" s="1">
        <f t="shared" si="1"/>
        <v>77</v>
      </c>
      <c r="FF2" s="1">
        <f t="shared" si="1"/>
        <v>78</v>
      </c>
      <c r="FG2" s="1">
        <f t="shared" si="1"/>
        <v>79</v>
      </c>
      <c r="FH2" s="1">
        <f t="shared" si="1"/>
        <v>80</v>
      </c>
      <c r="FI2" s="1">
        <f t="shared" si="1"/>
        <v>81</v>
      </c>
      <c r="FJ2" s="1">
        <f t="shared" si="1"/>
        <v>82</v>
      </c>
      <c r="FK2" s="1">
        <f t="shared" si="1"/>
        <v>83</v>
      </c>
      <c r="FL2" s="1">
        <f t="shared" si="1"/>
        <v>84</v>
      </c>
      <c r="FM2" s="1">
        <f t="shared" si="1"/>
        <v>85</v>
      </c>
      <c r="FN2" s="1">
        <f t="shared" si="1"/>
        <v>86</v>
      </c>
      <c r="FO2" s="1">
        <f t="shared" si="1"/>
        <v>87</v>
      </c>
      <c r="FP2" s="1">
        <f t="shared" si="1"/>
        <v>88</v>
      </c>
      <c r="FQ2" s="1">
        <f t="shared" si="1"/>
        <v>89</v>
      </c>
      <c r="FR2" s="1">
        <f t="shared" si="1"/>
        <v>90</v>
      </c>
      <c r="FS2" s="1">
        <f t="shared" si="1"/>
        <v>91</v>
      </c>
      <c r="FT2" s="1">
        <f t="shared" si="1"/>
        <v>92</v>
      </c>
      <c r="FU2" s="1">
        <f t="shared" si="1"/>
        <v>93</v>
      </c>
      <c r="FV2" s="1">
        <f t="shared" si="1"/>
        <v>94</v>
      </c>
      <c r="FW2" s="1">
        <f t="shared" si="1"/>
        <v>95</v>
      </c>
      <c r="FX2" s="1">
        <f t="shared" si="1"/>
        <v>96</v>
      </c>
      <c r="FY2" s="1">
        <f t="shared" si="1"/>
        <v>97</v>
      </c>
      <c r="FZ2" s="1">
        <f t="shared" si="1"/>
        <v>98</v>
      </c>
      <c r="GA2" s="1">
        <f t="shared" si="1"/>
        <v>99</v>
      </c>
      <c r="GB2" s="1">
        <f t="shared" si="1"/>
        <v>100</v>
      </c>
      <c r="GC2" s="1">
        <f t="shared" si="1"/>
        <v>101</v>
      </c>
      <c r="GD2" s="1">
        <f t="shared" si="1"/>
        <v>102</v>
      </c>
      <c r="GE2" s="1">
        <f t="shared" si="1"/>
        <v>103</v>
      </c>
      <c r="GF2" s="1">
        <f t="shared" si="1"/>
        <v>104</v>
      </c>
      <c r="GG2" s="1">
        <f t="shared" si="1"/>
        <v>105</v>
      </c>
      <c r="GH2" s="1">
        <f t="shared" si="1"/>
        <v>106</v>
      </c>
      <c r="GI2" s="1">
        <f t="shared" si="1"/>
        <v>107</v>
      </c>
      <c r="GJ2" s="1">
        <f t="shared" si="1"/>
        <v>108</v>
      </c>
      <c r="GK2" s="1">
        <f t="shared" si="1"/>
        <v>109</v>
      </c>
      <c r="GL2" s="1">
        <f t="shared" si="1"/>
        <v>110</v>
      </c>
      <c r="GM2" s="1">
        <f t="shared" si="1"/>
        <v>111</v>
      </c>
      <c r="GN2" s="1">
        <f t="shared" si="1"/>
        <v>112</v>
      </c>
      <c r="GO2" s="1">
        <f t="shared" si="1"/>
        <v>113</v>
      </c>
      <c r="GP2" s="1">
        <f t="shared" si="1"/>
        <v>114</v>
      </c>
      <c r="GQ2" s="1">
        <f t="shared" si="1"/>
        <v>115</v>
      </c>
      <c r="GR2" s="1">
        <f t="shared" si="1"/>
        <v>116</v>
      </c>
      <c r="GS2" s="1">
        <f t="shared" si="1"/>
        <v>117</v>
      </c>
      <c r="GT2" s="1">
        <f t="shared" si="1"/>
        <v>118</v>
      </c>
      <c r="GU2" s="1">
        <f t="shared" si="1"/>
        <v>119</v>
      </c>
      <c r="GV2" s="1">
        <f t="shared" si="1"/>
        <v>120</v>
      </c>
      <c r="GW2" s="1">
        <f t="shared" si="1"/>
        <v>121</v>
      </c>
      <c r="GX2" s="1">
        <f t="shared" si="1"/>
        <v>122</v>
      </c>
      <c r="GY2" s="1">
        <f t="shared" si="1"/>
        <v>123</v>
      </c>
      <c r="GZ2" s="1">
        <f t="shared" si="1"/>
        <v>124</v>
      </c>
      <c r="HA2" s="1">
        <f t="shared" si="1"/>
        <v>125</v>
      </c>
      <c r="HB2" s="1">
        <f t="shared" si="1"/>
        <v>126</v>
      </c>
      <c r="HC2" s="1">
        <f t="shared" si="1"/>
        <v>127</v>
      </c>
      <c r="HD2" s="1">
        <f t="shared" si="1"/>
        <v>128</v>
      </c>
      <c r="HE2" s="1">
        <f t="shared" si="1"/>
        <v>129</v>
      </c>
      <c r="HF2" s="1">
        <f t="shared" si="1"/>
        <v>130</v>
      </c>
      <c r="HG2" s="1">
        <f t="shared" ref="HG2:HZ2" si="2">+HF2+1</f>
        <v>131</v>
      </c>
      <c r="HH2" s="1">
        <f t="shared" si="2"/>
        <v>132</v>
      </c>
      <c r="HI2" s="1">
        <f t="shared" si="2"/>
        <v>133</v>
      </c>
      <c r="HJ2" s="1">
        <f t="shared" si="2"/>
        <v>134</v>
      </c>
      <c r="HK2" s="1">
        <f t="shared" si="2"/>
        <v>135</v>
      </c>
      <c r="HL2" s="1">
        <f t="shared" si="2"/>
        <v>136</v>
      </c>
      <c r="HM2" s="1">
        <f t="shared" si="2"/>
        <v>137</v>
      </c>
      <c r="HN2" s="1">
        <f t="shared" si="2"/>
        <v>138</v>
      </c>
      <c r="HO2" s="1">
        <f t="shared" si="2"/>
        <v>139</v>
      </c>
      <c r="HP2" s="1">
        <f t="shared" si="2"/>
        <v>140</v>
      </c>
      <c r="HQ2" s="1">
        <f t="shared" si="2"/>
        <v>141</v>
      </c>
      <c r="HR2" s="1">
        <f t="shared" si="2"/>
        <v>142</v>
      </c>
      <c r="HS2" s="1">
        <f t="shared" si="2"/>
        <v>143</v>
      </c>
      <c r="HT2" s="1">
        <f t="shared" si="2"/>
        <v>144</v>
      </c>
      <c r="HU2" s="1">
        <f t="shared" si="2"/>
        <v>145</v>
      </c>
      <c r="HV2" s="1">
        <f t="shared" si="2"/>
        <v>146</v>
      </c>
      <c r="HW2" s="1">
        <f t="shared" si="2"/>
        <v>147</v>
      </c>
      <c r="HX2" s="1">
        <f t="shared" si="2"/>
        <v>148</v>
      </c>
      <c r="HY2" s="1">
        <f t="shared" si="2"/>
        <v>149</v>
      </c>
      <c r="HZ2" s="1">
        <f t="shared" si="2"/>
        <v>150</v>
      </c>
    </row>
    <row r="3" spans="2:234" s="20" customFormat="1">
      <c r="B3"/>
      <c r="C3" s="20" t="s">
        <v>136</v>
      </c>
      <c r="D3" s="20" t="s">
        <v>135</v>
      </c>
      <c r="E3" s="20" t="s">
        <v>134</v>
      </c>
      <c r="F3" s="20" t="s">
        <v>133</v>
      </c>
      <c r="G3" s="20" t="s">
        <v>127</v>
      </c>
      <c r="H3" s="20" t="s">
        <v>128</v>
      </c>
      <c r="I3" s="20" t="s">
        <v>129</v>
      </c>
      <c r="J3" s="20" t="s">
        <v>130</v>
      </c>
      <c r="K3" s="20" t="s">
        <v>150</v>
      </c>
      <c r="L3" s="20" t="s">
        <v>131</v>
      </c>
      <c r="M3" s="20" t="s">
        <v>132</v>
      </c>
      <c r="N3" s="20" t="s">
        <v>62</v>
      </c>
      <c r="O3" s="20" t="s">
        <v>63</v>
      </c>
      <c r="P3" s="20" t="s">
        <v>64</v>
      </c>
      <c r="Q3" s="20" t="s">
        <v>65</v>
      </c>
      <c r="R3" s="20" t="s">
        <v>58</v>
      </c>
      <c r="S3" s="20" t="s">
        <v>59</v>
      </c>
      <c r="T3" s="20" t="s">
        <v>60</v>
      </c>
      <c r="U3" s="20" t="s">
        <v>61</v>
      </c>
      <c r="V3" s="20" t="s">
        <v>54</v>
      </c>
      <c r="W3" s="20" t="s">
        <v>55</v>
      </c>
      <c r="X3" s="20" t="s">
        <v>56</v>
      </c>
      <c r="Y3" s="20" t="s">
        <v>57</v>
      </c>
      <c r="Z3" s="20" t="s">
        <v>50</v>
      </c>
      <c r="AA3" s="20" t="s">
        <v>51</v>
      </c>
      <c r="AB3" s="20" t="s">
        <v>52</v>
      </c>
      <c r="AC3" s="20" t="s">
        <v>53</v>
      </c>
      <c r="AD3" s="20" t="s">
        <v>44</v>
      </c>
      <c r="AE3" s="20" t="s">
        <v>45</v>
      </c>
      <c r="AF3" s="20" t="s">
        <v>46</v>
      </c>
      <c r="AG3" s="20" t="s">
        <v>47</v>
      </c>
      <c r="AH3" s="20" t="s">
        <v>40</v>
      </c>
      <c r="AI3" s="20" t="s">
        <v>41</v>
      </c>
      <c r="AJ3" s="20" t="s">
        <v>42</v>
      </c>
      <c r="AK3" s="20" t="s">
        <v>43</v>
      </c>
      <c r="AL3" s="20" t="s">
        <v>36</v>
      </c>
      <c r="AM3" s="20" t="s">
        <v>37</v>
      </c>
      <c r="AN3" s="20" t="s">
        <v>38</v>
      </c>
      <c r="AO3" s="20" t="s">
        <v>39</v>
      </c>
      <c r="AP3" s="20" t="s">
        <v>6</v>
      </c>
      <c r="AQ3" s="20" t="s">
        <v>7</v>
      </c>
      <c r="AR3" s="20" t="s">
        <v>8</v>
      </c>
      <c r="AS3" s="20" t="s">
        <v>9</v>
      </c>
      <c r="AT3" s="20" t="s">
        <v>10</v>
      </c>
      <c r="AU3" s="20" t="s">
        <v>11</v>
      </c>
      <c r="AV3" s="20" t="s">
        <v>12</v>
      </c>
      <c r="AW3" s="20" t="s">
        <v>13</v>
      </c>
      <c r="AX3" s="20" t="s">
        <v>14</v>
      </c>
      <c r="AY3" s="20" t="s">
        <v>15</v>
      </c>
      <c r="AZ3" s="20" t="s">
        <v>16</v>
      </c>
      <c r="BA3" s="20" t="s">
        <v>17</v>
      </c>
      <c r="BB3" s="20" t="s">
        <v>165</v>
      </c>
      <c r="BC3" s="20" t="s">
        <v>166</v>
      </c>
      <c r="BD3" s="20" t="s">
        <v>167</v>
      </c>
      <c r="BE3" s="20" t="s">
        <v>168</v>
      </c>
      <c r="BF3" s="20" t="s">
        <v>201</v>
      </c>
      <c r="BG3" s="20" t="s">
        <v>202</v>
      </c>
      <c r="BH3" s="20" t="s">
        <v>203</v>
      </c>
      <c r="BI3" s="20" t="s">
        <v>204</v>
      </c>
      <c r="BJ3" s="20" t="s">
        <v>205</v>
      </c>
      <c r="BK3" s="20" t="s">
        <v>206</v>
      </c>
      <c r="BL3" s="20" t="s">
        <v>207</v>
      </c>
      <c r="BM3" s="20" t="s">
        <v>208</v>
      </c>
      <c r="BS3" s="20">
        <f t="shared" ref="BS3:BW3" si="3">+BT3-1</f>
        <v>2010</v>
      </c>
      <c r="BT3" s="20">
        <f t="shared" si="3"/>
        <v>2011</v>
      </c>
      <c r="BU3" s="20">
        <f t="shared" si="3"/>
        <v>2012</v>
      </c>
      <c r="BV3" s="20">
        <f t="shared" si="3"/>
        <v>2013</v>
      </c>
      <c r="BW3" s="20">
        <f t="shared" si="3"/>
        <v>2014</v>
      </c>
      <c r="BX3" s="20">
        <f>+BY3-1</f>
        <v>2015</v>
      </c>
      <c r="BY3" s="20">
        <f t="shared" ref="BY3" si="4">+BZ3-1</f>
        <v>2016</v>
      </c>
      <c r="BZ3" s="20">
        <f>+CA3-1</f>
        <v>2017</v>
      </c>
      <c r="CA3" s="20">
        <v>2018</v>
      </c>
      <c r="CB3" s="20">
        <f>+CA3+1</f>
        <v>2019</v>
      </c>
      <c r="CC3" s="20">
        <f t="shared" ref="CC3:CP3" si="5">+CB3+1</f>
        <v>2020</v>
      </c>
      <c r="CD3" s="20">
        <f t="shared" si="5"/>
        <v>2021</v>
      </c>
      <c r="CE3" s="20">
        <f t="shared" si="5"/>
        <v>2022</v>
      </c>
      <c r="CF3" s="20">
        <f t="shared" si="5"/>
        <v>2023</v>
      </c>
      <c r="CG3" s="20">
        <f t="shared" si="5"/>
        <v>2024</v>
      </c>
      <c r="CH3" s="20">
        <f t="shared" si="5"/>
        <v>2025</v>
      </c>
      <c r="CI3" s="20">
        <f t="shared" si="5"/>
        <v>2026</v>
      </c>
      <c r="CJ3" s="20">
        <f t="shared" si="5"/>
        <v>2027</v>
      </c>
      <c r="CK3" s="20">
        <f t="shared" si="5"/>
        <v>2028</v>
      </c>
      <c r="CL3" s="20">
        <f t="shared" si="5"/>
        <v>2029</v>
      </c>
      <c r="CM3" s="20">
        <f t="shared" si="5"/>
        <v>2030</v>
      </c>
      <c r="CN3" s="20">
        <f t="shared" si="5"/>
        <v>2031</v>
      </c>
      <c r="CO3" s="20">
        <f t="shared" si="5"/>
        <v>2032</v>
      </c>
      <c r="CP3" s="20">
        <f t="shared" si="5"/>
        <v>2033</v>
      </c>
    </row>
    <row r="4" spans="2:234">
      <c r="B4" s="1" t="s">
        <v>30</v>
      </c>
      <c r="C4" s="1">
        <v>81</v>
      </c>
      <c r="D4" s="1">
        <v>99</v>
      </c>
      <c r="E4" s="1">
        <v>112</v>
      </c>
      <c r="F4" s="1">
        <v>234</v>
      </c>
      <c r="G4" s="1">
        <v>257</v>
      </c>
      <c r="H4" s="1">
        <v>293</v>
      </c>
      <c r="I4" s="1">
        <v>327</v>
      </c>
      <c r="J4" s="1">
        <v>372</v>
      </c>
      <c r="K4" s="1">
        <v>417</v>
      </c>
      <c r="L4" s="1">
        <v>457</v>
      </c>
      <c r="M4" s="1">
        <v>483</v>
      </c>
      <c r="N4" s="1">
        <v>526</v>
      </c>
      <c r="O4" s="1">
        <v>552</v>
      </c>
      <c r="P4" s="1">
        <v>584</v>
      </c>
      <c r="Q4" s="1">
        <v>618</v>
      </c>
      <c r="R4" s="1">
        <v>665</v>
      </c>
      <c r="S4" s="1">
        <v>699</v>
      </c>
      <c r="T4" s="1">
        <v>728</v>
      </c>
      <c r="U4" s="1">
        <v>757</v>
      </c>
      <c r="V4" s="1">
        <v>802</v>
      </c>
      <c r="W4" s="1">
        <v>829</v>
      </c>
      <c r="X4" s="1">
        <v>864</v>
      </c>
      <c r="Y4" s="1">
        <v>890</v>
      </c>
      <c r="Z4" s="1">
        <v>936</v>
      </c>
      <c r="AA4" s="1">
        <v>968</v>
      </c>
      <c r="AB4" s="1">
        <v>1007</v>
      </c>
      <c r="AC4" s="1">
        <v>1038</v>
      </c>
      <c r="AD4" s="1">
        <v>1090</v>
      </c>
      <c r="AE4" s="1">
        <v>1128</v>
      </c>
      <c r="AF4" s="1">
        <v>1179</v>
      </c>
      <c r="AG4" s="1">
        <v>1227</v>
      </c>
      <c r="AH4" s="1">
        <v>1284</v>
      </c>
      <c r="AI4" s="1">
        <v>1325</v>
      </c>
      <c r="AJ4" s="1">
        <v>1368</v>
      </c>
      <c r="AK4" s="1">
        <v>1401</v>
      </c>
      <c r="AL4" s="1">
        <v>1449</v>
      </c>
      <c r="AM4" s="1">
        <v>1471</v>
      </c>
      <c r="AN4" s="1">
        <v>1495</v>
      </c>
      <c r="AO4" s="1">
        <v>1523</v>
      </c>
      <c r="AP4" s="1">
        <v>1562</v>
      </c>
      <c r="AQ4" s="1">
        <v>1587</v>
      </c>
      <c r="AR4" s="1">
        <v>1623</v>
      </c>
      <c r="AS4" s="1">
        <v>1657</v>
      </c>
      <c r="AT4" s="1">
        <v>1734</v>
      </c>
      <c r="AU4" s="1">
        <v>1785</v>
      </c>
      <c r="AV4" s="1">
        <v>1820</v>
      </c>
      <c r="AW4" s="1">
        <v>1845</v>
      </c>
      <c r="AX4" s="1">
        <v>1878</v>
      </c>
      <c r="AY4" s="1">
        <v>1908</v>
      </c>
      <c r="AZ4" s="1">
        <v>1930</v>
      </c>
      <c r="BA4" s="1">
        <v>1929</v>
      </c>
      <c r="BB4" s="1">
        <v>1960</v>
      </c>
      <c r="BC4" s="1">
        <v>1968</v>
      </c>
      <c r="BD4" s="1">
        <v>1984</v>
      </c>
      <c r="BE4" s="1">
        <v>2000</v>
      </c>
      <c r="BF4" s="1">
        <v>2037</v>
      </c>
      <c r="BG4" s="1">
        <v>2064</v>
      </c>
      <c r="BH4" s="1">
        <v>2085</v>
      </c>
      <c r="BI4" s="1">
        <v>2110</v>
      </c>
      <c r="BV4" s="1">
        <f>+U4</f>
        <v>757</v>
      </c>
      <c r="BW4" s="1">
        <f>+Y4</f>
        <v>890</v>
      </c>
      <c r="BX4" s="1">
        <f>+AC4</f>
        <v>1038</v>
      </c>
      <c r="BY4" s="1">
        <f>+AG4</f>
        <v>1227</v>
      </c>
      <c r="BZ4" s="1">
        <f>+AK4</f>
        <v>1401</v>
      </c>
      <c r="CA4" s="1">
        <f>+AO4</f>
        <v>1523</v>
      </c>
      <c r="CB4" s="1">
        <f>+AS4</f>
        <v>1657</v>
      </c>
      <c r="CC4" s="1">
        <f>+AW4</f>
        <v>1845</v>
      </c>
      <c r="CD4" s="1">
        <f>+BA4</f>
        <v>1929</v>
      </c>
      <c r="CE4" s="1">
        <f>+CD4*1.02</f>
        <v>1967.58</v>
      </c>
      <c r="CF4" s="1">
        <f>+CE4*1.01</f>
        <v>1987.2557999999999</v>
      </c>
      <c r="CG4" s="1">
        <f t="shared" ref="CG4:CP4" si="6">+CF4*1.01</f>
        <v>2007.1283579999999</v>
      </c>
      <c r="CH4" s="1">
        <f t="shared" si="6"/>
        <v>2027.1996415799999</v>
      </c>
      <c r="CI4" s="1">
        <f t="shared" si="6"/>
        <v>2047.4716379957999</v>
      </c>
      <c r="CJ4" s="1">
        <f t="shared" si="6"/>
        <v>2067.9463543757579</v>
      </c>
      <c r="CK4" s="1">
        <f t="shared" si="6"/>
        <v>2088.6258179195156</v>
      </c>
      <c r="CL4" s="1">
        <f t="shared" si="6"/>
        <v>2109.5120760987106</v>
      </c>
      <c r="CM4" s="1">
        <f t="shared" si="6"/>
        <v>2130.6071968596975</v>
      </c>
      <c r="CN4" s="1">
        <f t="shared" si="6"/>
        <v>2151.9132688282943</v>
      </c>
      <c r="CO4" s="1">
        <f t="shared" si="6"/>
        <v>2173.4324015165771</v>
      </c>
      <c r="CP4" s="1">
        <f t="shared" si="6"/>
        <v>2195.1667255317429</v>
      </c>
    </row>
    <row r="5" spans="2:234">
      <c r="B5" s="1" t="s">
        <v>34</v>
      </c>
      <c r="N5" s="1">
        <f t="shared" ref="N5:Z5" si="7">+N21/N4*4</f>
        <v>8.0456273764258555</v>
      </c>
      <c r="O5" s="1">
        <f t="shared" si="7"/>
        <v>8.579710144927537</v>
      </c>
      <c r="P5" s="1">
        <f t="shared" si="7"/>
        <v>8.6438356164383556</v>
      </c>
      <c r="Q5" s="1">
        <f t="shared" si="7"/>
        <v>10.258899676375405</v>
      </c>
      <c r="R5" s="1">
        <f t="shared" si="7"/>
        <v>8.7699248120300748</v>
      </c>
      <c r="S5" s="1">
        <f t="shared" si="7"/>
        <v>10.374821173104435</v>
      </c>
      <c r="T5" s="1">
        <f t="shared" si="7"/>
        <v>11.076923076923077</v>
      </c>
      <c r="U5" s="1">
        <f t="shared" si="7"/>
        <v>13.659180977542933</v>
      </c>
      <c r="V5" s="1">
        <f t="shared" si="7"/>
        <v>12.478802992518704</v>
      </c>
      <c r="W5" s="1">
        <f t="shared" si="7"/>
        <v>14.041013268998794</v>
      </c>
      <c r="X5" s="1">
        <f t="shared" si="7"/>
        <v>14.828703703703704</v>
      </c>
      <c r="Y5" s="1">
        <f t="shared" si="7"/>
        <v>17.307865168539326</v>
      </c>
      <c r="Z5" s="1">
        <f t="shared" si="7"/>
        <v>15.141025641025641</v>
      </c>
      <c r="AA5" s="1">
        <f>+AB21/AA4*4</f>
        <v>18.599173553719009</v>
      </c>
      <c r="AB5" s="1">
        <f>+AA21/AB4*4</f>
        <v>16.055610724925522</v>
      </c>
      <c r="AC5" s="1">
        <f t="shared" ref="AC5:BH5" si="8">+AC21/AC4*4</f>
        <v>22.51252408477842</v>
      </c>
      <c r="AD5" s="1">
        <f t="shared" si="8"/>
        <v>19.750458715596331</v>
      </c>
      <c r="AE5" s="1">
        <f t="shared" si="8"/>
        <v>22.822695035460992</v>
      </c>
      <c r="AF5" s="1">
        <f t="shared" si="8"/>
        <v>23.786259541984734</v>
      </c>
      <c r="AG5" s="1">
        <f t="shared" si="8"/>
        <v>28.717196414017931</v>
      </c>
      <c r="AH5" s="1">
        <f t="shared" si="8"/>
        <v>25.021806853582554</v>
      </c>
      <c r="AI5" s="1">
        <f t="shared" si="8"/>
        <v>28.138867924528302</v>
      </c>
      <c r="AJ5" s="1">
        <f t="shared" si="8"/>
        <v>30.198830409356724</v>
      </c>
      <c r="AK5" s="1">
        <f t="shared" si="8"/>
        <v>37.03640256959315</v>
      </c>
      <c r="AL5" s="1">
        <f t="shared" si="8"/>
        <v>33.032436162870944</v>
      </c>
      <c r="AM5" s="1">
        <f t="shared" si="8"/>
        <v>35.978246091094491</v>
      </c>
      <c r="AN5" s="1">
        <f t="shared" si="8"/>
        <v>36.727759197324417</v>
      </c>
      <c r="AO5" s="1">
        <f t="shared" si="8"/>
        <v>44.422849638870652</v>
      </c>
      <c r="AP5" s="1">
        <f t="shared" si="8"/>
        <v>38.609475032010245</v>
      </c>
      <c r="AQ5" s="1">
        <f t="shared" si="8"/>
        <v>42.560806553245115</v>
      </c>
      <c r="AR5" s="1">
        <f t="shared" si="8"/>
        <v>43.504621072088725</v>
      </c>
      <c r="AS5" s="1">
        <f t="shared" si="8"/>
        <v>50.891973445986721</v>
      </c>
      <c r="AT5" s="1">
        <f t="shared" si="8"/>
        <v>40.915801614763552</v>
      </c>
      <c r="AU5" s="1">
        <f t="shared" si="8"/>
        <v>41.875630252100841</v>
      </c>
      <c r="AV5" s="1">
        <f t="shared" si="8"/>
        <v>47.18681318681319</v>
      </c>
      <c r="AW5" s="1">
        <f t="shared" si="8"/>
        <v>60.858536585365854</v>
      </c>
      <c r="AX5" s="1">
        <f t="shared" si="8"/>
        <v>55.742279020234292</v>
      </c>
      <c r="AY5" s="1">
        <f t="shared" si="8"/>
        <v>60.958071278825997</v>
      </c>
      <c r="AZ5" s="1">
        <f t="shared" si="8"/>
        <v>60.124352331606218</v>
      </c>
      <c r="BA5" s="1">
        <f t="shared" si="8"/>
        <v>69.82063245204769</v>
      </c>
      <c r="BB5" s="1">
        <f t="shared" si="8"/>
        <v>56.955102040816328</v>
      </c>
      <c r="BC5" s="1">
        <f t="shared" si="8"/>
        <v>58.581300813008127</v>
      </c>
      <c r="BD5" s="1">
        <f t="shared" si="8"/>
        <v>55.875</v>
      </c>
      <c r="BE5" s="1">
        <f t="shared" si="8"/>
        <v>64.33</v>
      </c>
      <c r="BF5" s="1">
        <f t="shared" si="8"/>
        <v>56.249386352479135</v>
      </c>
      <c r="BG5" s="1">
        <f t="shared" si="8"/>
        <v>62.013565891472865</v>
      </c>
      <c r="BH5" s="1">
        <f t="shared" si="8"/>
        <v>65.507913669064749</v>
      </c>
      <c r="BI5" s="1">
        <f>+BI21/BI4*4</f>
        <v>76.039810426540285</v>
      </c>
      <c r="BV5" s="1">
        <f t="shared" ref="BV5:CF5" si="9">+BV21/BV4</f>
        <v>10.39894319682959</v>
      </c>
      <c r="BW5" s="1">
        <f t="shared" si="9"/>
        <v>14.006741573033707</v>
      </c>
      <c r="BX5" s="1">
        <f t="shared" si="9"/>
        <v>17.271676300578033</v>
      </c>
      <c r="BY5" s="1">
        <f t="shared" si="9"/>
        <v>22.524857375713122</v>
      </c>
      <c r="BZ5" s="1">
        <f t="shared" si="9"/>
        <v>29.017130620985011</v>
      </c>
      <c r="CA5" s="1">
        <f t="shared" si="9"/>
        <v>36.66316480630335</v>
      </c>
      <c r="CB5" s="1">
        <f t="shared" si="9"/>
        <v>42.665660832830419</v>
      </c>
      <c r="CC5" s="1">
        <f t="shared" si="9"/>
        <v>46.59349593495935</v>
      </c>
      <c r="CD5" s="1">
        <f t="shared" si="9"/>
        <v>61.134784862623121</v>
      </c>
      <c r="CE5" s="1">
        <f t="shared" si="9"/>
        <v>59.265188708972445</v>
      </c>
      <c r="CF5" s="1">
        <f t="shared" si="9"/>
        <v>67.883057631533902</v>
      </c>
      <c r="CG5" s="1">
        <f>+CF5*1.05</f>
        <v>71.277210513110603</v>
      </c>
      <c r="CH5" s="1">
        <f>+CG5*1.05</f>
        <v>74.841071038766131</v>
      </c>
      <c r="CI5" s="1">
        <f>+CH5*1.05</f>
        <v>78.583124590704443</v>
      </c>
      <c r="CJ5" s="1">
        <f t="shared" ref="CH5:CP5" si="10">+CI5*1.05</f>
        <v>82.512280820239667</v>
      </c>
      <c r="CK5" s="1">
        <f t="shared" si="10"/>
        <v>86.637894861251652</v>
      </c>
      <c r="CL5" s="1">
        <f t="shared" si="10"/>
        <v>90.969789604314244</v>
      </c>
      <c r="CM5" s="1">
        <f t="shared" si="10"/>
        <v>95.518279084529965</v>
      </c>
      <c r="CN5" s="1">
        <f t="shared" si="10"/>
        <v>100.29419303875646</v>
      </c>
      <c r="CO5" s="1">
        <f t="shared" si="10"/>
        <v>105.30890269069428</v>
      </c>
      <c r="CP5" s="1">
        <f t="shared" si="10"/>
        <v>110.574347825229</v>
      </c>
    </row>
    <row r="6" spans="2:234" s="9" customFormat="1">
      <c r="B6" s="9" t="s">
        <v>35</v>
      </c>
      <c r="N6" s="42">
        <f>+N5/4</f>
        <v>2.0114068441064639</v>
      </c>
      <c r="O6" s="42">
        <f t="shared" ref="O6:Q6" si="11">+O5/4</f>
        <v>2.1449275362318843</v>
      </c>
      <c r="P6" s="42">
        <f t="shared" si="11"/>
        <v>2.1609589041095889</v>
      </c>
      <c r="Q6" s="42">
        <f t="shared" si="11"/>
        <v>2.5647249190938513</v>
      </c>
      <c r="R6" s="42">
        <f t="shared" ref="R6:U6" si="12">+R5/4</f>
        <v>2.1924812030075187</v>
      </c>
      <c r="S6" s="42">
        <f t="shared" si="12"/>
        <v>2.5937052932761087</v>
      </c>
      <c r="T6" s="42">
        <f t="shared" si="12"/>
        <v>2.7692307692307692</v>
      </c>
      <c r="U6" s="42">
        <f t="shared" si="12"/>
        <v>3.4147952443857332</v>
      </c>
      <c r="V6" s="42">
        <f t="shared" ref="V6:Y6" si="13">+V5/4</f>
        <v>3.1197007481296759</v>
      </c>
      <c r="W6" s="42">
        <f t="shared" si="13"/>
        <v>3.5102533172496986</v>
      </c>
      <c r="X6" s="42">
        <f t="shared" si="13"/>
        <v>3.707175925925926</v>
      </c>
      <c r="Y6" s="42">
        <f t="shared" si="13"/>
        <v>4.3269662921348315</v>
      </c>
      <c r="Z6" s="42">
        <f t="shared" ref="Z6:AC6" si="14">+Z5/4</f>
        <v>3.7852564102564101</v>
      </c>
      <c r="AA6" s="42">
        <f t="shared" si="14"/>
        <v>4.6497933884297522</v>
      </c>
      <c r="AB6" s="42">
        <f t="shared" si="14"/>
        <v>4.0139026812313805</v>
      </c>
      <c r="AC6" s="42">
        <f t="shared" si="14"/>
        <v>5.628131021194605</v>
      </c>
      <c r="AD6" s="42">
        <f t="shared" ref="AD6" si="15">+AD5/4</f>
        <v>4.9376146788990827</v>
      </c>
      <c r="AE6" s="42">
        <f t="shared" ref="AE6" si="16">+AE5/4</f>
        <v>5.705673758865248</v>
      </c>
      <c r="AF6" s="42">
        <f t="shared" ref="AF6" si="17">+AF5/4</f>
        <v>5.9465648854961835</v>
      </c>
      <c r="AG6" s="42">
        <f t="shared" ref="AG6" si="18">+AG5/4</f>
        <v>7.1792991035044826</v>
      </c>
      <c r="AH6" s="42">
        <f t="shared" ref="AH6" si="19">+AH5/4</f>
        <v>6.2554517133956384</v>
      </c>
      <c r="AI6" s="42">
        <f t="shared" ref="AI6" si="20">+AI5/4</f>
        <v>7.0347169811320756</v>
      </c>
      <c r="AJ6" s="42">
        <f t="shared" ref="AJ6" si="21">+AJ5/4</f>
        <v>7.5497076023391809</v>
      </c>
      <c r="AK6" s="42">
        <f t="shared" ref="AK6" si="22">+AK5/4</f>
        <v>9.2591006423982876</v>
      </c>
      <c r="AL6" s="42">
        <f t="shared" ref="AL6" si="23">+AL5/4</f>
        <v>8.258109040717736</v>
      </c>
      <c r="AM6" s="42">
        <f t="shared" ref="AM6" si="24">+AM5/4</f>
        <v>8.9945615227736226</v>
      </c>
      <c r="AN6" s="42">
        <f t="shared" ref="AN6:AP6" si="25">+AN5/4</f>
        <v>9.1819397993311043</v>
      </c>
      <c r="AO6" s="42">
        <f t="shared" si="25"/>
        <v>11.105712409717663</v>
      </c>
      <c r="AP6" s="42">
        <f t="shared" si="25"/>
        <v>9.6523687580025612</v>
      </c>
      <c r="AQ6" s="42">
        <f>+AQ5/4</f>
        <v>10.640201638311279</v>
      </c>
      <c r="AR6" s="42">
        <f>+AR5/4</f>
        <v>10.876155268022181</v>
      </c>
      <c r="AS6" s="42">
        <f>+AS5/4</f>
        <v>12.72299336149668</v>
      </c>
      <c r="AT6" s="42">
        <f>+AT5/4</f>
        <v>10.228950403690888</v>
      </c>
      <c r="AU6" s="42">
        <f t="shared" ref="AU6:AW6" si="26">+AU5/4</f>
        <v>10.46890756302521</v>
      </c>
      <c r="AV6" s="42">
        <f t="shared" si="26"/>
        <v>11.796703296703297</v>
      </c>
      <c r="AW6" s="42">
        <f t="shared" si="26"/>
        <v>15.214634146341464</v>
      </c>
      <c r="AX6" s="42">
        <f t="shared" ref="AX6" si="27">+AX5/4</f>
        <v>13.935569755058573</v>
      </c>
      <c r="AY6" s="42">
        <f t="shared" ref="AY6" si="28">+AY5/4</f>
        <v>15.239517819706499</v>
      </c>
      <c r="AZ6" s="42">
        <f>+AZ5/4</f>
        <v>15.031088082901555</v>
      </c>
      <c r="BA6" s="42">
        <f>+BA5/4</f>
        <v>17.455158113011922</v>
      </c>
      <c r="BB6" s="42">
        <f t="shared" ref="BB6:BD6" si="29">+BB5/4</f>
        <v>14.238775510204082</v>
      </c>
      <c r="BC6" s="42">
        <f t="shared" si="29"/>
        <v>14.645325203252032</v>
      </c>
      <c r="BD6" s="42">
        <f t="shared" si="29"/>
        <v>13.96875</v>
      </c>
      <c r="BE6" s="42">
        <f t="shared" ref="BE6:BH6" si="30">+BE5/4</f>
        <v>16.0825</v>
      </c>
      <c r="BF6" s="42">
        <f t="shared" si="30"/>
        <v>14.062346588119784</v>
      </c>
      <c r="BG6" s="42">
        <f t="shared" si="30"/>
        <v>15.503391472868216</v>
      </c>
      <c r="BH6" s="42">
        <f t="shared" si="30"/>
        <v>16.376978417266187</v>
      </c>
      <c r="BI6" s="42">
        <f>+BI5/4</f>
        <v>19.009952606635071</v>
      </c>
      <c r="BW6" s="9">
        <f t="shared" ref="BW6:CB6" si="31">+BW5/BV5-1</f>
        <v>0.34693894445966933</v>
      </c>
      <c r="BX6" s="9">
        <f t="shared" si="31"/>
        <v>0.23309737746786863</v>
      </c>
      <c r="BY6" s="9">
        <f t="shared" si="31"/>
        <v>0.30415004216812935</v>
      </c>
      <c r="BZ6" s="9">
        <f t="shared" si="31"/>
        <v>0.28822705231741108</v>
      </c>
      <c r="CA6" s="9">
        <f t="shared" si="31"/>
        <v>0.263500698438762</v>
      </c>
      <c r="CB6" s="9">
        <f t="shared" si="31"/>
        <v>0.16372007321896787</v>
      </c>
      <c r="CC6" s="9">
        <f t="shared" ref="CC6:CD6" si="32">+CC5/CB5-1</f>
        <v>9.2060805468798357E-2</v>
      </c>
      <c r="CD6" s="9">
        <f t="shared" si="32"/>
        <v>0.31208838563996588</v>
      </c>
      <c r="CE6" s="9">
        <f>+CE5/CD5-1</f>
        <v>-3.058154466155194E-2</v>
      </c>
      <c r="CF6" s="9">
        <f t="shared" ref="CF6" si="33">+CF5/CE5-1</f>
        <v>0.14541198822263701</v>
      </c>
      <c r="CG6" s="9">
        <f t="shared" ref="CG6" si="34">+CG5/CF5-1</f>
        <v>5.0000000000000044E-2</v>
      </c>
      <c r="CH6" s="9">
        <f t="shared" ref="CH6" si="35">+CH5/CG5-1</f>
        <v>5.0000000000000044E-2</v>
      </c>
      <c r="CI6" s="9">
        <f t="shared" ref="CI6" si="36">+CI5/CH5-1</f>
        <v>5.0000000000000044E-2</v>
      </c>
      <c r="CJ6" s="9">
        <f t="shared" ref="CJ6" si="37">+CJ5/CI5-1</f>
        <v>5.0000000000000044E-2</v>
      </c>
      <c r="CK6" s="9">
        <f t="shared" ref="CK6" si="38">+CK5/CJ5-1</f>
        <v>5.0000000000000044E-2</v>
      </c>
      <c r="CL6" s="9">
        <f t="shared" ref="CL6" si="39">+CL5/CK5-1</f>
        <v>5.0000000000000044E-2</v>
      </c>
      <c r="CM6" s="9">
        <f t="shared" ref="CM6" si="40">+CM5/CL5-1</f>
        <v>5.0000000000000044E-2</v>
      </c>
      <c r="CN6" s="9">
        <f t="shared" ref="CN6:CP6" si="41">+CN5/CM5-1</f>
        <v>5.0000000000000044E-2</v>
      </c>
      <c r="CO6" s="9">
        <f t="shared" si="41"/>
        <v>5.0000000000000044E-2</v>
      </c>
      <c r="CP6" s="9">
        <f t="shared" si="41"/>
        <v>5.0000000000000044E-2</v>
      </c>
    </row>
    <row r="7" spans="2:234" s="6" customFormat="1">
      <c r="B7" s="6" t="s">
        <v>178</v>
      </c>
      <c r="K7" s="7">
        <f t="shared" ref="K7" si="42">+K4/G4-1</f>
        <v>0.62256809338521402</v>
      </c>
      <c r="L7" s="7">
        <f t="shared" ref="L7" si="43">+L4/H4-1</f>
        <v>0.55972696245733777</v>
      </c>
      <c r="M7" s="7">
        <f t="shared" ref="M7" si="44">+M4/I4-1</f>
        <v>0.47706422018348627</v>
      </c>
      <c r="N7" s="7">
        <f t="shared" ref="N7" si="45">+N4/J4-1</f>
        <v>0.41397849462365599</v>
      </c>
      <c r="O7" s="7">
        <f t="shared" ref="O7" si="46">+O4/K4-1</f>
        <v>0.32374100719424459</v>
      </c>
      <c r="P7" s="7">
        <f t="shared" ref="P7" si="47">+P4/L4-1</f>
        <v>0.27789934354485779</v>
      </c>
      <c r="Q7" s="7">
        <f t="shared" ref="Q7" si="48">+Q4/M4-1</f>
        <v>0.27950310559006208</v>
      </c>
      <c r="R7" s="7">
        <f t="shared" ref="R7" si="49">+R4/N4-1</f>
        <v>0.26425855513307983</v>
      </c>
      <c r="S7" s="7">
        <f t="shared" ref="S7:S8" si="50">+S4/O4-1</f>
        <v>0.26630434782608692</v>
      </c>
      <c r="T7" s="7">
        <f t="shared" ref="T7:T8" si="51">+T4/P4-1</f>
        <v>0.24657534246575352</v>
      </c>
      <c r="U7" s="7">
        <f t="shared" ref="U7:U8" si="52">+U4/Q4-1</f>
        <v>0.22491909385113273</v>
      </c>
      <c r="V7" s="7">
        <f t="shared" ref="V7:V8" si="53">+V4/R4-1</f>
        <v>0.20601503759398487</v>
      </c>
      <c r="W7" s="7">
        <f t="shared" ref="W7:W8" si="54">+W4/S4-1</f>
        <v>0.18597997138769662</v>
      </c>
      <c r="X7" s="7">
        <f t="shared" ref="X7:X8" si="55">+X4/T4-1</f>
        <v>0.18681318681318682</v>
      </c>
      <c r="Y7" s="7">
        <f t="shared" ref="Y7:Y8" si="56">+Y4/U4-1</f>
        <v>0.17569352708058128</v>
      </c>
      <c r="Z7" s="7">
        <f t="shared" ref="Z7:Z8" si="57">+Z4/V4-1</f>
        <v>0.16708229426433907</v>
      </c>
      <c r="AA7" s="7">
        <f t="shared" ref="AA7:AA8" si="58">+AA4/W4-1</f>
        <v>0.16767189384800973</v>
      </c>
      <c r="AB7" s="7">
        <f t="shared" ref="AB7:AB8" si="59">+AB4/X4-1</f>
        <v>0.1655092592592593</v>
      </c>
      <c r="AC7" s="7">
        <f t="shared" ref="AC7:AC8" si="60">+AC4/Y4-1</f>
        <v>0.16629213483146077</v>
      </c>
      <c r="AD7" s="7">
        <f t="shared" ref="AD7:AD8" si="61">+AD4/Z4-1</f>
        <v>0.16452991452991461</v>
      </c>
      <c r="AE7" s="7">
        <f t="shared" ref="AE7:AE8" si="62">+AE4/AA4-1</f>
        <v>0.165289256198347</v>
      </c>
      <c r="AF7" s="7">
        <f t="shared" ref="AF7:AF8" si="63">+AF4/AB4-1</f>
        <v>0.17080436941410126</v>
      </c>
      <c r="AG7" s="7">
        <f t="shared" ref="AG7:AG8" si="64">+AG4/AC4-1</f>
        <v>0.18208092485549132</v>
      </c>
      <c r="AH7" s="7">
        <f t="shared" ref="AH7:AH8" si="65">+AH4/AD4-1</f>
        <v>0.17798165137614674</v>
      </c>
      <c r="AI7" s="7">
        <f t="shared" ref="AI7:AI8" si="66">+AI4/AE4-1</f>
        <v>0.17464539007092195</v>
      </c>
      <c r="AJ7" s="7">
        <f t="shared" ref="AJ7:AJ8" si="67">+AJ4/AF4-1</f>
        <v>0.16030534351145032</v>
      </c>
      <c r="AK7" s="7">
        <f t="shared" ref="AK7:AK8" si="68">+AK4/AG4-1</f>
        <v>0.14180929095354533</v>
      </c>
      <c r="AL7" s="7">
        <f t="shared" ref="AL7:AL8" si="69">+AL4/AH4-1</f>
        <v>0.12850467289719636</v>
      </c>
      <c r="AM7" s="7">
        <f t="shared" ref="AM7:AM8" si="70">+AM4/AI4-1</f>
        <v>0.11018867924528308</v>
      </c>
      <c r="AN7" s="7">
        <f t="shared" ref="AN7:AN8" si="71">+AN4/AJ4-1</f>
        <v>9.2836257309941494E-2</v>
      </c>
      <c r="AO7" s="7">
        <f t="shared" ref="AO7:AO8" si="72">+AO4/AK4-1</f>
        <v>8.7080656673804491E-2</v>
      </c>
      <c r="AP7" s="7">
        <f t="shared" ref="AP7:AP8" si="73">+AP4/AL4-1</f>
        <v>7.7984817115251959E-2</v>
      </c>
      <c r="AQ7" s="7">
        <f t="shared" ref="AQ7:AQ8" si="74">+AQ4/AM4-1</f>
        <v>7.8857919782460817E-2</v>
      </c>
      <c r="AR7" s="7">
        <f t="shared" ref="AR7:AR8" si="75">+AR4/AN4-1</f>
        <v>8.5618729096989865E-2</v>
      </c>
      <c r="AS7" s="7">
        <f t="shared" ref="AS7:AS8" si="76">+AS4/AO4-1</f>
        <v>8.7984241628365156E-2</v>
      </c>
      <c r="AT7" s="7">
        <f t="shared" ref="AT7:AX7" si="77">+AT4/AP4-1</f>
        <v>0.11011523687580027</v>
      </c>
      <c r="AU7" s="7">
        <f t="shared" si="77"/>
        <v>0.12476370510396984</v>
      </c>
      <c r="AV7" s="7">
        <f t="shared" si="77"/>
        <v>0.1213801601971658</v>
      </c>
      <c r="AW7" s="7">
        <f t="shared" si="77"/>
        <v>0.11345805672902842</v>
      </c>
      <c r="AX7" s="7">
        <f t="shared" si="77"/>
        <v>8.3044982698961878E-2</v>
      </c>
      <c r="AY7" s="7">
        <f t="shared" ref="AY7:BB8" si="78">+AY4/AU4-1</f>
        <v>6.8907563025210061E-2</v>
      </c>
      <c r="AZ7" s="7">
        <f t="shared" si="78"/>
        <v>6.0439560439560447E-2</v>
      </c>
      <c r="BA7" s="7">
        <f t="shared" si="78"/>
        <v>4.5528455284552738E-2</v>
      </c>
      <c r="BB7" s="7">
        <f t="shared" si="78"/>
        <v>4.3663471778487839E-2</v>
      </c>
      <c r="BC7" s="7">
        <f t="shared" ref="BC7:BC8" si="79">+BC4/AY4-1</f>
        <v>3.1446540880503138E-2</v>
      </c>
      <c r="BD7" s="7">
        <f t="shared" ref="BD7:BD8" si="80">+BD4/AZ4-1</f>
        <v>2.797927461139893E-2</v>
      </c>
      <c r="BE7" s="7">
        <f t="shared" ref="BE7:BE8" si="81">+BE4/BA4-1</f>
        <v>3.680663556246766E-2</v>
      </c>
      <c r="BF7" s="7">
        <f t="shared" ref="BF7:BF8" si="82">+BF4/BB4-1</f>
        <v>3.9285714285714368E-2</v>
      </c>
      <c r="BG7" s="7">
        <f t="shared" ref="BG7:BG8" si="83">+BG4/BC4-1</f>
        <v>4.8780487804878092E-2</v>
      </c>
      <c r="BH7" s="7">
        <f t="shared" ref="BH7:BI8" si="84">+BH4/BD4-1</f>
        <v>5.0907258064516236E-2</v>
      </c>
      <c r="BI7" s="7">
        <f t="shared" si="84"/>
        <v>5.4999999999999938E-2</v>
      </c>
    </row>
    <row r="8" spans="2:234" s="6" customFormat="1">
      <c r="K8" s="7"/>
      <c r="L8" s="7"/>
      <c r="M8" s="7"/>
      <c r="N8" s="7"/>
      <c r="O8" s="7"/>
      <c r="P8" s="7"/>
      <c r="Q8" s="7"/>
      <c r="R8" s="7">
        <f>+R5/N5-1</f>
        <v>9.0023736088804096E-2</v>
      </c>
      <c r="S8" s="7">
        <f t="shared" si="50"/>
        <v>0.20922746781115875</v>
      </c>
      <c r="T8" s="7">
        <f t="shared" si="51"/>
        <v>0.28148238449347796</v>
      </c>
      <c r="U8" s="7">
        <f t="shared" si="52"/>
        <v>0.33144697856806493</v>
      </c>
      <c r="V8" s="7">
        <f t="shared" si="53"/>
        <v>0.42290877743911826</v>
      </c>
      <c r="W8" s="7">
        <f t="shared" si="54"/>
        <v>0.35337400372726946</v>
      </c>
      <c r="X8" s="7">
        <f t="shared" si="55"/>
        <v>0.33870241769547338</v>
      </c>
      <c r="Y8" s="7">
        <f t="shared" si="56"/>
        <v>0.26712320431182501</v>
      </c>
      <c r="Z8" s="7">
        <f t="shared" si="57"/>
        <v>0.2133395847424624</v>
      </c>
      <c r="AA8" s="7">
        <f t="shared" si="58"/>
        <v>0.32463186220215268</v>
      </c>
      <c r="AB8" s="7">
        <f t="shared" si="59"/>
        <v>8.2738656442058245E-2</v>
      </c>
      <c r="AC8" s="7">
        <f t="shared" si="60"/>
        <v>0.30071062291955286</v>
      </c>
      <c r="AD8" s="7">
        <f t="shared" si="61"/>
        <v>0.30443334446783554</v>
      </c>
      <c r="AE8" s="7">
        <f t="shared" si="62"/>
        <v>0.22708113720985557</v>
      </c>
      <c r="AF8" s="7">
        <f t="shared" si="63"/>
        <v>0.48149204346725782</v>
      </c>
      <c r="AG8" s="7">
        <f t="shared" si="64"/>
        <v>0.27560980305334692</v>
      </c>
      <c r="AH8" s="7">
        <f t="shared" si="65"/>
        <v>0.26689750419941394</v>
      </c>
      <c r="AI8" s="7">
        <f t="shared" si="66"/>
        <v>0.23293361633265719</v>
      </c>
      <c r="AJ8" s="7">
        <f t="shared" si="67"/>
        <v>0.26959139397488152</v>
      </c>
      <c r="AK8" s="7">
        <f t="shared" si="68"/>
        <v>0.28969423183365861</v>
      </c>
      <c r="AL8" s="7">
        <f t="shared" si="69"/>
        <v>0.32014591736573372</v>
      </c>
      <c r="AM8" s="7">
        <f t="shared" si="70"/>
        <v>0.27859607527894537</v>
      </c>
      <c r="AN8" s="7">
        <f t="shared" si="71"/>
        <v>0.21619806792069629</v>
      </c>
      <c r="AO8" s="7">
        <f t="shared" si="72"/>
        <v>0.19943748735849876</v>
      </c>
      <c r="AP8" s="7">
        <f t="shared" si="73"/>
        <v>0.16883522733960477</v>
      </c>
      <c r="AQ8" s="7">
        <f t="shared" si="74"/>
        <v>0.18295945959911508</v>
      </c>
      <c r="AR8" s="7">
        <f t="shared" si="75"/>
        <v>0.18451607238968171</v>
      </c>
      <c r="AS8" s="7">
        <f t="shared" si="76"/>
        <v>0.14562604289697556</v>
      </c>
      <c r="AT8" s="7">
        <f t="shared" ref="AT8:AW8" si="85">+AT5/AP5-1</f>
        <v>5.9734730421513893E-2</v>
      </c>
      <c r="AU8" s="7">
        <f t="shared" si="85"/>
        <v>-1.6098762138990308E-2</v>
      </c>
      <c r="AV8" s="7">
        <f t="shared" si="85"/>
        <v>8.4639103248892678E-2</v>
      </c>
      <c r="AW8" s="7">
        <f t="shared" si="85"/>
        <v>0.19583762358826506</v>
      </c>
      <c r="AX8" s="7">
        <f>+AX5/AT5-1</f>
        <v>0.36236556098954531</v>
      </c>
      <c r="AY8" s="7">
        <f t="shared" si="78"/>
        <v>0.45569322567432446</v>
      </c>
      <c r="AZ8" s="7">
        <f t="shared" si="78"/>
        <v>0.27417700563022018</v>
      </c>
      <c r="BA8" s="7">
        <f t="shared" si="78"/>
        <v>0.1472611135516011</v>
      </c>
      <c r="BB8" s="7">
        <f t="shared" si="78"/>
        <v>2.1757686300228007E-2</v>
      </c>
      <c r="BC8" s="7">
        <f t="shared" si="79"/>
        <v>-3.8990250445201546E-2</v>
      </c>
      <c r="BD8" s="7">
        <f t="shared" si="80"/>
        <v>-7.0676059979317474E-2</v>
      </c>
      <c r="BE8" s="7">
        <f t="shared" si="81"/>
        <v>-7.8639110807519841E-2</v>
      </c>
      <c r="BF8" s="7">
        <f t="shared" si="82"/>
        <v>-1.2390736967365035E-2</v>
      </c>
      <c r="BG8" s="7">
        <f t="shared" si="83"/>
        <v>5.8589772347673597E-2</v>
      </c>
      <c r="BH8" s="7">
        <f t="shared" si="84"/>
        <v>0.17240113949109159</v>
      </c>
      <c r="BI8" s="7">
        <f t="shared" si="84"/>
        <v>0.18202721011254908</v>
      </c>
    </row>
    <row r="9" spans="2:234" s="8" customFormat="1">
      <c r="B9" s="8" t="s">
        <v>170</v>
      </c>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v>2.36</v>
      </c>
      <c r="AU9" s="25">
        <v>2.4700000000000002</v>
      </c>
      <c r="AV9" s="25">
        <v>2.54</v>
      </c>
      <c r="AW9" s="25">
        <v>2.6</v>
      </c>
      <c r="AX9" s="25">
        <v>2.72</v>
      </c>
      <c r="AY9" s="25">
        <v>2.76</v>
      </c>
      <c r="AZ9" s="25">
        <v>2.81</v>
      </c>
      <c r="BA9" s="25">
        <v>2.82</v>
      </c>
      <c r="BB9" s="25">
        <v>2.87</v>
      </c>
      <c r="BC9" s="25">
        <v>2.88</v>
      </c>
      <c r="BD9" s="25">
        <v>2.93</v>
      </c>
      <c r="BE9" s="8">
        <v>2.96</v>
      </c>
      <c r="BF9" s="8">
        <v>3.02</v>
      </c>
      <c r="BG9" s="8">
        <v>3.07</v>
      </c>
      <c r="BH9" s="8">
        <v>3.14</v>
      </c>
      <c r="BI9" s="8">
        <v>3.14</v>
      </c>
      <c r="CC9" s="8">
        <f>+AW9</f>
        <v>2.6</v>
      </c>
      <c r="CD9" s="8">
        <f>+BA9</f>
        <v>2.82</v>
      </c>
      <c r="CE9" s="8">
        <f>+BE9</f>
        <v>2.96</v>
      </c>
      <c r="CF9" s="8">
        <f>+BI9</f>
        <v>3.14</v>
      </c>
      <c r="CG9" s="8">
        <f>+CF9*(1+CG10)</f>
        <v>3.2342000000000004</v>
      </c>
      <c r="CH9" s="8">
        <f t="shared" ref="CH9:CP9" si="86">+CG9*(1+CH10)</f>
        <v>3.3959100000000007</v>
      </c>
      <c r="CI9" s="8">
        <f t="shared" si="86"/>
        <v>3.5657055000000009</v>
      </c>
      <c r="CJ9" s="8">
        <f t="shared" si="86"/>
        <v>3.7439907750000012</v>
      </c>
      <c r="CK9" s="8">
        <f t="shared" si="86"/>
        <v>3.9311903137500015</v>
      </c>
      <c r="CL9" s="8">
        <f t="shared" si="86"/>
        <v>4.1277498294375015</v>
      </c>
      <c r="CM9" s="8">
        <f t="shared" si="86"/>
        <v>4.3341373209093765</v>
      </c>
      <c r="CN9" s="8">
        <f t="shared" si="86"/>
        <v>4.5508441869548459</v>
      </c>
      <c r="CO9" s="8">
        <f t="shared" si="86"/>
        <v>4.7783863963025883</v>
      </c>
      <c r="CP9" s="8">
        <f t="shared" si="86"/>
        <v>5.0173057161177184</v>
      </c>
    </row>
    <row r="10" spans="2:234" s="27" customFormat="1">
      <c r="B10" s="27" t="s">
        <v>172</v>
      </c>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9">
        <f t="shared" ref="AX10:BD10" si="87">+AX9/AT9-1</f>
        <v>0.15254237288135597</v>
      </c>
      <c r="AY10" s="29">
        <f t="shared" si="87"/>
        <v>0.11740890688259098</v>
      </c>
      <c r="AZ10" s="29">
        <f t="shared" si="87"/>
        <v>0.10629921259842523</v>
      </c>
      <c r="BA10" s="29">
        <f t="shared" si="87"/>
        <v>8.4615384615384537E-2</v>
      </c>
      <c r="BB10" s="29">
        <f t="shared" si="87"/>
        <v>5.5147058823529438E-2</v>
      </c>
      <c r="BC10" s="29">
        <f t="shared" si="87"/>
        <v>4.3478260869565188E-2</v>
      </c>
      <c r="BD10" s="29">
        <f t="shared" si="87"/>
        <v>4.2704626334519658E-2</v>
      </c>
      <c r="BE10" s="29">
        <f t="shared" ref="BE10" si="88">+BE9/BA9-1</f>
        <v>4.9645390070921946E-2</v>
      </c>
      <c r="BF10" s="29">
        <f>+BF9/BB9-1</f>
        <v>5.2264808362369353E-2</v>
      </c>
      <c r="BG10" s="29">
        <f>+BG9/BC9-1</f>
        <v>6.5972222222222099E-2</v>
      </c>
      <c r="BH10" s="29">
        <f t="shared" ref="BH10:BI10" si="89">+BH9/BD9-1</f>
        <v>7.1672354948805417E-2</v>
      </c>
      <c r="BI10" s="29">
        <f t="shared" si="89"/>
        <v>6.0810810810810967E-2</v>
      </c>
      <c r="BJ10" s="37"/>
      <c r="BK10" s="37"/>
      <c r="BL10" s="37"/>
      <c r="BM10" s="37"/>
      <c r="BO10" s="58"/>
      <c r="CD10" s="29">
        <f t="shared" ref="CD10" si="90">+CD9/CC9-1</f>
        <v>8.4615384615384537E-2</v>
      </c>
      <c r="CE10" s="29">
        <f>+CE9/CD9-1</f>
        <v>4.9645390070921946E-2</v>
      </c>
      <c r="CF10" s="29">
        <v>0.03</v>
      </c>
      <c r="CG10" s="29">
        <v>0.03</v>
      </c>
      <c r="CH10" s="37">
        <v>0.05</v>
      </c>
      <c r="CI10" s="37">
        <v>0.05</v>
      </c>
      <c r="CJ10" s="37">
        <v>0.05</v>
      </c>
      <c r="CK10" s="37">
        <v>0.05</v>
      </c>
      <c r="CL10" s="37">
        <v>0.05</v>
      </c>
      <c r="CM10" s="37">
        <v>0.05</v>
      </c>
      <c r="CN10" s="37">
        <v>0.05</v>
      </c>
      <c r="CO10" s="37">
        <v>0.05</v>
      </c>
      <c r="CP10" s="37">
        <v>0.05</v>
      </c>
    </row>
    <row r="11" spans="2:234" s="6" customFormat="1">
      <c r="B11" s="6" t="s">
        <v>169</v>
      </c>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f t="shared" ref="AT11:BH11" si="91">+AT21/AT9</f>
        <v>7515.6779661016953</v>
      </c>
      <c r="AU11" s="26">
        <f t="shared" si="91"/>
        <v>7565.5870445344126</v>
      </c>
      <c r="AV11" s="26">
        <f t="shared" si="91"/>
        <v>8452.7559055118109</v>
      </c>
      <c r="AW11" s="26">
        <f t="shared" si="91"/>
        <v>10796.538461538461</v>
      </c>
      <c r="AX11" s="26">
        <f t="shared" si="91"/>
        <v>9621.6911764705874</v>
      </c>
      <c r="AY11" s="26">
        <f t="shared" si="91"/>
        <v>10535.144927536232</v>
      </c>
      <c r="AZ11" s="26">
        <f t="shared" si="91"/>
        <v>10323.843416370106</v>
      </c>
      <c r="BA11" s="26">
        <f t="shared" si="91"/>
        <v>11940.070921985816</v>
      </c>
      <c r="BB11" s="26">
        <f t="shared" si="91"/>
        <v>9724.0418118466896</v>
      </c>
      <c r="BC11" s="26">
        <f t="shared" si="91"/>
        <v>10007.638888888889</v>
      </c>
      <c r="BD11" s="26">
        <f t="shared" si="91"/>
        <v>9458.7030716723548</v>
      </c>
      <c r="BE11" s="26">
        <f t="shared" si="91"/>
        <v>10866.554054054055</v>
      </c>
      <c r="BF11" s="26">
        <f t="shared" si="91"/>
        <v>9485.0993377483446</v>
      </c>
      <c r="BG11" s="26">
        <f t="shared" si="91"/>
        <v>10423.127035830619</v>
      </c>
      <c r="BH11" s="26">
        <f t="shared" si="91"/>
        <v>10874.52229299363</v>
      </c>
      <c r="BI11" s="26">
        <f t="shared" ref="BI11" si="92">+BI21/BI9</f>
        <v>12774.20382165605</v>
      </c>
      <c r="CC11" s="26">
        <f>+CC21/CC9</f>
        <v>33063.461538461539</v>
      </c>
      <c r="CD11" s="26">
        <f>+CD21/CD9</f>
        <v>41818.794326241135</v>
      </c>
      <c r="CE11" s="26">
        <f>+CE21/CE9</f>
        <v>39394.932432432433</v>
      </c>
      <c r="CF11" s="26">
        <f>+CF21/CF9</f>
        <v>42962.101910828023</v>
      </c>
      <c r="CG11" s="26">
        <f>+CG21/CG9</f>
        <v>50478.387236410847</v>
      </c>
      <c r="CH11" s="6">
        <f t="shared" ref="CG11:CP11" si="93">+CG11*(1+CH12)</f>
        <v>54011.874342959607</v>
      </c>
      <c r="CI11" s="6">
        <f t="shared" si="93"/>
        <v>57792.705546966783</v>
      </c>
      <c r="CJ11" s="6">
        <f t="shared" si="93"/>
        <v>61838.194935254462</v>
      </c>
      <c r="CK11" s="6">
        <f t="shared" si="93"/>
        <v>66166.868580722279</v>
      </c>
      <c r="CL11" s="6">
        <f t="shared" si="93"/>
        <v>70798.549381372839</v>
      </c>
      <c r="CM11" s="6">
        <f t="shared" si="93"/>
        <v>75754.44783806894</v>
      </c>
      <c r="CN11" s="6">
        <f t="shared" si="93"/>
        <v>81057.259186733776</v>
      </c>
      <c r="CO11" s="6">
        <f t="shared" si="93"/>
        <v>86731.267329805152</v>
      </c>
      <c r="CP11" s="6">
        <f t="shared" si="93"/>
        <v>92802.456042891514</v>
      </c>
    </row>
    <row r="12" spans="2:234" s="30" customFormat="1">
      <c r="B12" s="30" t="s">
        <v>171</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2"/>
      <c r="AX12" s="29">
        <f t="shared" ref="AX12:BC12" si="94">+AX11/AT11-1</f>
        <v>0.28021599912446216</v>
      </c>
      <c r="AY12" s="29">
        <f t="shared" si="94"/>
        <v>0.39250858730745941</v>
      </c>
      <c r="AZ12" s="29">
        <f t="shared" si="94"/>
        <v>0.22135828027853144</v>
      </c>
      <c r="BA12" s="29">
        <f t="shared" si="94"/>
        <v>0.10591658284931516</v>
      </c>
      <c r="BB12" s="29">
        <f t="shared" si="94"/>
        <v>1.0637489137709677E-2</v>
      </c>
      <c r="BC12" s="29">
        <f t="shared" si="94"/>
        <v>-5.0071075649711694E-2</v>
      </c>
      <c r="BD12" s="29">
        <f t="shared" ref="BD12" si="95">+BD11/AZ11-1</f>
        <v>-8.3800219531219633E-2</v>
      </c>
      <c r="BE12" s="29">
        <f t="shared" ref="BE12" si="96">+BE11/BA11-1</f>
        <v>-8.9908751375592288E-2</v>
      </c>
      <c r="BF12" s="29">
        <f t="shared" ref="BF12" si="97">+BF11/BB11-1</f>
        <v>-2.4572341287883437E-2</v>
      </c>
      <c r="BG12" s="29">
        <f t="shared" ref="BG12" si="98">+BG11/BC11-1</f>
        <v>4.1517100242598914E-2</v>
      </c>
      <c r="BH12" s="29">
        <f t="shared" ref="BH12:BI12" si="99">+BH11/BD11-1</f>
        <v>0.14968428658697186</v>
      </c>
      <c r="BI12" s="29">
        <f t="shared" si="99"/>
        <v>0.17555241138199618</v>
      </c>
      <c r="BJ12" s="37"/>
      <c r="BK12" s="37"/>
      <c r="BL12" s="37"/>
      <c r="BM12" s="37"/>
      <c r="BO12" s="58"/>
      <c r="CD12" s="50">
        <f t="shared" ref="CD12:CG12" si="100">+CD11/CC11-1</f>
        <v>0.26480387655705173</v>
      </c>
      <c r="CE12" s="50">
        <f t="shared" si="100"/>
        <v>-5.796106590016481E-2</v>
      </c>
      <c r="CF12" s="50">
        <f t="shared" si="100"/>
        <v>9.054894267210023E-2</v>
      </c>
      <c r="CG12" s="50">
        <f t="shared" si="100"/>
        <v>0.17495152684064652</v>
      </c>
      <c r="CH12" s="51">
        <v>7.0000000000000007E-2</v>
      </c>
      <c r="CI12" s="51">
        <v>7.0000000000000007E-2</v>
      </c>
      <c r="CJ12" s="51">
        <v>7.0000000000000007E-2</v>
      </c>
      <c r="CK12" s="51">
        <v>7.0000000000000007E-2</v>
      </c>
      <c r="CL12" s="51">
        <v>7.0000000000000007E-2</v>
      </c>
      <c r="CM12" s="51">
        <v>7.0000000000000007E-2</v>
      </c>
      <c r="CN12" s="51">
        <v>7.0000000000000007E-2</v>
      </c>
      <c r="CO12" s="51">
        <v>7.0000000000000007E-2</v>
      </c>
      <c r="CP12" s="51">
        <v>7.0000000000000007E-2</v>
      </c>
    </row>
    <row r="13" spans="2:234" s="30" customFormat="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2"/>
      <c r="AX13" s="32"/>
      <c r="AY13" s="32"/>
      <c r="AZ13" s="32"/>
      <c r="BA13" s="32"/>
      <c r="BB13" s="32"/>
      <c r="BC13" s="32"/>
      <c r="BD13" s="32"/>
      <c r="BE13" s="38"/>
      <c r="BF13" s="38"/>
      <c r="BG13" s="38"/>
      <c r="BH13" s="38"/>
      <c r="BI13" s="38"/>
      <c r="BJ13" s="38"/>
      <c r="BK13" s="38"/>
      <c r="BL13" s="38"/>
      <c r="BM13" s="38"/>
      <c r="BO13" s="38"/>
    </row>
    <row r="14" spans="2:234" s="30" customFormat="1">
      <c r="B14" s="30" t="s">
        <v>179</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f>+AT4/(AT9*1000)</f>
        <v>0.73474576271186443</v>
      </c>
      <c r="AU14" s="31">
        <f t="shared" ref="AU14:BI14" si="101">+AU4/(AU9*1000)</f>
        <v>0.72267206477732793</v>
      </c>
      <c r="AV14" s="31">
        <f t="shared" si="101"/>
        <v>0.71653543307086609</v>
      </c>
      <c r="AW14" s="31">
        <f t="shared" si="101"/>
        <v>0.70961538461538465</v>
      </c>
      <c r="AX14" s="31">
        <f t="shared" si="101"/>
        <v>0.69044117647058822</v>
      </c>
      <c r="AY14" s="31">
        <f t="shared" si="101"/>
        <v>0.69130434782608696</v>
      </c>
      <c r="AZ14" s="31">
        <f t="shared" si="101"/>
        <v>0.68683274021352314</v>
      </c>
      <c r="BA14" s="31">
        <f t="shared" si="101"/>
        <v>0.68404255319148932</v>
      </c>
      <c r="BB14" s="31">
        <f t="shared" si="101"/>
        <v>0.68292682926829273</v>
      </c>
      <c r="BC14" s="31">
        <f t="shared" si="101"/>
        <v>0.68333333333333335</v>
      </c>
      <c r="BD14" s="31">
        <f>+BD4/(BD9*1000)</f>
        <v>0.67713310580204777</v>
      </c>
      <c r="BE14" s="31">
        <f t="shared" si="101"/>
        <v>0.67567567567567566</v>
      </c>
      <c r="BF14" s="31">
        <f t="shared" si="101"/>
        <v>0.67450331125827812</v>
      </c>
      <c r="BG14" s="31">
        <f t="shared" si="101"/>
        <v>0.67231270358306194</v>
      </c>
      <c r="BH14" s="31">
        <f t="shared" si="101"/>
        <v>0.6640127388535032</v>
      </c>
      <c r="BI14" s="31">
        <f t="shared" si="101"/>
        <v>0.67197452229299359</v>
      </c>
      <c r="BJ14" s="38"/>
      <c r="BK14" s="38"/>
      <c r="BL14" s="38"/>
      <c r="BM14" s="38"/>
      <c r="BO14" s="38"/>
      <c r="CC14" s="31">
        <f t="shared" ref="CC14:CN14" si="102">+CC4/(CC9*1000)</f>
        <v>0.70961538461538465</v>
      </c>
      <c r="CD14" s="31">
        <f t="shared" si="102"/>
        <v>0.68404255319148932</v>
      </c>
      <c r="CE14" s="31">
        <f t="shared" si="102"/>
        <v>0.664722972972973</v>
      </c>
      <c r="CF14" s="31">
        <f>+CF4/(CF9*1000)</f>
        <v>0.63288401273885342</v>
      </c>
      <c r="CG14" s="31">
        <f>+CG4/(CG9*1000)</f>
        <v>0.62059500278275914</v>
      </c>
      <c r="CH14" s="31">
        <f>+CH4/(CH9*1000)</f>
        <v>0.5969532883910349</v>
      </c>
      <c r="CI14" s="31">
        <f t="shared" si="102"/>
        <v>0.57421221073804307</v>
      </c>
      <c r="CJ14" s="31">
        <f t="shared" si="102"/>
        <v>0.55233745985278426</v>
      </c>
      <c r="CK14" s="31">
        <f t="shared" si="102"/>
        <v>0.53129603281077342</v>
      </c>
      <c r="CL14" s="31">
        <f t="shared" si="102"/>
        <v>0.51105618394179153</v>
      </c>
      <c r="CM14" s="31">
        <f t="shared" si="102"/>
        <v>0.49158737693448523</v>
      </c>
      <c r="CN14" s="31">
        <f t="shared" si="102"/>
        <v>0.47286023876555233</v>
      </c>
      <c r="CO14" s="31">
        <f t="shared" ref="CO14:CP14" si="103">+CO4/(CO9*1000)</f>
        <v>0.45484651538400739</v>
      </c>
      <c r="CP14" s="31">
        <f t="shared" si="103"/>
        <v>0.43751902908366425</v>
      </c>
    </row>
    <row r="15" spans="2:234" s="30" customFormat="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2"/>
      <c r="AX15" s="32"/>
      <c r="AY15" s="32"/>
      <c r="AZ15" s="32"/>
      <c r="BA15" s="32"/>
      <c r="BB15" s="32"/>
      <c r="BC15" s="32"/>
      <c r="BD15" s="32"/>
      <c r="BE15" s="38"/>
      <c r="BF15" s="38"/>
      <c r="BG15" s="38"/>
      <c r="BH15" s="38"/>
      <c r="BI15" s="38"/>
      <c r="BJ15" s="38"/>
      <c r="BK15" s="38"/>
      <c r="BL15" s="38"/>
      <c r="BM15" s="38"/>
      <c r="BO15" s="38"/>
    </row>
    <row r="17" spans="2:234" s="6" customFormat="1">
      <c r="B17" s="6" t="s">
        <v>209</v>
      </c>
      <c r="AX17" s="6">
        <v>25439</v>
      </c>
      <c r="AY17" s="6">
        <v>28580</v>
      </c>
      <c r="AZ17" s="6">
        <v>28276</v>
      </c>
      <c r="BA17" s="6">
        <v>32639</v>
      </c>
      <c r="BB17" s="6">
        <v>26998</v>
      </c>
      <c r="BC17" s="6">
        <v>28152</v>
      </c>
      <c r="BD17" s="6">
        <v>27237</v>
      </c>
      <c r="BE17" s="6">
        <v>31254</v>
      </c>
      <c r="BF17" s="6">
        <v>28101</v>
      </c>
      <c r="BG17" s="6">
        <v>31498</v>
      </c>
      <c r="BH17" s="6">
        <v>33643</v>
      </c>
      <c r="BI17" s="6">
        <v>38706</v>
      </c>
      <c r="CD17" s="6">
        <f>SUM(AX17:BA17)</f>
        <v>114934</v>
      </c>
      <c r="CE17" s="6">
        <f>SUM(BB17:BE17)</f>
        <v>113641</v>
      </c>
      <c r="CF17" s="6">
        <f>SUM(BF17:BI17)</f>
        <v>131948</v>
      </c>
    </row>
    <row r="18" spans="2:234" s="6" customFormat="1">
      <c r="B18" s="6" t="s">
        <v>210</v>
      </c>
      <c r="AX18" s="6">
        <v>198</v>
      </c>
      <c r="AY18" s="6">
        <v>192</v>
      </c>
      <c r="AZ18" s="6">
        <v>176</v>
      </c>
      <c r="BA18" s="6">
        <v>155</v>
      </c>
      <c r="BB18" s="6">
        <v>215</v>
      </c>
      <c r="BC18" s="6">
        <v>218</v>
      </c>
      <c r="BD18" s="6">
        <v>192</v>
      </c>
      <c r="BE18" s="6">
        <v>184</v>
      </c>
      <c r="BF18" s="6">
        <v>205</v>
      </c>
      <c r="BG18" s="6">
        <v>225</v>
      </c>
      <c r="BH18" s="6">
        <v>293</v>
      </c>
      <c r="BI18" s="6">
        <v>334</v>
      </c>
      <c r="CD18" s="6">
        <f>SUM(AX18:BA18)</f>
        <v>721</v>
      </c>
      <c r="CE18" s="6">
        <f>SUM(BB18:BE18)</f>
        <v>809</v>
      </c>
      <c r="CF18" s="6">
        <f t="shared" ref="CF18:CF33" si="104">SUM(BF18:BI18)</f>
        <v>1057</v>
      </c>
    </row>
    <row r="19" spans="2:234" s="6" customFormat="1">
      <c r="B19" s="6" t="s">
        <v>211</v>
      </c>
      <c r="AX19" s="6">
        <f t="shared" ref="AX19:BG19" si="105">+SUM(AX17:AX18)</f>
        <v>25637</v>
      </c>
      <c r="AY19" s="6">
        <f t="shared" si="105"/>
        <v>28772</v>
      </c>
      <c r="AZ19" s="6">
        <f t="shared" si="105"/>
        <v>28452</v>
      </c>
      <c r="BA19" s="6">
        <f t="shared" si="105"/>
        <v>32794</v>
      </c>
      <c r="BB19" s="6">
        <f t="shared" si="105"/>
        <v>27213</v>
      </c>
      <c r="BC19" s="6">
        <f t="shared" si="105"/>
        <v>28370</v>
      </c>
      <c r="BD19" s="6">
        <f t="shared" si="105"/>
        <v>27429</v>
      </c>
      <c r="BE19" s="6">
        <f t="shared" si="105"/>
        <v>31438</v>
      </c>
      <c r="BF19" s="6">
        <f t="shared" si="105"/>
        <v>28306</v>
      </c>
      <c r="BG19" s="6">
        <f t="shared" si="105"/>
        <v>31723</v>
      </c>
      <c r="BH19" s="6">
        <f>+SUM(BH17:BH18)</f>
        <v>33936</v>
      </c>
      <c r="BI19" s="6">
        <f>+SUM(BI17:BI18)</f>
        <v>39040</v>
      </c>
      <c r="CD19" s="6">
        <f>SUM(AX19:BA19)</f>
        <v>115655</v>
      </c>
      <c r="CE19" s="6">
        <f>SUM(BB19:BE19)</f>
        <v>114450</v>
      </c>
      <c r="CF19" s="6">
        <f t="shared" si="104"/>
        <v>133005</v>
      </c>
    </row>
    <row r="20" spans="2:234" s="6" customFormat="1">
      <c r="B20" s="6" t="s">
        <v>212</v>
      </c>
      <c r="AX20" s="6">
        <v>534</v>
      </c>
      <c r="AY20" s="6">
        <v>305</v>
      </c>
      <c r="AZ20" s="6">
        <v>558</v>
      </c>
      <c r="BA20" s="6">
        <v>877</v>
      </c>
      <c r="BB20" s="6">
        <v>695</v>
      </c>
      <c r="BC20" s="6">
        <v>452</v>
      </c>
      <c r="BD20" s="6">
        <v>285</v>
      </c>
      <c r="BE20" s="6">
        <v>727</v>
      </c>
      <c r="BF20" s="6">
        <v>339</v>
      </c>
      <c r="BG20" s="6">
        <v>276</v>
      </c>
      <c r="BH20" s="6">
        <v>210</v>
      </c>
      <c r="BI20" s="6">
        <v>1071</v>
      </c>
      <c r="CD20" s="6">
        <f>SUM(AX20:BA20)</f>
        <v>2274</v>
      </c>
      <c r="CE20" s="6">
        <f>SUM(BB20:BE20)</f>
        <v>2159</v>
      </c>
      <c r="CF20" s="6">
        <f t="shared" si="104"/>
        <v>1896</v>
      </c>
    </row>
    <row r="21" spans="2:234" s="6" customFormat="1">
      <c r="B21" s="6" t="s">
        <v>18</v>
      </c>
      <c r="N21" s="6">
        <v>1058</v>
      </c>
      <c r="O21" s="6">
        <v>1184</v>
      </c>
      <c r="P21" s="6">
        <v>1262</v>
      </c>
      <c r="Q21" s="6">
        <f>+BU21-SUM(N21:P21)</f>
        <v>1585</v>
      </c>
      <c r="R21" s="6">
        <v>1458</v>
      </c>
      <c r="S21" s="6">
        <v>1813</v>
      </c>
      <c r="T21" s="6">
        <v>2016</v>
      </c>
      <c r="U21" s="6">
        <f>+BV21-SUM(R21:T21)</f>
        <v>2585</v>
      </c>
      <c r="V21" s="6">
        <v>2502</v>
      </c>
      <c r="W21" s="6">
        <v>2910</v>
      </c>
      <c r="X21" s="6">
        <v>3203</v>
      </c>
      <c r="Y21" s="6">
        <f>+BW21-SUM(V21:X21)</f>
        <v>3851</v>
      </c>
      <c r="Z21" s="6">
        <v>3543</v>
      </c>
      <c r="AA21" s="6">
        <v>4042</v>
      </c>
      <c r="AB21" s="6">
        <v>4501</v>
      </c>
      <c r="AC21" s="6">
        <f>+BX21-SUM(Z21:AB21)</f>
        <v>5842</v>
      </c>
      <c r="AD21" s="6">
        <v>5382</v>
      </c>
      <c r="AE21" s="6">
        <v>6436</v>
      </c>
      <c r="AF21" s="6">
        <v>7011</v>
      </c>
      <c r="AG21" s="6">
        <f>+BY21-SUM(AD21:AF21)</f>
        <v>8809</v>
      </c>
      <c r="AH21" s="6">
        <v>8032</v>
      </c>
      <c r="AI21" s="6">
        <v>9321</v>
      </c>
      <c r="AJ21" s="6">
        <v>10328</v>
      </c>
      <c r="AK21" s="6">
        <f>+BZ21-SUM(AH21:AJ21)</f>
        <v>12972</v>
      </c>
      <c r="AL21" s="6">
        <v>11966</v>
      </c>
      <c r="AM21" s="6">
        <v>13231</v>
      </c>
      <c r="AN21" s="6">
        <v>13727</v>
      </c>
      <c r="AO21" s="6">
        <f>+CA21-SUM(AL21:AN21)</f>
        <v>16914</v>
      </c>
      <c r="AP21" s="6">
        <v>15077</v>
      </c>
      <c r="AQ21" s="6">
        <v>16886</v>
      </c>
      <c r="AR21" s="6">
        <v>17652</v>
      </c>
      <c r="AS21" s="6">
        <f>+CB21-SUM(AP21:AR21)</f>
        <v>21082</v>
      </c>
      <c r="AT21" s="6">
        <v>17737</v>
      </c>
      <c r="AU21" s="6">
        <v>18687</v>
      </c>
      <c r="AV21" s="6">
        <v>21470</v>
      </c>
      <c r="AW21" s="6">
        <f>+CC21-SUM(AT21:AV21)</f>
        <v>28071</v>
      </c>
      <c r="AX21" s="6">
        <f t="shared" ref="AX21:BH21" si="106">+SUM(AX19:AX20)</f>
        <v>26171</v>
      </c>
      <c r="AY21" s="6">
        <f t="shared" si="106"/>
        <v>29077</v>
      </c>
      <c r="AZ21" s="6">
        <f t="shared" si="106"/>
        <v>29010</v>
      </c>
      <c r="BA21" s="6">
        <f t="shared" si="106"/>
        <v>33671</v>
      </c>
      <c r="BB21" s="6">
        <f t="shared" si="106"/>
        <v>27908</v>
      </c>
      <c r="BC21" s="6">
        <f t="shared" si="106"/>
        <v>28822</v>
      </c>
      <c r="BD21" s="6">
        <f t="shared" si="106"/>
        <v>27714</v>
      </c>
      <c r="BE21" s="6">
        <f t="shared" si="106"/>
        <v>32165</v>
      </c>
      <c r="BF21" s="6">
        <f t="shared" si="106"/>
        <v>28645</v>
      </c>
      <c r="BG21" s="6">
        <f t="shared" si="106"/>
        <v>31999</v>
      </c>
      <c r="BH21" s="6">
        <f t="shared" si="106"/>
        <v>34146</v>
      </c>
      <c r="BI21" s="6">
        <v>40111</v>
      </c>
      <c r="BJ21" s="6">
        <f>AVERAGE(34500,37000)</f>
        <v>35750</v>
      </c>
      <c r="BK21" s="6">
        <f>+BG21*1.2</f>
        <v>38398.799999999996</v>
      </c>
      <c r="BL21" s="6">
        <f t="shared" ref="BL21:BM21" si="107">+BH21*1.2</f>
        <v>40975.199999999997</v>
      </c>
      <c r="BM21" s="6">
        <f t="shared" si="107"/>
        <v>48133.2</v>
      </c>
      <c r="BS21" s="6">
        <v>1974</v>
      </c>
      <c r="BT21" s="6">
        <v>3711</v>
      </c>
      <c r="BU21" s="6">
        <v>5089</v>
      </c>
      <c r="BV21" s="6">
        <v>7872</v>
      </c>
      <c r="BW21" s="6">
        <v>12466</v>
      </c>
      <c r="BX21" s="6">
        <v>17928</v>
      </c>
      <c r="BY21" s="6">
        <v>27638</v>
      </c>
      <c r="BZ21" s="6">
        <v>40653</v>
      </c>
      <c r="CA21" s="6">
        <v>55838</v>
      </c>
      <c r="CB21" s="6">
        <v>70697</v>
      </c>
      <c r="CC21" s="6">
        <v>85965</v>
      </c>
      <c r="CD21" s="6">
        <v>117929</v>
      </c>
      <c r="CE21" s="6">
        <f>SUM(BB21:BE21)</f>
        <v>116609</v>
      </c>
      <c r="CF21" s="6">
        <f t="shared" si="104"/>
        <v>134901</v>
      </c>
      <c r="CG21" s="6">
        <f>SUM(BJ21:BM21)</f>
        <v>163257.19999999998</v>
      </c>
      <c r="CH21" s="6">
        <f t="shared" ref="CG21:CO21" si="108">+CH9*CH11</f>
        <v>183419.46419999999</v>
      </c>
      <c r="CI21" s="6">
        <f t="shared" si="108"/>
        <v>206071.76802870003</v>
      </c>
      <c r="CJ21" s="6">
        <f t="shared" si="108"/>
        <v>231521.63138024451</v>
      </c>
      <c r="CK21" s="6">
        <f t="shared" si="108"/>
        <v>260114.55285570474</v>
      </c>
      <c r="CL21" s="6">
        <f t="shared" si="108"/>
        <v>292238.70013338426</v>
      </c>
      <c r="CM21" s="6">
        <f t="shared" si="108"/>
        <v>328330.17959985725</v>
      </c>
      <c r="CN21" s="6">
        <f t="shared" si="108"/>
        <v>368878.95678043971</v>
      </c>
      <c r="CO21" s="6">
        <f t="shared" si="108"/>
        <v>414435.50794282404</v>
      </c>
      <c r="CP21" s="6">
        <f t="shared" ref="CP21" si="109">+CP9*CP11</f>
        <v>465618.29317376291</v>
      </c>
    </row>
    <row r="22" spans="2:234" s="6" customFormat="1">
      <c r="B22" s="6" t="s">
        <v>19</v>
      </c>
      <c r="Z22" s="6">
        <v>654</v>
      </c>
      <c r="AA22" s="6">
        <v>668</v>
      </c>
      <c r="AB22" s="6">
        <v>720</v>
      </c>
      <c r="AC22" s="6">
        <f>+BX22-SUM(Z22:AA22)</f>
        <v>1545</v>
      </c>
      <c r="AD22" s="6">
        <v>838</v>
      </c>
      <c r="AE22" s="6">
        <v>917</v>
      </c>
      <c r="AF22" s="6">
        <v>987</v>
      </c>
      <c r="AG22" s="6">
        <f>+BY22-SUM(AD22:AF22)</f>
        <v>1047</v>
      </c>
      <c r="AH22" s="6">
        <v>1159</v>
      </c>
      <c r="AI22" s="6">
        <v>1237</v>
      </c>
      <c r="AJ22" s="6">
        <v>1448</v>
      </c>
      <c r="AK22" s="6">
        <f>+BZ22-SUM(AH22:AJ22)</f>
        <v>1610</v>
      </c>
      <c r="AL22" s="6">
        <v>1927</v>
      </c>
      <c r="AM22" s="6">
        <v>2214</v>
      </c>
      <c r="AN22" s="6">
        <v>2418</v>
      </c>
      <c r="AO22" s="6">
        <f>+CA22-SUM(AL22:AN22)</f>
        <v>2796</v>
      </c>
      <c r="AP22" s="6">
        <v>2816</v>
      </c>
      <c r="AQ22" s="6">
        <v>3307</v>
      </c>
      <c r="AR22" s="6">
        <v>3155</v>
      </c>
      <c r="AS22" s="6">
        <f>+CB22-SUM(AP22:AR22)</f>
        <v>3492</v>
      </c>
      <c r="AT22" s="6">
        <v>3459</v>
      </c>
      <c r="AU22" s="6">
        <v>3829</v>
      </c>
      <c r="AV22" s="6">
        <v>4194</v>
      </c>
      <c r="AW22" s="6">
        <f>+CC22-SUM(AT22:AV22)</f>
        <v>5210</v>
      </c>
      <c r="AX22" s="6">
        <v>5131</v>
      </c>
      <c r="AY22" s="6">
        <v>5399</v>
      </c>
      <c r="AZ22" s="6">
        <v>5771</v>
      </c>
      <c r="BA22" s="18">
        <f>+CD22-SUM(AX22:AZ22)</f>
        <v>6348</v>
      </c>
      <c r="BB22" s="6">
        <v>6005</v>
      </c>
      <c r="BC22" s="6">
        <v>5192</v>
      </c>
      <c r="BD22" s="6">
        <v>5716</v>
      </c>
      <c r="BE22" s="6">
        <v>8336</v>
      </c>
      <c r="BF22" s="6">
        <v>6108</v>
      </c>
      <c r="BG22" s="6">
        <v>5945</v>
      </c>
      <c r="BH22" s="6">
        <v>6210</v>
      </c>
      <c r="BI22" s="6">
        <v>7695</v>
      </c>
      <c r="BJ22" s="6">
        <f>+BJ$26*(BF22/BF$26)</f>
        <v>6879.9841255019146</v>
      </c>
      <c r="BK22" s="6">
        <f t="shared" ref="BK22:BM25" si="110">+BK$26*(BG22/BG$26)</f>
        <v>6344.190958552661</v>
      </c>
      <c r="BL22" s="6">
        <f t="shared" si="110"/>
        <v>7344.6538876360419</v>
      </c>
      <c r="BM22" s="6">
        <f t="shared" si="110"/>
        <v>7824.0770008850677</v>
      </c>
      <c r="BS22" s="6">
        <v>493</v>
      </c>
      <c r="BT22" s="6">
        <v>860</v>
      </c>
      <c r="BU22" s="6">
        <v>1364</v>
      </c>
      <c r="BV22" s="6">
        <v>1875</v>
      </c>
      <c r="BW22" s="6">
        <v>2153</v>
      </c>
      <c r="BX22" s="6">
        <v>2867</v>
      </c>
      <c r="BY22" s="6">
        <v>3789</v>
      </c>
      <c r="BZ22" s="6">
        <v>5454</v>
      </c>
      <c r="CA22" s="6">
        <v>9355</v>
      </c>
      <c r="CB22" s="6">
        <v>12770</v>
      </c>
      <c r="CC22" s="6">
        <v>16692</v>
      </c>
      <c r="CD22" s="6">
        <v>22649</v>
      </c>
      <c r="CE22" s="6">
        <f>SUM(BB22:BE22)</f>
        <v>25249</v>
      </c>
      <c r="CF22" s="6">
        <f t="shared" si="104"/>
        <v>25958</v>
      </c>
      <c r="CG22" s="6">
        <f t="shared" ref="CG22:CG33" si="111">SUM(BJ22:BM22)</f>
        <v>28392.905972575685</v>
      </c>
      <c r="CH22" s="6">
        <f t="shared" ref="CG22:CO22" si="112">+CH$21*CH46</f>
        <v>35294.048611230457</v>
      </c>
      <c r="CI22" s="6">
        <f t="shared" si="112"/>
        <v>39652.863614717426</v>
      </c>
      <c r="CJ22" s="6">
        <f t="shared" si="112"/>
        <v>44549.99227113503</v>
      </c>
      <c r="CK22" s="6">
        <f t="shared" si="112"/>
        <v>50051.916316620212</v>
      </c>
      <c r="CL22" s="6">
        <f t="shared" si="112"/>
        <v>56233.32798172281</v>
      </c>
      <c r="CM22" s="6">
        <f t="shared" si="112"/>
        <v>63178.143987465584</v>
      </c>
      <c r="CN22" s="6">
        <f t="shared" si="112"/>
        <v>70980.644769917606</v>
      </c>
      <c r="CO22" s="6">
        <f t="shared" si="112"/>
        <v>79746.754399002428</v>
      </c>
      <c r="CP22" s="6">
        <f t="shared" ref="CP22" si="113">+CP$21*CP46</f>
        <v>89595.47856727925</v>
      </c>
    </row>
    <row r="23" spans="2:234" s="6" customFormat="1">
      <c r="B23" s="6" t="s">
        <v>20</v>
      </c>
      <c r="Z23" s="6">
        <v>1062</v>
      </c>
      <c r="AA23" s="6">
        <v>1170</v>
      </c>
      <c r="AB23" s="6">
        <v>1271</v>
      </c>
      <c r="AC23" s="6">
        <f>+BX23-SUM(Z23:AA23)</f>
        <v>2584</v>
      </c>
      <c r="AD23" s="6">
        <v>1343</v>
      </c>
      <c r="AE23" s="6">
        <v>1463</v>
      </c>
      <c r="AF23" s="6">
        <v>1539</v>
      </c>
      <c r="AG23" s="6">
        <f>+BY23-SUM(AD23:AF23)</f>
        <v>1574</v>
      </c>
      <c r="AH23" s="6">
        <v>1834</v>
      </c>
      <c r="AI23" s="6">
        <v>1919</v>
      </c>
      <c r="AJ23" s="6">
        <v>2052</v>
      </c>
      <c r="AK23" s="6">
        <f>+BZ23-SUM(AH23:AJ23)</f>
        <v>1949</v>
      </c>
      <c r="AL23" s="6">
        <v>2238</v>
      </c>
      <c r="AM23" s="6">
        <v>2523</v>
      </c>
      <c r="AN23" s="6">
        <v>2657</v>
      </c>
      <c r="AO23" s="6">
        <f>+CA23-SUM(AL23:AN23)</f>
        <v>2855</v>
      </c>
      <c r="AP23" s="6">
        <v>2860</v>
      </c>
      <c r="AQ23" s="6">
        <v>3315</v>
      </c>
      <c r="AR23" s="6">
        <v>3548</v>
      </c>
      <c r="AS23" s="6">
        <f>+CB23-SUM(AP23:AR23)</f>
        <v>3877</v>
      </c>
      <c r="AT23" s="6">
        <v>4015</v>
      </c>
      <c r="AU23" s="6">
        <v>4462</v>
      </c>
      <c r="AV23" s="6">
        <v>4763</v>
      </c>
      <c r="AW23" s="6">
        <f>+CC23-SUM(AT23:AV23)</f>
        <v>5207</v>
      </c>
      <c r="AX23" s="6">
        <v>5197</v>
      </c>
      <c r="AY23" s="6">
        <v>6096</v>
      </c>
      <c r="AZ23" s="6">
        <v>6316</v>
      </c>
      <c r="BA23" s="18">
        <f>+CD23-SUM(AX23:AZ23)</f>
        <v>7046</v>
      </c>
      <c r="BB23" s="6">
        <v>7707</v>
      </c>
      <c r="BC23" s="6">
        <v>8690</v>
      </c>
      <c r="BD23" s="6">
        <v>9170</v>
      </c>
      <c r="BE23" s="6">
        <v>9771</v>
      </c>
      <c r="BF23" s="6">
        <v>9381</v>
      </c>
      <c r="BG23" s="6">
        <v>9344</v>
      </c>
      <c r="BH23" s="6">
        <v>9241</v>
      </c>
      <c r="BI23" s="6">
        <v>10517</v>
      </c>
      <c r="BJ23" s="6">
        <f t="shared" ref="BJ23:BJ25" si="114">+BJ$26*(BF23/BF$26)</f>
        <v>10566.655383322439</v>
      </c>
      <c r="BK23" s="6">
        <f t="shared" si="110"/>
        <v>9971.424779935418</v>
      </c>
      <c r="BL23" s="6">
        <f t="shared" si="110"/>
        <v>10929.459996078047</v>
      </c>
      <c r="BM23" s="6">
        <f t="shared" si="110"/>
        <v>10693.41362161251</v>
      </c>
      <c r="BS23" s="6">
        <v>144</v>
      </c>
      <c r="BT23" s="6">
        <v>388</v>
      </c>
      <c r="BU23" s="6">
        <v>1399</v>
      </c>
      <c r="BV23" s="6">
        <v>1415</v>
      </c>
      <c r="BW23" s="6">
        <v>2666</v>
      </c>
      <c r="BX23" s="6">
        <v>4816</v>
      </c>
      <c r="BY23" s="6">
        <v>5919</v>
      </c>
      <c r="BZ23" s="6">
        <v>7754</v>
      </c>
      <c r="CA23" s="6">
        <v>10273</v>
      </c>
      <c r="CB23" s="6">
        <v>13600</v>
      </c>
      <c r="CC23" s="6">
        <v>18447</v>
      </c>
      <c r="CD23" s="6">
        <v>24655</v>
      </c>
      <c r="CE23" s="6">
        <f>SUM(BB23:BE23)</f>
        <v>35338</v>
      </c>
      <c r="CF23" s="6">
        <f t="shared" si="104"/>
        <v>38483</v>
      </c>
      <c r="CG23" s="6">
        <f t="shared" si="111"/>
        <v>42160.953780948417</v>
      </c>
      <c r="CH23" s="6">
        <f t="shared" ref="CG23:CO23" si="115">+CH$21*CH47</f>
        <v>52323.787375991276</v>
      </c>
      <c r="CI23" s="6">
        <f t="shared" si="115"/>
        <v>58785.775116926212</v>
      </c>
      <c r="CJ23" s="6">
        <f t="shared" si="115"/>
        <v>66045.818343866602</v>
      </c>
      <c r="CK23" s="6">
        <f t="shared" si="115"/>
        <v>74202.476909334146</v>
      </c>
      <c r="CL23" s="6">
        <f t="shared" si="115"/>
        <v>83366.482807636916</v>
      </c>
      <c r="CM23" s="6">
        <f t="shared" si="115"/>
        <v>93662.243434380071</v>
      </c>
      <c r="CN23" s="6">
        <f t="shared" si="115"/>
        <v>105229.53049852604</v>
      </c>
      <c r="CO23" s="6">
        <f t="shared" si="115"/>
        <v>118225.37751509402</v>
      </c>
      <c r="CP23" s="6">
        <f t="shared" ref="CP23" si="116">+CP$21*CP47</f>
        <v>132826.21163820816</v>
      </c>
    </row>
    <row r="24" spans="2:234" s="6" customFormat="1">
      <c r="B24" s="6" t="s">
        <v>21</v>
      </c>
      <c r="Z24" s="6">
        <v>620</v>
      </c>
      <c r="AA24" s="6">
        <v>626</v>
      </c>
      <c r="AB24" s="6">
        <v>706</v>
      </c>
      <c r="AC24" s="6">
        <f>+BX24-SUM(Z24:AA24)</f>
        <v>1479</v>
      </c>
      <c r="AD24" s="6">
        <v>826</v>
      </c>
      <c r="AE24" s="6">
        <v>899</v>
      </c>
      <c r="AF24" s="6">
        <v>925</v>
      </c>
      <c r="AG24" s="6">
        <f>+BY24-SUM(AD24:AF24)</f>
        <v>1122</v>
      </c>
      <c r="AH24" s="6">
        <v>1057</v>
      </c>
      <c r="AI24" s="6">
        <v>1124</v>
      </c>
      <c r="AJ24" s="6">
        <v>1170</v>
      </c>
      <c r="AK24" s="6">
        <f>+BZ24-SUM(AH24:AJ24)</f>
        <v>1374</v>
      </c>
      <c r="AL24" s="6">
        <v>1595</v>
      </c>
      <c r="AM24" s="6">
        <v>1855</v>
      </c>
      <c r="AN24" s="6">
        <v>1928</v>
      </c>
      <c r="AO24" s="6">
        <f>+CA24-SUM(AL24:AN24)</f>
        <v>2468</v>
      </c>
      <c r="AP24" s="6">
        <v>2020</v>
      </c>
      <c r="AQ24" s="6">
        <v>2414</v>
      </c>
      <c r="AR24" s="6">
        <v>2416</v>
      </c>
      <c r="AS24" s="6">
        <f>+CB24-SUM(AP24:AR24)</f>
        <v>3026</v>
      </c>
      <c r="AT24" s="6">
        <v>2787</v>
      </c>
      <c r="AU24" s="6">
        <v>2840</v>
      </c>
      <c r="AV24" s="6">
        <v>2683</v>
      </c>
      <c r="AW24" s="6">
        <f>+CC24-SUM(AT24:AV24)</f>
        <v>3281</v>
      </c>
      <c r="AX24" s="6">
        <v>2843</v>
      </c>
      <c r="AY24" s="6">
        <v>3259</v>
      </c>
      <c r="AZ24" s="6">
        <v>3554</v>
      </c>
      <c r="BA24" s="18">
        <f>+CD24-SUM(AX24:AZ24)</f>
        <v>4387</v>
      </c>
      <c r="BB24" s="6">
        <v>3312</v>
      </c>
      <c r="BC24" s="6">
        <v>3595</v>
      </c>
      <c r="BD24" s="6">
        <v>3780</v>
      </c>
      <c r="BE24" s="6">
        <v>4574</v>
      </c>
      <c r="BF24" s="6">
        <v>3044</v>
      </c>
      <c r="BG24" s="6">
        <v>3154</v>
      </c>
      <c r="BH24" s="6">
        <v>2877</v>
      </c>
      <c r="BI24" s="6">
        <v>3226</v>
      </c>
      <c r="BJ24" s="6">
        <f t="shared" si="114"/>
        <v>3428.7281725651319</v>
      </c>
      <c r="BK24" s="6">
        <f t="shared" si="110"/>
        <v>3365.7827221657008</v>
      </c>
      <c r="BL24" s="6">
        <f t="shared" si="110"/>
        <v>3402.6681537405625</v>
      </c>
      <c r="BM24" s="6">
        <f t="shared" si="110"/>
        <v>3280.1133729506469</v>
      </c>
      <c r="BS24" s="6">
        <v>167</v>
      </c>
      <c r="BT24" s="6">
        <v>393</v>
      </c>
      <c r="BU24" s="6">
        <v>896</v>
      </c>
      <c r="BV24" s="6">
        <v>997</v>
      </c>
      <c r="BW24" s="6">
        <v>1680</v>
      </c>
      <c r="BX24" s="6">
        <v>2725</v>
      </c>
      <c r="BY24" s="6">
        <v>3772</v>
      </c>
      <c r="BZ24" s="6">
        <v>4725</v>
      </c>
      <c r="CA24" s="6">
        <v>7846</v>
      </c>
      <c r="CB24" s="6">
        <v>9876</v>
      </c>
      <c r="CC24" s="6">
        <v>11591</v>
      </c>
      <c r="CD24" s="6">
        <v>14043</v>
      </c>
      <c r="CE24" s="6">
        <f>SUM(BB24:BE24)</f>
        <v>15261</v>
      </c>
      <c r="CF24" s="6">
        <f t="shared" si="104"/>
        <v>12301</v>
      </c>
      <c r="CG24" s="6">
        <f t="shared" si="111"/>
        <v>13477.292421422042</v>
      </c>
      <c r="CH24" s="6">
        <f t="shared" ref="CG24:CO24" si="117">+CH$21*CH48</f>
        <v>16725.174973678473</v>
      </c>
      <c r="CI24" s="6">
        <f t="shared" si="117"/>
        <v>18790.734082927771</v>
      </c>
      <c r="CJ24" s="6">
        <f t="shared" si="117"/>
        <v>21111.389742169351</v>
      </c>
      <c r="CK24" s="6">
        <f t="shared" si="117"/>
        <v>23718.646375327269</v>
      </c>
      <c r="CL24" s="6">
        <f t="shared" si="117"/>
        <v>26647.899202680186</v>
      </c>
      <c r="CM24" s="6">
        <f t="shared" si="117"/>
        <v>29938.914754211193</v>
      </c>
      <c r="CN24" s="6">
        <f t="shared" si="117"/>
        <v>33636.370726356283</v>
      </c>
      <c r="CO24" s="6">
        <f t="shared" si="117"/>
        <v>37790.462511061283</v>
      </c>
      <c r="CP24" s="6">
        <f t="shared" ref="CP24" si="118">+CP$21*CP48</f>
        <v>42457.584631177364</v>
      </c>
    </row>
    <row r="25" spans="2:234" s="6" customFormat="1">
      <c r="B25" s="6" t="s">
        <v>22</v>
      </c>
      <c r="Z25" s="6">
        <v>274</v>
      </c>
      <c r="AA25" s="6">
        <v>305</v>
      </c>
      <c r="AB25" s="6">
        <v>345</v>
      </c>
      <c r="AC25" s="6">
        <f>+BX25-SUM(Z25:AA25)</f>
        <v>716</v>
      </c>
      <c r="AD25" s="6">
        <v>366</v>
      </c>
      <c r="AE25" s="6">
        <v>412</v>
      </c>
      <c r="AF25" s="6">
        <v>438</v>
      </c>
      <c r="AG25" s="6">
        <f>+BY25-SUM(AD25:AF25)</f>
        <v>515</v>
      </c>
      <c r="AH25" s="6">
        <v>655</v>
      </c>
      <c r="AI25" s="6">
        <v>640</v>
      </c>
      <c r="AJ25" s="6">
        <v>536</v>
      </c>
      <c r="AK25" s="6">
        <f>+BZ25-SUM(AH25:AJ25)</f>
        <v>686</v>
      </c>
      <c r="AL25" s="6">
        <v>757</v>
      </c>
      <c r="AM25" s="6">
        <v>776</v>
      </c>
      <c r="AN25" s="6">
        <v>943</v>
      </c>
      <c r="AO25" s="6">
        <f>+CA25-SUM(AL25:AN25)</f>
        <v>975</v>
      </c>
      <c r="AP25" s="6">
        <v>4064</v>
      </c>
      <c r="AQ25" s="6">
        <v>3224</v>
      </c>
      <c r="AR25" s="6">
        <v>1348</v>
      </c>
      <c r="AS25" s="6">
        <f>+CB25-SUM(AP25:AR25)</f>
        <v>1829</v>
      </c>
      <c r="AT25" s="6">
        <v>1583</v>
      </c>
      <c r="AU25" s="6">
        <v>1593</v>
      </c>
      <c r="AV25" s="6">
        <v>1790</v>
      </c>
      <c r="AW25" s="6">
        <f>+CC25-SUM(AT25:AV25)</f>
        <v>1598</v>
      </c>
      <c r="AX25" s="6">
        <v>1622</v>
      </c>
      <c r="AY25" s="6">
        <v>1956</v>
      </c>
      <c r="AZ25" s="6">
        <v>2946</v>
      </c>
      <c r="BA25" s="18">
        <f>+CD25-SUM(AX25:AZ25)</f>
        <v>3305</v>
      </c>
      <c r="BB25" s="6">
        <v>2360</v>
      </c>
      <c r="BC25" s="6">
        <v>2987</v>
      </c>
      <c r="BD25" s="6">
        <v>3384</v>
      </c>
      <c r="BE25" s="6">
        <v>3085</v>
      </c>
      <c r="BF25" s="6">
        <v>2885</v>
      </c>
      <c r="BG25" s="6">
        <v>4164</v>
      </c>
      <c r="BH25" s="6">
        <v>2070</v>
      </c>
      <c r="BI25" s="6">
        <v>2289</v>
      </c>
      <c r="BJ25" s="6">
        <f t="shared" si="114"/>
        <v>3249.6323186105142</v>
      </c>
      <c r="BK25" s="6">
        <f t="shared" si="110"/>
        <v>4443.6015393462203</v>
      </c>
      <c r="BL25" s="6">
        <f t="shared" si="110"/>
        <v>2448.2179625453477</v>
      </c>
      <c r="BM25" s="6">
        <f t="shared" si="110"/>
        <v>2327.3960045517765</v>
      </c>
      <c r="BS25" s="6">
        <v>138</v>
      </c>
      <c r="BT25" s="6">
        <v>314</v>
      </c>
      <c r="BU25" s="6">
        <v>892</v>
      </c>
      <c r="BV25" s="6">
        <v>781</v>
      </c>
      <c r="BW25" s="6">
        <v>973</v>
      </c>
      <c r="BX25" s="6">
        <v>1295</v>
      </c>
      <c r="BY25" s="6">
        <v>1731</v>
      </c>
      <c r="BZ25" s="6">
        <v>2517</v>
      </c>
      <c r="CA25" s="6">
        <v>3451</v>
      </c>
      <c r="CB25" s="6">
        <v>10465</v>
      </c>
      <c r="CC25" s="6">
        <v>6564</v>
      </c>
      <c r="CD25" s="6">
        <v>9829</v>
      </c>
      <c r="CE25" s="6">
        <f>SUM(BB25:BE25)</f>
        <v>11816</v>
      </c>
      <c r="CF25" s="6">
        <f t="shared" si="104"/>
        <v>11408</v>
      </c>
      <c r="CG25" s="6">
        <f t="shared" si="111"/>
        <v>12468.847825053859</v>
      </c>
      <c r="CH25" s="6">
        <f t="shared" ref="CG25:CO25" si="119">+CH$21*CH49</f>
        <v>15510.998788693929</v>
      </c>
      <c r="CI25" s="6">
        <f t="shared" si="119"/>
        <v>17426.607139097632</v>
      </c>
      <c r="CJ25" s="6">
        <f t="shared" si="119"/>
        <v>19578.793120776194</v>
      </c>
      <c r="CK25" s="6">
        <f t="shared" si="119"/>
        <v>21996.774071192056</v>
      </c>
      <c r="CL25" s="6">
        <f t="shared" si="119"/>
        <v>24713.375668984274</v>
      </c>
      <c r="CM25" s="6">
        <f t="shared" si="119"/>
        <v>27765.477564103836</v>
      </c>
      <c r="CN25" s="6">
        <f t="shared" si="119"/>
        <v>31194.514043270665</v>
      </c>
      <c r="CO25" s="6">
        <f t="shared" si="119"/>
        <v>35047.036527614597</v>
      </c>
      <c r="CP25" s="6">
        <f t="shared" ref="CP25" si="120">+CP$21*CP49</f>
        <v>39375.345538775007</v>
      </c>
    </row>
    <row r="26" spans="2:234" s="6" customFormat="1">
      <c r="B26" s="6" t="s">
        <v>23</v>
      </c>
      <c r="Z26" s="6">
        <f t="shared" ref="Z26" si="121">+SUM(Z22:Z25)</f>
        <v>2610</v>
      </c>
      <c r="AA26" s="6">
        <f>+SUM(AA22:AA25)</f>
        <v>2769</v>
      </c>
      <c r="AB26" s="6">
        <f>+SUM(AB22:AB25)</f>
        <v>3042</v>
      </c>
      <c r="AC26" s="6">
        <f>+BX26-SUM(Z26:AA26)</f>
        <v>6324</v>
      </c>
      <c r="AD26" s="6">
        <f t="shared" ref="AD26:AY26" si="122">+SUM(AD22:AD25)</f>
        <v>3373</v>
      </c>
      <c r="AE26" s="6">
        <f t="shared" si="122"/>
        <v>3691</v>
      </c>
      <c r="AF26" s="6">
        <f t="shared" si="122"/>
        <v>3889</v>
      </c>
      <c r="AG26" s="6">
        <f>+BY26-SUM(AD26:AF26)</f>
        <v>4258</v>
      </c>
      <c r="AH26" s="6">
        <f t="shared" si="122"/>
        <v>4705</v>
      </c>
      <c r="AI26" s="6">
        <f t="shared" si="122"/>
        <v>4920</v>
      </c>
      <c r="AJ26" s="6">
        <f t="shared" si="122"/>
        <v>5206</v>
      </c>
      <c r="AK26" s="6">
        <f>+BZ26-SUM(AH26:AJ26)</f>
        <v>5619</v>
      </c>
      <c r="AL26" s="6">
        <f t="shared" si="122"/>
        <v>6517</v>
      </c>
      <c r="AM26" s="6">
        <f t="shared" si="122"/>
        <v>7368</v>
      </c>
      <c r="AN26" s="6">
        <f t="shared" si="122"/>
        <v>7946</v>
      </c>
      <c r="AO26" s="6">
        <f>+CA26-SUM(AL26:AN26)</f>
        <v>9094</v>
      </c>
      <c r="AP26" s="6">
        <f t="shared" si="122"/>
        <v>11760</v>
      </c>
      <c r="AQ26" s="6">
        <f t="shared" si="122"/>
        <v>12260</v>
      </c>
      <c r="AR26" s="6">
        <f t="shared" si="122"/>
        <v>10467</v>
      </c>
      <c r="AS26" s="6">
        <f>+CB26-SUM(AP26:AR26)</f>
        <v>12224</v>
      </c>
      <c r="AT26" s="6">
        <f t="shared" si="122"/>
        <v>11844</v>
      </c>
      <c r="AU26" s="6">
        <f t="shared" si="122"/>
        <v>12724</v>
      </c>
      <c r="AV26" s="6">
        <f t="shared" si="122"/>
        <v>13430</v>
      </c>
      <c r="AW26" s="6">
        <f>+CC26-SUM(AT26:AV26)</f>
        <v>15296</v>
      </c>
      <c r="AX26" s="6">
        <f t="shared" si="122"/>
        <v>14793</v>
      </c>
      <c r="AY26" s="6">
        <f t="shared" si="122"/>
        <v>16710</v>
      </c>
      <c r="AZ26" s="6">
        <f t="shared" ref="AZ26" si="123">+SUM(AZ22:AZ25)</f>
        <v>18587</v>
      </c>
      <c r="BA26" s="18">
        <f>+CD26-SUM(AX26:AZ26)</f>
        <v>21086</v>
      </c>
      <c r="BB26" s="6">
        <f t="shared" ref="BB26" si="124">+SUM(BB22:BB25)</f>
        <v>19384</v>
      </c>
      <c r="BC26" s="6">
        <f t="shared" ref="BC26:BD26" si="125">+SUM(BC22:BC25)</f>
        <v>20464</v>
      </c>
      <c r="BD26" s="6">
        <f t="shared" si="125"/>
        <v>22050</v>
      </c>
      <c r="BE26" s="6">
        <f t="shared" ref="BE26:BF26" si="126">+SUM(BE22:BE25)</f>
        <v>25766</v>
      </c>
      <c r="BF26" s="6">
        <f t="shared" si="126"/>
        <v>21418</v>
      </c>
      <c r="BG26" s="6">
        <f t="shared" ref="BG26:BI26" si="127">+SUM(BG22:BG25)</f>
        <v>22607</v>
      </c>
      <c r="BH26" s="6">
        <f t="shared" si="127"/>
        <v>20398</v>
      </c>
      <c r="BI26" s="6">
        <f t="shared" si="127"/>
        <v>23727</v>
      </c>
      <c r="BJ26" s="6">
        <f>+AVERAGE(94000,99000)/4</f>
        <v>24125</v>
      </c>
      <c r="BK26" s="6">
        <f>+AVERAGE(94000,99000)/4</f>
        <v>24125</v>
      </c>
      <c r="BL26" s="6">
        <f>+AVERAGE(94000,99000)/4</f>
        <v>24125</v>
      </c>
      <c r="BM26" s="6">
        <f>+AVERAGE(94000,99000)/4</f>
        <v>24125</v>
      </c>
      <c r="BS26" s="6">
        <f t="shared" ref="BS26:CD26" si="128">+SUM(BS22:BS25)</f>
        <v>942</v>
      </c>
      <c r="BT26" s="6">
        <f t="shared" si="128"/>
        <v>1955</v>
      </c>
      <c r="BU26" s="6">
        <f t="shared" si="128"/>
        <v>4551</v>
      </c>
      <c r="BV26" s="6">
        <f t="shared" si="128"/>
        <v>5068</v>
      </c>
      <c r="BW26" s="6">
        <f t="shared" si="128"/>
        <v>7472</v>
      </c>
      <c r="BX26" s="6">
        <f t="shared" si="128"/>
        <v>11703</v>
      </c>
      <c r="BY26" s="6">
        <f t="shared" si="128"/>
        <v>15211</v>
      </c>
      <c r="BZ26" s="6">
        <f t="shared" si="128"/>
        <v>20450</v>
      </c>
      <c r="CA26" s="6">
        <f t="shared" si="128"/>
        <v>30925</v>
      </c>
      <c r="CB26" s="6">
        <f t="shared" si="128"/>
        <v>46711</v>
      </c>
      <c r="CC26" s="6">
        <f t="shared" si="128"/>
        <v>53294</v>
      </c>
      <c r="CD26" s="6">
        <f t="shared" si="128"/>
        <v>71176</v>
      </c>
      <c r="CE26" s="6">
        <f>SUM(BB26:BE26)</f>
        <v>87664</v>
      </c>
      <c r="CF26" s="6">
        <f t="shared" si="104"/>
        <v>88150</v>
      </c>
      <c r="CG26" s="6">
        <f t="shared" si="111"/>
        <v>96500</v>
      </c>
      <c r="CH26" s="6">
        <f t="shared" ref="CG26:CN26" si="129">+SUM(CH22:CH25)</f>
        <v>119854.00974959414</v>
      </c>
      <c r="CI26" s="6">
        <f t="shared" si="129"/>
        <v>134655.97995366904</v>
      </c>
      <c r="CJ26" s="6">
        <f t="shared" si="129"/>
        <v>151285.99347794717</v>
      </c>
      <c r="CK26" s="6">
        <f t="shared" si="129"/>
        <v>169969.81367247368</v>
      </c>
      <c r="CL26" s="6">
        <f t="shared" si="129"/>
        <v>190961.0856610242</v>
      </c>
      <c r="CM26" s="6">
        <f t="shared" si="129"/>
        <v>214544.77974016071</v>
      </c>
      <c r="CN26" s="6">
        <f t="shared" si="129"/>
        <v>241041.0600380706</v>
      </c>
      <c r="CO26" s="6">
        <f t="shared" ref="CO26:CP26" si="130">+SUM(CO22:CO25)</f>
        <v>270809.63095277234</v>
      </c>
      <c r="CP26" s="6">
        <f t="shared" si="130"/>
        <v>304254.62037543982</v>
      </c>
    </row>
    <row r="27" spans="2:234" s="6" customFormat="1">
      <c r="B27" s="6" t="s">
        <v>24</v>
      </c>
      <c r="Z27" s="6">
        <f t="shared" ref="Z27" si="131">+Z21-Z26</f>
        <v>933</v>
      </c>
      <c r="AA27" s="6">
        <f>+AA21-AA26</f>
        <v>1273</v>
      </c>
      <c r="AB27" s="6">
        <f>+AB21-AB26</f>
        <v>1459</v>
      </c>
      <c r="AC27" s="6">
        <f>+BX27-SUM(Z27:AA27)</f>
        <v>4019</v>
      </c>
      <c r="AD27" s="6">
        <f t="shared" ref="AD27:AY27" si="132">+AD21-AD26</f>
        <v>2009</v>
      </c>
      <c r="AE27" s="6">
        <f t="shared" si="132"/>
        <v>2745</v>
      </c>
      <c r="AF27" s="6">
        <f t="shared" si="132"/>
        <v>3122</v>
      </c>
      <c r="AG27" s="6">
        <f>+BY27-SUM(AD27:AF27)</f>
        <v>4551</v>
      </c>
      <c r="AH27" s="6">
        <f t="shared" si="132"/>
        <v>3327</v>
      </c>
      <c r="AI27" s="6">
        <f t="shared" si="132"/>
        <v>4401</v>
      </c>
      <c r="AJ27" s="6">
        <f t="shared" si="132"/>
        <v>5122</v>
      </c>
      <c r="AK27" s="6">
        <f>+BZ27-SUM(AH27:AJ27)</f>
        <v>7353</v>
      </c>
      <c r="AL27" s="6">
        <f t="shared" si="132"/>
        <v>5449</v>
      </c>
      <c r="AM27" s="6">
        <f t="shared" si="132"/>
        <v>5863</v>
      </c>
      <c r="AN27" s="6">
        <f t="shared" si="132"/>
        <v>5781</v>
      </c>
      <c r="AO27" s="6">
        <f>+CA27-SUM(AL27:AN27)</f>
        <v>7820</v>
      </c>
      <c r="AP27" s="6">
        <f t="shared" si="132"/>
        <v>3317</v>
      </c>
      <c r="AQ27" s="6">
        <f t="shared" si="132"/>
        <v>4626</v>
      </c>
      <c r="AR27" s="6">
        <f t="shared" si="132"/>
        <v>7185</v>
      </c>
      <c r="AS27" s="6">
        <f>+CB27-SUM(AP27:AR27)</f>
        <v>8858</v>
      </c>
      <c r="AT27" s="6">
        <f t="shared" si="132"/>
        <v>5893</v>
      </c>
      <c r="AU27" s="6">
        <f t="shared" si="132"/>
        <v>5963</v>
      </c>
      <c r="AV27" s="6">
        <f t="shared" si="132"/>
        <v>8040</v>
      </c>
      <c r="AW27" s="6">
        <f>+CC27-SUM(AT27:AV27)</f>
        <v>12775</v>
      </c>
      <c r="AX27" s="6">
        <f t="shared" si="132"/>
        <v>11378</v>
      </c>
      <c r="AY27" s="6">
        <f t="shared" si="132"/>
        <v>12367</v>
      </c>
      <c r="AZ27" s="6">
        <f t="shared" ref="AZ27" si="133">+AZ21-AZ26</f>
        <v>10423</v>
      </c>
      <c r="BA27" s="18">
        <f>+CD27-SUM(AX27:AZ27)</f>
        <v>12585</v>
      </c>
      <c r="BB27" s="6">
        <f t="shared" ref="BB27" si="134">+BB21-BB26</f>
        <v>8524</v>
      </c>
      <c r="BC27" s="6">
        <f t="shared" ref="BC27:BD27" si="135">+BC21-BC26</f>
        <v>8358</v>
      </c>
      <c r="BD27" s="6">
        <f t="shared" si="135"/>
        <v>5664</v>
      </c>
      <c r="BE27" s="6">
        <f t="shared" ref="BE27:BF27" si="136">+BE21-BE26</f>
        <v>6399</v>
      </c>
      <c r="BF27" s="6">
        <f t="shared" si="136"/>
        <v>7227</v>
      </c>
      <c r="BG27" s="6">
        <f t="shared" ref="BG27:BH27" si="137">+BG21-BG26</f>
        <v>9392</v>
      </c>
      <c r="BH27" s="6">
        <f t="shared" si="137"/>
        <v>13748</v>
      </c>
      <c r="BI27" s="6">
        <f t="shared" ref="BI27:BM27" si="138">+BI21-BI26</f>
        <v>16384</v>
      </c>
      <c r="BJ27" s="6">
        <f t="shared" si="138"/>
        <v>11625</v>
      </c>
      <c r="BK27" s="6">
        <f t="shared" si="138"/>
        <v>14273.799999999996</v>
      </c>
      <c r="BL27" s="6">
        <f t="shared" si="138"/>
        <v>16850.199999999997</v>
      </c>
      <c r="BM27" s="6">
        <f t="shared" si="138"/>
        <v>24008.199999999997</v>
      </c>
      <c r="BS27" s="6">
        <f t="shared" ref="BS27:CD27" si="139">+BS21-BS26</f>
        <v>1032</v>
      </c>
      <c r="BT27" s="6">
        <f t="shared" si="139"/>
        <v>1756</v>
      </c>
      <c r="BU27" s="6">
        <f t="shared" si="139"/>
        <v>538</v>
      </c>
      <c r="BV27" s="6">
        <f t="shared" si="139"/>
        <v>2804</v>
      </c>
      <c r="BW27" s="6">
        <f t="shared" si="139"/>
        <v>4994</v>
      </c>
      <c r="BX27" s="6">
        <f t="shared" si="139"/>
        <v>6225</v>
      </c>
      <c r="BY27" s="6">
        <f t="shared" si="139"/>
        <v>12427</v>
      </c>
      <c r="BZ27" s="6">
        <f t="shared" si="139"/>
        <v>20203</v>
      </c>
      <c r="CA27" s="6">
        <f t="shared" si="139"/>
        <v>24913</v>
      </c>
      <c r="CB27" s="6">
        <f t="shared" si="139"/>
        <v>23986</v>
      </c>
      <c r="CC27" s="6">
        <f t="shared" si="139"/>
        <v>32671</v>
      </c>
      <c r="CD27" s="6">
        <f t="shared" si="139"/>
        <v>46753</v>
      </c>
      <c r="CE27" s="6">
        <f>SUM(BB27:BE27)</f>
        <v>28945</v>
      </c>
      <c r="CF27" s="6">
        <f t="shared" si="104"/>
        <v>46751</v>
      </c>
      <c r="CG27" s="6">
        <f t="shared" si="111"/>
        <v>66757.199999999983</v>
      </c>
      <c r="CH27" s="6">
        <f t="shared" ref="CG27:CN27" si="140">CH21-CH26</f>
        <v>63565.454450405843</v>
      </c>
      <c r="CI27" s="6">
        <f t="shared" si="140"/>
        <v>71415.788075030985</v>
      </c>
      <c r="CJ27" s="6">
        <f t="shared" si="140"/>
        <v>80235.637902297341</v>
      </c>
      <c r="CK27" s="6">
        <f t="shared" si="140"/>
        <v>90144.739183231053</v>
      </c>
      <c r="CL27" s="6">
        <f t="shared" si="140"/>
        <v>101277.61447236006</v>
      </c>
      <c r="CM27" s="6">
        <f t="shared" si="140"/>
        <v>113785.39985969654</v>
      </c>
      <c r="CN27" s="6">
        <f t="shared" si="140"/>
        <v>127837.89674236911</v>
      </c>
      <c r="CO27" s="6">
        <f t="shared" ref="CO27:CP27" si="141">CO21-CO26</f>
        <v>143625.87699005171</v>
      </c>
      <c r="CP27" s="6">
        <f t="shared" si="141"/>
        <v>161363.6727983231</v>
      </c>
    </row>
    <row r="28" spans="2:234" s="6" customFormat="1">
      <c r="B28" s="6" t="s">
        <v>25</v>
      </c>
      <c r="Z28" s="6">
        <v>420</v>
      </c>
      <c r="AA28" s="6">
        <v>0</v>
      </c>
      <c r="AB28" s="6">
        <v>-27</v>
      </c>
      <c r="AC28" s="6">
        <f>+BX28-SUM(Z28:AA28)</f>
        <v>-451</v>
      </c>
      <c r="AD28" s="6">
        <v>56</v>
      </c>
      <c r="AE28" s="6">
        <v>20</v>
      </c>
      <c r="AF28" s="6">
        <v>47</v>
      </c>
      <c r="AG28" s="6">
        <f>+BY28-SUM(AD28:AF28)</f>
        <v>-32</v>
      </c>
      <c r="AH28" s="6">
        <v>81</v>
      </c>
      <c r="AI28" s="6">
        <v>87</v>
      </c>
      <c r="AJ28" s="6">
        <v>114</v>
      </c>
      <c r="AK28" s="6">
        <f>+BZ28-SUM(AH28:AJ28)</f>
        <v>109</v>
      </c>
      <c r="AL28" s="6">
        <v>161</v>
      </c>
      <c r="AM28" s="6">
        <v>5</v>
      </c>
      <c r="AN28" s="6">
        <v>131</v>
      </c>
      <c r="AO28" s="6">
        <f>+CA28-SUM(AL28:AN28)</f>
        <v>151</v>
      </c>
      <c r="AP28" s="6">
        <v>165</v>
      </c>
      <c r="AQ28" s="6">
        <v>206</v>
      </c>
      <c r="AR28" s="6">
        <v>144</v>
      </c>
      <c r="AS28" s="6">
        <f>+CB28-SUM(AP28:AR28)</f>
        <v>311</v>
      </c>
      <c r="AT28" s="6">
        <v>-32</v>
      </c>
      <c r="AU28" s="6">
        <v>168</v>
      </c>
      <c r="AV28" s="6">
        <v>93</v>
      </c>
      <c r="AW28" s="6">
        <f>+CC28-SUM(AT28:AV28)</f>
        <v>280</v>
      </c>
      <c r="AX28" s="6">
        <v>125</v>
      </c>
      <c r="AY28" s="6">
        <v>146</v>
      </c>
      <c r="AZ28" s="6">
        <v>142</v>
      </c>
      <c r="BA28" s="18">
        <f>+CD28-SUM(AX28:AZ28)</f>
        <v>118</v>
      </c>
      <c r="BB28" s="6">
        <v>384</v>
      </c>
      <c r="BC28" s="6">
        <v>-172</v>
      </c>
      <c r="BD28" s="6">
        <v>-88</v>
      </c>
      <c r="BE28" s="6">
        <v>-250</v>
      </c>
      <c r="BF28" s="6">
        <v>80</v>
      </c>
      <c r="BG28" s="6">
        <v>-99</v>
      </c>
      <c r="BH28" s="6">
        <v>272</v>
      </c>
      <c r="BI28" s="6">
        <v>424</v>
      </c>
      <c r="BJ28" s="6">
        <f>+BJ27*(BI28/BI27)</f>
        <v>300.84228515625</v>
      </c>
      <c r="BK28" s="6">
        <f t="shared" ref="BK28:BM28" si="142">+BK27*(BJ28/BJ27)</f>
        <v>369.3903320312499</v>
      </c>
      <c r="BL28" s="6">
        <f t="shared" si="142"/>
        <v>436.06474609374993</v>
      </c>
      <c r="BM28" s="6">
        <f t="shared" si="142"/>
        <v>621.30595703124993</v>
      </c>
      <c r="BS28" s="6">
        <f>+-22+-2</f>
        <v>-24</v>
      </c>
      <c r="BT28" s="6">
        <f>+-42+-19</f>
        <v>-61</v>
      </c>
      <c r="BU28" s="6">
        <v>-44</v>
      </c>
      <c r="BV28" s="6">
        <v>-50</v>
      </c>
      <c r="BW28" s="6">
        <v>-84</v>
      </c>
      <c r="BX28" s="6">
        <v>-31</v>
      </c>
      <c r="BY28" s="6">
        <v>91</v>
      </c>
      <c r="BZ28" s="6">
        <v>391</v>
      </c>
      <c r="CA28" s="6">
        <v>448</v>
      </c>
      <c r="CB28" s="6">
        <v>826</v>
      </c>
      <c r="CC28" s="6">
        <v>509</v>
      </c>
      <c r="CD28" s="6">
        <v>531</v>
      </c>
      <c r="CE28" s="6">
        <f>SUM(BB28:BE28)</f>
        <v>-126</v>
      </c>
      <c r="CF28" s="6">
        <f t="shared" si="104"/>
        <v>677</v>
      </c>
      <c r="CG28" s="6">
        <f>+CF52*$CT$37</f>
        <v>470.18</v>
      </c>
      <c r="CH28" s="6">
        <f t="shared" ref="CH28:CP28" si="143">+CG52*$CT$37</f>
        <v>1041.3077297363282</v>
      </c>
      <c r="CI28" s="6">
        <f t="shared" si="143"/>
        <v>1580.0946082935943</v>
      </c>
      <c r="CJ28" s="6">
        <f t="shared" si="143"/>
        <v>2188.8423995668932</v>
      </c>
      <c r="CK28" s="6">
        <f t="shared" si="143"/>
        <v>2876.2198034169828</v>
      </c>
      <c r="CL28" s="6">
        <f t="shared" si="143"/>
        <v>3651.9663420389757</v>
      </c>
      <c r="CM28" s="6">
        <f t="shared" si="143"/>
        <v>4527.0246085046056</v>
      </c>
      <c r="CN28" s="6">
        <f t="shared" si="143"/>
        <v>5513.6888480160142</v>
      </c>
      <c r="CO28" s="6">
        <f t="shared" si="143"/>
        <v>6625.7718889610578</v>
      </c>
      <c r="CP28" s="6">
        <f t="shared" si="143"/>
        <v>7878.7926899707682</v>
      </c>
    </row>
    <row r="29" spans="2:234" s="6" customFormat="1">
      <c r="B29" s="6" t="s">
        <v>26</v>
      </c>
      <c r="Z29" s="6">
        <f>+Z27-Z28</f>
        <v>513</v>
      </c>
      <c r="AA29" s="6">
        <f>SUM(AA27:AA28)</f>
        <v>1273</v>
      </c>
      <c r="AB29" s="6">
        <f>SUM(AB27:AB28)</f>
        <v>1432</v>
      </c>
      <c r="AC29" s="6">
        <f>+BX29-SUM(Z29:AA29)</f>
        <v>4408</v>
      </c>
      <c r="AD29" s="6">
        <f>SUM(AD27:AD28)</f>
        <v>2065</v>
      </c>
      <c r="AE29" s="6">
        <f t="shared" ref="AE29:AZ29" si="144">SUM(AE27:AE28)</f>
        <v>2765</v>
      </c>
      <c r="AF29" s="6">
        <f t="shared" si="144"/>
        <v>3169</v>
      </c>
      <c r="AG29" s="6">
        <f t="shared" si="144"/>
        <v>4519</v>
      </c>
      <c r="AH29" s="6">
        <f t="shared" si="144"/>
        <v>3408</v>
      </c>
      <c r="AI29" s="6">
        <f t="shared" si="144"/>
        <v>4488</v>
      </c>
      <c r="AJ29" s="6">
        <f t="shared" si="144"/>
        <v>5236</v>
      </c>
      <c r="AK29" s="6">
        <f t="shared" si="144"/>
        <v>7462</v>
      </c>
      <c r="AL29" s="6">
        <f t="shared" si="144"/>
        <v>5610</v>
      </c>
      <c r="AM29" s="6">
        <f t="shared" si="144"/>
        <v>5868</v>
      </c>
      <c r="AN29" s="6">
        <f t="shared" si="144"/>
        <v>5912</v>
      </c>
      <c r="AO29" s="6">
        <f t="shared" si="144"/>
        <v>7971</v>
      </c>
      <c r="AP29" s="6">
        <f t="shared" si="144"/>
        <v>3482</v>
      </c>
      <c r="AQ29" s="6">
        <f t="shared" si="144"/>
        <v>4832</v>
      </c>
      <c r="AR29" s="6">
        <f t="shared" si="144"/>
        <v>7329</v>
      </c>
      <c r="AS29" s="6">
        <f t="shared" si="144"/>
        <v>9169</v>
      </c>
      <c r="AT29" s="6">
        <f t="shared" si="144"/>
        <v>5861</v>
      </c>
      <c r="AU29" s="6">
        <f t="shared" si="144"/>
        <v>6131</v>
      </c>
      <c r="AV29" s="6">
        <f t="shared" si="144"/>
        <v>8133</v>
      </c>
      <c r="AW29" s="6">
        <f t="shared" si="144"/>
        <v>13055</v>
      </c>
      <c r="AX29" s="6">
        <f t="shared" si="144"/>
        <v>11503</v>
      </c>
      <c r="AY29" s="6">
        <f t="shared" si="144"/>
        <v>12513</v>
      </c>
      <c r="AZ29" s="6">
        <f t="shared" si="144"/>
        <v>10565</v>
      </c>
      <c r="BA29" s="18">
        <f>+CD29-SUM(AX29:AZ29)</f>
        <v>12703</v>
      </c>
      <c r="BB29" s="6">
        <f t="shared" ref="BB29" si="145">SUM(BB27:BB28)</f>
        <v>8908</v>
      </c>
      <c r="BC29" s="6">
        <f t="shared" ref="BC29:BF29" si="146">SUM(BC27:BC28)</f>
        <v>8186</v>
      </c>
      <c r="BD29" s="6">
        <f t="shared" si="146"/>
        <v>5576</v>
      </c>
      <c r="BE29" s="6">
        <f t="shared" si="146"/>
        <v>6149</v>
      </c>
      <c r="BF29" s="6">
        <f t="shared" si="146"/>
        <v>7307</v>
      </c>
      <c r="BG29" s="6">
        <f t="shared" ref="BG29:BM29" si="147">SUM(BG27:BG28)</f>
        <v>9293</v>
      </c>
      <c r="BH29" s="6">
        <f t="shared" si="147"/>
        <v>14020</v>
      </c>
      <c r="BI29" s="6">
        <f t="shared" si="147"/>
        <v>16808</v>
      </c>
      <c r="BJ29" s="6">
        <f t="shared" si="147"/>
        <v>11925.84228515625</v>
      </c>
      <c r="BK29" s="6">
        <f t="shared" si="147"/>
        <v>14643.190332031245</v>
      </c>
      <c r="BL29" s="6">
        <f t="shared" si="147"/>
        <v>17286.264746093748</v>
      </c>
      <c r="BM29" s="6">
        <f t="shared" si="147"/>
        <v>24629.505957031248</v>
      </c>
      <c r="BS29" s="6">
        <f t="shared" ref="BS29:CC29" si="148">+BS27+BS28</f>
        <v>1008</v>
      </c>
      <c r="BT29" s="6">
        <f t="shared" si="148"/>
        <v>1695</v>
      </c>
      <c r="BU29" s="6">
        <f t="shared" si="148"/>
        <v>494</v>
      </c>
      <c r="BV29" s="6">
        <f t="shared" si="148"/>
        <v>2754</v>
      </c>
      <c r="BW29" s="6">
        <f t="shared" si="148"/>
        <v>4910</v>
      </c>
      <c r="BX29" s="6">
        <f t="shared" si="148"/>
        <v>6194</v>
      </c>
      <c r="BY29" s="6">
        <f t="shared" si="148"/>
        <v>12518</v>
      </c>
      <c r="BZ29" s="6">
        <f t="shared" si="148"/>
        <v>20594</v>
      </c>
      <c r="CA29" s="6">
        <f t="shared" si="148"/>
        <v>25361</v>
      </c>
      <c r="CB29" s="6">
        <f t="shared" si="148"/>
        <v>24812</v>
      </c>
      <c r="CC29" s="6">
        <f t="shared" si="148"/>
        <v>33180</v>
      </c>
      <c r="CD29" s="6">
        <f t="shared" ref="CD29" si="149">+CD27+CD28</f>
        <v>47284</v>
      </c>
      <c r="CE29" s="6">
        <f>SUM(BB29:BE29)</f>
        <v>28819</v>
      </c>
      <c r="CF29" s="6">
        <f t="shared" si="104"/>
        <v>47428</v>
      </c>
      <c r="CG29" s="6">
        <f t="shared" si="111"/>
        <v>68484.803320312494</v>
      </c>
      <c r="CH29" s="6">
        <f t="shared" ref="CG29:CN29" si="150">+CH27+CH28</f>
        <v>64606.76218014217</v>
      </c>
      <c r="CI29" s="6">
        <f t="shared" si="150"/>
        <v>72995.882683324584</v>
      </c>
      <c r="CJ29" s="6">
        <f t="shared" si="150"/>
        <v>82424.480301864241</v>
      </c>
      <c r="CK29" s="6">
        <f t="shared" si="150"/>
        <v>93020.958986648038</v>
      </c>
      <c r="CL29" s="6">
        <f t="shared" si="150"/>
        <v>104929.58081439903</v>
      </c>
      <c r="CM29" s="6">
        <f t="shared" si="150"/>
        <v>118312.42446820115</v>
      </c>
      <c r="CN29" s="6">
        <f t="shared" si="150"/>
        <v>133351.58559038513</v>
      </c>
      <c r="CO29" s="6">
        <f t="shared" ref="CO29:CP29" si="151">+CO27+CO28</f>
        <v>150251.64887901276</v>
      </c>
      <c r="CP29" s="6">
        <f t="shared" si="151"/>
        <v>169242.46548829388</v>
      </c>
    </row>
    <row r="30" spans="2:234" s="6" customFormat="1">
      <c r="B30" s="6" t="s">
        <v>27</v>
      </c>
      <c r="Z30" s="6">
        <v>328</v>
      </c>
      <c r="AA30" s="6">
        <v>554</v>
      </c>
      <c r="AB30" s="6">
        <v>536</v>
      </c>
      <c r="AC30" s="6">
        <f>+BX30-SUM(Z30:AA30)</f>
        <v>1624</v>
      </c>
      <c r="AD30" s="6">
        <v>555</v>
      </c>
      <c r="AE30" s="6">
        <v>711</v>
      </c>
      <c r="AF30" s="6">
        <v>790</v>
      </c>
      <c r="AG30" s="6">
        <f>+BY30-SUM(AD30:AF30)</f>
        <v>245</v>
      </c>
      <c r="AH30" s="6">
        <v>344</v>
      </c>
      <c r="AI30" s="6">
        <v>594</v>
      </c>
      <c r="AJ30" s="6">
        <v>529</v>
      </c>
      <c r="AK30" s="6">
        <f>+BZ30-SUM(AH30:AJ30)</f>
        <v>3193</v>
      </c>
      <c r="AL30" s="6">
        <v>622</v>
      </c>
      <c r="AM30" s="6">
        <v>762</v>
      </c>
      <c r="AN30" s="6">
        <v>775</v>
      </c>
      <c r="AO30" s="6">
        <f>+CA30-SUM(AL30:AN30)</f>
        <v>1090</v>
      </c>
      <c r="AP30" s="6">
        <v>1053</v>
      </c>
      <c r="AQ30" s="6">
        <v>2216</v>
      </c>
      <c r="AR30" s="6">
        <v>1238</v>
      </c>
      <c r="AS30" s="6">
        <f>+CB30-SUM(AP30:AR30)</f>
        <v>1820</v>
      </c>
      <c r="AT30" s="6">
        <v>959</v>
      </c>
      <c r="AU30" s="6">
        <v>953</v>
      </c>
      <c r="AV30" s="6">
        <v>287</v>
      </c>
      <c r="AW30" s="6">
        <f>+CC30-SUM(AT30:AV30)</f>
        <v>1835</v>
      </c>
      <c r="AX30" s="6">
        <v>2006</v>
      </c>
      <c r="AY30" s="6">
        <v>2119</v>
      </c>
      <c r="AZ30" s="6">
        <v>1371</v>
      </c>
      <c r="BA30" s="18">
        <f>+CD30-SUM(AX30:AZ30)</f>
        <v>2418</v>
      </c>
      <c r="BB30" s="6">
        <v>1443</v>
      </c>
      <c r="BC30" s="6">
        <v>1499</v>
      </c>
      <c r="BD30" s="6">
        <v>1181</v>
      </c>
      <c r="BE30" s="6">
        <v>1497</v>
      </c>
      <c r="BF30" s="6">
        <v>1598</v>
      </c>
      <c r="BG30" s="6">
        <v>1505</v>
      </c>
      <c r="BH30" s="6">
        <v>2437</v>
      </c>
      <c r="BI30" s="6">
        <v>2791</v>
      </c>
      <c r="BJ30" s="6">
        <f>+BJ29*(BI30/BI29)</f>
        <v>1980.3085327148438</v>
      </c>
      <c r="BK30" s="6">
        <f t="shared" ref="BK30:BM30" si="152">+BK29*(BJ30/BJ29)</f>
        <v>2431.5292846679681</v>
      </c>
      <c r="BL30" s="6">
        <f t="shared" si="152"/>
        <v>2870.4167602539064</v>
      </c>
      <c r="BM30" s="6">
        <f t="shared" si="152"/>
        <v>4089.7757690429689</v>
      </c>
      <c r="BS30" s="6">
        <v>402</v>
      </c>
      <c r="BT30" s="6">
        <v>695</v>
      </c>
      <c r="BU30" s="6">
        <v>441</v>
      </c>
      <c r="BV30" s="6">
        <v>1254</v>
      </c>
      <c r="BW30" s="6">
        <v>1970</v>
      </c>
      <c r="BX30" s="6">
        <v>2506</v>
      </c>
      <c r="BY30" s="6">
        <v>2301</v>
      </c>
      <c r="BZ30" s="6">
        <v>4660</v>
      </c>
      <c r="CA30" s="6">
        <v>3249</v>
      </c>
      <c r="CB30" s="6">
        <v>6327</v>
      </c>
      <c r="CC30" s="6">
        <v>4034</v>
      </c>
      <c r="CD30" s="6">
        <v>7914</v>
      </c>
      <c r="CE30" s="6">
        <f>SUM(BB30:BE30)</f>
        <v>5620</v>
      </c>
      <c r="CF30" s="6">
        <f t="shared" si="104"/>
        <v>8331</v>
      </c>
      <c r="CG30" s="6">
        <f t="shared" si="111"/>
        <v>11372.030346679687</v>
      </c>
      <c r="CH30" s="6">
        <f t="shared" ref="CG30:CP30" si="153">+CH29*(CG30/CG29)</f>
        <v>10728.074324415564</v>
      </c>
      <c r="CI30" s="6">
        <f t="shared" si="153"/>
        <v>12121.103555994699</v>
      </c>
      <c r="CJ30" s="6">
        <f t="shared" si="153"/>
        <v>13686.739916855253</v>
      </c>
      <c r="CK30" s="6">
        <f t="shared" si="153"/>
        <v>15446.305124448754</v>
      </c>
      <c r="CL30" s="6">
        <f t="shared" si="153"/>
        <v>17423.75416783601</v>
      </c>
      <c r="CM30" s="6">
        <f t="shared" si="153"/>
        <v>19646.000517060289</v>
      </c>
      <c r="CN30" s="6">
        <f t="shared" si="153"/>
        <v>22143.281495880819</v>
      </c>
      <c r="CO30" s="6">
        <f t="shared" si="153"/>
        <v>24949.568778041681</v>
      </c>
      <c r="CP30" s="6">
        <f t="shared" si="153"/>
        <v>28103.029579832706</v>
      </c>
    </row>
    <row r="31" spans="2:234" s="3" customFormat="1">
      <c r="B31" s="3" t="s">
        <v>28</v>
      </c>
      <c r="Z31" s="3">
        <f>+Z29-Z30</f>
        <v>185</v>
      </c>
      <c r="AA31" s="3">
        <f>+AA29-AA30</f>
        <v>719</v>
      </c>
      <c r="AB31" s="3">
        <f>+AB29-AB30</f>
        <v>896</v>
      </c>
      <c r="AC31" s="3">
        <f>+BX31-SUM(Z31:AA31)</f>
        <v>2784</v>
      </c>
      <c r="AD31" s="3">
        <f>+AD29-AD30</f>
        <v>1510</v>
      </c>
      <c r="AE31" s="3">
        <f>+AE29-AE30</f>
        <v>2054</v>
      </c>
      <c r="AF31" s="3">
        <f>+AF29-AF30</f>
        <v>2379</v>
      </c>
      <c r="AG31" s="3">
        <f>+BY31-SUM(AD31:AF31)</f>
        <v>4274</v>
      </c>
      <c r="AH31" s="3">
        <f>+AH29-AH30</f>
        <v>3064</v>
      </c>
      <c r="AI31" s="3">
        <f>+AI29-AI30</f>
        <v>3894</v>
      </c>
      <c r="AJ31" s="3">
        <f>+AJ29-AJ30</f>
        <v>4707</v>
      </c>
      <c r="AK31" s="3">
        <f>+BZ31-SUM(AH31:AJ31)</f>
        <v>4269</v>
      </c>
      <c r="AL31" s="3">
        <f>+AL29-AL30</f>
        <v>4988</v>
      </c>
      <c r="AM31" s="3">
        <f>+AM29-AM30</f>
        <v>5106</v>
      </c>
      <c r="AN31" s="3">
        <f>+AN29-AN30</f>
        <v>5137</v>
      </c>
      <c r="AO31" s="3">
        <f>+CA31-SUM(AL31:AN31)</f>
        <v>6881</v>
      </c>
      <c r="AP31" s="3">
        <f>+AP29-AP30</f>
        <v>2429</v>
      </c>
      <c r="AQ31" s="3">
        <f>+AQ29-AQ30</f>
        <v>2616</v>
      </c>
      <c r="AR31" s="3">
        <f>+AR29-AR30</f>
        <v>6091</v>
      </c>
      <c r="AS31" s="3">
        <f>+CB31-SUM(AP31:AR31)</f>
        <v>7349</v>
      </c>
      <c r="AT31" s="3">
        <f>+AT29-AT30</f>
        <v>4902</v>
      </c>
      <c r="AU31" s="3">
        <f>+AU29-AU30</f>
        <v>5178</v>
      </c>
      <c r="AV31" s="3">
        <f>+AV29-AV30</f>
        <v>7846</v>
      </c>
      <c r="AW31" s="3">
        <f>+CC31-SUM(AT31:AV31)</f>
        <v>11220</v>
      </c>
      <c r="AX31" s="3">
        <f>+AX29-AX30</f>
        <v>9497</v>
      </c>
      <c r="AY31" s="3">
        <f>+AY29-AY30</f>
        <v>10394</v>
      </c>
      <c r="AZ31" s="3">
        <f>+AZ29-AZ30</f>
        <v>9194</v>
      </c>
      <c r="BA31" s="19">
        <f>+CD31-SUM(AX31:AZ31)</f>
        <v>10285</v>
      </c>
      <c r="BB31" s="3">
        <f t="shared" ref="BB31:BM31" si="154">+BB29-BB30</f>
        <v>7465</v>
      </c>
      <c r="BC31" s="3">
        <f t="shared" si="154"/>
        <v>6687</v>
      </c>
      <c r="BD31" s="3">
        <f t="shared" si="154"/>
        <v>4395</v>
      </c>
      <c r="BE31" s="3">
        <f t="shared" si="154"/>
        <v>4652</v>
      </c>
      <c r="BF31" s="3">
        <f t="shared" si="154"/>
        <v>5709</v>
      </c>
      <c r="BG31" s="3">
        <f t="shared" si="154"/>
        <v>7788</v>
      </c>
      <c r="BH31" s="3">
        <f t="shared" si="154"/>
        <v>11583</v>
      </c>
      <c r="BI31" s="3">
        <f t="shared" si="154"/>
        <v>14017</v>
      </c>
      <c r="BJ31" s="3">
        <f t="shared" si="154"/>
        <v>9945.5337524414062</v>
      </c>
      <c r="BK31" s="3">
        <f t="shared" si="154"/>
        <v>12211.661047363277</v>
      </c>
      <c r="BL31" s="3">
        <f t="shared" si="154"/>
        <v>14415.847985839842</v>
      </c>
      <c r="BM31" s="3">
        <f t="shared" si="154"/>
        <v>20539.73018798828</v>
      </c>
      <c r="BS31" s="3">
        <f>+BS29-BS30-234</f>
        <v>372</v>
      </c>
      <c r="BT31" s="3">
        <f>+BT29-BT30-332</f>
        <v>668</v>
      </c>
      <c r="BU31" s="3">
        <f t="shared" ref="BU31:CC31" si="155">+BU29-BU30</f>
        <v>53</v>
      </c>
      <c r="BV31" s="3">
        <f t="shared" si="155"/>
        <v>1500</v>
      </c>
      <c r="BW31" s="3">
        <f t="shared" si="155"/>
        <v>2940</v>
      </c>
      <c r="BX31" s="3">
        <f t="shared" si="155"/>
        <v>3688</v>
      </c>
      <c r="BY31" s="3">
        <f t="shared" si="155"/>
        <v>10217</v>
      </c>
      <c r="BZ31" s="3">
        <f t="shared" si="155"/>
        <v>15934</v>
      </c>
      <c r="CA31" s="3">
        <f t="shared" si="155"/>
        <v>22112</v>
      </c>
      <c r="CB31" s="3">
        <f t="shared" si="155"/>
        <v>18485</v>
      </c>
      <c r="CC31" s="3">
        <f t="shared" si="155"/>
        <v>29146</v>
      </c>
      <c r="CD31" s="3">
        <f t="shared" ref="CD31" si="156">+CD29-CD30</f>
        <v>39370</v>
      </c>
      <c r="CE31" s="3">
        <f>SUM(BB31:BE31)</f>
        <v>23199</v>
      </c>
      <c r="CF31" s="3">
        <f t="shared" si="104"/>
        <v>39097</v>
      </c>
      <c r="CG31" s="3">
        <f t="shared" si="111"/>
        <v>57112.772973632804</v>
      </c>
      <c r="CH31" s="3">
        <f t="shared" ref="CG31:CN31" si="157">+CH29-CH30</f>
        <v>53878.687855726603</v>
      </c>
      <c r="CI31" s="3">
        <f t="shared" si="157"/>
        <v>60874.779127329886</v>
      </c>
      <c r="CJ31" s="3">
        <f t="shared" si="157"/>
        <v>68737.74038500899</v>
      </c>
      <c r="CK31" s="3">
        <f t="shared" si="157"/>
        <v>77574.65386219928</v>
      </c>
      <c r="CL31" s="3">
        <f t="shared" si="157"/>
        <v>87505.826646563015</v>
      </c>
      <c r="CM31" s="3">
        <f t="shared" si="157"/>
        <v>98666.423951140867</v>
      </c>
      <c r="CN31" s="3">
        <f t="shared" si="157"/>
        <v>111208.30409450432</v>
      </c>
      <c r="CO31" s="3">
        <f t="shared" ref="CO31:CP31" si="158">+CO29-CO30</f>
        <v>125302.08010097108</v>
      </c>
      <c r="CP31" s="3">
        <f t="shared" si="158"/>
        <v>141139.43590846116</v>
      </c>
      <c r="CQ31" s="3">
        <f t="shared" ref="CP31:DU31" si="159">+CP31*(1+$CT$38)</f>
        <v>142550.83026754577</v>
      </c>
      <c r="CR31" s="3">
        <f t="shared" si="159"/>
        <v>143976.33857022124</v>
      </c>
      <c r="CS31" s="3">
        <f t="shared" si="159"/>
        <v>145416.10195592346</v>
      </c>
      <c r="CT31" s="3">
        <f t="shared" si="159"/>
        <v>146870.26297548268</v>
      </c>
      <c r="CU31" s="3">
        <f t="shared" si="159"/>
        <v>148338.96560523749</v>
      </c>
      <c r="CV31" s="3">
        <f t="shared" si="159"/>
        <v>149822.35526128986</v>
      </c>
      <c r="CW31" s="3">
        <f t="shared" si="159"/>
        <v>151320.57881390277</v>
      </c>
      <c r="CX31" s="3">
        <f t="shared" si="159"/>
        <v>152833.78460204179</v>
      </c>
      <c r="CY31" s="3">
        <f t="shared" si="159"/>
        <v>154362.1224480622</v>
      </c>
      <c r="CZ31" s="3">
        <f t="shared" si="159"/>
        <v>155905.74367254283</v>
      </c>
      <c r="DA31" s="3">
        <f t="shared" si="159"/>
        <v>157464.80110926824</v>
      </c>
      <c r="DB31" s="3">
        <f t="shared" si="159"/>
        <v>159039.44912036092</v>
      </c>
      <c r="DC31" s="3">
        <f t="shared" si="159"/>
        <v>160629.84361156455</v>
      </c>
      <c r="DD31" s="3">
        <f t="shared" si="159"/>
        <v>162236.14204768019</v>
      </c>
      <c r="DE31" s="3">
        <f t="shared" si="159"/>
        <v>163858.503468157</v>
      </c>
      <c r="DF31" s="3">
        <f t="shared" si="159"/>
        <v>165497.08850283857</v>
      </c>
      <c r="DG31" s="3">
        <f t="shared" si="159"/>
        <v>167152.05938786696</v>
      </c>
      <c r="DH31" s="3">
        <f t="shared" si="159"/>
        <v>168823.57998174563</v>
      </c>
      <c r="DI31" s="3">
        <f t="shared" si="159"/>
        <v>170511.81578156308</v>
      </c>
      <c r="DJ31" s="3">
        <f t="shared" si="159"/>
        <v>172216.93393937871</v>
      </c>
      <c r="DK31" s="3">
        <f t="shared" si="159"/>
        <v>173939.1032787725</v>
      </c>
      <c r="DL31" s="3">
        <f t="shared" si="159"/>
        <v>175678.49431156024</v>
      </c>
      <c r="DM31" s="3">
        <f t="shared" si="159"/>
        <v>177435.27925467584</v>
      </c>
      <c r="DN31" s="3">
        <f t="shared" si="159"/>
        <v>179209.63204722261</v>
      </c>
      <c r="DO31" s="3">
        <f t="shared" si="159"/>
        <v>181001.72836769483</v>
      </c>
      <c r="DP31" s="3">
        <f t="shared" si="159"/>
        <v>182811.74565137178</v>
      </c>
      <c r="DQ31" s="3">
        <f t="shared" si="159"/>
        <v>184639.8631078855</v>
      </c>
      <c r="DR31" s="3">
        <f t="shared" si="159"/>
        <v>186486.26173896436</v>
      </c>
      <c r="DS31" s="3">
        <f t="shared" si="159"/>
        <v>188351.124356354</v>
      </c>
      <c r="DT31" s="3">
        <f t="shared" si="159"/>
        <v>190234.63559991756</v>
      </c>
      <c r="DU31" s="3">
        <f t="shared" si="159"/>
        <v>192136.98195591674</v>
      </c>
      <c r="DV31" s="3">
        <f t="shared" ref="DV31:FA31" si="160">+DU31*(1+$CT$38)</f>
        <v>194058.35177547589</v>
      </c>
      <c r="DW31" s="3">
        <f t="shared" si="160"/>
        <v>195998.93529323066</v>
      </c>
      <c r="DX31" s="3">
        <f t="shared" si="160"/>
        <v>197958.92464616298</v>
      </c>
      <c r="DY31" s="3">
        <f t="shared" si="160"/>
        <v>199938.51389262461</v>
      </c>
      <c r="DZ31" s="3">
        <f t="shared" si="160"/>
        <v>201937.89903155086</v>
      </c>
      <c r="EA31" s="3">
        <f t="shared" si="160"/>
        <v>203957.27802186637</v>
      </c>
      <c r="EB31" s="3">
        <f t="shared" si="160"/>
        <v>205996.85080208504</v>
      </c>
      <c r="EC31" s="3">
        <f t="shared" si="160"/>
        <v>208056.8193101059</v>
      </c>
      <c r="ED31" s="3">
        <f t="shared" si="160"/>
        <v>210137.38750320696</v>
      </c>
      <c r="EE31" s="3">
        <f t="shared" si="160"/>
        <v>212238.76137823903</v>
      </c>
      <c r="EF31" s="3">
        <f t="shared" si="160"/>
        <v>214361.14899202142</v>
      </c>
      <c r="EG31" s="3">
        <f t="shared" si="160"/>
        <v>216504.76048194163</v>
      </c>
      <c r="EH31" s="3">
        <f t="shared" si="160"/>
        <v>218669.80808676104</v>
      </c>
      <c r="EI31" s="3">
        <f t="shared" si="160"/>
        <v>220856.50616762866</v>
      </c>
      <c r="EJ31" s="3">
        <f t="shared" si="160"/>
        <v>223065.07122930494</v>
      </c>
      <c r="EK31" s="3">
        <f t="shared" si="160"/>
        <v>225295.72194159799</v>
      </c>
      <c r="EL31" s="3">
        <f t="shared" si="160"/>
        <v>227548.67916101398</v>
      </c>
      <c r="EM31" s="3">
        <f t="shared" si="160"/>
        <v>229824.16595262411</v>
      </c>
      <c r="EN31" s="3">
        <f t="shared" si="160"/>
        <v>232122.40761215036</v>
      </c>
      <c r="EO31" s="3">
        <f t="shared" si="160"/>
        <v>234443.63168827185</v>
      </c>
      <c r="EP31" s="3">
        <f t="shared" si="160"/>
        <v>236788.06800515458</v>
      </c>
      <c r="EQ31" s="3">
        <f t="shared" si="160"/>
        <v>239155.94868520612</v>
      </c>
      <c r="ER31" s="3">
        <f t="shared" si="160"/>
        <v>241547.50817205818</v>
      </c>
      <c r="ES31" s="3">
        <f t="shared" si="160"/>
        <v>243962.98325377877</v>
      </c>
      <c r="ET31" s="3">
        <f t="shared" si="160"/>
        <v>246402.61308631656</v>
      </c>
      <c r="EU31" s="3">
        <f t="shared" si="160"/>
        <v>248866.63921717973</v>
      </c>
      <c r="EV31" s="3">
        <f t="shared" si="160"/>
        <v>251355.30560935155</v>
      </c>
      <c r="EW31" s="3">
        <f t="shared" si="160"/>
        <v>253868.85866544506</v>
      </c>
      <c r="EX31" s="3">
        <f t="shared" si="160"/>
        <v>256407.54725209952</v>
      </c>
      <c r="EY31" s="3">
        <f t="shared" si="160"/>
        <v>258971.62272462051</v>
      </c>
      <c r="EZ31" s="3">
        <f t="shared" si="160"/>
        <v>261561.33895186672</v>
      </c>
      <c r="FA31" s="3">
        <f t="shared" si="160"/>
        <v>264176.95234138542</v>
      </c>
      <c r="FB31" s="3">
        <f t="shared" ref="FB31:GG31" si="161">+FA31*(1+$CT$38)</f>
        <v>266818.72186479927</v>
      </c>
      <c r="FC31" s="3">
        <f t="shared" si="161"/>
        <v>269486.90908344724</v>
      </c>
      <c r="FD31" s="3">
        <f t="shared" si="161"/>
        <v>272181.7781742817</v>
      </c>
      <c r="FE31" s="3">
        <f t="shared" si="161"/>
        <v>274903.59595602454</v>
      </c>
      <c r="FF31" s="3">
        <f t="shared" si="161"/>
        <v>277652.63191558479</v>
      </c>
      <c r="FG31" s="3">
        <f t="shared" si="161"/>
        <v>280429.15823474067</v>
      </c>
      <c r="FH31" s="3">
        <f t="shared" si="161"/>
        <v>283233.44981708808</v>
      </c>
      <c r="FI31" s="3">
        <f t="shared" si="161"/>
        <v>286065.78431525896</v>
      </c>
      <c r="FJ31" s="3">
        <f t="shared" si="161"/>
        <v>288926.44215841155</v>
      </c>
      <c r="FK31" s="3">
        <f t="shared" si="161"/>
        <v>291815.70657999569</v>
      </c>
      <c r="FL31" s="3">
        <f t="shared" si="161"/>
        <v>294733.86364579567</v>
      </c>
      <c r="FM31" s="3">
        <f t="shared" si="161"/>
        <v>297681.20228225365</v>
      </c>
      <c r="FN31" s="3">
        <f t="shared" si="161"/>
        <v>300658.01430507621</v>
      </c>
      <c r="FO31" s="3">
        <f t="shared" si="161"/>
        <v>303664.59444812697</v>
      </c>
      <c r="FP31" s="3">
        <f t="shared" si="161"/>
        <v>306701.24039260822</v>
      </c>
      <c r="FQ31" s="3">
        <f t="shared" si="161"/>
        <v>309768.25279653433</v>
      </c>
      <c r="FR31" s="3">
        <f t="shared" si="161"/>
        <v>312865.93532449967</v>
      </c>
      <c r="FS31" s="3">
        <f t="shared" si="161"/>
        <v>315994.59467774467</v>
      </c>
      <c r="FT31" s="3">
        <f t="shared" si="161"/>
        <v>319154.54062452214</v>
      </c>
      <c r="FU31" s="3">
        <f t="shared" si="161"/>
        <v>322346.08603076736</v>
      </c>
      <c r="FV31" s="3">
        <f t="shared" si="161"/>
        <v>325569.54689107504</v>
      </c>
      <c r="FW31" s="3">
        <f t="shared" si="161"/>
        <v>328825.24235998577</v>
      </c>
      <c r="FX31" s="3">
        <f t="shared" si="161"/>
        <v>332113.49478358566</v>
      </c>
      <c r="FY31" s="3">
        <f t="shared" si="161"/>
        <v>335434.62973142153</v>
      </c>
      <c r="FZ31" s="3">
        <f t="shared" si="161"/>
        <v>338788.97602873575</v>
      </c>
      <c r="GA31" s="3">
        <f t="shared" si="161"/>
        <v>342176.86578902311</v>
      </c>
      <c r="GB31" s="3">
        <f t="shared" si="161"/>
        <v>345598.63444691332</v>
      </c>
      <c r="GC31" s="3">
        <f t="shared" si="161"/>
        <v>349054.62079138245</v>
      </c>
      <c r="GD31" s="3">
        <f t="shared" si="161"/>
        <v>352545.16699929629</v>
      </c>
      <c r="GE31" s="3">
        <f t="shared" si="161"/>
        <v>356070.61866928922</v>
      </c>
      <c r="GF31" s="3">
        <f t="shared" si="161"/>
        <v>359631.32485598209</v>
      </c>
      <c r="GG31" s="3">
        <f t="shared" si="161"/>
        <v>363227.63810454193</v>
      </c>
      <c r="GH31" s="3">
        <f t="shared" ref="GH31:HM31" si="162">+GG31*(1+$CT$38)</f>
        <v>366859.91448558733</v>
      </c>
      <c r="GI31" s="3">
        <f t="shared" si="162"/>
        <v>370528.51363044319</v>
      </c>
      <c r="GJ31" s="3">
        <f t="shared" si="162"/>
        <v>374233.79876674764</v>
      </c>
      <c r="GK31" s="3">
        <f t="shared" si="162"/>
        <v>377976.13675441511</v>
      </c>
      <c r="GL31" s="3">
        <f t="shared" si="162"/>
        <v>381755.8981219593</v>
      </c>
      <c r="GM31" s="3">
        <f t="shared" si="162"/>
        <v>385573.45710317889</v>
      </c>
      <c r="GN31" s="3">
        <f t="shared" si="162"/>
        <v>389429.19167421071</v>
      </c>
      <c r="GO31" s="3">
        <f t="shared" si="162"/>
        <v>393323.48359095282</v>
      </c>
      <c r="GP31" s="3">
        <f t="shared" si="162"/>
        <v>397256.71842686232</v>
      </c>
      <c r="GQ31" s="3">
        <f t="shared" si="162"/>
        <v>401229.28561113094</v>
      </c>
      <c r="GR31" s="3">
        <f t="shared" si="162"/>
        <v>405241.57846724225</v>
      </c>
      <c r="GS31" s="3">
        <f t="shared" si="162"/>
        <v>409293.99425191467</v>
      </c>
      <c r="GT31" s="3">
        <f t="shared" si="162"/>
        <v>413386.93419443379</v>
      </c>
      <c r="GU31" s="3">
        <f t="shared" si="162"/>
        <v>417520.80353637814</v>
      </c>
      <c r="GV31" s="3">
        <f t="shared" si="162"/>
        <v>421696.0115717419</v>
      </c>
      <c r="GW31" s="3">
        <f t="shared" si="162"/>
        <v>425912.97168745933</v>
      </c>
      <c r="GX31" s="3">
        <f t="shared" si="162"/>
        <v>430172.10140433395</v>
      </c>
      <c r="GY31" s="3">
        <f t="shared" si="162"/>
        <v>434473.82241837727</v>
      </c>
      <c r="GZ31" s="3">
        <f t="shared" si="162"/>
        <v>438818.56064256106</v>
      </c>
      <c r="HA31" s="3">
        <f t="shared" si="162"/>
        <v>443206.74624898669</v>
      </c>
      <c r="HB31" s="3">
        <f t="shared" si="162"/>
        <v>447638.81371147657</v>
      </c>
      <c r="HC31" s="3">
        <f t="shared" si="162"/>
        <v>452115.20184859133</v>
      </c>
      <c r="HD31" s="3">
        <f t="shared" si="162"/>
        <v>456636.35386707727</v>
      </c>
      <c r="HE31" s="3">
        <f t="shared" si="162"/>
        <v>461202.71740574803</v>
      </c>
      <c r="HF31" s="3">
        <f t="shared" si="162"/>
        <v>465814.74457980553</v>
      </c>
      <c r="HG31" s="3">
        <f t="shared" si="162"/>
        <v>470472.89202560356</v>
      </c>
      <c r="HH31" s="3">
        <f t="shared" si="162"/>
        <v>475177.62094585958</v>
      </c>
      <c r="HI31" s="3">
        <f t="shared" si="162"/>
        <v>479929.39715531818</v>
      </c>
      <c r="HJ31" s="3">
        <f t="shared" si="162"/>
        <v>484728.69112687139</v>
      </c>
      <c r="HK31" s="3">
        <f t="shared" si="162"/>
        <v>489575.97803814011</v>
      </c>
      <c r="HL31" s="3">
        <f t="shared" si="162"/>
        <v>494471.73781852151</v>
      </c>
      <c r="HM31" s="3">
        <f t="shared" si="162"/>
        <v>499416.45519670675</v>
      </c>
      <c r="HN31" s="3">
        <f t="shared" ref="HN31:HZ31" si="163">+HM31*(1+$CT$38)</f>
        <v>504410.61974867381</v>
      </c>
      <c r="HO31" s="3">
        <f t="shared" si="163"/>
        <v>509454.72594616056</v>
      </c>
      <c r="HP31" s="3">
        <f t="shared" si="163"/>
        <v>514549.27320562216</v>
      </c>
      <c r="HQ31" s="3">
        <f t="shared" si="163"/>
        <v>519694.7659376784</v>
      </c>
      <c r="HR31" s="3">
        <f t="shared" si="163"/>
        <v>524891.71359705518</v>
      </c>
      <c r="HS31" s="3">
        <f t="shared" si="163"/>
        <v>530140.63073302573</v>
      </c>
      <c r="HT31" s="3">
        <f t="shared" si="163"/>
        <v>535442.03704035596</v>
      </c>
      <c r="HU31" s="3">
        <f t="shared" si="163"/>
        <v>540796.45741075953</v>
      </c>
      <c r="HV31" s="3">
        <f t="shared" si="163"/>
        <v>546204.42198486708</v>
      </c>
      <c r="HW31" s="3">
        <f t="shared" si="163"/>
        <v>551666.46620471578</v>
      </c>
      <c r="HX31" s="3">
        <f t="shared" si="163"/>
        <v>557183.13086676295</v>
      </c>
      <c r="HY31" s="3">
        <f t="shared" si="163"/>
        <v>562754.96217543061</v>
      </c>
      <c r="HZ31" s="3">
        <f t="shared" si="163"/>
        <v>568382.51179718494</v>
      </c>
    </row>
    <row r="32" spans="2:234">
      <c r="B32" s="1" t="s">
        <v>29</v>
      </c>
      <c r="Z32" s="1">
        <v>2905</v>
      </c>
      <c r="AA32" s="6">
        <v>2850</v>
      </c>
      <c r="AB32" s="1">
        <v>2863</v>
      </c>
      <c r="AC32" s="6">
        <f>+AC31/AC33</f>
        <v>2850.3843937659772</v>
      </c>
      <c r="AD32" s="6">
        <v>2905</v>
      </c>
      <c r="AE32" s="6">
        <v>2904</v>
      </c>
      <c r="AF32" s="1">
        <v>2915</v>
      </c>
      <c r="AG32" s="1">
        <f>+AG31/AG33</f>
        <v>2948.0452504493542</v>
      </c>
      <c r="AH32" s="1">
        <v>2944</v>
      </c>
      <c r="AI32" s="1">
        <v>2951</v>
      </c>
      <c r="AJ32" s="1">
        <v>2956</v>
      </c>
      <c r="AK32" s="1">
        <f>+AK31/AK33</f>
        <v>2969.2757675213752</v>
      </c>
      <c r="AL32" s="1">
        <v>2945</v>
      </c>
      <c r="AM32" s="1">
        <v>2930</v>
      </c>
      <c r="AN32" s="1">
        <v>2913</v>
      </c>
      <c r="AO32" s="6">
        <f>+AO31/AO33</f>
        <v>2903.1845464801609</v>
      </c>
      <c r="AP32" s="1">
        <v>2869</v>
      </c>
      <c r="AQ32" s="1">
        <v>2875</v>
      </c>
      <c r="AR32" s="1">
        <v>2874</v>
      </c>
      <c r="AS32" s="1">
        <f>+AS31/AS33</f>
        <v>2880.3407193100616</v>
      </c>
      <c r="AT32" s="1">
        <v>2868</v>
      </c>
      <c r="AU32" s="1">
        <v>2879</v>
      </c>
      <c r="AV32" s="1">
        <v>2891</v>
      </c>
      <c r="AW32" s="6">
        <f>+AW31/AW33</f>
        <v>2898.9107433810154</v>
      </c>
      <c r="AX32" s="1">
        <v>2882</v>
      </c>
      <c r="AY32" s="1">
        <v>2877</v>
      </c>
      <c r="AZ32" s="1">
        <v>2859</v>
      </c>
      <c r="BA32" s="18">
        <f>+BA31/BA33</f>
        <v>2820.3834512586291</v>
      </c>
      <c r="BB32" s="1">
        <v>2742</v>
      </c>
      <c r="BC32" s="1">
        <v>2713</v>
      </c>
      <c r="BD32" s="1">
        <v>2687</v>
      </c>
      <c r="BE32" s="1">
        <v>2640</v>
      </c>
      <c r="BF32" s="1">
        <v>2596</v>
      </c>
      <c r="BG32" s="1">
        <v>2612</v>
      </c>
      <c r="BH32" s="1">
        <v>2437</v>
      </c>
      <c r="BI32" s="1">
        <v>2630</v>
      </c>
      <c r="BJ32" s="1">
        <f>+BI32</f>
        <v>2630</v>
      </c>
      <c r="BK32" s="1">
        <f>+BJ32</f>
        <v>2630</v>
      </c>
      <c r="BL32" s="1">
        <f>+BK32</f>
        <v>2630</v>
      </c>
      <c r="BM32" s="1">
        <f>+BL32</f>
        <v>2630</v>
      </c>
      <c r="BS32" s="6">
        <v>1414</v>
      </c>
      <c r="BT32" s="6">
        <v>1508</v>
      </c>
      <c r="BU32" s="6">
        <v>2166</v>
      </c>
      <c r="BV32" s="6">
        <v>2517</v>
      </c>
      <c r="BW32" s="6">
        <v>2664</v>
      </c>
      <c r="BX32" s="6">
        <v>2853</v>
      </c>
      <c r="BY32" s="6">
        <v>2925</v>
      </c>
      <c r="BZ32" s="6">
        <v>2956</v>
      </c>
      <c r="CA32" s="6">
        <v>2921</v>
      </c>
      <c r="CB32" s="6">
        <v>2876</v>
      </c>
      <c r="CC32" s="6">
        <v>2888</v>
      </c>
      <c r="CD32" s="6">
        <v>2859</v>
      </c>
      <c r="CE32" s="6">
        <f>+CE31/CE33</f>
        <v>2702.2591825315344</v>
      </c>
      <c r="CF32" s="6">
        <f>+CF31/CF33</f>
        <v>2561.485515258777</v>
      </c>
      <c r="CG32" s="6">
        <f>+CG31/CG33</f>
        <v>2629.9999999999995</v>
      </c>
      <c r="CH32" s="1">
        <f t="shared" ref="CG32:CP32" si="164">+CG32</f>
        <v>2629.9999999999995</v>
      </c>
      <c r="CI32" s="1">
        <f t="shared" si="164"/>
        <v>2629.9999999999995</v>
      </c>
      <c r="CJ32" s="1">
        <f t="shared" si="164"/>
        <v>2629.9999999999995</v>
      </c>
      <c r="CK32" s="1">
        <f t="shared" si="164"/>
        <v>2629.9999999999995</v>
      </c>
      <c r="CL32" s="1">
        <f t="shared" si="164"/>
        <v>2629.9999999999995</v>
      </c>
      <c r="CM32" s="1">
        <f t="shared" si="164"/>
        <v>2629.9999999999995</v>
      </c>
      <c r="CN32" s="1">
        <f t="shared" si="164"/>
        <v>2629.9999999999995</v>
      </c>
      <c r="CO32" s="1">
        <f t="shared" si="164"/>
        <v>2629.9999999999995</v>
      </c>
      <c r="CP32" s="1">
        <f t="shared" si="164"/>
        <v>2629.9999999999995</v>
      </c>
    </row>
    <row r="33" spans="2:234" s="21" customFormat="1">
      <c r="B33" s="21" t="s">
        <v>182</v>
      </c>
      <c r="Z33" s="21">
        <f>+Z31/Z32</f>
        <v>6.3683304647160072E-2</v>
      </c>
      <c r="AA33" s="22">
        <f>+AA31/AA32</f>
        <v>0.25228070175438594</v>
      </c>
      <c r="AB33" s="21">
        <f>+AB31/AB32</f>
        <v>0.31295843520782396</v>
      </c>
      <c r="AC33" s="22">
        <f>+BX33-SUM(Z33:AA33)</f>
        <v>0.97671037144633355</v>
      </c>
      <c r="AD33" s="22">
        <f>+AD31/AD32</f>
        <v>0.51979345955249567</v>
      </c>
      <c r="AE33" s="22">
        <f>+AE31/AE32</f>
        <v>0.70730027548209362</v>
      </c>
      <c r="AF33" s="21">
        <f>+AF31/AF32</f>
        <v>0.81612349914236704</v>
      </c>
      <c r="AG33" s="23">
        <f>+BY33-SUM(AD33:AF33)</f>
        <v>1.4497742188144969</v>
      </c>
      <c r="AH33" s="21">
        <f>+AH31/AH32</f>
        <v>1.0407608695652173</v>
      </c>
      <c r="AI33" s="21">
        <f>+AI31/AI32</f>
        <v>1.3195526940020332</v>
      </c>
      <c r="AJ33" s="21">
        <f>+AJ31/AJ32</f>
        <v>1.5923545331529094</v>
      </c>
      <c r="AK33" s="22">
        <f>+BZ33-SUM(AH33:AJ33)</f>
        <v>1.4377243254719918</v>
      </c>
      <c r="AL33" s="21">
        <f>+AL31/AL32</f>
        <v>1.6937181663837011</v>
      </c>
      <c r="AM33" s="21">
        <f>+AM31/AM32</f>
        <v>1.7426621160409557</v>
      </c>
      <c r="AN33" s="21">
        <f>+AN31/AN32</f>
        <v>1.7634740817027119</v>
      </c>
      <c r="AO33" s="22">
        <f>+CA33-SUM(AL33:AN33)</f>
        <v>2.3701559063279554</v>
      </c>
      <c r="AP33" s="21">
        <f>+AP31/AP32</f>
        <v>0.84663645869640991</v>
      </c>
      <c r="AQ33" s="21">
        <f>+AQ31/AQ32</f>
        <v>0.90991304347826085</v>
      </c>
      <c r="AR33" s="21">
        <f>+AR31/AR32</f>
        <v>2.1193458594293668</v>
      </c>
      <c r="AS33" s="23">
        <f>+CB33-SUM(AP33:AR33)</f>
        <v>2.5514342628744049</v>
      </c>
      <c r="AT33" s="21">
        <f>+AT31/AT32</f>
        <v>1.7092050209205021</v>
      </c>
      <c r="AU33" s="21">
        <f>+AU31/AU32</f>
        <v>1.7985411601250434</v>
      </c>
      <c r="AV33" s="21">
        <f>+AV31/AV32</f>
        <v>2.7139398132134209</v>
      </c>
      <c r="AW33" s="22">
        <f>+CC33-SUM(AT33:AV33)</f>
        <v>3.870419268898929</v>
      </c>
      <c r="AX33" s="21">
        <f>+AX31/AX32</f>
        <v>3.2952810548230396</v>
      </c>
      <c r="AY33" s="21">
        <f>+AY31/AY32</f>
        <v>3.6127911018421965</v>
      </c>
      <c r="AZ33" s="21">
        <f>+AZ31/AZ32</f>
        <v>3.2158097236796084</v>
      </c>
      <c r="BA33" s="24">
        <f>+CD33-SUM(AX33:AZ33)</f>
        <v>3.6466672627121675</v>
      </c>
      <c r="BB33" s="21">
        <f t="shared" ref="BB33:BI33" si="165">+BB31/BB32</f>
        <v>2.7224653537563821</v>
      </c>
      <c r="BC33" s="21">
        <f t="shared" si="165"/>
        <v>2.4647991153704387</v>
      </c>
      <c r="BD33" s="21">
        <f t="shared" si="165"/>
        <v>1.6356531447711202</v>
      </c>
      <c r="BE33" s="21">
        <f t="shared" si="165"/>
        <v>1.7621212121212122</v>
      </c>
      <c r="BF33" s="21">
        <f t="shared" si="165"/>
        <v>2.1991525423728815</v>
      </c>
      <c r="BG33" s="21">
        <f t="shared" si="165"/>
        <v>2.9816232771822357</v>
      </c>
      <c r="BH33" s="21">
        <f t="shared" si="165"/>
        <v>4.7529749692244563</v>
      </c>
      <c r="BI33" s="21">
        <f t="shared" si="165"/>
        <v>5.3296577946768062</v>
      </c>
      <c r="BJ33" s="21">
        <f>+BJ31/BJ32</f>
        <v>3.7815717689891279</v>
      </c>
      <c r="BK33" s="21">
        <f>+BK31/BK32</f>
        <v>4.6432171282750101</v>
      </c>
      <c r="BL33" s="21">
        <f>+BL31/BL32</f>
        <v>5.4813110212318792</v>
      </c>
      <c r="BM33" s="21">
        <f>+BM31/BM32</f>
        <v>7.8097833414404105</v>
      </c>
      <c r="BS33" s="22">
        <f t="shared" ref="BS33:BT33" si="166">+BS31/BS32</f>
        <v>0.26308345120226306</v>
      </c>
      <c r="BT33" s="22">
        <f t="shared" si="166"/>
        <v>0.44297082228116713</v>
      </c>
      <c r="BU33" s="22">
        <f t="shared" ref="BU33:BV33" si="167">+BU31/BU32</f>
        <v>2.4469067405355493E-2</v>
      </c>
      <c r="BV33" s="22">
        <f t="shared" si="167"/>
        <v>0.59594755661501786</v>
      </c>
      <c r="BW33" s="22">
        <f t="shared" ref="BW33:BX33" si="168">+BW31/BW32</f>
        <v>1.1036036036036037</v>
      </c>
      <c r="BX33" s="22">
        <f t="shared" si="168"/>
        <v>1.2926743778478795</v>
      </c>
      <c r="BY33" s="22">
        <f t="shared" ref="BY33:CC33" si="169">+BY31/BY32</f>
        <v>3.4929914529914532</v>
      </c>
      <c r="BZ33" s="22">
        <f t="shared" si="169"/>
        <v>5.3903924221921518</v>
      </c>
      <c r="CA33" s="22">
        <f t="shared" si="169"/>
        <v>7.5700102704553238</v>
      </c>
      <c r="CB33" s="22">
        <f t="shared" si="169"/>
        <v>6.4273296244784426</v>
      </c>
      <c r="CC33" s="22">
        <f t="shared" si="169"/>
        <v>10.092105263157896</v>
      </c>
      <c r="CD33" s="22">
        <f t="shared" ref="CD33" si="170">+CD31/CD32</f>
        <v>13.770549143057012</v>
      </c>
      <c r="CE33" s="6">
        <f>SUM(BB33:BE33)</f>
        <v>8.5850388260191526</v>
      </c>
      <c r="CF33" s="6">
        <f t="shared" si="104"/>
        <v>15.263408583456378</v>
      </c>
      <c r="CG33" s="6">
        <f t="shared" si="111"/>
        <v>21.71588325993643</v>
      </c>
      <c r="CH33" s="21">
        <f t="shared" ref="CG33:CN33" si="171">+CH31/CH32</f>
        <v>20.486193101036733</v>
      </c>
      <c r="CI33" s="21">
        <f t="shared" si="171"/>
        <v>23.146303850695777</v>
      </c>
      <c r="CJ33" s="21">
        <f t="shared" si="171"/>
        <v>26.136022960079469</v>
      </c>
      <c r="CK33" s="21">
        <f t="shared" si="171"/>
        <v>29.496066107300113</v>
      </c>
      <c r="CL33" s="21">
        <f t="shared" si="171"/>
        <v>33.272177432153242</v>
      </c>
      <c r="CM33" s="21">
        <f t="shared" si="171"/>
        <v>37.515750551764597</v>
      </c>
      <c r="CN33" s="21">
        <f t="shared" si="171"/>
        <v>42.28452627167465</v>
      </c>
      <c r="CO33" s="21">
        <f t="shared" ref="CO33:CP33" si="172">+CO31/CO32</f>
        <v>47.643376464247567</v>
      </c>
      <c r="CP33" s="21">
        <f t="shared" si="172"/>
        <v>53.665184756068896</v>
      </c>
    </row>
    <row r="34" spans="2:234">
      <c r="BS34" s="6"/>
      <c r="BT34" s="6"/>
      <c r="BU34" s="6"/>
      <c r="BV34" s="6"/>
      <c r="BW34" s="6"/>
      <c r="BX34" s="6"/>
      <c r="BY34" s="6"/>
      <c r="BZ34" s="6"/>
      <c r="CA34" s="6"/>
    </row>
    <row r="35" spans="2:234">
      <c r="B35" s="3" t="s">
        <v>222</v>
      </c>
      <c r="BS35" s="6"/>
      <c r="BT35" s="6"/>
      <c r="BU35" s="6"/>
      <c r="BV35" s="6"/>
      <c r="BW35" s="6"/>
      <c r="BX35" s="6"/>
      <c r="BY35" s="6"/>
      <c r="BZ35" s="6"/>
      <c r="CA35" s="6"/>
      <c r="CF35" s="1">
        <f>CF31/(1+$CT$39)^CG2</f>
        <v>36200.925925925927</v>
      </c>
      <c r="CG35" s="52">
        <f>CG31/(1+$CT$39)^CG2</f>
        <v>52882.197197808149</v>
      </c>
      <c r="CH35" s="52">
        <f t="shared" ref="CH35:ES35" si="173">CH31/(1+$CT$39)^CH2</f>
        <v>46192.290685636661</v>
      </c>
      <c r="CI35" s="52">
        <f t="shared" si="173"/>
        <v>48324.362336256127</v>
      </c>
      <c r="CJ35" s="52">
        <f t="shared" si="173"/>
        <v>50524.291196753977</v>
      </c>
      <c r="CK35" s="52">
        <f t="shared" si="173"/>
        <v>52796.005934322362</v>
      </c>
      <c r="CL35" s="52">
        <f t="shared" si="173"/>
        <v>55143.514127962248</v>
      </c>
      <c r="CM35" s="52">
        <f t="shared" si="173"/>
        <v>57570.910710352451</v>
      </c>
      <c r="CN35" s="52">
        <f t="shared" si="173"/>
        <v>60082.386400494353</v>
      </c>
      <c r="CO35" s="52">
        <f t="shared" si="173"/>
        <v>62682.236149934128</v>
      </c>
      <c r="CP35" s="52">
        <f>CP31/(1+$CT$39)^CP2</f>
        <v>65374.86762474486</v>
      </c>
      <c r="CQ35" s="52">
        <f>CQ31/(1+$CT$39)^CQ2</f>
        <v>61137.607686103991</v>
      </c>
      <c r="CR35" s="52">
        <f>CR31/(1+$CT$39)^CR2</f>
        <v>57174.984965708361</v>
      </c>
      <c r="CS35" s="52">
        <f>CS31/(1+$CT$39)^CS2</f>
        <v>53469.198903116157</v>
      </c>
      <c r="CT35" s="52">
        <f>CT31/(1+$CT$39)^CT2</f>
        <v>50003.602677914168</v>
      </c>
      <c r="CU35" s="52">
        <f>CU31/(1+$CT$39)^CU2</f>
        <v>46762.628430271572</v>
      </c>
      <c r="CV35" s="52">
        <f>CV31/(1+$CT$39)^CV2</f>
        <v>43731.717328309533</v>
      </c>
      <c r="CW35" s="52">
        <f t="shared" si="173"/>
        <v>40897.25416814132</v>
      </c>
      <c r="CX35" s="52">
        <f t="shared" si="173"/>
        <v>38246.50621279882</v>
      </c>
      <c r="CY35" s="52">
        <f t="shared" si="173"/>
        <v>35767.565995302597</v>
      </c>
      <c r="CZ35" s="52">
        <f t="shared" si="173"/>
        <v>33449.297828940391</v>
      </c>
      <c r="DA35" s="52">
        <f t="shared" si="173"/>
        <v>31281.287784472031</v>
      </c>
      <c r="DB35" s="52">
        <f t="shared" si="173"/>
        <v>29253.796909552544</v>
      </c>
      <c r="DC35" s="52">
        <f t="shared" si="173"/>
        <v>27357.717480229694</v>
      </c>
      <c r="DD35" s="52">
        <f t="shared" si="173"/>
        <v>25584.532087992586</v>
      </c>
      <c r="DE35" s="52">
        <f t="shared" si="173"/>
        <v>23926.275378585655</v>
      </c>
      <c r="DF35" s="52">
        <f t="shared" si="173"/>
        <v>22375.498270714364</v>
      </c>
      <c r="DG35" s="52">
        <f t="shared" si="173"/>
        <v>20925.234493908803</v>
      </c>
      <c r="DH35" s="52">
        <f t="shared" si="173"/>
        <v>19568.96929522953</v>
      </c>
      <c r="DI35" s="52">
        <f t="shared" si="173"/>
        <v>18300.610174242429</v>
      </c>
      <c r="DJ35" s="52">
        <f t="shared" si="173"/>
        <v>17114.459514800787</v>
      </c>
      <c r="DK35" s="52">
        <f t="shared" si="173"/>
        <v>16005.188990693327</v>
      </c>
      <c r="DL35" s="52">
        <f t="shared" si="173"/>
        <v>14967.815630185427</v>
      </c>
      <c r="DM35" s="52">
        <f t="shared" si="173"/>
        <v>13997.679431932667</v>
      </c>
      <c r="DN35" s="52">
        <f t="shared" si="173"/>
        <v>13090.422431714811</v>
      </c>
      <c r="DO35" s="52">
        <f t="shared" si="173"/>
        <v>12241.969125955517</v>
      </c>
      <c r="DP35" s="52">
        <f t="shared" si="173"/>
        <v>11448.508164088027</v>
      </c>
      <c r="DQ35" s="52">
        <f t="shared" si="173"/>
        <v>10706.475227526766</v>
      </c>
      <c r="DR35" s="52">
        <f t="shared" si="173"/>
        <v>10012.537018335215</v>
      </c>
      <c r="DS35" s="52">
        <f t="shared" si="173"/>
        <v>9363.57628566534</v>
      </c>
      <c r="DT35" s="52">
        <f t="shared" si="173"/>
        <v>8756.6778227055493</v>
      </c>
      <c r="DU35" s="52">
        <f t="shared" si="173"/>
        <v>8189.1153712338937</v>
      </c>
      <c r="DV35" s="52">
        <f t="shared" si="173"/>
        <v>7658.3393749502156</v>
      </c>
      <c r="DW35" s="52">
        <f t="shared" si="173"/>
        <v>7161.9655265738129</v>
      </c>
      <c r="DX35" s="52">
        <f t="shared" si="173"/>
        <v>6697.7640572588425</v>
      </c>
      <c r="DY35" s="52">
        <f t="shared" si="173"/>
        <v>6263.6497202142891</v>
      </c>
      <c r="DZ35" s="52">
        <f t="shared" si="173"/>
        <v>5857.6724235337315</v>
      </c>
      <c r="EA35" s="52">
        <f t="shared" si="173"/>
        <v>5478.0084701565447</v>
      </c>
      <c r="EB35" s="52">
        <f t="shared" si="173"/>
        <v>5122.9523656093625</v>
      </c>
      <c r="EC35" s="52">
        <f t="shared" si="173"/>
        <v>4790.9091567272744</v>
      </c>
      <c r="ED35" s="52">
        <f t="shared" si="173"/>
        <v>4480.387266939395</v>
      </c>
      <c r="EE35" s="52">
        <f t="shared" si="173"/>
        <v>4189.9917959340628</v>
      </c>
      <c r="EF35" s="52">
        <f t="shared" si="173"/>
        <v>3918.4182536050039</v>
      </c>
      <c r="EG35" s="52">
        <f t="shared" si="173"/>
        <v>3664.4467001306052</v>
      </c>
      <c r="EH35" s="52">
        <f t="shared" si="173"/>
        <v>3426.9362658628802</v>
      </c>
      <c r="EI35" s="52">
        <f t="shared" si="173"/>
        <v>3204.8200264088046</v>
      </c>
      <c r="EJ35" s="52">
        <f t="shared" si="173"/>
        <v>2997.1002098823078</v>
      </c>
      <c r="EK35" s="52">
        <f t="shared" si="173"/>
        <v>2802.8437147973432</v>
      </c>
      <c r="EL35" s="52">
        <f t="shared" si="173"/>
        <v>2621.1779184678858</v>
      </c>
      <c r="EM35" s="52">
        <f t="shared" si="173"/>
        <v>2451.2867570857084</v>
      </c>
      <c r="EN35" s="52">
        <f t="shared" si="173"/>
        <v>2292.4070598671901</v>
      </c>
      <c r="EO35" s="52">
        <f t="shared" si="173"/>
        <v>2143.8251208017236</v>
      </c>
      <c r="EP35" s="52">
        <f t="shared" si="173"/>
        <v>2004.8734926016118</v>
      </c>
      <c r="EQ35" s="52">
        <f t="shared" si="173"/>
        <v>1874.927988451507</v>
      </c>
      <c r="ER35" s="52">
        <f t="shared" si="173"/>
        <v>1753.4048780889093</v>
      </c>
      <c r="ES35" s="52">
        <f t="shared" si="173"/>
        <v>1639.7582656201835</v>
      </c>
      <c r="ET35" s="52">
        <f t="shared" ref="ET35:HE35" si="174">ET31/(1+$CT$39)^ET2</f>
        <v>1533.4776372929496</v>
      </c>
      <c r="EU35" s="52">
        <f t="shared" si="174"/>
        <v>1434.0855682091471</v>
      </c>
      <c r="EV35" s="52">
        <f t="shared" si="174"/>
        <v>1341.1355776770727</v>
      </c>
      <c r="EW35" s="52">
        <f t="shared" si="174"/>
        <v>1254.2101235683735</v>
      </c>
      <c r="EX35" s="52">
        <f t="shared" si="174"/>
        <v>1172.9187266704234</v>
      </c>
      <c r="EY35" s="52">
        <f t="shared" si="174"/>
        <v>1096.8962166084514</v>
      </c>
      <c r="EZ35" s="52">
        <f t="shared" si="174"/>
        <v>1025.8010914579036</v>
      </c>
      <c r="FA35" s="52">
        <f t="shared" si="174"/>
        <v>959.31398367822464</v>
      </c>
      <c r="FB35" s="52">
        <f t="shared" si="174"/>
        <v>897.13622547685816</v>
      </c>
      <c r="FC35" s="52">
        <f t="shared" si="174"/>
        <v>838.98850715891365</v>
      </c>
      <c r="FD35" s="52">
        <f t="shared" si="174"/>
        <v>784.60962243565075</v>
      </c>
      <c r="FE35" s="52">
        <f t="shared" si="174"/>
        <v>733.75529505556233</v>
      </c>
      <c r="FF35" s="52">
        <f t="shared" si="174"/>
        <v>686.19708148714608</v>
      </c>
      <c r="FG35" s="52">
        <f t="shared" si="174"/>
        <v>641.72134472409027</v>
      </c>
      <c r="FH35" s="52">
        <f t="shared" si="174"/>
        <v>600.12829460308456</v>
      </c>
      <c r="FI35" s="52">
        <f t="shared" si="174"/>
        <v>561.23109032325499</v>
      </c>
      <c r="FJ35" s="52">
        <f t="shared" si="174"/>
        <v>524.85500113563648</v>
      </c>
      <c r="FK35" s="52">
        <f t="shared" si="174"/>
        <v>490.83662143240076</v>
      </c>
      <c r="FL35" s="52">
        <f t="shared" si="174"/>
        <v>459.02313670993044</v>
      </c>
      <c r="FM35" s="52">
        <f t="shared" si="174"/>
        <v>429.27163710836089</v>
      </c>
      <c r="FN35" s="52">
        <f t="shared" si="174"/>
        <v>401.44847544393008</v>
      </c>
      <c r="FO35" s="52">
        <f t="shared" si="174"/>
        <v>375.42866685034198</v>
      </c>
      <c r="FP35" s="52">
        <f t="shared" si="174"/>
        <v>351.09532733226422</v>
      </c>
      <c r="FQ35" s="52">
        <f t="shared" si="174"/>
        <v>328.33914870887673</v>
      </c>
      <c r="FR35" s="52">
        <f t="shared" si="174"/>
        <v>307.05790758885695</v>
      </c>
      <c r="FS35" s="52">
        <f t="shared" si="174"/>
        <v>287.15600617106071</v>
      </c>
      <c r="FT35" s="52">
        <f t="shared" si="174"/>
        <v>268.54404280812156</v>
      </c>
      <c r="FU35" s="52">
        <f t="shared" si="174"/>
        <v>251.13841040389144</v>
      </c>
      <c r="FV35" s="52">
        <f t="shared" si="174"/>
        <v>234.86092084067624</v>
      </c>
      <c r="FW35" s="52">
        <f t="shared" si="174"/>
        <v>219.6384537491509</v>
      </c>
      <c r="FX35" s="52">
        <f t="shared" si="174"/>
        <v>205.40262804318741</v>
      </c>
      <c r="FY35" s="52">
        <f t="shared" si="174"/>
        <v>192.08949474409195</v>
      </c>
      <c r="FZ35" s="52">
        <f t="shared" si="174"/>
        <v>179.63924971438229</v>
      </c>
      <c r="GA35" s="52">
        <f t="shared" si="174"/>
        <v>167.99596501067231</v>
      </c>
      <c r="GB35" s="52">
        <f t="shared" si="174"/>
        <v>157.10733764886942</v>
      </c>
      <c r="GC35" s="52">
        <f t="shared" si="174"/>
        <v>146.92445465310939</v>
      </c>
      <c r="GD35" s="52">
        <f t="shared" si="174"/>
        <v>137.40157333300044</v>
      </c>
      <c r="GE35" s="52">
        <f t="shared" si="174"/>
        <v>128.49591580215781</v>
      </c>
      <c r="GF35" s="52">
        <f t="shared" si="174"/>
        <v>120.1674768149809</v>
      </c>
      <c r="GG35" s="52">
        <f t="shared" si="174"/>
        <v>112.37884405845435</v>
      </c>
      <c r="GH35" s="52">
        <f t="shared" si="174"/>
        <v>105.09503009170268</v>
      </c>
      <c r="GI35" s="52">
        <f t="shared" si="174"/>
        <v>98.283315178351586</v>
      </c>
      <c r="GJ35" s="52">
        <f t="shared" si="174"/>
        <v>91.913100305680629</v>
      </c>
      <c r="GK35" s="52">
        <f t="shared" si="174"/>
        <v>85.955769730312454</v>
      </c>
      <c r="GL35" s="52">
        <f t="shared" si="174"/>
        <v>80.384562432977376</v>
      </c>
      <c r="GM35" s="52">
        <f t="shared" si="174"/>
        <v>75.174451904914022</v>
      </c>
      <c r="GN35" s="52">
        <f t="shared" si="174"/>
        <v>70.302033725891818</v>
      </c>
      <c r="GO35" s="52">
        <f t="shared" si="174"/>
        <v>65.745420428843275</v>
      </c>
      <c r="GP35" s="52">
        <f t="shared" si="174"/>
        <v>61.484143178825647</v>
      </c>
      <c r="GQ35" s="52">
        <f t="shared" si="174"/>
        <v>57.499059824642494</v>
      </c>
      <c r="GR35" s="52">
        <f t="shared" si="174"/>
        <v>53.772268910082339</v>
      </c>
      <c r="GS35" s="52">
        <f t="shared" si="174"/>
        <v>50.287029258502926</v>
      </c>
      <c r="GT35" s="52">
        <f t="shared" si="174"/>
        <v>47.027684769525877</v>
      </c>
      <c r="GU35" s="52">
        <f t="shared" si="174"/>
        <v>43.979594090019567</v>
      </c>
      <c r="GV35" s="52">
        <f t="shared" si="174"/>
        <v>41.129064843444219</v>
      </c>
      <c r="GW35" s="52">
        <f t="shared" si="174"/>
        <v>38.46329212210987</v>
      </c>
      <c r="GX35" s="52">
        <f t="shared" si="174"/>
        <v>35.970300966047198</v>
      </c>
      <c r="GY35" s="52">
        <f t="shared" si="174"/>
        <v>33.638892570099692</v>
      </c>
      <c r="GZ35" s="52">
        <f t="shared" si="174"/>
        <v>31.458593977593232</v>
      </c>
      <c r="HA35" s="52">
        <f t="shared" si="174"/>
        <v>29.419611034601076</v>
      </c>
      <c r="HB35" s="52">
        <f t="shared" si="174"/>
        <v>27.512784393469524</v>
      </c>
      <c r="HC35" s="52">
        <f t="shared" si="174"/>
        <v>25.72954836796686</v>
      </c>
      <c r="HD35" s="52">
        <f t="shared" si="174"/>
        <v>24.061892455228271</v>
      </c>
      <c r="HE35" s="52">
        <f t="shared" si="174"/>
        <v>22.502325351648658</v>
      </c>
      <c r="HF35" s="52">
        <f t="shared" ref="HF35:HZ35" si="175">HF31/(1+$CT$39)^HF2</f>
        <v>21.043841301078839</v>
      </c>
      <c r="HG35" s="52">
        <f t="shared" si="175"/>
        <v>19.679888624157059</v>
      </c>
      <c r="HH35" s="52">
        <f t="shared" si="175"/>
        <v>18.404340287406136</v>
      </c>
      <c r="HI35" s="52">
        <f t="shared" si="175"/>
        <v>17.211466379889071</v>
      </c>
      <c r="HJ35" s="52">
        <f t="shared" si="175"/>
        <v>16.09590837378515</v>
      </c>
      <c r="HK35" s="52">
        <f t="shared" si="175"/>
        <v>15.052655053262038</v>
      </c>
      <c r="HL35" s="52">
        <f t="shared" si="175"/>
        <v>14.077020003513573</v>
      </c>
      <c r="HM35" s="52">
        <f t="shared" si="175"/>
        <v>13.164620558841397</v>
      </c>
      <c r="HN35" s="52">
        <f t="shared" si="175"/>
        <v>12.311358115212785</v>
      </c>
      <c r="HO35" s="52">
        <f t="shared" si="175"/>
        <v>11.513399718856403</v>
      </c>
      <c r="HP35" s="52">
        <f t="shared" si="175"/>
        <v>10.767160848189784</v>
      </c>
      <c r="HQ35" s="52">
        <f t="shared" si="175"/>
        <v>10.069289311733039</v>
      </c>
      <c r="HR35" s="52">
        <f t="shared" si="175"/>
        <v>9.4166501896762647</v>
      </c>
      <c r="HS35" s="52">
        <f t="shared" si="175"/>
        <v>8.8063117514565068</v>
      </c>
      <c r="HT35" s="52">
        <f t="shared" si="175"/>
        <v>8.2355322860843252</v>
      </c>
      <c r="HU35" s="52">
        <f t="shared" si="175"/>
        <v>7.7017477860603414</v>
      </c>
      <c r="HV35" s="52">
        <f t="shared" si="175"/>
        <v>7.2025604295564296</v>
      </c>
      <c r="HW35" s="52">
        <f t="shared" si="175"/>
        <v>6.7357278091222161</v>
      </c>
      <c r="HX35" s="52">
        <f t="shared" si="175"/>
        <v>6.2991528585309613</v>
      </c>
      <c r="HY35" s="52">
        <f t="shared" si="175"/>
        <v>5.8908744325150666</v>
      </c>
      <c r="HZ35" s="52">
        <f t="shared" si="175"/>
        <v>5.5090584970742738</v>
      </c>
    </row>
    <row r="36" spans="2:234">
      <c r="BS36" s="6"/>
      <c r="BT36" s="6"/>
      <c r="BU36" s="6"/>
      <c r="BV36" s="6"/>
      <c r="BW36" s="6"/>
      <c r="BX36" s="6"/>
      <c r="BY36" s="6"/>
      <c r="BZ36" s="6"/>
      <c r="CA36" s="6"/>
    </row>
    <row r="37" spans="2:234">
      <c r="BS37" s="6"/>
      <c r="BT37" s="6"/>
      <c r="BU37" s="6"/>
      <c r="BV37" s="6"/>
      <c r="BW37" s="6"/>
      <c r="BX37" s="6"/>
      <c r="BY37" s="6"/>
      <c r="BZ37" s="6"/>
      <c r="CA37" s="6"/>
      <c r="CS37" s="1" t="s">
        <v>90</v>
      </c>
      <c r="CT37" s="9">
        <v>0.01</v>
      </c>
    </row>
    <row r="38" spans="2:234">
      <c r="B38" s="1" t="s">
        <v>49</v>
      </c>
      <c r="Z38" s="4">
        <f t="shared" ref="Z38:BI38" si="176">+(Z21-Z22)/Z21</f>
        <v>0.81541066892464009</v>
      </c>
      <c r="AA38" s="4">
        <f t="shared" si="176"/>
        <v>0.83473527956457194</v>
      </c>
      <c r="AB38" s="4">
        <f t="shared" si="176"/>
        <v>0.84003554765607646</v>
      </c>
      <c r="AC38" s="4">
        <f t="shared" si="176"/>
        <v>0.73553577541937698</v>
      </c>
      <c r="AD38" s="4">
        <f t="shared" si="176"/>
        <v>0.84429580081753997</v>
      </c>
      <c r="AE38" s="4">
        <f t="shared" si="176"/>
        <v>0.85752019888129272</v>
      </c>
      <c r="AF38" s="4">
        <f t="shared" si="176"/>
        <v>0.85922122379118526</v>
      </c>
      <c r="AG38" s="4">
        <f t="shared" si="176"/>
        <v>0.88114428425473945</v>
      </c>
      <c r="AH38" s="4">
        <f t="shared" si="176"/>
        <v>0.85570219123505975</v>
      </c>
      <c r="AI38" s="4">
        <f t="shared" si="176"/>
        <v>0.86728891749812254</v>
      </c>
      <c r="AJ38" s="4">
        <f t="shared" si="176"/>
        <v>0.85979860573199074</v>
      </c>
      <c r="AK38" s="4">
        <f t="shared" si="176"/>
        <v>0.87588652482269502</v>
      </c>
      <c r="AL38" s="4">
        <f t="shared" si="176"/>
        <v>0.8389603877653351</v>
      </c>
      <c r="AM38" s="4">
        <f t="shared" si="176"/>
        <v>0.83266570931902351</v>
      </c>
      <c r="AN38" s="4">
        <f t="shared" si="176"/>
        <v>0.82385080498288044</v>
      </c>
      <c r="AO38" s="4">
        <f t="shared" si="176"/>
        <v>0.83469315360056762</v>
      </c>
      <c r="AP38" s="4">
        <f t="shared" si="176"/>
        <v>0.81322544272733299</v>
      </c>
      <c r="AQ38" s="4">
        <f t="shared" si="176"/>
        <v>0.80415729006277392</v>
      </c>
      <c r="AR38" s="4">
        <f t="shared" si="176"/>
        <v>0.82126671198731027</v>
      </c>
      <c r="AS38" s="4">
        <f t="shared" si="176"/>
        <v>0.83436106631249407</v>
      </c>
      <c r="AT38" s="4">
        <f t="shared" si="176"/>
        <v>0.80498393189378137</v>
      </c>
      <c r="AU38" s="4">
        <f t="shared" si="176"/>
        <v>0.7950981966072671</v>
      </c>
      <c r="AV38" s="4">
        <f t="shared" si="176"/>
        <v>0.80465766185374943</v>
      </c>
      <c r="AW38" s="4">
        <f t="shared" si="176"/>
        <v>0.81439920202344052</v>
      </c>
      <c r="AX38" s="4">
        <f t="shared" si="176"/>
        <v>0.80394329601467274</v>
      </c>
      <c r="AY38" s="4">
        <f t="shared" si="176"/>
        <v>0.81432059703545756</v>
      </c>
      <c r="AZ38" s="4">
        <f t="shared" si="176"/>
        <v>0.80106859703550504</v>
      </c>
      <c r="BA38" s="4">
        <f t="shared" si="176"/>
        <v>0.81146981081642955</v>
      </c>
      <c r="BB38" s="4">
        <f t="shared" si="176"/>
        <v>0.78482872294682526</v>
      </c>
      <c r="BC38" s="4">
        <f t="shared" si="176"/>
        <v>0.81985982929706469</v>
      </c>
      <c r="BD38" s="4">
        <f t="shared" si="176"/>
        <v>0.79375045103557773</v>
      </c>
      <c r="BE38" s="4">
        <f t="shared" si="176"/>
        <v>0.74083631276231932</v>
      </c>
      <c r="BF38" s="4">
        <f t="shared" si="176"/>
        <v>0.7867690696456624</v>
      </c>
      <c r="BG38" s="4">
        <f t="shared" si="176"/>
        <v>0.81421294415450485</v>
      </c>
      <c r="BH38" s="4">
        <f t="shared" si="176"/>
        <v>0.81813389562467054</v>
      </c>
      <c r="BI38" s="4">
        <f t="shared" si="176"/>
        <v>0.80815736331679588</v>
      </c>
      <c r="BJ38" s="4">
        <f t="shared" ref="BJ38:BM38" si="177">+(BJ21-BJ22)/BJ21</f>
        <v>0.80755289159435206</v>
      </c>
      <c r="BK38" s="4">
        <f t="shared" si="177"/>
        <v>0.83478153071052585</v>
      </c>
      <c r="BL38" s="4">
        <f t="shared" si="177"/>
        <v>0.82075367813613986</v>
      </c>
      <c r="BM38" s="4">
        <f t="shared" si="177"/>
        <v>0.83744947352586019</v>
      </c>
      <c r="BO38" s="4"/>
      <c r="BS38" s="7">
        <f t="shared" ref="BS38:CO38" si="178">+(BS21-BS22)/BS21</f>
        <v>0.75025329280648434</v>
      </c>
      <c r="BT38" s="7">
        <f t="shared" si="178"/>
        <v>0.76825653462678523</v>
      </c>
      <c r="BU38" s="7">
        <f t="shared" si="178"/>
        <v>0.73197091766555311</v>
      </c>
      <c r="BV38" s="7">
        <f t="shared" si="178"/>
        <v>0.76181402439024393</v>
      </c>
      <c r="BW38" s="7">
        <f t="shared" si="178"/>
        <v>0.82729022942403341</v>
      </c>
      <c r="BX38" s="7">
        <f t="shared" si="178"/>
        <v>0.84008255243195007</v>
      </c>
      <c r="BY38" s="7">
        <f t="shared" si="178"/>
        <v>0.86290614371517471</v>
      </c>
      <c r="BZ38" s="7">
        <f t="shared" si="178"/>
        <v>0.86584015939783043</v>
      </c>
      <c r="CA38" s="7">
        <f t="shared" si="178"/>
        <v>0.8324617643898421</v>
      </c>
      <c r="CB38" s="4">
        <f t="shared" si="178"/>
        <v>0.81936998741106415</v>
      </c>
      <c r="CC38" s="4">
        <f t="shared" si="178"/>
        <v>0.80582795323678236</v>
      </c>
      <c r="CD38" s="4">
        <f t="shared" si="178"/>
        <v>0.80794376277251567</v>
      </c>
      <c r="CE38" s="4">
        <f t="shared" si="178"/>
        <v>0.78347297378418479</v>
      </c>
      <c r="CF38" s="4">
        <f t="shared" si="178"/>
        <v>0.80757740861817184</v>
      </c>
      <c r="CG38" s="4">
        <f t="shared" si="178"/>
        <v>0.82608481602908979</v>
      </c>
      <c r="CH38" s="4">
        <f t="shared" si="178"/>
        <v>0.80757740861817184</v>
      </c>
      <c r="CI38" s="4">
        <f t="shared" si="178"/>
        <v>0.80757740861817173</v>
      </c>
      <c r="CJ38" s="4">
        <f t="shared" si="178"/>
        <v>0.80757740861817184</v>
      </c>
      <c r="CK38" s="4">
        <f t="shared" si="178"/>
        <v>0.80757740861817184</v>
      </c>
      <c r="CL38" s="4">
        <f t="shared" si="178"/>
        <v>0.80757740861817184</v>
      </c>
      <c r="CM38" s="4">
        <f t="shared" si="178"/>
        <v>0.80757740861817184</v>
      </c>
      <c r="CN38" s="4">
        <f t="shared" si="178"/>
        <v>0.80757740861817184</v>
      </c>
      <c r="CO38" s="4">
        <f t="shared" si="178"/>
        <v>0.80757740861817184</v>
      </c>
      <c r="CP38" s="4">
        <f t="shared" ref="CP38" si="179">+(CP21-CP22)/CP21</f>
        <v>0.80757740861817184</v>
      </c>
      <c r="CS38" s="1" t="s">
        <v>221</v>
      </c>
      <c r="CT38" s="4">
        <v>0.01</v>
      </c>
      <c r="CU38" s="33"/>
    </row>
    <row r="39" spans="2:234">
      <c r="B39" s="1" t="s">
        <v>48</v>
      </c>
      <c r="Z39" s="4">
        <f t="shared" ref="Z39:AM39" si="180">+Z27/Z21</f>
        <v>0.26333615580016934</v>
      </c>
      <c r="AA39" s="4">
        <f t="shared" si="180"/>
        <v>0.31494309747649679</v>
      </c>
      <c r="AB39" s="4">
        <f t="shared" si="180"/>
        <v>0.32415018884692293</v>
      </c>
      <c r="AC39" s="4">
        <f t="shared" si="180"/>
        <v>0.68794933242040401</v>
      </c>
      <c r="AD39" s="4">
        <f t="shared" si="180"/>
        <v>0.37328130806391674</v>
      </c>
      <c r="AE39" s="4">
        <f t="shared" si="180"/>
        <v>0.42650714729645745</v>
      </c>
      <c r="AF39" s="4">
        <f t="shared" si="180"/>
        <v>0.445300242476109</v>
      </c>
      <c r="AG39" s="4">
        <f t="shared" si="180"/>
        <v>0.51663071858326715</v>
      </c>
      <c r="AH39" s="4">
        <f t="shared" si="180"/>
        <v>0.41421812749003983</v>
      </c>
      <c r="AI39" s="4">
        <f t="shared" si="180"/>
        <v>0.47215963952365625</v>
      </c>
      <c r="AJ39" s="4">
        <f t="shared" si="180"/>
        <v>0.49593338497288925</v>
      </c>
      <c r="AK39" s="4">
        <f t="shared" si="180"/>
        <v>0.566836262719704</v>
      </c>
      <c r="AL39" s="4">
        <f t="shared" si="180"/>
        <v>0.45537355841551064</v>
      </c>
      <c r="AM39" s="4">
        <f t="shared" si="180"/>
        <v>0.44312599198851182</v>
      </c>
      <c r="AN39" s="4">
        <f t="shared" ref="AN39:BI39" si="181">+(AN21-SUM(AN23:AN25))/AN21</f>
        <v>0.59729001238435198</v>
      </c>
      <c r="AO39" s="4">
        <f t="shared" si="181"/>
        <v>0.62764573725907535</v>
      </c>
      <c r="AP39" s="4">
        <f t="shared" si="181"/>
        <v>0.40677853684419979</v>
      </c>
      <c r="AQ39" s="4">
        <f t="shared" si="181"/>
        <v>0.46979746535591616</v>
      </c>
      <c r="AR39" s="4">
        <f t="shared" si="181"/>
        <v>0.58576931792431453</v>
      </c>
      <c r="AS39" s="4">
        <f t="shared" si="181"/>
        <v>0.58580779812162032</v>
      </c>
      <c r="AT39" s="4">
        <f t="shared" si="181"/>
        <v>0.52725940125162085</v>
      </c>
      <c r="AU39" s="4">
        <f t="shared" si="181"/>
        <v>0.52400064215764974</v>
      </c>
      <c r="AV39" s="4">
        <f t="shared" si="181"/>
        <v>0.56981835118770374</v>
      </c>
      <c r="AW39" s="4">
        <f t="shared" si="181"/>
        <v>0.6406968045313669</v>
      </c>
      <c r="AX39" s="4">
        <f t="shared" si="181"/>
        <v>0.63081273164953577</v>
      </c>
      <c r="AY39" s="4">
        <f t="shared" si="181"/>
        <v>0.61099838360215974</v>
      </c>
      <c r="AZ39" s="4">
        <f t="shared" si="181"/>
        <v>0.55822130299896588</v>
      </c>
      <c r="BA39" s="4">
        <f t="shared" si="181"/>
        <v>0.56229396216328587</v>
      </c>
      <c r="BB39" s="4">
        <f t="shared" si="181"/>
        <v>0.52060341120825571</v>
      </c>
      <c r="BC39" s="4">
        <f t="shared" si="181"/>
        <v>0.47012698632988686</v>
      </c>
      <c r="BD39" s="4">
        <f t="shared" si="181"/>
        <v>0.41062278992566936</v>
      </c>
      <c r="BE39" s="4">
        <f t="shared" si="181"/>
        <v>0.45810663764961917</v>
      </c>
      <c r="BF39" s="4">
        <f t="shared" si="181"/>
        <v>0.46552626985512308</v>
      </c>
      <c r="BG39" s="4">
        <f t="shared" si="181"/>
        <v>0.47929622800712524</v>
      </c>
      <c r="BH39" s="4">
        <f t="shared" si="181"/>
        <v>0.58449013061559185</v>
      </c>
      <c r="BI39" s="4">
        <f t="shared" si="181"/>
        <v>0.60030914213058761</v>
      </c>
      <c r="BJ39" s="4">
        <f t="shared" ref="BJ39:BM39" si="182">+(BJ21-SUM(BJ23:BJ25))/BJ21</f>
        <v>0.51762193358047315</v>
      </c>
      <c r="BK39" s="4">
        <f t="shared" si="182"/>
        <v>0.5369436273673307</v>
      </c>
      <c r="BL39" s="4">
        <f t="shared" si="182"/>
        <v>0.59047555320379252</v>
      </c>
      <c r="BM39" s="4">
        <f t="shared" si="182"/>
        <v>0.66133722671430673</v>
      </c>
      <c r="BO39" s="4"/>
      <c r="BS39" s="7">
        <f t="shared" ref="BS39:CO39" si="183">SUM(BS23:BS25)/BS21</f>
        <v>0.22745694022289767</v>
      </c>
      <c r="BT39" s="7">
        <f t="shared" si="183"/>
        <v>0.2950687146321746</v>
      </c>
      <c r="BU39" s="7">
        <f t="shared" si="183"/>
        <v>0.62625270190607196</v>
      </c>
      <c r="BV39" s="7">
        <f t="shared" si="183"/>
        <v>0.40561483739837401</v>
      </c>
      <c r="BW39" s="7">
        <f t="shared" si="183"/>
        <v>0.42668057115353764</v>
      </c>
      <c r="BX39" s="7">
        <f t="shared" si="183"/>
        <v>0.4928603302097278</v>
      </c>
      <c r="BY39" s="7">
        <f t="shared" si="183"/>
        <v>0.41327158260366165</v>
      </c>
      <c r="BZ39" s="7">
        <f t="shared" si="183"/>
        <v>0.36887806557941605</v>
      </c>
      <c r="CA39" s="7">
        <f t="shared" si="183"/>
        <v>0.38629607077617395</v>
      </c>
      <c r="CB39" s="4">
        <f t="shared" si="183"/>
        <v>0.48009109297424218</v>
      </c>
      <c r="CC39" s="4">
        <f t="shared" si="183"/>
        <v>0.42577793287966031</v>
      </c>
      <c r="CD39" s="4">
        <f t="shared" si="183"/>
        <v>0.41149335617193394</v>
      </c>
      <c r="CE39" s="4">
        <f t="shared" si="183"/>
        <v>0.53525028085310744</v>
      </c>
      <c r="CF39" s="59">
        <f t="shared" si="183"/>
        <v>0.46101956249397708</v>
      </c>
      <c r="CG39" s="59">
        <f t="shared" si="183"/>
        <v>0.41717666373932866</v>
      </c>
      <c r="CH39" s="59">
        <f t="shared" si="183"/>
        <v>0.46101956249397708</v>
      </c>
      <c r="CI39" s="59">
        <f t="shared" si="183"/>
        <v>0.46101956249397708</v>
      </c>
      <c r="CJ39" s="59">
        <f t="shared" si="183"/>
        <v>0.46101956249397708</v>
      </c>
      <c r="CK39" s="59">
        <f t="shared" si="183"/>
        <v>0.46101956249397702</v>
      </c>
      <c r="CL39" s="59">
        <f t="shared" si="183"/>
        <v>0.46101956249397708</v>
      </c>
      <c r="CM39" s="59">
        <f t="shared" si="183"/>
        <v>0.46101956249397702</v>
      </c>
      <c r="CN39" s="59">
        <f t="shared" si="183"/>
        <v>0.46101956249397713</v>
      </c>
      <c r="CO39" s="59">
        <f t="shared" si="183"/>
        <v>0.46101956249397708</v>
      </c>
      <c r="CP39" s="59">
        <f t="shared" ref="CP39" si="184">SUM(CP23:CP25)/CP21</f>
        <v>0.46101956249397708</v>
      </c>
      <c r="CS39" s="1" t="s">
        <v>31</v>
      </c>
      <c r="CT39" s="4">
        <v>0.08</v>
      </c>
    </row>
    <row r="40" spans="2:234">
      <c r="CS40" s="3" t="s">
        <v>32</v>
      </c>
      <c r="CT40" s="3">
        <f>NPV(CT39,CG31:HZ31)</f>
        <v>1494759.5216772689</v>
      </c>
      <c r="CU40" s="1">
        <f>SUM(CG35:HZ35)</f>
        <v>1494759.5216772682</v>
      </c>
    </row>
    <row r="41" spans="2:234" s="33" customFormat="1">
      <c r="B41" s="6" t="s">
        <v>209</v>
      </c>
      <c r="R41" s="34"/>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f t="shared" ref="BB41:BJ45" si="185">+BB17/AX17-1</f>
        <v>6.1283855497464623E-2</v>
      </c>
      <c r="BC41" s="35">
        <f t="shared" si="185"/>
        <v>-1.4975507347795625E-2</v>
      </c>
      <c r="BD41" s="35">
        <f t="shared" si="185"/>
        <v>-3.674494270759654E-2</v>
      </c>
      <c r="BE41" s="35">
        <f t="shared" si="185"/>
        <v>-4.2433898097368195E-2</v>
      </c>
      <c r="BF41" s="35">
        <f t="shared" si="185"/>
        <v>4.0854878139121364E-2</v>
      </c>
      <c r="BG41" s="35">
        <f t="shared" si="185"/>
        <v>0.11885478829212848</v>
      </c>
      <c r="BH41" s="35">
        <f t="shared" si="185"/>
        <v>0.23519477181774784</v>
      </c>
      <c r="BI41" s="35">
        <f t="shared" si="185"/>
        <v>0.23843348051449409</v>
      </c>
      <c r="BJ41" s="39"/>
      <c r="BK41" s="39"/>
      <c r="BL41" s="39"/>
      <c r="BM41" s="39"/>
      <c r="BO41" s="56"/>
      <c r="BP41" s="40"/>
      <c r="BQ41" s="40"/>
      <c r="BR41" s="40"/>
      <c r="BS41" s="40"/>
      <c r="BT41" s="43"/>
      <c r="BU41" s="43"/>
      <c r="BV41" s="43"/>
      <c r="BW41" s="43"/>
      <c r="BX41" s="43"/>
      <c r="BY41" s="43"/>
      <c r="BZ41" s="43"/>
      <c r="CA41" s="43"/>
      <c r="CB41" s="43"/>
      <c r="CC41" s="43"/>
      <c r="CD41" s="35"/>
      <c r="CE41" s="35">
        <f>+CE17/CD17-1</f>
        <v>-1.1249934745158119E-2</v>
      </c>
      <c r="CF41" s="35"/>
      <c r="CG41" s="41"/>
      <c r="CH41" s="41"/>
      <c r="CI41" s="41"/>
      <c r="CJ41" s="41"/>
      <c r="CK41" s="41"/>
      <c r="CL41" s="41"/>
      <c r="CM41" s="41"/>
      <c r="CN41" s="41"/>
      <c r="CO41" s="41"/>
      <c r="CP41" s="41"/>
      <c r="CS41" s="1" t="s">
        <v>89</v>
      </c>
      <c r="CT41" s="1">
        <f>+Main!K9-Main!K10</f>
        <v>47018</v>
      </c>
      <c r="CU41" s="1"/>
    </row>
    <row r="42" spans="2:234" s="33" customFormat="1">
      <c r="B42" s="6" t="s">
        <v>210</v>
      </c>
      <c r="R42" s="34"/>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f t="shared" si="185"/>
        <v>8.5858585858585856E-2</v>
      </c>
      <c r="BC42" s="35">
        <f t="shared" si="185"/>
        <v>0.13541666666666674</v>
      </c>
      <c r="BD42" s="35">
        <f t="shared" si="185"/>
        <v>9.0909090909090828E-2</v>
      </c>
      <c r="BE42" s="35">
        <f t="shared" si="185"/>
        <v>0.18709677419354831</v>
      </c>
      <c r="BF42" s="35">
        <f t="shared" si="185"/>
        <v>-4.6511627906976716E-2</v>
      </c>
      <c r="BG42" s="35">
        <f t="shared" si="185"/>
        <v>3.2110091743119185E-2</v>
      </c>
      <c r="BH42" s="35">
        <f t="shared" si="185"/>
        <v>0.52604166666666674</v>
      </c>
      <c r="BI42" s="35">
        <f t="shared" si="185"/>
        <v>0.81521739130434789</v>
      </c>
      <c r="BJ42" s="39"/>
      <c r="BK42" s="39"/>
      <c r="BL42" s="39"/>
      <c r="BM42" s="39"/>
      <c r="BO42" s="56"/>
      <c r="BP42" s="40"/>
      <c r="BQ42" s="40"/>
      <c r="BR42" s="40"/>
      <c r="BS42" s="40"/>
      <c r="BT42" s="43"/>
      <c r="BU42" s="43"/>
      <c r="BV42" s="43"/>
      <c r="BW42" s="43"/>
      <c r="BX42" s="43"/>
      <c r="BY42" s="43"/>
      <c r="BZ42" s="43"/>
      <c r="CA42" s="43"/>
      <c r="CB42" s="43"/>
      <c r="CC42" s="43"/>
      <c r="CD42" s="35"/>
      <c r="CE42" s="35">
        <f>+CE18/CD18-1</f>
        <v>0.12205270457697637</v>
      </c>
      <c r="CF42" s="35"/>
      <c r="CG42" s="41"/>
      <c r="CH42" s="41"/>
      <c r="CI42" s="41"/>
      <c r="CJ42" s="41"/>
      <c r="CK42" s="41"/>
      <c r="CL42" s="41"/>
      <c r="CM42" s="41"/>
      <c r="CN42" s="41"/>
      <c r="CO42" s="41"/>
      <c r="CP42" s="41"/>
      <c r="CS42" s="1" t="s">
        <v>180</v>
      </c>
      <c r="CT42" s="1">
        <f>+SUM(CT40:CT41)</f>
        <v>1541777.5216772689</v>
      </c>
      <c r="CU42" s="1"/>
    </row>
    <row r="43" spans="2:234" s="33" customFormat="1">
      <c r="B43" s="6" t="s">
        <v>211</v>
      </c>
      <c r="R43" s="3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f t="shared" si="185"/>
        <v>6.1473651363264104E-2</v>
      </c>
      <c r="BC43" s="35">
        <f t="shared" si="185"/>
        <v>-1.3971917141665458E-2</v>
      </c>
      <c r="BD43" s="35">
        <f t="shared" si="185"/>
        <v>-3.5955293125263577E-2</v>
      </c>
      <c r="BE43" s="35">
        <f t="shared" si="185"/>
        <v>-4.1349027261084359E-2</v>
      </c>
      <c r="BF43" s="35">
        <f t="shared" si="185"/>
        <v>4.016462720023517E-2</v>
      </c>
      <c r="BG43" s="35">
        <f t="shared" si="185"/>
        <v>0.11818822700035247</v>
      </c>
      <c r="BH43" s="35">
        <f t="shared" si="185"/>
        <v>0.2372306682708083</v>
      </c>
      <c r="BI43" s="35">
        <f t="shared" si="185"/>
        <v>0.2418092753991985</v>
      </c>
      <c r="BJ43" s="39"/>
      <c r="BK43" s="39"/>
      <c r="BL43" s="39"/>
      <c r="BM43" s="39"/>
      <c r="BO43" s="56"/>
      <c r="BP43" s="40"/>
      <c r="BQ43" s="40"/>
      <c r="BR43" s="40"/>
      <c r="BS43" s="40"/>
      <c r="BT43" s="43"/>
      <c r="BU43" s="43"/>
      <c r="BV43" s="43"/>
      <c r="BW43" s="43"/>
      <c r="BX43" s="43"/>
      <c r="BY43" s="43"/>
      <c r="BZ43" s="43"/>
      <c r="CA43" s="43"/>
      <c r="CB43" s="43"/>
      <c r="CC43" s="43"/>
      <c r="CD43" s="35"/>
      <c r="CE43" s="35">
        <f>+CE19/CD19-1</f>
        <v>-1.0418918334702321E-2</v>
      </c>
      <c r="CF43" s="35"/>
      <c r="CG43" s="41"/>
      <c r="CH43" s="41"/>
      <c r="CI43" s="41"/>
      <c r="CJ43" s="41"/>
      <c r="CK43" s="41"/>
      <c r="CL43" s="41"/>
      <c r="CM43" s="41"/>
      <c r="CN43" s="41"/>
      <c r="CO43" s="41"/>
      <c r="CP43" s="41"/>
      <c r="CS43" s="1" t="s">
        <v>1</v>
      </c>
      <c r="CT43" s="1">
        <f>+Main!K7</f>
        <v>2549.4051059999997</v>
      </c>
      <c r="CU43" s="1"/>
    </row>
    <row r="44" spans="2:234" s="33" customFormat="1">
      <c r="B44" s="6" t="s">
        <v>212</v>
      </c>
      <c r="R44" s="34"/>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f t="shared" si="185"/>
        <v>0.30149812734082393</v>
      </c>
      <c r="BC44" s="35">
        <f t="shared" si="185"/>
        <v>0.4819672131147541</v>
      </c>
      <c r="BD44" s="35">
        <f t="shared" si="185"/>
        <v>-0.489247311827957</v>
      </c>
      <c r="BE44" s="35">
        <f t="shared" si="185"/>
        <v>-0.17103762827822122</v>
      </c>
      <c r="BF44" s="35">
        <f t="shared" si="185"/>
        <v>-0.51223021582733819</v>
      </c>
      <c r="BG44" s="35">
        <f t="shared" si="185"/>
        <v>-0.38938053097345138</v>
      </c>
      <c r="BH44" s="35">
        <f t="shared" si="185"/>
        <v>-0.26315789473684215</v>
      </c>
      <c r="BI44" s="35">
        <f t="shared" si="185"/>
        <v>0.47317744154057761</v>
      </c>
      <c r="BJ44" s="39"/>
      <c r="BK44" s="39"/>
      <c r="BL44" s="39"/>
      <c r="BM44" s="39"/>
      <c r="BO44" s="56"/>
      <c r="BP44" s="40"/>
      <c r="BQ44" s="40"/>
      <c r="BR44" s="40"/>
      <c r="BS44" s="40"/>
      <c r="BT44" s="43"/>
      <c r="BU44" s="43"/>
      <c r="BV44" s="43"/>
      <c r="BW44" s="43"/>
      <c r="BX44" s="43"/>
      <c r="BY44" s="43"/>
      <c r="BZ44" s="43"/>
      <c r="CA44" s="43"/>
      <c r="CB44" s="43"/>
      <c r="CC44" s="43"/>
      <c r="CD44" s="35"/>
      <c r="CE44" s="35">
        <f>+CE20/CD20-1</f>
        <v>-5.0571679859278795E-2</v>
      </c>
      <c r="CF44" s="35"/>
      <c r="CG44" s="41"/>
      <c r="CH44" s="41"/>
      <c r="CI44" s="41"/>
      <c r="CJ44" s="41"/>
      <c r="CK44" s="41"/>
      <c r="CL44" s="41"/>
      <c r="CM44" s="41"/>
      <c r="CN44" s="41"/>
      <c r="CO44" s="41"/>
      <c r="CP44" s="41"/>
      <c r="CS44" s="1" t="s">
        <v>33</v>
      </c>
      <c r="CT44" s="1">
        <f>+CT42/CT43</f>
        <v>604.75972141450211</v>
      </c>
      <c r="CU44" s="1"/>
    </row>
    <row r="45" spans="2:234" s="33" customFormat="1">
      <c r="B45" s="33" t="s">
        <v>173</v>
      </c>
      <c r="R45" s="34"/>
      <c r="S45" s="53">
        <f t="shared" ref="S45:BA45" si="186">+S21/O21-1</f>
        <v>0.53125</v>
      </c>
      <c r="T45" s="53">
        <f t="shared" si="186"/>
        <v>0.59746434231378753</v>
      </c>
      <c r="U45" s="53">
        <f t="shared" si="186"/>
        <v>0.63091482649842279</v>
      </c>
      <c r="V45" s="53">
        <f t="shared" si="186"/>
        <v>0.71604938271604945</v>
      </c>
      <c r="W45" s="53">
        <f t="shared" si="186"/>
        <v>0.60507446221731942</v>
      </c>
      <c r="X45" s="53">
        <f t="shared" si="186"/>
        <v>0.58878968253968256</v>
      </c>
      <c r="Y45" s="53">
        <f t="shared" si="186"/>
        <v>0.48974854932301737</v>
      </c>
      <c r="Z45" s="53">
        <f t="shared" si="186"/>
        <v>0.4160671462829737</v>
      </c>
      <c r="AA45" s="53">
        <f t="shared" si="186"/>
        <v>0.38900343642611679</v>
      </c>
      <c r="AB45" s="53">
        <f t="shared" si="186"/>
        <v>0.40524508273493609</v>
      </c>
      <c r="AC45" s="53">
        <f t="shared" si="186"/>
        <v>0.51700856920280436</v>
      </c>
      <c r="AD45" s="53">
        <f t="shared" si="186"/>
        <v>0.51905165114309915</v>
      </c>
      <c r="AE45" s="53">
        <f t="shared" si="186"/>
        <v>0.5922810489856507</v>
      </c>
      <c r="AF45" s="53">
        <f t="shared" si="186"/>
        <v>0.55765385469895579</v>
      </c>
      <c r="AG45" s="53">
        <f t="shared" si="186"/>
        <v>0.50787401574803148</v>
      </c>
      <c r="AH45" s="53">
        <f t="shared" si="186"/>
        <v>0.49238201412114457</v>
      </c>
      <c r="AI45" s="53">
        <f t="shared" si="186"/>
        <v>0.44825978868862637</v>
      </c>
      <c r="AJ45" s="53">
        <f t="shared" si="186"/>
        <v>0.47311367850520614</v>
      </c>
      <c r="AK45" s="53">
        <f t="shared" si="186"/>
        <v>0.47258485639686687</v>
      </c>
      <c r="AL45" s="53">
        <f t="shared" si="186"/>
        <v>0.48979083665338652</v>
      </c>
      <c r="AM45" s="53">
        <f t="shared" si="186"/>
        <v>0.41948288810213485</v>
      </c>
      <c r="AN45" s="53">
        <f t="shared" si="186"/>
        <v>0.32910534469403574</v>
      </c>
      <c r="AO45" s="53">
        <f t="shared" si="186"/>
        <v>0.30388529139685483</v>
      </c>
      <c r="AP45" s="53">
        <f t="shared" si="186"/>
        <v>0.25998662878154777</v>
      </c>
      <c r="AQ45" s="53">
        <f t="shared" si="186"/>
        <v>0.2762451817700855</v>
      </c>
      <c r="AR45" s="53">
        <f t="shared" si="186"/>
        <v>0.2859328331026445</v>
      </c>
      <c r="AS45" s="53">
        <f t="shared" si="186"/>
        <v>0.2464230814709707</v>
      </c>
      <c r="AT45" s="53">
        <f t="shared" si="186"/>
        <v>0.17642767128739134</v>
      </c>
      <c r="AU45" s="53">
        <f t="shared" si="186"/>
        <v>0.10665640175293145</v>
      </c>
      <c r="AV45" s="53">
        <f t="shared" si="186"/>
        <v>0.21629277135735325</v>
      </c>
      <c r="AW45" s="53">
        <f t="shared" si="186"/>
        <v>0.3315150365240489</v>
      </c>
      <c r="AX45" s="53">
        <f t="shared" si="186"/>
        <v>0.47550318543158365</v>
      </c>
      <c r="AY45" s="53">
        <f t="shared" si="186"/>
        <v>0.5560014983678494</v>
      </c>
      <c r="AZ45" s="53">
        <f t="shared" si="186"/>
        <v>0.35118770377270603</v>
      </c>
      <c r="BA45" s="53">
        <f t="shared" si="186"/>
        <v>0.19949413985964171</v>
      </c>
      <c r="BB45" s="53">
        <f t="shared" si="185"/>
        <v>6.6371174200450911E-2</v>
      </c>
      <c r="BC45" s="53">
        <f t="shared" si="185"/>
        <v>-8.7698180692643568E-3</v>
      </c>
      <c r="BD45" s="53">
        <f t="shared" si="185"/>
        <v>-4.4674250258531556E-2</v>
      </c>
      <c r="BE45" s="53">
        <f t="shared" si="185"/>
        <v>-4.4726916337501144E-2</v>
      </c>
      <c r="BF45" s="53">
        <f t="shared" si="185"/>
        <v>2.6408198366060009E-2</v>
      </c>
      <c r="BG45" s="53">
        <f t="shared" si="185"/>
        <v>0.11022829782804799</v>
      </c>
      <c r="BH45" s="53">
        <f t="shared" si="185"/>
        <v>0.23208486685429741</v>
      </c>
      <c r="BI45" s="53">
        <f t="shared" si="185"/>
        <v>0.24703870666873939</v>
      </c>
      <c r="BJ45" s="53">
        <f t="shared" si="185"/>
        <v>0.24803630651073494</v>
      </c>
      <c r="BK45" s="53">
        <f t="shared" ref="BK45" si="187">+BK21/BG21-1</f>
        <v>0.19999999999999996</v>
      </c>
      <c r="BL45" s="53">
        <f t="shared" ref="BL45" si="188">+BL21/BH21-1</f>
        <v>0.19999999999999996</v>
      </c>
      <c r="BM45" s="53">
        <f t="shared" ref="BM45" si="189">+BM21/BI21-1</f>
        <v>0.19999999999999996</v>
      </c>
      <c r="BO45" s="57"/>
      <c r="BT45" s="54">
        <f t="shared" ref="BT45:CD45" si="190">+BT21/BS21-1</f>
        <v>0.87993920972644379</v>
      </c>
      <c r="BU45" s="54">
        <f t="shared" si="190"/>
        <v>0.37132848288870934</v>
      </c>
      <c r="BV45" s="54">
        <f t="shared" si="190"/>
        <v>0.5468657889565729</v>
      </c>
      <c r="BW45" s="54">
        <f t="shared" si="190"/>
        <v>0.58358739837398366</v>
      </c>
      <c r="BX45" s="54">
        <f t="shared" si="190"/>
        <v>0.43815177282207607</v>
      </c>
      <c r="BY45" s="54">
        <f t="shared" si="190"/>
        <v>0.54161088799643009</v>
      </c>
      <c r="BZ45" s="54">
        <f t="shared" si="190"/>
        <v>0.47090961719371882</v>
      </c>
      <c r="CA45" s="54">
        <f t="shared" si="190"/>
        <v>0.37352716896661997</v>
      </c>
      <c r="CB45" s="54">
        <f t="shared" si="190"/>
        <v>0.26610910132884413</v>
      </c>
      <c r="CC45" s="54">
        <f t="shared" si="190"/>
        <v>0.21596390228722573</v>
      </c>
      <c r="CD45" s="53">
        <f t="shared" si="190"/>
        <v>0.37182574303495608</v>
      </c>
      <c r="CE45" s="53">
        <f>+CE21/CD21-1</f>
        <v>-1.1193175554782941E-2</v>
      </c>
      <c r="CF45" s="53">
        <f t="shared" ref="CF45:CP45" si="191">+CF21/CE21-1</f>
        <v>0.15686610810486323</v>
      </c>
      <c r="CG45" s="55">
        <f t="shared" si="191"/>
        <v>0.21020007264586615</v>
      </c>
      <c r="CH45" s="55">
        <f t="shared" si="191"/>
        <v>0.12349999999999994</v>
      </c>
      <c r="CI45" s="55">
        <f t="shared" si="191"/>
        <v>0.12350000000000017</v>
      </c>
      <c r="CJ45" s="55">
        <f t="shared" si="191"/>
        <v>0.12350000000000017</v>
      </c>
      <c r="CK45" s="55">
        <f t="shared" si="191"/>
        <v>0.12350000000000017</v>
      </c>
      <c r="CL45" s="55">
        <f t="shared" si="191"/>
        <v>0.12349999999999994</v>
      </c>
      <c r="CM45" s="55">
        <f t="shared" si="191"/>
        <v>0.12350000000000017</v>
      </c>
      <c r="CN45" s="55">
        <f t="shared" si="191"/>
        <v>0.12350000000000017</v>
      </c>
      <c r="CO45" s="55">
        <f t="shared" si="191"/>
        <v>0.12350000000000017</v>
      </c>
      <c r="CP45" s="55">
        <f t="shared" si="191"/>
        <v>0.12350000000000017</v>
      </c>
      <c r="CS45" s="1" t="s">
        <v>66</v>
      </c>
      <c r="CT45" s="1">
        <f>+Main!K6</f>
        <v>460.12</v>
      </c>
      <c r="CU45" s="3"/>
    </row>
    <row r="46" spans="2:234">
      <c r="B46" s="1" t="s">
        <v>174</v>
      </c>
      <c r="R46" s="4"/>
      <c r="S46" s="7"/>
      <c r="T46" s="7"/>
      <c r="U46" s="7"/>
      <c r="V46" s="7"/>
      <c r="W46" s="7"/>
      <c r="X46" s="7"/>
      <c r="Y46" s="7"/>
      <c r="Z46" s="7"/>
      <c r="AA46" s="7"/>
      <c r="AB46" s="7"/>
      <c r="AC46" s="7"/>
      <c r="AD46" s="36">
        <f t="shared" ref="AD46:BH46" si="192">+AD22/AD$21</f>
        <v>0.15570419918246006</v>
      </c>
      <c r="AE46" s="36">
        <f t="shared" si="192"/>
        <v>0.14247980111870728</v>
      </c>
      <c r="AF46" s="36">
        <f t="shared" si="192"/>
        <v>0.14077877620881471</v>
      </c>
      <c r="AG46" s="36">
        <f t="shared" si="192"/>
        <v>0.11885571574526053</v>
      </c>
      <c r="AH46" s="36">
        <f t="shared" si="192"/>
        <v>0.14429780876494025</v>
      </c>
      <c r="AI46" s="36">
        <f t="shared" si="192"/>
        <v>0.13271108250187749</v>
      </c>
      <c r="AJ46" s="36">
        <f t="shared" si="192"/>
        <v>0.14020139426800929</v>
      </c>
      <c r="AK46" s="36">
        <f t="shared" si="192"/>
        <v>0.12411347517730496</v>
      </c>
      <c r="AL46" s="36">
        <f t="shared" si="192"/>
        <v>0.1610396122346649</v>
      </c>
      <c r="AM46" s="36">
        <f t="shared" si="192"/>
        <v>0.16733429068097649</v>
      </c>
      <c r="AN46" s="36">
        <f t="shared" si="192"/>
        <v>0.17614919501711954</v>
      </c>
      <c r="AO46" s="36">
        <f t="shared" si="192"/>
        <v>0.16530684639943241</v>
      </c>
      <c r="AP46" s="36">
        <f t="shared" si="192"/>
        <v>0.18677455727266698</v>
      </c>
      <c r="AQ46" s="36">
        <f t="shared" si="192"/>
        <v>0.19584270993722611</v>
      </c>
      <c r="AR46" s="36">
        <f t="shared" si="192"/>
        <v>0.17873328801268978</v>
      </c>
      <c r="AS46" s="36">
        <f t="shared" si="192"/>
        <v>0.16563893368750593</v>
      </c>
      <c r="AT46" s="36">
        <f t="shared" si="192"/>
        <v>0.19501606810621863</v>
      </c>
      <c r="AU46" s="36">
        <f t="shared" si="192"/>
        <v>0.20490180339273292</v>
      </c>
      <c r="AV46" s="36">
        <f t="shared" si="192"/>
        <v>0.19534233814625057</v>
      </c>
      <c r="AW46" s="36">
        <f t="shared" si="192"/>
        <v>0.18560079797655943</v>
      </c>
      <c r="AX46" s="36">
        <f t="shared" si="192"/>
        <v>0.19605670398532726</v>
      </c>
      <c r="AY46" s="36">
        <f t="shared" si="192"/>
        <v>0.18567940296454241</v>
      </c>
      <c r="AZ46" s="36">
        <f t="shared" si="192"/>
        <v>0.19893140296449499</v>
      </c>
      <c r="BA46" s="36">
        <f t="shared" si="192"/>
        <v>0.18853018918357042</v>
      </c>
      <c r="BB46" s="36">
        <f t="shared" si="192"/>
        <v>0.21517127705317471</v>
      </c>
      <c r="BC46" s="36">
        <f t="shared" si="192"/>
        <v>0.18014017070293525</v>
      </c>
      <c r="BD46" s="36">
        <f t="shared" si="192"/>
        <v>0.20624954896442232</v>
      </c>
      <c r="BE46" s="29">
        <f t="shared" si="192"/>
        <v>0.25916368723768068</v>
      </c>
      <c r="BF46" s="36">
        <f t="shared" si="192"/>
        <v>0.21323093035433757</v>
      </c>
      <c r="BG46" s="36">
        <f t="shared" si="192"/>
        <v>0.18578705584549518</v>
      </c>
      <c r="BH46" s="36">
        <f t="shared" si="192"/>
        <v>0.18186610437532946</v>
      </c>
      <c r="BI46" s="36">
        <f t="shared" ref="BI46:BJ46" si="193">+BI22/BI$21</f>
        <v>0.19184263668320412</v>
      </c>
      <c r="BJ46" s="36">
        <f t="shared" si="193"/>
        <v>0.19244710840564797</v>
      </c>
      <c r="BK46" s="36">
        <f t="shared" ref="BK46:BM46" si="194">+BK22/BK$21</f>
        <v>0.1652184692894742</v>
      </c>
      <c r="BL46" s="36">
        <f t="shared" si="194"/>
        <v>0.17924632186386014</v>
      </c>
      <c r="BM46" s="36">
        <f t="shared" si="194"/>
        <v>0.16255052647413984</v>
      </c>
      <c r="BO46" s="58"/>
      <c r="BP46" s="6"/>
      <c r="BQ46" s="6"/>
      <c r="BR46" s="6"/>
      <c r="BS46" s="36">
        <f t="shared" ref="BS46:CF46" si="195">+BS22/BS$21</f>
        <v>0.24974670719351572</v>
      </c>
      <c r="BT46" s="36">
        <f t="shared" si="195"/>
        <v>0.23174346537321477</v>
      </c>
      <c r="BU46" s="36">
        <f t="shared" si="195"/>
        <v>0.26802908233444683</v>
      </c>
      <c r="BV46" s="36">
        <f t="shared" si="195"/>
        <v>0.2381859756097561</v>
      </c>
      <c r="BW46" s="36">
        <f t="shared" si="195"/>
        <v>0.17270977057596662</v>
      </c>
      <c r="BX46" s="36">
        <f t="shared" si="195"/>
        <v>0.15991744756804999</v>
      </c>
      <c r="BY46" s="36">
        <f t="shared" si="195"/>
        <v>0.13709385628482523</v>
      </c>
      <c r="BZ46" s="36">
        <f t="shared" si="195"/>
        <v>0.13415984060216959</v>
      </c>
      <c r="CA46" s="36">
        <f t="shared" si="195"/>
        <v>0.16753823561015796</v>
      </c>
      <c r="CB46" s="36">
        <f t="shared" si="195"/>
        <v>0.18063001258893588</v>
      </c>
      <c r="CC46" s="36">
        <f t="shared" si="195"/>
        <v>0.19417204676321759</v>
      </c>
      <c r="CD46" s="36">
        <f t="shared" si="195"/>
        <v>0.19205623722748433</v>
      </c>
      <c r="CE46" s="36">
        <f t="shared" si="195"/>
        <v>0.21652702621581524</v>
      </c>
      <c r="CF46" s="36">
        <f t="shared" si="195"/>
        <v>0.19242259138182816</v>
      </c>
      <c r="CG46" s="37">
        <f>+CF46</f>
        <v>0.19242259138182816</v>
      </c>
      <c r="CH46" s="37">
        <f t="shared" ref="CH46:CP46" si="196">+CG46</f>
        <v>0.19242259138182816</v>
      </c>
      <c r="CI46" s="37">
        <f t="shared" si="196"/>
        <v>0.19242259138182816</v>
      </c>
      <c r="CJ46" s="37">
        <f t="shared" si="196"/>
        <v>0.19242259138182816</v>
      </c>
      <c r="CK46" s="37">
        <f t="shared" si="196"/>
        <v>0.19242259138182816</v>
      </c>
      <c r="CL46" s="37">
        <f t="shared" si="196"/>
        <v>0.19242259138182816</v>
      </c>
      <c r="CM46" s="37">
        <f t="shared" si="196"/>
        <v>0.19242259138182816</v>
      </c>
      <c r="CN46" s="37">
        <f t="shared" si="196"/>
        <v>0.19242259138182816</v>
      </c>
      <c r="CO46" s="37">
        <f t="shared" si="196"/>
        <v>0.19242259138182816</v>
      </c>
      <c r="CP46" s="37">
        <f t="shared" si="196"/>
        <v>0.19242259138182816</v>
      </c>
      <c r="CS46" s="1" t="s">
        <v>67</v>
      </c>
      <c r="CT46" s="10">
        <f>+CT44/CT45-1</f>
        <v>0.31435217207359401</v>
      </c>
    </row>
    <row r="47" spans="2:234">
      <c r="B47" s="1" t="s">
        <v>175</v>
      </c>
      <c r="R47" s="4"/>
      <c r="S47" s="7"/>
      <c r="T47" s="7"/>
      <c r="U47" s="7"/>
      <c r="V47" s="7"/>
      <c r="W47" s="7"/>
      <c r="X47" s="7"/>
      <c r="Y47" s="7"/>
      <c r="Z47" s="7"/>
      <c r="AA47" s="7"/>
      <c r="AB47" s="7"/>
      <c r="AC47" s="7"/>
      <c r="AD47" s="36">
        <f t="shared" ref="AD47:BD47" si="197">+AD23/AD$21</f>
        <v>0.24953548866592346</v>
      </c>
      <c r="AE47" s="36">
        <f t="shared" si="197"/>
        <v>0.22731510254816656</v>
      </c>
      <c r="AF47" s="36">
        <f t="shared" si="197"/>
        <v>0.21951219512195122</v>
      </c>
      <c r="AG47" s="36">
        <f t="shared" si="197"/>
        <v>0.17868089453967534</v>
      </c>
      <c r="AH47" s="36">
        <f t="shared" si="197"/>
        <v>0.22833665338645417</v>
      </c>
      <c r="AI47" s="36">
        <f t="shared" si="197"/>
        <v>0.20587919751099668</v>
      </c>
      <c r="AJ47" s="36">
        <f t="shared" si="197"/>
        <v>0.19868319132455461</v>
      </c>
      <c r="AK47" s="36">
        <f t="shared" si="197"/>
        <v>0.15024668516805428</v>
      </c>
      <c r="AL47" s="36">
        <f t="shared" si="197"/>
        <v>0.18702991810128697</v>
      </c>
      <c r="AM47" s="36">
        <f t="shared" si="197"/>
        <v>0.19068853450230519</v>
      </c>
      <c r="AN47" s="36">
        <f t="shared" si="197"/>
        <v>0.19356013695636337</v>
      </c>
      <c r="AO47" s="36">
        <f t="shared" si="197"/>
        <v>0.16879508099798984</v>
      </c>
      <c r="AP47" s="36">
        <f t="shared" si="197"/>
        <v>0.1896929097300524</v>
      </c>
      <c r="AQ47" s="36">
        <f t="shared" si="197"/>
        <v>0.19631647518654508</v>
      </c>
      <c r="AR47" s="36">
        <f t="shared" si="197"/>
        <v>0.20099705415816904</v>
      </c>
      <c r="AS47" s="36">
        <f t="shared" si="197"/>
        <v>0.1839009581633621</v>
      </c>
      <c r="AT47" s="36">
        <f t="shared" si="197"/>
        <v>0.22636297006258105</v>
      </c>
      <c r="AU47" s="36">
        <f t="shared" si="197"/>
        <v>0.23877561941456626</v>
      </c>
      <c r="AV47" s="36">
        <f t="shared" si="197"/>
        <v>0.22184443409408477</v>
      </c>
      <c r="AW47" s="36">
        <f t="shared" si="197"/>
        <v>0.18549392611592033</v>
      </c>
      <c r="AX47" s="36">
        <f t="shared" si="197"/>
        <v>0.19857857934354819</v>
      </c>
      <c r="AY47" s="36">
        <f t="shared" si="197"/>
        <v>0.2096502390205317</v>
      </c>
      <c r="AZ47" s="36">
        <f t="shared" si="197"/>
        <v>0.21771802826611514</v>
      </c>
      <c r="BA47" s="36">
        <f t="shared" si="197"/>
        <v>0.20926019423242553</v>
      </c>
      <c r="BB47" s="36">
        <f t="shared" si="197"/>
        <v>0.27615737422961156</v>
      </c>
      <c r="BC47" s="36">
        <f t="shared" si="197"/>
        <v>0.30150579418499757</v>
      </c>
      <c r="BD47" s="36">
        <f t="shared" si="197"/>
        <v>0.33087969979071952</v>
      </c>
      <c r="BE47" s="29">
        <v>0.33</v>
      </c>
      <c r="BF47" s="36">
        <f t="shared" ref="BF47:BH49" si="198">+BF23/BF$21</f>
        <v>0.32749170884971202</v>
      </c>
      <c r="BG47" s="36">
        <f t="shared" si="198"/>
        <v>0.29200912528516515</v>
      </c>
      <c r="BH47" s="36">
        <f t="shared" si="198"/>
        <v>0.27063199203420607</v>
      </c>
      <c r="BI47" s="36">
        <f t="shared" ref="BI47:BJ47" si="199">+BI23/BI$21</f>
        <v>0.26219740220887039</v>
      </c>
      <c r="BJ47" s="36">
        <f t="shared" si="199"/>
        <v>0.29557077995307524</v>
      </c>
      <c r="BK47" s="36">
        <f t="shared" ref="BK47:BM47" si="200">+BK23/BK$21</f>
        <v>0.25968063533067232</v>
      </c>
      <c r="BL47" s="36">
        <f t="shared" si="200"/>
        <v>0.26673353628726759</v>
      </c>
      <c r="BM47" s="36">
        <f t="shared" si="200"/>
        <v>0.22216294826881466</v>
      </c>
      <c r="BO47" s="58"/>
      <c r="BP47" s="6"/>
      <c r="BQ47" s="6"/>
      <c r="BR47" s="6"/>
      <c r="BS47" s="36">
        <f t="shared" ref="BS47:CF47" si="201">+BS23/BS$21</f>
        <v>7.29483282674772E-2</v>
      </c>
      <c r="BT47" s="36">
        <f t="shared" si="201"/>
        <v>0.10455402856372946</v>
      </c>
      <c r="BU47" s="36">
        <f t="shared" si="201"/>
        <v>0.27490666142660641</v>
      </c>
      <c r="BV47" s="36">
        <f t="shared" si="201"/>
        <v>0.1797510162601626</v>
      </c>
      <c r="BW47" s="36">
        <f t="shared" si="201"/>
        <v>0.21386170383442965</v>
      </c>
      <c r="BX47" s="36">
        <f t="shared" si="201"/>
        <v>0.26863007585899151</v>
      </c>
      <c r="BY47" s="36">
        <f t="shared" si="201"/>
        <v>0.21416166148057023</v>
      </c>
      <c r="BZ47" s="36">
        <f t="shared" si="201"/>
        <v>0.19073623102846038</v>
      </c>
      <c r="CA47" s="36">
        <f t="shared" si="201"/>
        <v>0.18397865253053475</v>
      </c>
      <c r="CB47" s="36">
        <f t="shared" si="201"/>
        <v>0.19237025616362788</v>
      </c>
      <c r="CC47" s="36">
        <f t="shared" si="201"/>
        <v>0.21458733205374281</v>
      </c>
      <c r="CD47" s="36">
        <f t="shared" si="201"/>
        <v>0.20906647219937419</v>
      </c>
      <c r="CE47" s="36">
        <f t="shared" si="201"/>
        <v>0.30304693462768739</v>
      </c>
      <c r="CF47" s="36">
        <f t="shared" si="201"/>
        <v>0.28526845612708579</v>
      </c>
      <c r="CG47" s="37">
        <f t="shared" ref="CG47:CP49" si="202">+CF47</f>
        <v>0.28526845612708579</v>
      </c>
      <c r="CH47" s="37">
        <f t="shared" si="202"/>
        <v>0.28526845612708579</v>
      </c>
      <c r="CI47" s="37">
        <f t="shared" si="202"/>
        <v>0.28526845612708579</v>
      </c>
      <c r="CJ47" s="37">
        <f t="shared" si="202"/>
        <v>0.28526845612708579</v>
      </c>
      <c r="CK47" s="37">
        <f t="shared" si="202"/>
        <v>0.28526845612708579</v>
      </c>
      <c r="CL47" s="37">
        <f t="shared" si="202"/>
        <v>0.28526845612708579</v>
      </c>
      <c r="CM47" s="37">
        <f t="shared" si="202"/>
        <v>0.28526845612708579</v>
      </c>
      <c r="CN47" s="37">
        <f t="shared" si="202"/>
        <v>0.28526845612708579</v>
      </c>
      <c r="CO47" s="37">
        <f t="shared" si="202"/>
        <v>0.28526845612708579</v>
      </c>
      <c r="CP47" s="37">
        <f t="shared" si="202"/>
        <v>0.28526845612708579</v>
      </c>
    </row>
    <row r="48" spans="2:234">
      <c r="B48" s="1" t="s">
        <v>177</v>
      </c>
      <c r="R48" s="4"/>
      <c r="S48" s="7"/>
      <c r="T48" s="7"/>
      <c r="U48" s="7"/>
      <c r="V48" s="7"/>
      <c r="W48" s="7"/>
      <c r="X48" s="7"/>
      <c r="Y48" s="7"/>
      <c r="Z48" s="7"/>
      <c r="AA48" s="7"/>
      <c r="AB48" s="7"/>
      <c r="AC48" s="7"/>
      <c r="AD48" s="36">
        <f t="shared" ref="AD48:BD48" si="203">+AD24/AD$21</f>
        <v>0.15347454477889261</v>
      </c>
      <c r="AE48" s="36">
        <f t="shared" si="203"/>
        <v>0.1396830329397141</v>
      </c>
      <c r="AF48" s="36">
        <f t="shared" si="203"/>
        <v>0.13193552988161461</v>
      </c>
      <c r="AG48" s="36">
        <f t="shared" si="203"/>
        <v>0.12736973549778635</v>
      </c>
      <c r="AH48" s="36">
        <f t="shared" si="203"/>
        <v>0.13159860557768924</v>
      </c>
      <c r="AI48" s="36">
        <f t="shared" si="203"/>
        <v>0.12058791975109967</v>
      </c>
      <c r="AJ48" s="36">
        <f t="shared" si="203"/>
        <v>0.11328427575522851</v>
      </c>
      <c r="AK48" s="36">
        <f t="shared" si="203"/>
        <v>0.1059204440333025</v>
      </c>
      <c r="AL48" s="36">
        <f t="shared" si="203"/>
        <v>0.13329433394618084</v>
      </c>
      <c r="AM48" s="36">
        <f t="shared" si="203"/>
        <v>0.14020104300506386</v>
      </c>
      <c r="AN48" s="36">
        <f t="shared" si="203"/>
        <v>0.14045312158519704</v>
      </c>
      <c r="AO48" s="36">
        <f t="shared" si="203"/>
        <v>0.14591462693626581</v>
      </c>
      <c r="AP48" s="36">
        <f t="shared" si="203"/>
        <v>0.13397890827087616</v>
      </c>
      <c r="AQ48" s="36">
        <f t="shared" si="203"/>
        <v>0.14295866398199691</v>
      </c>
      <c r="AR48" s="36">
        <f t="shared" si="203"/>
        <v>0.13686834353047814</v>
      </c>
      <c r="AS48" s="36">
        <f t="shared" si="203"/>
        <v>0.14353476899724885</v>
      </c>
      <c r="AT48" s="36">
        <f t="shared" si="203"/>
        <v>0.15712916502226984</v>
      </c>
      <c r="AU48" s="36">
        <f t="shared" si="203"/>
        <v>0.15197731042971049</v>
      </c>
      <c r="AV48" s="36">
        <f t="shared" si="203"/>
        <v>0.12496506753609687</v>
      </c>
      <c r="AW48" s="36">
        <f t="shared" si="203"/>
        <v>0.11688219158562217</v>
      </c>
      <c r="AX48" s="36">
        <f t="shared" si="203"/>
        <v>0.10863169156700164</v>
      </c>
      <c r="AY48" s="36">
        <f t="shared" si="203"/>
        <v>0.1120817140695395</v>
      </c>
      <c r="AZ48" s="36">
        <f t="shared" si="203"/>
        <v>0.1225094794898311</v>
      </c>
      <c r="BA48" s="36">
        <f t="shared" si="203"/>
        <v>0.13029016067238872</v>
      </c>
      <c r="BB48" s="36">
        <f t="shared" si="203"/>
        <v>0.11867564855955282</v>
      </c>
      <c r="BC48" s="36">
        <f t="shared" si="203"/>
        <v>0.12473110818125044</v>
      </c>
      <c r="BD48" s="36">
        <f t="shared" si="203"/>
        <v>0.13639315869235766</v>
      </c>
      <c r="BE48" s="29">
        <f>+BE24/BE$21</f>
        <v>0.142204259288046</v>
      </c>
      <c r="BF48" s="36">
        <f t="shared" si="198"/>
        <v>0.10626636411241054</v>
      </c>
      <c r="BG48" s="36">
        <f t="shared" si="198"/>
        <v>9.8565580174380454E-2</v>
      </c>
      <c r="BH48" s="36">
        <f t="shared" si="198"/>
        <v>8.4255842558425581E-2</v>
      </c>
      <c r="BI48" s="36">
        <f t="shared" ref="BI48:BJ48" si="204">+BI24/BI$21</f>
        <v>8.0426815586746775E-2</v>
      </c>
      <c r="BJ48" s="36">
        <f t="shared" si="204"/>
        <v>9.5908480351472217E-2</v>
      </c>
      <c r="BK48" s="36">
        <f t="shared" ref="BK48:BM48" si="205">+BK24/BK$21</f>
        <v>8.7653330889655434E-2</v>
      </c>
      <c r="BL48" s="36">
        <f t="shared" si="205"/>
        <v>8.3042136554319759E-2</v>
      </c>
      <c r="BM48" s="36">
        <f t="shared" si="205"/>
        <v>6.8146588486754409E-2</v>
      </c>
      <c r="BO48" s="58"/>
      <c r="BP48" s="6"/>
      <c r="BQ48" s="6"/>
      <c r="BR48" s="6"/>
      <c r="BS48" s="36">
        <f t="shared" ref="BS48:CF48" si="206">+BS24/BS$21</f>
        <v>8.4599797365754806E-2</v>
      </c>
      <c r="BT48" s="36">
        <f t="shared" si="206"/>
        <v>0.1059013742926435</v>
      </c>
      <c r="BU48" s="36">
        <f t="shared" si="206"/>
        <v>0.17606602475928473</v>
      </c>
      <c r="BV48" s="36">
        <f t="shared" si="206"/>
        <v>0.12665142276422764</v>
      </c>
      <c r="BW48" s="36">
        <f t="shared" si="206"/>
        <v>0.13476656505695492</v>
      </c>
      <c r="BX48" s="36">
        <f t="shared" si="206"/>
        <v>0.15199687639446677</v>
      </c>
      <c r="BY48" s="36">
        <f t="shared" si="206"/>
        <v>0.13647876112598595</v>
      </c>
      <c r="BZ48" s="36">
        <f t="shared" si="206"/>
        <v>0.1162275846800974</v>
      </c>
      <c r="CA48" s="36">
        <f t="shared" si="206"/>
        <v>0.14051362871163006</v>
      </c>
      <c r="CB48" s="36">
        <f t="shared" si="206"/>
        <v>0.139694753667058</v>
      </c>
      <c r="CC48" s="36">
        <f t="shared" si="206"/>
        <v>0.13483394404699586</v>
      </c>
      <c r="CD48" s="36">
        <f t="shared" si="206"/>
        <v>0.11908012448167965</v>
      </c>
      <c r="CE48" s="36">
        <f t="shared" si="206"/>
        <v>0.13087326021147597</v>
      </c>
      <c r="CF48" s="36">
        <f t="shared" si="206"/>
        <v>9.1185387802907317E-2</v>
      </c>
      <c r="CG48" s="37">
        <f t="shared" si="202"/>
        <v>9.1185387802907317E-2</v>
      </c>
      <c r="CH48" s="37">
        <f t="shared" si="202"/>
        <v>9.1185387802907317E-2</v>
      </c>
      <c r="CI48" s="37">
        <f t="shared" si="202"/>
        <v>9.1185387802907317E-2</v>
      </c>
      <c r="CJ48" s="37">
        <f t="shared" si="202"/>
        <v>9.1185387802907317E-2</v>
      </c>
      <c r="CK48" s="37">
        <f t="shared" si="202"/>
        <v>9.1185387802907317E-2</v>
      </c>
      <c r="CL48" s="37">
        <f t="shared" si="202"/>
        <v>9.1185387802907317E-2</v>
      </c>
      <c r="CM48" s="37">
        <f t="shared" si="202"/>
        <v>9.1185387802907317E-2</v>
      </c>
      <c r="CN48" s="37">
        <f t="shared" si="202"/>
        <v>9.1185387802907317E-2</v>
      </c>
      <c r="CO48" s="37">
        <f t="shared" si="202"/>
        <v>9.1185387802907317E-2</v>
      </c>
      <c r="CP48" s="37">
        <f t="shared" si="202"/>
        <v>9.1185387802907317E-2</v>
      </c>
    </row>
    <row r="49" spans="2:94">
      <c r="B49" s="1" t="s">
        <v>176</v>
      </c>
      <c r="R49" s="4"/>
      <c r="S49" s="7"/>
      <c r="T49" s="7"/>
      <c r="U49" s="7"/>
      <c r="V49" s="7"/>
      <c r="W49" s="7"/>
      <c r="X49" s="7"/>
      <c r="Y49" s="7"/>
      <c r="Z49" s="7"/>
      <c r="AA49" s="7"/>
      <c r="AB49" s="7"/>
      <c r="AC49" s="7"/>
      <c r="AD49" s="36">
        <f t="shared" ref="AD49:BD49" si="207">+AD25/AD$21</f>
        <v>6.8004459308807136E-2</v>
      </c>
      <c r="AE49" s="36">
        <f t="shared" si="207"/>
        <v>6.401491609695463E-2</v>
      </c>
      <c r="AF49" s="36">
        <f t="shared" si="207"/>
        <v>6.2473256311510482E-2</v>
      </c>
      <c r="AG49" s="36">
        <f t="shared" si="207"/>
        <v>5.8462935634010671E-2</v>
      </c>
      <c r="AH49" s="36">
        <f t="shared" si="207"/>
        <v>8.1548804780876491E-2</v>
      </c>
      <c r="AI49" s="36">
        <f t="shared" si="207"/>
        <v>6.8662160712369913E-2</v>
      </c>
      <c r="AJ49" s="36">
        <f t="shared" si="207"/>
        <v>5.1897753679318356E-2</v>
      </c>
      <c r="AK49" s="36">
        <f t="shared" si="207"/>
        <v>5.2883132901634287E-2</v>
      </c>
      <c r="AL49" s="36">
        <f t="shared" si="207"/>
        <v>6.3262577302356682E-2</v>
      </c>
      <c r="AM49" s="36">
        <f t="shared" si="207"/>
        <v>5.865013982314262E-2</v>
      </c>
      <c r="AN49" s="36">
        <f t="shared" si="207"/>
        <v>6.8696729074087567E-2</v>
      </c>
      <c r="AO49" s="36">
        <f t="shared" si="207"/>
        <v>5.7644554806669031E-2</v>
      </c>
      <c r="AP49" s="36">
        <f t="shared" si="207"/>
        <v>0.26954964515487168</v>
      </c>
      <c r="AQ49" s="36">
        <f t="shared" si="207"/>
        <v>0.19092739547554186</v>
      </c>
      <c r="AR49" s="36">
        <f t="shared" si="207"/>
        <v>7.6365284387038296E-2</v>
      </c>
      <c r="AS49" s="36">
        <f t="shared" si="207"/>
        <v>8.675647471776872E-2</v>
      </c>
      <c r="AT49" s="36">
        <f t="shared" si="207"/>
        <v>8.9248463663528219E-2</v>
      </c>
      <c r="AU49" s="36">
        <f t="shared" si="207"/>
        <v>8.5246427998073526E-2</v>
      </c>
      <c r="AV49" s="36">
        <f t="shared" si="207"/>
        <v>8.3372147182114581E-2</v>
      </c>
      <c r="AW49" s="36">
        <f t="shared" si="207"/>
        <v>5.6927077767090592E-2</v>
      </c>
      <c r="AX49" s="36">
        <f t="shared" si="207"/>
        <v>6.1976997439914409E-2</v>
      </c>
      <c r="AY49" s="36">
        <f t="shared" si="207"/>
        <v>6.7269663307769026E-2</v>
      </c>
      <c r="AZ49" s="36">
        <f t="shared" si="207"/>
        <v>0.10155118924508789</v>
      </c>
      <c r="BA49" s="36">
        <f t="shared" si="207"/>
        <v>9.8155682931899857E-2</v>
      </c>
      <c r="BB49" s="36">
        <f t="shared" si="207"/>
        <v>8.4563566002579901E-2</v>
      </c>
      <c r="BC49" s="36">
        <f t="shared" si="207"/>
        <v>0.1036361113038651</v>
      </c>
      <c r="BD49" s="36">
        <f t="shared" si="207"/>
        <v>0.12210435159125352</v>
      </c>
      <c r="BE49" s="29">
        <f>+BE25/BE$21</f>
        <v>9.5911705269703093E-2</v>
      </c>
      <c r="BF49" s="36">
        <f t="shared" si="198"/>
        <v>0.10071565718275441</v>
      </c>
      <c r="BG49" s="36">
        <f t="shared" si="198"/>
        <v>0.13012906653332917</v>
      </c>
      <c r="BH49" s="36">
        <f t="shared" si="198"/>
        <v>6.062203479177649E-2</v>
      </c>
      <c r="BI49" s="36">
        <f t="shared" ref="BI49:BJ49" si="208">+BI25/BI$21</f>
        <v>5.7066640073795215E-2</v>
      </c>
      <c r="BJ49" s="36">
        <f t="shared" si="208"/>
        <v>9.0898806114979414E-2</v>
      </c>
      <c r="BK49" s="36">
        <f t="shared" ref="BK49:BM49" si="209">+BK25/BK$21</f>
        <v>0.11572240641234155</v>
      </c>
      <c r="BL49" s="36">
        <f t="shared" si="209"/>
        <v>5.9748773954620062E-2</v>
      </c>
      <c r="BM49" s="36">
        <f t="shared" si="209"/>
        <v>4.8353236530124251E-2</v>
      </c>
      <c r="BO49" s="58"/>
      <c r="BP49" s="6"/>
      <c r="BQ49" s="6"/>
      <c r="BR49" s="6"/>
      <c r="BS49" s="36">
        <f t="shared" ref="BS49:CF49" si="210">+BS25/BS$21</f>
        <v>6.9908814589665649E-2</v>
      </c>
      <c r="BT49" s="36">
        <f t="shared" si="210"/>
        <v>8.461331177580167E-2</v>
      </c>
      <c r="BU49" s="36">
        <f t="shared" si="210"/>
        <v>0.17528001572018079</v>
      </c>
      <c r="BV49" s="36">
        <f t="shared" si="210"/>
        <v>9.921239837398374E-2</v>
      </c>
      <c r="BW49" s="36">
        <f t="shared" si="210"/>
        <v>7.8052302262153053E-2</v>
      </c>
      <c r="BX49" s="36">
        <f t="shared" si="210"/>
        <v>7.2233377956269523E-2</v>
      </c>
      <c r="BY49" s="36">
        <f t="shared" si="210"/>
        <v>6.2631159997105432E-2</v>
      </c>
      <c r="BZ49" s="36">
        <f t="shared" si="210"/>
        <v>6.1914249870858237E-2</v>
      </c>
      <c r="CA49" s="36">
        <f t="shared" si="210"/>
        <v>6.1803789534009099E-2</v>
      </c>
      <c r="CB49" s="36">
        <f t="shared" si="210"/>
        <v>0.14802608314355631</v>
      </c>
      <c r="CC49" s="36">
        <f t="shared" si="210"/>
        <v>7.6356656778921658E-2</v>
      </c>
      <c r="CD49" s="36">
        <f t="shared" si="210"/>
        <v>8.3346759490880107E-2</v>
      </c>
      <c r="CE49" s="36">
        <f t="shared" si="210"/>
        <v>0.10133008601394404</v>
      </c>
      <c r="CF49" s="36">
        <f t="shared" si="210"/>
        <v>8.4565718563983955E-2</v>
      </c>
      <c r="CG49" s="37">
        <f t="shared" si="202"/>
        <v>8.4565718563983955E-2</v>
      </c>
      <c r="CH49" s="37">
        <f t="shared" si="202"/>
        <v>8.4565718563983955E-2</v>
      </c>
      <c r="CI49" s="37">
        <f t="shared" si="202"/>
        <v>8.4565718563983955E-2</v>
      </c>
      <c r="CJ49" s="37">
        <f t="shared" si="202"/>
        <v>8.4565718563983955E-2</v>
      </c>
      <c r="CK49" s="37">
        <f t="shared" si="202"/>
        <v>8.4565718563983955E-2</v>
      </c>
      <c r="CL49" s="37">
        <f t="shared" si="202"/>
        <v>8.4565718563983955E-2</v>
      </c>
      <c r="CM49" s="37">
        <f t="shared" si="202"/>
        <v>8.4565718563983955E-2</v>
      </c>
      <c r="CN49" s="37">
        <f t="shared" si="202"/>
        <v>8.4565718563983955E-2</v>
      </c>
      <c r="CO49" s="37">
        <f t="shared" si="202"/>
        <v>8.4565718563983955E-2</v>
      </c>
      <c r="CP49" s="37">
        <f t="shared" si="202"/>
        <v>8.4565718563983955E-2</v>
      </c>
    </row>
    <row r="52" spans="2:94" s="3" customFormat="1">
      <c r="B52" s="3" t="s">
        <v>89</v>
      </c>
      <c r="AC52" s="3">
        <f t="shared" ref="AC52:AY52" si="211">+SUM(AC53:AC54)</f>
        <v>18434</v>
      </c>
      <c r="AD52" s="3">
        <f t="shared" si="211"/>
        <v>20621</v>
      </c>
      <c r="AE52" s="3">
        <f t="shared" si="211"/>
        <v>23293</v>
      </c>
      <c r="AF52" s="3">
        <f t="shared" si="211"/>
        <v>26140</v>
      </c>
      <c r="AG52" s="3">
        <f t="shared" si="211"/>
        <v>29449</v>
      </c>
      <c r="AH52" s="3">
        <f t="shared" si="211"/>
        <v>32306</v>
      </c>
      <c r="AI52" s="3">
        <f t="shared" si="211"/>
        <v>35452</v>
      </c>
      <c r="AJ52" s="3">
        <f t="shared" si="211"/>
        <v>38289</v>
      </c>
      <c r="AK52" s="3">
        <f t="shared" si="211"/>
        <v>41711</v>
      </c>
      <c r="AL52" s="3">
        <f t="shared" si="211"/>
        <v>43956</v>
      </c>
      <c r="AM52" s="3">
        <f t="shared" si="211"/>
        <v>42309</v>
      </c>
      <c r="AN52" s="3">
        <f t="shared" si="211"/>
        <v>41206</v>
      </c>
      <c r="AO52" s="3">
        <f t="shared" si="211"/>
        <v>41114</v>
      </c>
      <c r="AP52" s="3">
        <f t="shared" si="211"/>
        <v>45243</v>
      </c>
      <c r="AQ52" s="3">
        <f t="shared" si="211"/>
        <v>48596</v>
      </c>
      <c r="AR52" s="3">
        <f t="shared" si="211"/>
        <v>52269</v>
      </c>
      <c r="AS52" s="3">
        <f t="shared" si="211"/>
        <v>54855</v>
      </c>
      <c r="AT52" s="3">
        <f t="shared" si="211"/>
        <v>60289</v>
      </c>
      <c r="AU52" s="3">
        <f t="shared" si="211"/>
        <v>58240</v>
      </c>
      <c r="AV52" s="3">
        <f t="shared" si="211"/>
        <v>55620</v>
      </c>
      <c r="AW52" s="3">
        <f t="shared" si="211"/>
        <v>61954</v>
      </c>
      <c r="AX52" s="3">
        <f t="shared" si="211"/>
        <v>64219</v>
      </c>
      <c r="AY52" s="3">
        <f t="shared" si="211"/>
        <v>64080</v>
      </c>
      <c r="AZ52" s="3">
        <f>+SUM(AZ53:AZ54)</f>
        <v>58075</v>
      </c>
      <c r="BA52" s="3">
        <f>+SUM(BA53:BA54)</f>
        <v>47998</v>
      </c>
      <c r="BB52" s="3">
        <f>+SUM(BB53:BB54)</f>
        <v>43890</v>
      </c>
      <c r="BC52" s="3">
        <f>+SUM(BC53:BC54)</f>
        <v>40489</v>
      </c>
      <c r="BD52" s="3">
        <f>+SUM(BD53:BD54) -BD73</f>
        <v>31854</v>
      </c>
      <c r="BE52" s="3">
        <f t="shared" ref="BE52:BI52" si="212">+SUM(BE53:BE54) -BE73</f>
        <v>30815</v>
      </c>
      <c r="BF52" s="3">
        <f t="shared" si="212"/>
        <v>27514</v>
      </c>
      <c r="BG52" s="3">
        <f t="shared" si="212"/>
        <v>35064</v>
      </c>
      <c r="BH52" s="3">
        <f t="shared" si="212"/>
        <v>42740</v>
      </c>
      <c r="BI52" s="3">
        <f t="shared" si="212"/>
        <v>47018</v>
      </c>
      <c r="CF52" s="3">
        <f>+BI52</f>
        <v>47018</v>
      </c>
      <c r="CG52" s="3">
        <f>+CF52+CG31</f>
        <v>104130.7729736328</v>
      </c>
      <c r="CH52" s="3">
        <f t="shared" ref="CF52:CP52" si="213">+CG52+CH31</f>
        <v>158009.46082935942</v>
      </c>
      <c r="CI52" s="3">
        <f t="shared" si="213"/>
        <v>218884.2399566893</v>
      </c>
      <c r="CJ52" s="3">
        <f t="shared" si="213"/>
        <v>287621.98034169828</v>
      </c>
      <c r="CK52" s="3">
        <f t="shared" si="213"/>
        <v>365196.63420389756</v>
      </c>
      <c r="CL52" s="3">
        <f t="shared" si="213"/>
        <v>452702.46085046057</v>
      </c>
      <c r="CM52" s="3">
        <f t="shared" si="213"/>
        <v>551368.88480160141</v>
      </c>
      <c r="CN52" s="3">
        <f t="shared" si="213"/>
        <v>662577.18889610574</v>
      </c>
      <c r="CO52" s="3">
        <f t="shared" si="213"/>
        <v>787879.26899707678</v>
      </c>
      <c r="CP52" s="3">
        <f t="shared" si="213"/>
        <v>929018.70490553789</v>
      </c>
    </row>
    <row r="53" spans="2:94">
      <c r="B53" s="6" t="s">
        <v>68</v>
      </c>
      <c r="C53" s="6"/>
      <c r="D53" s="6"/>
      <c r="E53" s="6"/>
      <c r="F53" s="6"/>
      <c r="G53" s="6"/>
      <c r="H53" s="6"/>
      <c r="I53" s="6"/>
      <c r="J53" s="6"/>
      <c r="K53" s="6"/>
      <c r="L53" s="6"/>
      <c r="M53" s="6"/>
      <c r="N53" s="6"/>
      <c r="O53" s="6"/>
      <c r="P53" s="6"/>
      <c r="Q53" s="6"/>
      <c r="R53" s="6"/>
      <c r="S53" s="6"/>
      <c r="T53" s="6"/>
      <c r="U53" s="6"/>
      <c r="V53" s="6"/>
      <c r="W53" s="6"/>
      <c r="X53" s="6"/>
      <c r="Y53" s="6"/>
      <c r="Z53" s="6"/>
      <c r="AA53" s="6"/>
      <c r="AB53" s="6"/>
      <c r="AC53" s="6">
        <v>4907</v>
      </c>
      <c r="AD53" s="6">
        <v>6456</v>
      </c>
      <c r="AE53" s="6">
        <v>5108</v>
      </c>
      <c r="AF53" s="6">
        <v>6038</v>
      </c>
      <c r="AG53" s="6">
        <v>8903</v>
      </c>
      <c r="AH53" s="6">
        <v>7104</v>
      </c>
      <c r="AI53" s="6">
        <v>6252</v>
      </c>
      <c r="AJ53" s="6">
        <v>7201</v>
      </c>
      <c r="AK53" s="6">
        <v>8079</v>
      </c>
      <c r="AL53" s="6">
        <v>12082</v>
      </c>
      <c r="AM53" s="6">
        <v>11552</v>
      </c>
      <c r="AN53" s="6">
        <v>9637</v>
      </c>
      <c r="AO53" s="6">
        <v>10019</v>
      </c>
      <c r="AP53" s="6">
        <v>11076</v>
      </c>
      <c r="AQ53" s="6">
        <v>13877</v>
      </c>
      <c r="AR53" s="6">
        <v>15979</v>
      </c>
      <c r="AS53" s="6">
        <v>19079</v>
      </c>
      <c r="AT53" s="6">
        <v>23618</v>
      </c>
      <c r="AU53" s="6">
        <v>21045</v>
      </c>
      <c r="AV53" s="6">
        <v>11617</v>
      </c>
      <c r="AW53" s="6">
        <v>17576</v>
      </c>
      <c r="AX53" s="6">
        <v>19513</v>
      </c>
      <c r="AY53" s="6">
        <v>16186</v>
      </c>
      <c r="AZ53" s="6">
        <v>14496</v>
      </c>
      <c r="BA53" s="6">
        <v>16601</v>
      </c>
      <c r="BB53" s="6">
        <v>14886</v>
      </c>
      <c r="BC53" s="6">
        <v>12681</v>
      </c>
      <c r="BD53" s="6">
        <v>14308</v>
      </c>
      <c r="BE53" s="6">
        <v>14681</v>
      </c>
      <c r="BF53" s="6">
        <v>11551</v>
      </c>
      <c r="BG53" s="6">
        <v>28785</v>
      </c>
      <c r="BH53" s="6">
        <v>36890</v>
      </c>
      <c r="BI53" s="6">
        <v>41862</v>
      </c>
    </row>
    <row r="54" spans="2:94">
      <c r="B54" s="6" t="s">
        <v>71</v>
      </c>
      <c r="C54" s="6"/>
      <c r="D54" s="6"/>
      <c r="E54" s="6"/>
      <c r="F54" s="6"/>
      <c r="G54" s="6"/>
      <c r="H54" s="6"/>
      <c r="I54" s="6"/>
      <c r="J54" s="6"/>
      <c r="K54" s="6"/>
      <c r="L54" s="6"/>
      <c r="M54" s="6"/>
      <c r="N54" s="6"/>
      <c r="O54" s="6"/>
      <c r="P54" s="6"/>
      <c r="Q54" s="6"/>
      <c r="R54" s="6"/>
      <c r="S54" s="6"/>
      <c r="T54" s="6"/>
      <c r="U54" s="6"/>
      <c r="V54" s="6"/>
      <c r="W54" s="6"/>
      <c r="X54" s="6"/>
      <c r="Y54" s="6"/>
      <c r="Z54" s="6"/>
      <c r="AA54" s="6"/>
      <c r="AB54" s="6"/>
      <c r="AC54" s="6">
        <v>13527</v>
      </c>
      <c r="AD54" s="6">
        <v>14165</v>
      </c>
      <c r="AE54" s="6">
        <v>18185</v>
      </c>
      <c r="AF54" s="6">
        <v>20102</v>
      </c>
      <c r="AG54" s="6">
        <v>20546</v>
      </c>
      <c r="AH54" s="6">
        <v>25202</v>
      </c>
      <c r="AI54" s="6">
        <v>29200</v>
      </c>
      <c r="AJ54" s="6">
        <v>31088</v>
      </c>
      <c r="AK54" s="6">
        <v>33632</v>
      </c>
      <c r="AL54" s="6">
        <v>31874</v>
      </c>
      <c r="AM54" s="6">
        <v>30757</v>
      </c>
      <c r="AN54" s="6">
        <v>31569</v>
      </c>
      <c r="AO54" s="6">
        <v>31095</v>
      </c>
      <c r="AP54" s="6">
        <v>34167</v>
      </c>
      <c r="AQ54" s="6">
        <v>34719</v>
      </c>
      <c r="AR54" s="6">
        <v>36290</v>
      </c>
      <c r="AS54" s="6">
        <v>35776</v>
      </c>
      <c r="AT54" s="6">
        <v>36671</v>
      </c>
      <c r="AU54" s="6">
        <v>37195</v>
      </c>
      <c r="AV54" s="6">
        <v>44003</v>
      </c>
      <c r="AW54" s="6">
        <v>44378</v>
      </c>
      <c r="AX54" s="6">
        <v>44706</v>
      </c>
      <c r="AY54" s="6">
        <v>47894</v>
      </c>
      <c r="AZ54" s="6">
        <v>43579</v>
      </c>
      <c r="BA54" s="6">
        <v>31397</v>
      </c>
      <c r="BB54" s="6">
        <v>29004</v>
      </c>
      <c r="BC54" s="6">
        <v>27808</v>
      </c>
      <c r="BD54" s="6">
        <v>27468</v>
      </c>
      <c r="BE54" s="6">
        <v>26057</v>
      </c>
      <c r="BF54" s="6">
        <v>25888</v>
      </c>
      <c r="BG54" s="6">
        <v>24661</v>
      </c>
      <c r="BH54" s="6">
        <v>24233</v>
      </c>
      <c r="BI54" s="6">
        <v>23541</v>
      </c>
    </row>
    <row r="55" spans="2:94">
      <c r="B55" s="6" t="s">
        <v>72</v>
      </c>
      <c r="C55" s="6"/>
      <c r="D55" s="6"/>
      <c r="E55" s="6"/>
      <c r="F55" s="6"/>
      <c r="G55" s="6"/>
      <c r="H55" s="6"/>
      <c r="I55" s="6"/>
      <c r="J55" s="6"/>
      <c r="K55" s="6"/>
      <c r="L55" s="6"/>
      <c r="M55" s="6"/>
      <c r="N55" s="6"/>
      <c r="O55" s="6"/>
      <c r="P55" s="6"/>
      <c r="Q55" s="6"/>
      <c r="R55" s="6"/>
      <c r="S55" s="6"/>
      <c r="T55" s="6"/>
      <c r="U55" s="6"/>
      <c r="V55" s="6"/>
      <c r="W55" s="6"/>
      <c r="X55" s="6"/>
      <c r="Y55" s="6"/>
      <c r="Z55" s="6"/>
      <c r="AA55" s="6"/>
      <c r="AB55" s="6"/>
      <c r="AC55" s="6">
        <v>2559</v>
      </c>
      <c r="AD55" s="6">
        <v>2348</v>
      </c>
      <c r="AE55" s="6">
        <v>2801</v>
      </c>
      <c r="AF55" s="6">
        <v>3070</v>
      </c>
      <c r="AG55" s="6">
        <v>3993</v>
      </c>
      <c r="AH55" s="6">
        <v>3415</v>
      </c>
      <c r="AI55" s="6">
        <v>3897</v>
      </c>
      <c r="AJ55" s="6">
        <v>4424</v>
      </c>
      <c r="AK55" s="6">
        <v>5832</v>
      </c>
      <c r="AL55" s="6">
        <v>5115</v>
      </c>
      <c r="AM55" s="6">
        <v>5590</v>
      </c>
      <c r="AN55" s="6">
        <v>6058</v>
      </c>
      <c r="AO55" s="6">
        <v>7587</v>
      </c>
      <c r="AP55" s="6">
        <v>6475</v>
      </c>
      <c r="AQ55" s="6">
        <v>7513</v>
      </c>
      <c r="AR55" s="6">
        <v>7673</v>
      </c>
      <c r="AS55" s="6">
        <v>9518</v>
      </c>
      <c r="AT55" s="6">
        <v>7289</v>
      </c>
      <c r="AU55" s="6">
        <v>7483</v>
      </c>
      <c r="AV55" s="6">
        <v>8024</v>
      </c>
      <c r="AW55" s="6">
        <v>11335</v>
      </c>
      <c r="AX55" s="6">
        <v>10276</v>
      </c>
      <c r="AY55" s="6">
        <v>11698</v>
      </c>
      <c r="AZ55" s="6">
        <v>12088</v>
      </c>
      <c r="BA55" s="6">
        <v>14039</v>
      </c>
      <c r="BB55" s="6">
        <v>11390</v>
      </c>
      <c r="BC55" s="6">
        <v>11525</v>
      </c>
      <c r="BD55" s="6">
        <v>11227</v>
      </c>
      <c r="BE55" s="6">
        <v>13466</v>
      </c>
      <c r="BF55" s="6">
        <v>11044</v>
      </c>
      <c r="BG55" s="6">
        <v>12511</v>
      </c>
      <c r="BH55" s="6">
        <v>12944</v>
      </c>
      <c r="BI55" s="6">
        <v>16169</v>
      </c>
    </row>
    <row r="56" spans="2:94">
      <c r="B56" s="6" t="s">
        <v>73</v>
      </c>
      <c r="C56" s="6"/>
      <c r="D56" s="6"/>
      <c r="E56" s="6"/>
      <c r="F56" s="6"/>
      <c r="G56" s="6"/>
      <c r="H56" s="6"/>
      <c r="I56" s="6"/>
      <c r="J56" s="6"/>
      <c r="K56" s="6"/>
      <c r="L56" s="6"/>
      <c r="M56" s="6"/>
      <c r="N56" s="6"/>
      <c r="O56" s="6"/>
      <c r="P56" s="6"/>
      <c r="Q56" s="6"/>
      <c r="R56" s="6"/>
      <c r="S56" s="6"/>
      <c r="T56" s="6"/>
      <c r="U56" s="6"/>
      <c r="V56" s="6"/>
      <c r="W56" s="6"/>
      <c r="X56" s="6"/>
      <c r="Y56" s="6"/>
      <c r="Z56" s="6"/>
      <c r="AA56" s="6"/>
      <c r="AB56" s="6"/>
      <c r="AC56" s="6">
        <v>659</v>
      </c>
      <c r="AD56" s="6">
        <v>843</v>
      </c>
      <c r="AE56" s="6">
        <v>916</v>
      </c>
      <c r="AF56" s="6">
        <v>1118</v>
      </c>
      <c r="AG56" s="6">
        <v>959</v>
      </c>
      <c r="AH56" s="6">
        <v>1209</v>
      </c>
      <c r="AI56" s="6">
        <v>1455</v>
      </c>
      <c r="AJ56" s="6">
        <v>1490</v>
      </c>
      <c r="AK56" s="6">
        <v>1020</v>
      </c>
      <c r="AL56" s="6">
        <v>1341</v>
      </c>
      <c r="AM56" s="6">
        <v>1934</v>
      </c>
      <c r="AN56" s="6">
        <v>1883</v>
      </c>
      <c r="AO56" s="6">
        <v>1779</v>
      </c>
      <c r="AP56" s="6">
        <v>1582</v>
      </c>
      <c r="AQ56" s="6">
        <v>1852</v>
      </c>
      <c r="AR56" s="6">
        <v>2137</v>
      </c>
      <c r="AS56" s="6">
        <v>1852</v>
      </c>
      <c r="AT56" s="6">
        <v>1771</v>
      </c>
      <c r="AU56" s="6">
        <v>2407</v>
      </c>
      <c r="AV56" s="6">
        <v>2155</v>
      </c>
      <c r="AW56" s="6">
        <v>2381</v>
      </c>
      <c r="AX56" s="6">
        <v>2827</v>
      </c>
      <c r="AY56" s="6">
        <v>4919</v>
      </c>
      <c r="AZ56" s="6">
        <v>5258</v>
      </c>
      <c r="BA56" s="6">
        <v>4629</v>
      </c>
      <c r="BB56" s="6">
        <v>3985</v>
      </c>
      <c r="BC56" s="6">
        <v>3973</v>
      </c>
      <c r="BD56" s="6">
        <v>5312</v>
      </c>
      <c r="BE56" s="6">
        <v>5345</v>
      </c>
      <c r="BF56" s="6">
        <v>4000</v>
      </c>
      <c r="BG56" s="6">
        <v>3603</v>
      </c>
      <c r="BH56" s="6">
        <v>4311</v>
      </c>
      <c r="BI56" s="6">
        <v>3793</v>
      </c>
    </row>
    <row r="57" spans="2:94" s="3" customFormat="1">
      <c r="B57" s="6" t="s">
        <v>74</v>
      </c>
      <c r="C57" s="6"/>
      <c r="D57" s="6"/>
      <c r="E57" s="6"/>
      <c r="F57" s="6"/>
      <c r="G57" s="6"/>
      <c r="H57" s="6"/>
      <c r="I57" s="6"/>
      <c r="J57" s="6"/>
      <c r="K57" s="6"/>
      <c r="L57" s="6"/>
      <c r="M57" s="6"/>
      <c r="N57" s="6"/>
      <c r="O57" s="6"/>
      <c r="P57" s="6"/>
      <c r="Q57" s="6"/>
      <c r="R57" s="6"/>
      <c r="S57" s="6"/>
      <c r="T57" s="6"/>
      <c r="U57" s="6"/>
      <c r="V57" s="6"/>
      <c r="W57" s="6"/>
      <c r="X57" s="6"/>
      <c r="Y57" s="6"/>
      <c r="Z57" s="6"/>
      <c r="AA57" s="6"/>
      <c r="AB57" s="6"/>
      <c r="AC57" s="6">
        <f t="shared" ref="AC57:BB57" si="214">+SUM(AC53:AC56)</f>
        <v>21652</v>
      </c>
      <c r="AD57" s="6">
        <f t="shared" si="214"/>
        <v>23812</v>
      </c>
      <c r="AE57" s="6">
        <f t="shared" si="214"/>
        <v>27010</v>
      </c>
      <c r="AF57" s="6">
        <f t="shared" si="214"/>
        <v>30328</v>
      </c>
      <c r="AG57" s="6">
        <f t="shared" si="214"/>
        <v>34401</v>
      </c>
      <c r="AH57" s="6">
        <f t="shared" si="214"/>
        <v>36930</v>
      </c>
      <c r="AI57" s="6">
        <f t="shared" si="214"/>
        <v>40804</v>
      </c>
      <c r="AJ57" s="6">
        <f t="shared" si="214"/>
        <v>44203</v>
      </c>
      <c r="AK57" s="6">
        <f t="shared" si="214"/>
        <v>48563</v>
      </c>
      <c r="AL57" s="6">
        <f t="shared" si="214"/>
        <v>50412</v>
      </c>
      <c r="AM57" s="6">
        <f t="shared" si="214"/>
        <v>49833</v>
      </c>
      <c r="AN57" s="6">
        <f t="shared" si="214"/>
        <v>49147</v>
      </c>
      <c r="AO57" s="6">
        <f t="shared" si="214"/>
        <v>50480</v>
      </c>
      <c r="AP57" s="6">
        <f t="shared" si="214"/>
        <v>53300</v>
      </c>
      <c r="AQ57" s="6">
        <f t="shared" si="214"/>
        <v>57961</v>
      </c>
      <c r="AR57" s="6">
        <f t="shared" si="214"/>
        <v>62079</v>
      </c>
      <c r="AS57" s="6">
        <f t="shared" si="214"/>
        <v>66225</v>
      </c>
      <c r="AT57" s="6">
        <f t="shared" si="214"/>
        <v>69349</v>
      </c>
      <c r="AU57" s="6">
        <f t="shared" si="214"/>
        <v>68130</v>
      </c>
      <c r="AV57" s="6">
        <f t="shared" si="214"/>
        <v>65799</v>
      </c>
      <c r="AW57" s="6">
        <f t="shared" si="214"/>
        <v>75670</v>
      </c>
      <c r="AX57" s="6">
        <f t="shared" si="214"/>
        <v>77322</v>
      </c>
      <c r="AY57" s="6">
        <f t="shared" si="214"/>
        <v>80697</v>
      </c>
      <c r="AZ57" s="6">
        <f t="shared" si="214"/>
        <v>75421</v>
      </c>
      <c r="BA57" s="6">
        <f t="shared" si="214"/>
        <v>66666</v>
      </c>
      <c r="BB57" s="6">
        <f t="shared" si="214"/>
        <v>59265</v>
      </c>
      <c r="BC57" s="6">
        <f t="shared" ref="BC57:BG57" si="215">+SUM(BC53:BC56)</f>
        <v>55987</v>
      </c>
      <c r="BD57" s="6">
        <f t="shared" si="215"/>
        <v>58315</v>
      </c>
      <c r="BE57" s="6">
        <f t="shared" si="215"/>
        <v>59549</v>
      </c>
      <c r="BF57" s="6">
        <f t="shared" si="215"/>
        <v>52483</v>
      </c>
      <c r="BG57" s="6">
        <f t="shared" si="215"/>
        <v>69560</v>
      </c>
      <c r="BH57" s="6">
        <f t="shared" ref="BH57:BI57" si="216">+SUM(BH53:BH56)</f>
        <v>78378</v>
      </c>
      <c r="BI57" s="6">
        <f t="shared" si="216"/>
        <v>85365</v>
      </c>
    </row>
    <row r="58" spans="2:94">
      <c r="B58" s="6" t="s">
        <v>75</v>
      </c>
      <c r="C58" s="6"/>
      <c r="D58" s="6"/>
      <c r="E58" s="6"/>
      <c r="F58" s="6"/>
      <c r="G58" s="6"/>
      <c r="H58" s="6"/>
      <c r="I58" s="6"/>
      <c r="J58" s="6"/>
      <c r="K58" s="6"/>
      <c r="L58" s="6"/>
      <c r="M58" s="6"/>
      <c r="N58" s="6"/>
      <c r="O58" s="6"/>
      <c r="P58" s="6"/>
      <c r="Q58" s="6"/>
      <c r="R58" s="6"/>
      <c r="S58" s="6"/>
      <c r="T58" s="6"/>
      <c r="U58" s="6"/>
      <c r="V58" s="6"/>
      <c r="W58" s="6"/>
      <c r="X58" s="6"/>
      <c r="Y58" s="6"/>
      <c r="Z58" s="6"/>
      <c r="AA58" s="6"/>
      <c r="AB58" s="6"/>
      <c r="AC58" s="6">
        <v>0</v>
      </c>
      <c r="AD58" s="6">
        <v>0</v>
      </c>
      <c r="AE58" s="6">
        <v>0</v>
      </c>
      <c r="AF58" s="6">
        <v>0</v>
      </c>
      <c r="AG58" s="6">
        <v>0</v>
      </c>
      <c r="AH58" s="6">
        <v>0</v>
      </c>
      <c r="AI58" s="6">
        <v>0</v>
      </c>
      <c r="AJ58" s="6">
        <v>0</v>
      </c>
      <c r="AK58" s="6">
        <v>0</v>
      </c>
      <c r="AL58" s="6">
        <v>0</v>
      </c>
      <c r="AM58" s="6">
        <v>0</v>
      </c>
      <c r="AN58" s="6">
        <v>0</v>
      </c>
      <c r="AO58" s="6">
        <v>0</v>
      </c>
      <c r="AP58" s="6">
        <v>0</v>
      </c>
      <c r="AQ58" s="6">
        <v>0</v>
      </c>
      <c r="AR58" s="6">
        <v>0</v>
      </c>
      <c r="AS58" s="6">
        <v>86</v>
      </c>
      <c r="AT58" s="6">
        <v>0</v>
      </c>
      <c r="AU58" s="6">
        <v>0</v>
      </c>
      <c r="AV58" s="6">
        <v>6164</v>
      </c>
      <c r="AW58" s="6">
        <v>6234</v>
      </c>
      <c r="AX58" s="6">
        <v>6342</v>
      </c>
      <c r="AY58" s="6">
        <v>6393</v>
      </c>
      <c r="AZ58" s="6">
        <v>6758</v>
      </c>
      <c r="BA58" s="6">
        <v>6775</v>
      </c>
      <c r="BB58" s="6">
        <v>6775</v>
      </c>
      <c r="BC58" s="6">
        <v>6536</v>
      </c>
      <c r="BD58" s="6">
        <v>6528</v>
      </c>
      <c r="BE58" s="6">
        <v>6201</v>
      </c>
      <c r="BF58" s="6">
        <v>6167</v>
      </c>
      <c r="BG58" s="6">
        <v>6208</v>
      </c>
      <c r="BH58" s="6">
        <v>6142</v>
      </c>
      <c r="BI58" s="6">
        <v>6141</v>
      </c>
    </row>
    <row r="59" spans="2:94">
      <c r="B59" s="6" t="s">
        <v>76</v>
      </c>
      <c r="C59" s="6"/>
      <c r="D59" s="6"/>
      <c r="E59" s="6"/>
      <c r="F59" s="6"/>
      <c r="G59" s="6"/>
      <c r="H59" s="6"/>
      <c r="I59" s="6"/>
      <c r="J59" s="6"/>
      <c r="K59" s="6"/>
      <c r="L59" s="6"/>
      <c r="M59" s="6"/>
      <c r="N59" s="6"/>
      <c r="O59" s="6"/>
      <c r="P59" s="6"/>
      <c r="Q59" s="6"/>
      <c r="R59" s="6"/>
      <c r="S59" s="6"/>
      <c r="T59" s="6"/>
      <c r="U59" s="6"/>
      <c r="V59" s="6"/>
      <c r="W59" s="6"/>
      <c r="X59" s="6"/>
      <c r="Y59" s="6"/>
      <c r="Z59" s="6"/>
      <c r="AA59" s="6"/>
      <c r="AB59" s="6"/>
      <c r="AC59" s="6">
        <v>5687</v>
      </c>
      <c r="AD59" s="6">
        <v>6467</v>
      </c>
      <c r="AE59" s="6">
        <v>7104</v>
      </c>
      <c r="AF59" s="6">
        <v>7899</v>
      </c>
      <c r="AG59" s="6">
        <v>8591</v>
      </c>
      <c r="AH59" s="6">
        <v>9462</v>
      </c>
      <c r="AI59" s="6">
        <v>10628</v>
      </c>
      <c r="AJ59" s="6">
        <v>12158</v>
      </c>
      <c r="AK59" s="6">
        <v>13721</v>
      </c>
      <c r="AL59" s="6">
        <v>16211</v>
      </c>
      <c r="AM59" s="6">
        <v>18357</v>
      </c>
      <c r="AN59" s="6">
        <v>21112</v>
      </c>
      <c r="AO59" s="6">
        <v>24683</v>
      </c>
      <c r="AP59" s="6">
        <v>27345</v>
      </c>
      <c r="AQ59" s="6">
        <v>29999</v>
      </c>
      <c r="AR59" s="6">
        <v>32284</v>
      </c>
      <c r="AS59" s="6">
        <v>35323</v>
      </c>
      <c r="AT59" s="6">
        <v>37127</v>
      </c>
      <c r="AU59" s="6">
        <v>39006</v>
      </c>
      <c r="AV59" s="6">
        <v>42290</v>
      </c>
      <c r="AW59" s="6">
        <v>45633</v>
      </c>
      <c r="AX59" s="6">
        <v>47720</v>
      </c>
      <c r="AY59" s="6">
        <v>50909</v>
      </c>
      <c r="AZ59" s="6">
        <v>53726</v>
      </c>
      <c r="BA59" s="6">
        <v>57809</v>
      </c>
      <c r="BB59" s="6">
        <v>61582</v>
      </c>
      <c r="BC59" s="6">
        <v>67588</v>
      </c>
      <c r="BD59" s="6">
        <v>73738</v>
      </c>
      <c r="BE59" s="6">
        <v>79518</v>
      </c>
      <c r="BF59" s="6">
        <v>84156</v>
      </c>
      <c r="BG59" s="6">
        <v>87949</v>
      </c>
      <c r="BH59" s="6">
        <v>91772</v>
      </c>
      <c r="BI59" s="6">
        <v>96587</v>
      </c>
    </row>
    <row r="60" spans="2:94">
      <c r="B60" s="6" t="s">
        <v>77</v>
      </c>
      <c r="C60" s="6"/>
      <c r="D60" s="6"/>
      <c r="E60" s="6"/>
      <c r="F60" s="6"/>
      <c r="G60" s="6"/>
      <c r="H60" s="6"/>
      <c r="I60" s="6"/>
      <c r="J60" s="6"/>
      <c r="K60" s="6"/>
      <c r="L60" s="6"/>
      <c r="M60" s="6"/>
      <c r="N60" s="6"/>
      <c r="O60" s="6"/>
      <c r="P60" s="6"/>
      <c r="Q60" s="6"/>
      <c r="R60" s="6"/>
      <c r="S60" s="6"/>
      <c r="T60" s="6"/>
      <c r="U60" s="6"/>
      <c r="V60" s="6"/>
      <c r="W60" s="6"/>
      <c r="X60" s="6"/>
      <c r="Y60" s="6"/>
      <c r="Z60" s="6"/>
      <c r="AA60" s="6"/>
      <c r="AB60" s="6"/>
      <c r="AC60" s="6">
        <v>0</v>
      </c>
      <c r="AD60" s="6">
        <v>0</v>
      </c>
      <c r="AE60" s="6">
        <v>0</v>
      </c>
      <c r="AF60" s="6">
        <v>0</v>
      </c>
      <c r="AG60" s="6">
        <v>0</v>
      </c>
      <c r="AH60" s="6">
        <v>0</v>
      </c>
      <c r="AI60" s="6">
        <v>0</v>
      </c>
      <c r="AJ60" s="6">
        <v>0</v>
      </c>
      <c r="AK60" s="6">
        <v>0</v>
      </c>
      <c r="AL60" s="6">
        <v>0</v>
      </c>
      <c r="AM60" s="6">
        <v>0</v>
      </c>
      <c r="AN60" s="6">
        <v>0</v>
      </c>
      <c r="AO60" s="6">
        <v>0</v>
      </c>
      <c r="AP60" s="6">
        <v>6747</v>
      </c>
      <c r="AQ60" s="6">
        <v>7272</v>
      </c>
      <c r="AR60" s="6">
        <v>8403</v>
      </c>
      <c r="AS60" s="6">
        <v>9460</v>
      </c>
      <c r="AT60" s="6">
        <v>9359</v>
      </c>
      <c r="AU60" s="6">
        <v>9429</v>
      </c>
      <c r="AV60" s="6">
        <v>9439</v>
      </c>
      <c r="AW60" s="6">
        <v>9348</v>
      </c>
      <c r="AX60" s="6">
        <v>10202</v>
      </c>
      <c r="AY60" s="6">
        <v>10525</v>
      </c>
      <c r="AZ60" s="6">
        <v>11063</v>
      </c>
      <c r="BA60" s="6">
        <v>12155</v>
      </c>
      <c r="BB60" s="6">
        <v>12241</v>
      </c>
      <c r="BC60" s="6">
        <v>14130</v>
      </c>
      <c r="BD60" s="6">
        <v>13641</v>
      </c>
      <c r="BE60" s="6">
        <v>12673</v>
      </c>
      <c r="BF60" s="6">
        <v>12899</v>
      </c>
      <c r="BG60" s="6">
        <v>12955</v>
      </c>
      <c r="BH60" s="6">
        <v>13033</v>
      </c>
      <c r="BI60" s="6">
        <v>13294</v>
      </c>
    </row>
    <row r="61" spans="2:94">
      <c r="B61" s="6" t="s">
        <v>78</v>
      </c>
      <c r="C61" s="6"/>
      <c r="D61" s="6"/>
      <c r="E61" s="6"/>
      <c r="F61" s="6"/>
      <c r="G61" s="6"/>
      <c r="H61" s="6"/>
      <c r="I61" s="6"/>
      <c r="J61" s="6"/>
      <c r="K61" s="6"/>
      <c r="L61" s="6"/>
      <c r="M61" s="6"/>
      <c r="N61" s="6"/>
      <c r="O61" s="6"/>
      <c r="P61" s="6"/>
      <c r="Q61" s="6"/>
      <c r="R61" s="6"/>
      <c r="S61" s="6"/>
      <c r="T61" s="6"/>
      <c r="U61" s="6"/>
      <c r="V61" s="6"/>
      <c r="W61" s="6"/>
      <c r="X61" s="6"/>
      <c r="Y61" s="6"/>
      <c r="Z61" s="6"/>
      <c r="AA61" s="6"/>
      <c r="AB61" s="6"/>
      <c r="AC61" s="6">
        <v>3246</v>
      </c>
      <c r="AD61" s="6">
        <v>3067</v>
      </c>
      <c r="AE61" s="6">
        <v>2879</v>
      </c>
      <c r="AF61" s="6">
        <v>2702</v>
      </c>
      <c r="AG61" s="6">
        <v>2535</v>
      </c>
      <c r="AH61" s="6">
        <v>2360</v>
      </c>
      <c r="AI61" s="6">
        <v>2186</v>
      </c>
      <c r="AJ61" s="6">
        <v>2050</v>
      </c>
      <c r="AK61" s="6">
        <v>1884</v>
      </c>
      <c r="AL61" s="6">
        <v>1735</v>
      </c>
      <c r="AM61" s="6">
        <v>1573</v>
      </c>
      <c r="AN61" s="6">
        <v>1451</v>
      </c>
      <c r="AO61" s="6">
        <v>1294</v>
      </c>
      <c r="AP61" s="6">
        <v>1150</v>
      </c>
      <c r="AQ61" s="6">
        <v>994</v>
      </c>
      <c r="AR61" s="6">
        <v>853</v>
      </c>
      <c r="AS61" s="6">
        <v>894</v>
      </c>
      <c r="AT61" s="6">
        <v>838</v>
      </c>
      <c r="AU61" s="6">
        <v>859</v>
      </c>
      <c r="AV61" s="6">
        <v>744</v>
      </c>
      <c r="AW61" s="6">
        <v>623</v>
      </c>
      <c r="AX61" s="6">
        <v>505</v>
      </c>
      <c r="AY61" s="6">
        <v>514</v>
      </c>
      <c r="AZ61" s="6">
        <v>365</v>
      </c>
      <c r="BA61" s="6">
        <v>634</v>
      </c>
      <c r="BB61" s="6">
        <v>910</v>
      </c>
      <c r="BC61" s="6">
        <v>965</v>
      </c>
      <c r="BD61" s="6">
        <v>875</v>
      </c>
      <c r="BE61" s="6">
        <v>897</v>
      </c>
      <c r="BF61" s="6">
        <v>949</v>
      </c>
      <c r="BG61" s="6">
        <v>856</v>
      </c>
      <c r="BH61" s="6">
        <v>813</v>
      </c>
      <c r="BI61" s="6">
        <v>788</v>
      </c>
    </row>
    <row r="62" spans="2:94">
      <c r="B62" s="6" t="s">
        <v>79</v>
      </c>
      <c r="C62" s="6"/>
      <c r="D62" s="6"/>
      <c r="E62" s="6"/>
      <c r="F62" s="6"/>
      <c r="G62" s="6"/>
      <c r="H62" s="6"/>
      <c r="I62" s="6"/>
      <c r="J62" s="6"/>
      <c r="K62" s="6"/>
      <c r="L62" s="6"/>
      <c r="M62" s="6"/>
      <c r="N62" s="6"/>
      <c r="O62" s="6"/>
      <c r="P62" s="6"/>
      <c r="Q62" s="6"/>
      <c r="R62" s="6"/>
      <c r="S62" s="6"/>
      <c r="T62" s="6"/>
      <c r="U62" s="6"/>
      <c r="V62" s="6"/>
      <c r="W62" s="6"/>
      <c r="X62" s="6"/>
      <c r="Y62" s="6"/>
      <c r="Z62" s="6"/>
      <c r="AA62" s="6"/>
      <c r="AB62" s="6"/>
      <c r="AC62" s="6">
        <v>18026</v>
      </c>
      <c r="AD62" s="6">
        <v>18029</v>
      </c>
      <c r="AE62" s="6">
        <v>18043</v>
      </c>
      <c r="AF62" s="6">
        <v>18085</v>
      </c>
      <c r="AG62" s="6">
        <v>18122</v>
      </c>
      <c r="AH62" s="6">
        <v>18126</v>
      </c>
      <c r="AI62" s="6">
        <v>18129</v>
      </c>
      <c r="AJ62" s="6">
        <v>18213</v>
      </c>
      <c r="AK62" s="6">
        <v>18221</v>
      </c>
      <c r="AL62" s="6">
        <v>18268</v>
      </c>
      <c r="AM62" s="6">
        <v>18263</v>
      </c>
      <c r="AN62" s="6">
        <v>18304</v>
      </c>
      <c r="AO62" s="6">
        <v>18301</v>
      </c>
      <c r="AP62" s="6">
        <v>18333</v>
      </c>
      <c r="AQ62" s="6">
        <v>18334</v>
      </c>
      <c r="AR62" s="6">
        <v>18338</v>
      </c>
      <c r="AS62" s="6">
        <v>18715</v>
      </c>
      <c r="AT62" s="6">
        <v>18811</v>
      </c>
      <c r="AU62" s="6">
        <v>19029</v>
      </c>
      <c r="AV62" s="6">
        <v>19031</v>
      </c>
      <c r="AW62" s="6">
        <v>19050</v>
      </c>
      <c r="AX62" s="6">
        <v>19056</v>
      </c>
      <c r="AY62" s="6">
        <v>19219</v>
      </c>
      <c r="AZ62" s="6">
        <v>19065</v>
      </c>
      <c r="BA62" s="6">
        <v>19197</v>
      </c>
      <c r="BB62" s="6">
        <v>19923</v>
      </c>
      <c r="BC62" s="6">
        <v>20229</v>
      </c>
      <c r="BD62" s="6">
        <v>20268</v>
      </c>
      <c r="BE62" s="6">
        <v>20306</v>
      </c>
      <c r="BF62" s="6">
        <v>20649</v>
      </c>
      <c r="BG62" s="6">
        <v>20659</v>
      </c>
      <c r="BH62" s="6">
        <v>20668</v>
      </c>
      <c r="BI62" s="6">
        <v>20654</v>
      </c>
    </row>
    <row r="63" spans="2:94">
      <c r="B63" s="6" t="s">
        <v>80</v>
      </c>
      <c r="C63" s="6"/>
      <c r="D63" s="6"/>
      <c r="E63" s="6"/>
      <c r="F63" s="6"/>
      <c r="G63" s="6"/>
      <c r="H63" s="6"/>
      <c r="I63" s="6"/>
      <c r="J63" s="6"/>
      <c r="K63" s="6"/>
      <c r="L63" s="6"/>
      <c r="M63" s="6"/>
      <c r="N63" s="6"/>
      <c r="O63" s="6"/>
      <c r="P63" s="6"/>
      <c r="Q63" s="6"/>
      <c r="R63" s="6"/>
      <c r="S63" s="6"/>
      <c r="T63" s="6"/>
      <c r="U63" s="6"/>
      <c r="V63" s="6"/>
      <c r="W63" s="6"/>
      <c r="X63" s="6"/>
      <c r="Y63" s="6"/>
      <c r="Z63" s="6"/>
      <c r="AA63" s="6"/>
      <c r="AB63" s="6"/>
      <c r="AC63" s="6">
        <v>796</v>
      </c>
      <c r="AD63" s="6">
        <v>700</v>
      </c>
      <c r="AE63" s="6">
        <v>703</v>
      </c>
      <c r="AF63" s="6">
        <v>660</v>
      </c>
      <c r="AG63" s="6">
        <v>1312</v>
      </c>
      <c r="AH63" s="6">
        <v>1836</v>
      </c>
      <c r="AI63" s="6">
        <v>2096</v>
      </c>
      <c r="AJ63" s="6">
        <v>2374</v>
      </c>
      <c r="AK63" s="6">
        <v>2135</v>
      </c>
      <c r="AL63" s="6">
        <v>2319</v>
      </c>
      <c r="AM63" s="6">
        <v>2265</v>
      </c>
      <c r="AN63" s="6">
        <v>2438</v>
      </c>
      <c r="AO63" s="6">
        <v>2576</v>
      </c>
      <c r="AP63" s="6">
        <v>2602</v>
      </c>
      <c r="AQ63" s="6">
        <v>2446</v>
      </c>
      <c r="AR63" s="6">
        <v>2461</v>
      </c>
      <c r="AS63" s="6">
        <v>2673</v>
      </c>
      <c r="AT63" s="6">
        <v>2887</v>
      </c>
      <c r="AU63" s="6">
        <v>3238</v>
      </c>
      <c r="AV63" s="6">
        <v>2969</v>
      </c>
      <c r="AW63" s="6">
        <v>2758</v>
      </c>
      <c r="AX63" s="6">
        <v>2376</v>
      </c>
      <c r="AY63" s="6">
        <v>2352</v>
      </c>
      <c r="AZ63" s="6">
        <v>3187</v>
      </c>
      <c r="BA63" s="6">
        <v>2751</v>
      </c>
      <c r="BB63" s="6">
        <v>3522</v>
      </c>
      <c r="BC63" s="6">
        <v>4344</v>
      </c>
      <c r="BD63" s="6">
        <v>5529</v>
      </c>
      <c r="BE63" s="6">
        <v>6583</v>
      </c>
      <c r="BF63" s="6">
        <v>7188</v>
      </c>
      <c r="BG63" s="6">
        <v>8501</v>
      </c>
      <c r="BH63" s="6">
        <v>5468</v>
      </c>
      <c r="BI63" s="6">
        <v>6794</v>
      </c>
    </row>
    <row r="64" spans="2:94" s="3" customFormat="1">
      <c r="B64" s="6" t="s">
        <v>81</v>
      </c>
      <c r="C64" s="6"/>
      <c r="D64" s="6"/>
      <c r="E64" s="6"/>
      <c r="F64" s="6"/>
      <c r="G64" s="6"/>
      <c r="H64" s="6"/>
      <c r="I64" s="6"/>
      <c r="J64" s="6"/>
      <c r="K64" s="6"/>
      <c r="L64" s="6"/>
      <c r="M64" s="6"/>
      <c r="N64" s="6"/>
      <c r="O64" s="6"/>
      <c r="P64" s="6"/>
      <c r="Q64" s="6"/>
      <c r="R64" s="6"/>
      <c r="S64" s="6"/>
      <c r="T64" s="6"/>
      <c r="U64" s="6"/>
      <c r="V64" s="6"/>
      <c r="W64" s="6"/>
      <c r="X64" s="6"/>
      <c r="Y64" s="6"/>
      <c r="Z64" s="6"/>
      <c r="AA64" s="6"/>
      <c r="AB64" s="6"/>
      <c r="AC64" s="6">
        <f t="shared" ref="AC64:BB64" si="217">+SUM(AC57:AC63)</f>
        <v>49407</v>
      </c>
      <c r="AD64" s="6">
        <f t="shared" si="217"/>
        <v>52075</v>
      </c>
      <c r="AE64" s="6">
        <f t="shared" si="217"/>
        <v>55739</v>
      </c>
      <c r="AF64" s="6">
        <f t="shared" si="217"/>
        <v>59674</v>
      </c>
      <c r="AG64" s="6">
        <f t="shared" si="217"/>
        <v>64961</v>
      </c>
      <c r="AH64" s="6">
        <f t="shared" si="217"/>
        <v>68714</v>
      </c>
      <c r="AI64" s="6">
        <f t="shared" si="217"/>
        <v>73843</v>
      </c>
      <c r="AJ64" s="6">
        <f t="shared" si="217"/>
        <v>78998</v>
      </c>
      <c r="AK64" s="6">
        <f t="shared" si="217"/>
        <v>84524</v>
      </c>
      <c r="AL64" s="6">
        <f t="shared" si="217"/>
        <v>88945</v>
      </c>
      <c r="AM64" s="6">
        <f t="shared" si="217"/>
        <v>90291</v>
      </c>
      <c r="AN64" s="6">
        <f t="shared" si="217"/>
        <v>92452</v>
      </c>
      <c r="AO64" s="6">
        <f t="shared" si="217"/>
        <v>97334</v>
      </c>
      <c r="AP64" s="6">
        <f t="shared" si="217"/>
        <v>109477</v>
      </c>
      <c r="AQ64" s="6">
        <f t="shared" si="217"/>
        <v>117006</v>
      </c>
      <c r="AR64" s="6">
        <f t="shared" si="217"/>
        <v>124418</v>
      </c>
      <c r="AS64" s="6">
        <f t="shared" si="217"/>
        <v>133376</v>
      </c>
      <c r="AT64" s="6">
        <f t="shared" si="217"/>
        <v>138371</v>
      </c>
      <c r="AU64" s="6">
        <f t="shared" si="217"/>
        <v>139691</v>
      </c>
      <c r="AV64" s="6">
        <f t="shared" si="217"/>
        <v>146436</v>
      </c>
      <c r="AW64" s="6">
        <f t="shared" si="217"/>
        <v>159316</v>
      </c>
      <c r="AX64" s="6">
        <f t="shared" si="217"/>
        <v>163523</v>
      </c>
      <c r="AY64" s="6">
        <f t="shared" si="217"/>
        <v>170609</v>
      </c>
      <c r="AZ64" s="6">
        <f t="shared" si="217"/>
        <v>169585</v>
      </c>
      <c r="BA64" s="6">
        <f t="shared" si="217"/>
        <v>165987</v>
      </c>
      <c r="BB64" s="6">
        <f t="shared" si="217"/>
        <v>164218</v>
      </c>
      <c r="BC64" s="6">
        <f t="shared" ref="BC64:BE64" si="218">+SUM(BC57:BC63)</f>
        <v>169779</v>
      </c>
      <c r="BD64" s="6">
        <f t="shared" si="218"/>
        <v>178894</v>
      </c>
      <c r="BE64" s="6">
        <f t="shared" si="218"/>
        <v>185727</v>
      </c>
      <c r="BF64" s="6">
        <f t="shared" ref="BF64:BI64" si="219">+SUM(BF57:BF63)</f>
        <v>184491</v>
      </c>
      <c r="BG64" s="6">
        <f t="shared" si="219"/>
        <v>206688</v>
      </c>
      <c r="BH64" s="6">
        <f t="shared" si="219"/>
        <v>216274</v>
      </c>
      <c r="BI64" s="6">
        <f t="shared" si="219"/>
        <v>229623</v>
      </c>
    </row>
    <row r="65" spans="2:61">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row>
    <row r="66" spans="2:61">
      <c r="B66" s="6" t="s">
        <v>82</v>
      </c>
      <c r="C66" s="6"/>
      <c r="D66" s="6"/>
      <c r="E66" s="6"/>
      <c r="F66" s="6"/>
      <c r="G66" s="6"/>
      <c r="H66" s="6"/>
      <c r="I66" s="6"/>
      <c r="J66" s="6"/>
      <c r="K66" s="6"/>
      <c r="L66" s="6"/>
      <c r="M66" s="6"/>
      <c r="N66" s="6"/>
      <c r="O66" s="6"/>
      <c r="P66" s="6"/>
      <c r="Q66" s="6"/>
      <c r="R66" s="6"/>
      <c r="S66" s="6"/>
      <c r="T66" s="6"/>
      <c r="U66" s="6"/>
      <c r="V66" s="6"/>
      <c r="W66" s="6"/>
      <c r="X66" s="6"/>
      <c r="Y66" s="6"/>
      <c r="Z66" s="6"/>
      <c r="AA66" s="6"/>
      <c r="AB66" s="6"/>
      <c r="AC66" s="6">
        <v>196</v>
      </c>
      <c r="AD66" s="6">
        <v>149</v>
      </c>
      <c r="AE66" s="6">
        <v>130</v>
      </c>
      <c r="AF66" s="6">
        <v>260</v>
      </c>
      <c r="AG66" s="6">
        <v>302</v>
      </c>
      <c r="AH66" s="6">
        <v>170</v>
      </c>
      <c r="AI66" s="6">
        <v>323</v>
      </c>
      <c r="AJ66" s="6">
        <v>383</v>
      </c>
      <c r="AK66" s="6">
        <v>380</v>
      </c>
      <c r="AL66" s="6">
        <v>593</v>
      </c>
      <c r="AM66" s="6">
        <v>419</v>
      </c>
      <c r="AN66" s="6">
        <v>590</v>
      </c>
      <c r="AO66" s="6">
        <v>820</v>
      </c>
      <c r="AP66" s="6">
        <v>604</v>
      </c>
      <c r="AQ66" s="6">
        <v>655</v>
      </c>
      <c r="AR66" s="6">
        <v>860</v>
      </c>
      <c r="AS66" s="6">
        <v>1363</v>
      </c>
      <c r="AT66" s="6">
        <v>829</v>
      </c>
      <c r="AU66" s="6">
        <v>920</v>
      </c>
      <c r="AV66" s="6">
        <v>1106</v>
      </c>
      <c r="AW66" s="6">
        <v>1331</v>
      </c>
      <c r="AX66" s="6">
        <v>878</v>
      </c>
      <c r="AY66" s="6">
        <v>973</v>
      </c>
      <c r="AZ66" s="6">
        <v>2195</v>
      </c>
      <c r="BA66" s="6">
        <v>4083</v>
      </c>
      <c r="BB66" s="6">
        <v>3246</v>
      </c>
      <c r="BC66" s="6">
        <v>4008</v>
      </c>
      <c r="BD66" s="6">
        <v>3871</v>
      </c>
      <c r="BE66" s="6">
        <v>4990</v>
      </c>
      <c r="BF66" s="6">
        <v>3672</v>
      </c>
      <c r="BG66" s="6">
        <v>3093</v>
      </c>
      <c r="BH66" s="6">
        <v>4372</v>
      </c>
      <c r="BI66" s="6">
        <v>4849</v>
      </c>
    </row>
    <row r="67" spans="2:61">
      <c r="B67" s="6" t="s">
        <v>83</v>
      </c>
      <c r="C67" s="6"/>
      <c r="D67" s="6"/>
      <c r="E67" s="6"/>
      <c r="F67" s="6"/>
      <c r="G67" s="6"/>
      <c r="H67" s="6"/>
      <c r="I67" s="6"/>
      <c r="J67" s="6"/>
      <c r="K67" s="6"/>
      <c r="L67" s="6"/>
      <c r="M67" s="6"/>
      <c r="N67" s="6"/>
      <c r="O67" s="6"/>
      <c r="P67" s="6"/>
      <c r="Q67" s="6"/>
      <c r="R67" s="6"/>
      <c r="S67" s="6"/>
      <c r="T67" s="6"/>
      <c r="U67" s="6"/>
      <c r="V67" s="6"/>
      <c r="W67" s="6"/>
      <c r="X67" s="6"/>
      <c r="Y67" s="6"/>
      <c r="Z67" s="6"/>
      <c r="AA67" s="6"/>
      <c r="AB67" s="6"/>
      <c r="AC67" s="6">
        <v>217</v>
      </c>
      <c r="AD67" s="6">
        <v>216</v>
      </c>
      <c r="AE67" s="6">
        <v>232</v>
      </c>
      <c r="AF67" s="6">
        <v>239</v>
      </c>
      <c r="AG67" s="6">
        <v>280</v>
      </c>
      <c r="AH67" s="6">
        <v>278</v>
      </c>
      <c r="AI67" s="6">
        <v>278</v>
      </c>
      <c r="AJ67" s="6">
        <v>314</v>
      </c>
      <c r="AK67" s="6">
        <v>390</v>
      </c>
      <c r="AL67" s="6">
        <v>396</v>
      </c>
      <c r="AM67" s="6">
        <v>440</v>
      </c>
      <c r="AN67" s="6">
        <v>502</v>
      </c>
      <c r="AO67" s="6">
        <v>541</v>
      </c>
      <c r="AP67" s="6">
        <v>537</v>
      </c>
      <c r="AQ67" s="6">
        <v>560</v>
      </c>
      <c r="AR67" s="6">
        <v>590</v>
      </c>
      <c r="AS67" s="6">
        <v>886</v>
      </c>
      <c r="AT67" s="6">
        <v>712</v>
      </c>
      <c r="AU67" s="6">
        <v>729</v>
      </c>
      <c r="AV67" s="6">
        <v>800</v>
      </c>
      <c r="AW67" s="6">
        <v>1093</v>
      </c>
      <c r="AX67" s="6">
        <v>1006</v>
      </c>
      <c r="AY67" s="6">
        <v>949</v>
      </c>
      <c r="AZ67" s="6">
        <v>909</v>
      </c>
      <c r="BA67" s="6">
        <v>1052</v>
      </c>
      <c r="BB67" s="6">
        <v>935</v>
      </c>
      <c r="BC67" s="6">
        <v>982</v>
      </c>
      <c r="BD67" s="6">
        <v>975</v>
      </c>
      <c r="BE67" s="6">
        <v>1117</v>
      </c>
      <c r="BF67" s="6">
        <v>885</v>
      </c>
      <c r="BG67" s="6">
        <v>772</v>
      </c>
      <c r="BH67" s="6">
        <v>770</v>
      </c>
      <c r="BI67" s="6">
        <v>863</v>
      </c>
    </row>
    <row r="68" spans="2:61">
      <c r="B68" s="6" t="s">
        <v>77</v>
      </c>
      <c r="C68" s="6"/>
      <c r="D68" s="6"/>
      <c r="E68" s="6"/>
      <c r="F68" s="6"/>
      <c r="G68" s="6"/>
      <c r="H68" s="6"/>
      <c r="I68" s="6"/>
      <c r="J68" s="6"/>
      <c r="K68" s="6"/>
      <c r="L68" s="6"/>
      <c r="M68" s="6"/>
      <c r="N68" s="6"/>
      <c r="O68" s="6"/>
      <c r="P68" s="6"/>
      <c r="Q68" s="6"/>
      <c r="R68" s="6"/>
      <c r="S68" s="6"/>
      <c r="T68" s="6"/>
      <c r="U68" s="6"/>
      <c r="V68" s="6"/>
      <c r="W68" s="6"/>
      <c r="X68" s="6"/>
      <c r="Y68" s="6"/>
      <c r="Z68" s="6"/>
      <c r="AA68" s="6"/>
      <c r="AB68" s="6"/>
      <c r="AC68" s="6">
        <v>7</v>
      </c>
      <c r="AD68" s="6">
        <v>0</v>
      </c>
      <c r="AE68" s="6">
        <v>0</v>
      </c>
      <c r="AF68" s="6">
        <v>0</v>
      </c>
      <c r="AG68" s="6">
        <v>0</v>
      </c>
      <c r="AH68" s="6">
        <v>0</v>
      </c>
      <c r="AI68" s="6">
        <v>0</v>
      </c>
      <c r="AJ68" s="6">
        <v>0</v>
      </c>
      <c r="AK68" s="6">
        <v>0</v>
      </c>
      <c r="AL68" s="6">
        <v>0</v>
      </c>
      <c r="AM68" s="6">
        <v>0</v>
      </c>
      <c r="AN68" s="6">
        <v>0</v>
      </c>
      <c r="AO68" s="6">
        <v>0</v>
      </c>
      <c r="AP68" s="6">
        <v>645</v>
      </c>
      <c r="AQ68" s="6">
        <v>688</v>
      </c>
      <c r="AR68" s="6">
        <v>776</v>
      </c>
      <c r="AS68" s="6">
        <v>800</v>
      </c>
      <c r="AT68" s="6">
        <v>835</v>
      </c>
      <c r="AU68" s="6">
        <v>899</v>
      </c>
      <c r="AV68" s="6">
        <v>975</v>
      </c>
      <c r="AW68" s="6">
        <v>1023</v>
      </c>
      <c r="AX68" s="6">
        <v>1040</v>
      </c>
      <c r="AY68" s="6">
        <v>1051</v>
      </c>
      <c r="AZ68" s="6">
        <v>1086</v>
      </c>
      <c r="BA68" s="6">
        <v>1127</v>
      </c>
      <c r="BB68" s="6">
        <v>1159</v>
      </c>
      <c r="BC68" s="6">
        <v>1275</v>
      </c>
      <c r="BD68" s="6">
        <v>1291</v>
      </c>
      <c r="BE68" s="6">
        <v>1367</v>
      </c>
      <c r="BF68" s="6">
        <v>1479</v>
      </c>
      <c r="BG68" s="6">
        <v>1396</v>
      </c>
      <c r="BH68" s="6">
        <v>1460</v>
      </c>
      <c r="BI68" s="6">
        <v>1623</v>
      </c>
    </row>
    <row r="69" spans="2:61">
      <c r="B69" s="6" t="s">
        <v>84</v>
      </c>
      <c r="C69" s="6"/>
      <c r="D69" s="6"/>
      <c r="E69" s="6"/>
      <c r="F69" s="6"/>
      <c r="G69" s="6"/>
      <c r="H69" s="6"/>
      <c r="I69" s="6"/>
      <c r="J69" s="6"/>
      <c r="K69" s="6"/>
      <c r="L69" s="6"/>
      <c r="M69" s="6"/>
      <c r="N69" s="6"/>
      <c r="O69" s="6"/>
      <c r="P69" s="6"/>
      <c r="Q69" s="6"/>
      <c r="R69" s="6"/>
      <c r="S69" s="6"/>
      <c r="T69" s="6"/>
      <c r="U69" s="6"/>
      <c r="V69" s="6"/>
      <c r="W69" s="6"/>
      <c r="X69" s="6"/>
      <c r="Y69" s="6"/>
      <c r="Z69" s="6"/>
      <c r="AA69" s="6"/>
      <c r="AB69" s="6"/>
      <c r="AC69" s="6">
        <v>1449</v>
      </c>
      <c r="AD69" s="6">
        <v>1389</v>
      </c>
      <c r="AE69" s="6">
        <v>1770</v>
      </c>
      <c r="AF69" s="6">
        <v>2018</v>
      </c>
      <c r="AG69" s="6">
        <v>2203</v>
      </c>
      <c r="AH69" s="6">
        <v>2400</v>
      </c>
      <c r="AI69" s="6">
        <v>2626</v>
      </c>
      <c r="AJ69" s="6">
        <v>2503</v>
      </c>
      <c r="AK69" s="6">
        <v>2892</v>
      </c>
      <c r="AL69" s="6">
        <v>4003</v>
      </c>
      <c r="AM69" s="6">
        <v>3720</v>
      </c>
      <c r="AN69" s="6">
        <v>4255</v>
      </c>
      <c r="AO69" s="6">
        <v>5509</v>
      </c>
      <c r="AP69" s="6">
        <v>7980</v>
      </c>
      <c r="AQ69" s="6">
        <v>10878</v>
      </c>
      <c r="AR69" s="6">
        <v>10877</v>
      </c>
      <c r="AS69" s="6">
        <v>11735</v>
      </c>
      <c r="AT69" s="6">
        <v>12446</v>
      </c>
      <c r="AU69" s="6">
        <v>8496</v>
      </c>
      <c r="AV69" s="6">
        <v>8684</v>
      </c>
      <c r="AW69" s="6">
        <v>11152</v>
      </c>
      <c r="AX69" s="6">
        <v>9411</v>
      </c>
      <c r="AY69" s="6">
        <v>11510</v>
      </c>
      <c r="AZ69" s="6">
        <v>13158</v>
      </c>
      <c r="BA69" s="6">
        <v>14312</v>
      </c>
      <c r="BB69" s="6">
        <v>15226</v>
      </c>
      <c r="BC69" s="6">
        <v>15420</v>
      </c>
      <c r="BD69" s="6">
        <v>16036</v>
      </c>
      <c r="BE69" s="6">
        <v>19552</v>
      </c>
      <c r="BF69" s="6">
        <v>19345</v>
      </c>
      <c r="BG69" s="6">
        <v>24660</v>
      </c>
      <c r="BH69" s="6">
        <v>23929</v>
      </c>
      <c r="BI69" s="6">
        <v>24625</v>
      </c>
    </row>
    <row r="70" spans="2:61">
      <c r="B70" s="6" t="s">
        <v>85</v>
      </c>
      <c r="C70" s="6"/>
      <c r="D70" s="6"/>
      <c r="E70" s="6"/>
      <c r="F70" s="6"/>
      <c r="G70" s="6"/>
      <c r="H70" s="6"/>
      <c r="I70" s="6"/>
      <c r="J70" s="6"/>
      <c r="K70" s="6"/>
      <c r="L70" s="6"/>
      <c r="M70" s="6"/>
      <c r="N70" s="6"/>
      <c r="O70" s="6"/>
      <c r="P70" s="6"/>
      <c r="Q70" s="6"/>
      <c r="R70" s="6"/>
      <c r="S70" s="6"/>
      <c r="T70" s="6"/>
      <c r="U70" s="6"/>
      <c r="V70" s="6"/>
      <c r="W70" s="6"/>
      <c r="X70" s="6"/>
      <c r="Y70" s="6"/>
      <c r="Z70" s="6"/>
      <c r="AA70" s="6"/>
      <c r="AB70" s="6"/>
      <c r="AC70" s="6">
        <v>56</v>
      </c>
      <c r="AD70" s="6">
        <v>55</v>
      </c>
      <c r="AE70" s="6">
        <v>79</v>
      </c>
      <c r="AF70" s="6">
        <v>78</v>
      </c>
      <c r="AG70" s="6">
        <v>90</v>
      </c>
      <c r="AH70" s="6">
        <v>80</v>
      </c>
      <c r="AI70" s="6">
        <v>88</v>
      </c>
      <c r="AJ70" s="6">
        <v>105</v>
      </c>
      <c r="AK70" s="6">
        <v>98</v>
      </c>
      <c r="AL70" s="6">
        <v>94</v>
      </c>
      <c r="AM70" s="6">
        <v>91</v>
      </c>
      <c r="AN70" s="6">
        <v>115</v>
      </c>
      <c r="AO70" s="6">
        <v>147</v>
      </c>
      <c r="AP70" s="6">
        <v>142</v>
      </c>
      <c r="AQ70" s="6">
        <v>198</v>
      </c>
      <c r="AR70" s="6">
        <v>225</v>
      </c>
      <c r="AS70" s="6">
        <v>269</v>
      </c>
      <c r="AT70" s="6">
        <v>247</v>
      </c>
      <c r="AU70" s="6">
        <v>264</v>
      </c>
      <c r="AV70" s="6">
        <v>379</v>
      </c>
      <c r="AW70" s="6">
        <v>382</v>
      </c>
      <c r="AX70" s="6">
        <v>382</v>
      </c>
      <c r="AY70" s="6">
        <v>391</v>
      </c>
      <c r="AZ70" s="6">
        <v>464</v>
      </c>
      <c r="BA70" s="6">
        <v>561</v>
      </c>
      <c r="BB70" s="6">
        <v>520</v>
      </c>
      <c r="BC70" s="6">
        <v>532</v>
      </c>
      <c r="BD70" s="6">
        <v>514</v>
      </c>
      <c r="BE70" s="6">
        <v>0</v>
      </c>
      <c r="BF70" s="6">
        <v>0</v>
      </c>
      <c r="BG70" s="6">
        <v>0</v>
      </c>
      <c r="BH70" s="6">
        <v>0</v>
      </c>
      <c r="BI70" s="6">
        <v>0</v>
      </c>
    </row>
    <row r="71" spans="2:61" s="3" customFormat="1">
      <c r="B71" s="6" t="s">
        <v>86</v>
      </c>
      <c r="C71" s="6"/>
      <c r="D71" s="6"/>
      <c r="E71" s="6"/>
      <c r="F71" s="6"/>
      <c r="G71" s="6"/>
      <c r="H71" s="6"/>
      <c r="I71" s="6"/>
      <c r="J71" s="6"/>
      <c r="K71" s="6"/>
      <c r="L71" s="6"/>
      <c r="M71" s="6"/>
      <c r="N71" s="6"/>
      <c r="O71" s="6"/>
      <c r="P71" s="6"/>
      <c r="Q71" s="6"/>
      <c r="R71" s="6"/>
      <c r="S71" s="6"/>
      <c r="T71" s="6"/>
      <c r="U71" s="6"/>
      <c r="V71" s="6"/>
      <c r="W71" s="6"/>
      <c r="X71" s="6"/>
      <c r="Y71" s="6"/>
      <c r="Z71" s="6"/>
      <c r="AA71" s="6"/>
      <c r="AB71" s="6"/>
      <c r="AC71" s="6">
        <f t="shared" ref="AC71:BB71" si="220">+SUM(AC66:AC70)</f>
        <v>1925</v>
      </c>
      <c r="AD71" s="6">
        <f t="shared" si="220"/>
        <v>1809</v>
      </c>
      <c r="AE71" s="6">
        <f t="shared" si="220"/>
        <v>2211</v>
      </c>
      <c r="AF71" s="6">
        <f t="shared" si="220"/>
        <v>2595</v>
      </c>
      <c r="AG71" s="6">
        <f t="shared" si="220"/>
        <v>2875</v>
      </c>
      <c r="AH71" s="6">
        <f t="shared" si="220"/>
        <v>2928</v>
      </c>
      <c r="AI71" s="6">
        <f t="shared" si="220"/>
        <v>3315</v>
      </c>
      <c r="AJ71" s="6">
        <f t="shared" si="220"/>
        <v>3305</v>
      </c>
      <c r="AK71" s="6">
        <f t="shared" si="220"/>
        <v>3760</v>
      </c>
      <c r="AL71" s="6">
        <f t="shared" si="220"/>
        <v>5086</v>
      </c>
      <c r="AM71" s="6">
        <f t="shared" si="220"/>
        <v>4670</v>
      </c>
      <c r="AN71" s="6">
        <f t="shared" si="220"/>
        <v>5462</v>
      </c>
      <c r="AO71" s="6">
        <f t="shared" si="220"/>
        <v>7017</v>
      </c>
      <c r="AP71" s="6">
        <f t="shared" si="220"/>
        <v>9908</v>
      </c>
      <c r="AQ71" s="6">
        <f t="shared" si="220"/>
        <v>12979</v>
      </c>
      <c r="AR71" s="6">
        <f t="shared" si="220"/>
        <v>13328</v>
      </c>
      <c r="AS71" s="6">
        <f t="shared" si="220"/>
        <v>15053</v>
      </c>
      <c r="AT71" s="6">
        <f t="shared" si="220"/>
        <v>15069</v>
      </c>
      <c r="AU71" s="6">
        <f t="shared" si="220"/>
        <v>11308</v>
      </c>
      <c r="AV71" s="6">
        <f t="shared" si="220"/>
        <v>11944</v>
      </c>
      <c r="AW71" s="6">
        <f t="shared" si="220"/>
        <v>14981</v>
      </c>
      <c r="AX71" s="6">
        <f t="shared" si="220"/>
        <v>12717</v>
      </c>
      <c r="AY71" s="6">
        <f t="shared" si="220"/>
        <v>14874</v>
      </c>
      <c r="AZ71" s="6">
        <f t="shared" si="220"/>
        <v>17812</v>
      </c>
      <c r="BA71" s="6">
        <f t="shared" si="220"/>
        <v>21135</v>
      </c>
      <c r="BB71" s="6">
        <f t="shared" si="220"/>
        <v>21086</v>
      </c>
      <c r="BC71" s="6">
        <f t="shared" ref="BC71:BG71" si="221">+SUM(BC66:BC70)</f>
        <v>22217</v>
      </c>
      <c r="BD71" s="6">
        <f t="shared" si="221"/>
        <v>22687</v>
      </c>
      <c r="BE71" s="6">
        <f t="shared" si="221"/>
        <v>27026</v>
      </c>
      <c r="BF71" s="6">
        <f t="shared" si="221"/>
        <v>25381</v>
      </c>
      <c r="BG71" s="6">
        <f t="shared" si="221"/>
        <v>29921</v>
      </c>
      <c r="BH71" s="6">
        <f t="shared" ref="BH71:BI71" si="222">+SUM(BH66:BH70)</f>
        <v>30531</v>
      </c>
      <c r="BI71" s="6">
        <f t="shared" si="222"/>
        <v>31960</v>
      </c>
    </row>
    <row r="72" spans="2:61">
      <c r="B72" s="6" t="s">
        <v>77</v>
      </c>
      <c r="C72" s="6"/>
      <c r="D72" s="6"/>
      <c r="E72" s="6"/>
      <c r="F72" s="6"/>
      <c r="G72" s="6"/>
      <c r="H72" s="6"/>
      <c r="I72" s="6"/>
      <c r="J72" s="6"/>
      <c r="K72" s="6"/>
      <c r="L72" s="6"/>
      <c r="M72" s="6"/>
      <c r="N72" s="6"/>
      <c r="O72" s="6"/>
      <c r="P72" s="6"/>
      <c r="Q72" s="6"/>
      <c r="R72" s="6"/>
      <c r="S72" s="6"/>
      <c r="T72" s="6"/>
      <c r="U72" s="6"/>
      <c r="V72" s="6"/>
      <c r="W72" s="6"/>
      <c r="X72" s="6"/>
      <c r="Y72" s="6"/>
      <c r="Z72" s="6"/>
      <c r="AA72" s="6"/>
      <c r="AB72" s="6"/>
      <c r="AC72" s="6">
        <v>107</v>
      </c>
      <c r="AD72" s="6">
        <v>0</v>
      </c>
      <c r="AE72" s="6">
        <v>0</v>
      </c>
      <c r="AF72" s="6">
        <v>0</v>
      </c>
      <c r="AG72" s="6">
        <v>0</v>
      </c>
      <c r="AH72" s="6">
        <v>0</v>
      </c>
      <c r="AI72" s="6">
        <v>0</v>
      </c>
      <c r="AJ72" s="6">
        <v>0</v>
      </c>
      <c r="AK72" s="6">
        <v>0</v>
      </c>
      <c r="AL72" s="6">
        <v>0</v>
      </c>
      <c r="AM72" s="6">
        <v>0</v>
      </c>
      <c r="AN72" s="6">
        <v>0</v>
      </c>
      <c r="AO72" s="6">
        <v>0</v>
      </c>
      <c r="AP72" s="6">
        <v>6565</v>
      </c>
      <c r="AQ72" s="6">
        <v>7122</v>
      </c>
      <c r="AR72" s="6">
        <v>8356</v>
      </c>
      <c r="AS72" s="6">
        <v>9524</v>
      </c>
      <c r="AT72" s="6">
        <v>9509</v>
      </c>
      <c r="AU72" s="6">
        <v>9633</v>
      </c>
      <c r="AV72" s="6">
        <v>9641</v>
      </c>
      <c r="AW72" s="6">
        <v>9631</v>
      </c>
      <c r="AX72" s="6">
        <v>10574</v>
      </c>
      <c r="AY72" s="6">
        <v>10956</v>
      </c>
      <c r="AZ72" s="6">
        <v>11554</v>
      </c>
      <c r="BA72" s="6">
        <v>12746</v>
      </c>
      <c r="BB72" s="6">
        <v>12894</v>
      </c>
      <c r="BC72" s="6">
        <v>14792</v>
      </c>
      <c r="BD72" s="6">
        <v>14687</v>
      </c>
      <c r="BE72" s="6">
        <v>15301</v>
      </c>
      <c r="BF72" s="6">
        <v>16171</v>
      </c>
      <c r="BG72" s="6">
        <v>16440</v>
      </c>
      <c r="BH72" s="6">
        <v>16374</v>
      </c>
      <c r="BI72" s="6">
        <v>17226</v>
      </c>
    </row>
    <row r="73" spans="2:61">
      <c r="B73" s="6" t="s">
        <v>181</v>
      </c>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v>9922</v>
      </c>
      <c r="BE73" s="6">
        <v>9923</v>
      </c>
      <c r="BF73" s="6">
        <v>9925</v>
      </c>
      <c r="BG73" s="6">
        <v>18382</v>
      </c>
      <c r="BH73" s="6">
        <v>18383</v>
      </c>
      <c r="BI73" s="6">
        <v>18385</v>
      </c>
    </row>
    <row r="74" spans="2:61">
      <c r="B74" s="6" t="s">
        <v>87</v>
      </c>
      <c r="C74" s="6"/>
      <c r="D74" s="6"/>
      <c r="E74" s="6"/>
      <c r="F74" s="6"/>
      <c r="G74" s="6"/>
      <c r="H74" s="6"/>
      <c r="I74" s="6"/>
      <c r="J74" s="6"/>
      <c r="K74" s="6"/>
      <c r="L74" s="6"/>
      <c r="M74" s="6"/>
      <c r="N74" s="6"/>
      <c r="O74" s="6"/>
      <c r="P74" s="6"/>
      <c r="Q74" s="6"/>
      <c r="R74" s="6"/>
      <c r="S74" s="6"/>
      <c r="T74" s="6"/>
      <c r="U74" s="6"/>
      <c r="V74" s="6"/>
      <c r="W74" s="6"/>
      <c r="X74" s="6"/>
      <c r="Y74" s="6"/>
      <c r="Z74" s="6"/>
      <c r="AA74" s="6"/>
      <c r="AB74" s="6"/>
      <c r="AC74" s="6">
        <v>3157</v>
      </c>
      <c r="AD74" s="6">
        <v>3116</v>
      </c>
      <c r="AE74" s="6">
        <v>3145</v>
      </c>
      <c r="AF74" s="6">
        <v>2964</v>
      </c>
      <c r="AG74" s="6">
        <v>2892</v>
      </c>
      <c r="AH74" s="6">
        <v>3598</v>
      </c>
      <c r="AI74" s="6">
        <v>4047</v>
      </c>
      <c r="AJ74" s="6">
        <v>4485</v>
      </c>
      <c r="AK74" s="6">
        <v>6417</v>
      </c>
      <c r="AL74" s="6">
        <v>6239</v>
      </c>
      <c r="AM74" s="6">
        <v>6239</v>
      </c>
      <c r="AN74" s="6">
        <v>6648</v>
      </c>
      <c r="AO74" s="6">
        <v>6190</v>
      </c>
      <c r="AP74" s="6">
        <v>6488</v>
      </c>
      <c r="AQ74" s="6">
        <v>8143</v>
      </c>
      <c r="AR74" s="6">
        <v>8735</v>
      </c>
      <c r="AS74" s="6">
        <v>7745</v>
      </c>
      <c r="AT74" s="6">
        <v>8489</v>
      </c>
      <c r="AU74" s="6">
        <v>8303</v>
      </c>
      <c r="AV74" s="6">
        <v>7121</v>
      </c>
      <c r="AW74" s="6">
        <v>6414</v>
      </c>
      <c r="AX74" s="6">
        <v>6575</v>
      </c>
      <c r="AY74" s="6">
        <v>6552</v>
      </c>
      <c r="AZ74" s="6">
        <v>6859</v>
      </c>
      <c r="BA74" s="6">
        <v>6859</v>
      </c>
      <c r="BB74" s="6">
        <v>7010</v>
      </c>
      <c r="BC74" s="6">
        <v>7003</v>
      </c>
      <c r="BD74" s="6">
        <v>7504</v>
      </c>
      <c r="BE74" s="6">
        <v>7764</v>
      </c>
      <c r="BF74" s="6">
        <v>8219</v>
      </c>
      <c r="BG74" s="6">
        <v>7912</v>
      </c>
      <c r="BH74" s="6">
        <v>8113</v>
      </c>
      <c r="BI74" s="6">
        <v>8884</v>
      </c>
    </row>
    <row r="75" spans="2:61" s="3" customFormat="1">
      <c r="B75" s="6" t="s">
        <v>69</v>
      </c>
      <c r="C75" s="6"/>
      <c r="D75" s="6"/>
      <c r="E75" s="6"/>
      <c r="F75" s="6"/>
      <c r="G75" s="6"/>
      <c r="H75" s="6"/>
      <c r="I75" s="6"/>
      <c r="J75" s="6"/>
      <c r="K75" s="6"/>
      <c r="L75" s="6"/>
      <c r="M75" s="6"/>
      <c r="N75" s="6"/>
      <c r="O75" s="6"/>
      <c r="P75" s="6"/>
      <c r="Q75" s="6"/>
      <c r="R75" s="6"/>
      <c r="S75" s="6"/>
      <c r="T75" s="6"/>
      <c r="U75" s="6"/>
      <c r="V75" s="6"/>
      <c r="W75" s="6"/>
      <c r="X75" s="6"/>
      <c r="Y75" s="6"/>
      <c r="Z75" s="6"/>
      <c r="AA75" s="6"/>
      <c r="AB75" s="6"/>
      <c r="AC75" s="6">
        <f t="shared" ref="AC75:BB75" si="223">+SUM(AC71:AC74)</f>
        <v>5189</v>
      </c>
      <c r="AD75" s="6">
        <f t="shared" si="223"/>
        <v>4925</v>
      </c>
      <c r="AE75" s="6">
        <f t="shared" si="223"/>
        <v>5356</v>
      </c>
      <c r="AF75" s="6">
        <f t="shared" si="223"/>
        <v>5559</v>
      </c>
      <c r="AG75" s="6">
        <f t="shared" si="223"/>
        <v>5767</v>
      </c>
      <c r="AH75" s="6">
        <f t="shared" si="223"/>
        <v>6526</v>
      </c>
      <c r="AI75" s="6">
        <f t="shared" si="223"/>
        <v>7362</v>
      </c>
      <c r="AJ75" s="6">
        <f t="shared" si="223"/>
        <v>7790</v>
      </c>
      <c r="AK75" s="6">
        <f t="shared" si="223"/>
        <v>10177</v>
      </c>
      <c r="AL75" s="6">
        <f t="shared" si="223"/>
        <v>11325</v>
      </c>
      <c r="AM75" s="6">
        <f t="shared" si="223"/>
        <v>10909</v>
      </c>
      <c r="AN75" s="6">
        <f t="shared" si="223"/>
        <v>12110</v>
      </c>
      <c r="AO75" s="6">
        <f t="shared" si="223"/>
        <v>13207</v>
      </c>
      <c r="AP75" s="6">
        <f t="shared" si="223"/>
        <v>22961</v>
      </c>
      <c r="AQ75" s="6">
        <f t="shared" si="223"/>
        <v>28244</v>
      </c>
      <c r="AR75" s="6">
        <f t="shared" si="223"/>
        <v>30419</v>
      </c>
      <c r="AS75" s="6">
        <f t="shared" si="223"/>
        <v>32322</v>
      </c>
      <c r="AT75" s="6">
        <f t="shared" si="223"/>
        <v>33067</v>
      </c>
      <c r="AU75" s="6">
        <f t="shared" si="223"/>
        <v>29244</v>
      </c>
      <c r="AV75" s="6">
        <f t="shared" si="223"/>
        <v>28706</v>
      </c>
      <c r="AW75" s="6">
        <f t="shared" si="223"/>
        <v>31026</v>
      </c>
      <c r="AX75" s="6">
        <f t="shared" si="223"/>
        <v>29866</v>
      </c>
      <c r="AY75" s="6">
        <f t="shared" si="223"/>
        <v>32382</v>
      </c>
      <c r="AZ75" s="6">
        <f t="shared" si="223"/>
        <v>36225</v>
      </c>
      <c r="BA75" s="6">
        <f t="shared" si="223"/>
        <v>40740</v>
      </c>
      <c r="BB75" s="6">
        <f t="shared" si="223"/>
        <v>40990</v>
      </c>
      <c r="BC75" s="6">
        <f t="shared" ref="BC75:BG75" si="224">+SUM(BC71:BC74)</f>
        <v>44012</v>
      </c>
      <c r="BD75" s="6">
        <f t="shared" si="224"/>
        <v>54800</v>
      </c>
      <c r="BE75" s="6">
        <f t="shared" si="224"/>
        <v>60014</v>
      </c>
      <c r="BF75" s="6">
        <f t="shared" si="224"/>
        <v>59696</v>
      </c>
      <c r="BG75" s="6">
        <f t="shared" si="224"/>
        <v>72655</v>
      </c>
      <c r="BH75" s="6">
        <f t="shared" ref="BH75:BI75" si="225">+SUM(BH71:BH74)</f>
        <v>73401</v>
      </c>
      <c r="BI75" s="6">
        <f t="shared" si="225"/>
        <v>76455</v>
      </c>
    </row>
    <row r="76" spans="2:61">
      <c r="B76" s="6" t="s">
        <v>70</v>
      </c>
      <c r="C76" s="6"/>
      <c r="D76" s="6"/>
      <c r="E76" s="6"/>
      <c r="F76" s="6"/>
      <c r="G76" s="6"/>
      <c r="H76" s="6"/>
      <c r="I76" s="6"/>
      <c r="J76" s="6"/>
      <c r="K76" s="6"/>
      <c r="L76" s="6"/>
      <c r="M76" s="6"/>
      <c r="N76" s="6"/>
      <c r="O76" s="6"/>
      <c r="P76" s="6"/>
      <c r="Q76" s="6"/>
      <c r="R76" s="6"/>
      <c r="S76" s="6"/>
      <c r="T76" s="6"/>
      <c r="U76" s="6"/>
      <c r="V76" s="6"/>
      <c r="W76" s="6"/>
      <c r="X76" s="6"/>
      <c r="Y76" s="6"/>
      <c r="Z76" s="6"/>
      <c r="AA76" s="6"/>
      <c r="AB76" s="6"/>
      <c r="AC76" s="6">
        <v>44218</v>
      </c>
      <c r="AD76" s="6">
        <v>47150</v>
      </c>
      <c r="AE76" s="6">
        <v>50383</v>
      </c>
      <c r="AF76" s="6">
        <v>54115</v>
      </c>
      <c r="AG76" s="6">
        <v>59194</v>
      </c>
      <c r="AH76" s="6">
        <v>62188</v>
      </c>
      <c r="AI76" s="6">
        <v>66481</v>
      </c>
      <c r="AJ76" s="6">
        <v>71208</v>
      </c>
      <c r="AK76" s="6">
        <v>74347</v>
      </c>
      <c r="AL76" s="6">
        <v>77620</v>
      </c>
      <c r="AM76" s="6">
        <v>79382</v>
      </c>
      <c r="AN76" s="6">
        <v>80342</v>
      </c>
      <c r="AO76" s="6">
        <v>84127</v>
      </c>
      <c r="AP76" s="6">
        <v>86516</v>
      </c>
      <c r="AQ76" s="6">
        <v>88762</v>
      </c>
      <c r="AR76" s="6">
        <v>93999</v>
      </c>
      <c r="AS76" s="6">
        <v>101054</v>
      </c>
      <c r="AT76" s="6">
        <v>105304</v>
      </c>
      <c r="AU76" s="6">
        <v>110447</v>
      </c>
      <c r="AV76" s="6">
        <v>117731</v>
      </c>
      <c r="AW76" s="6">
        <v>128290</v>
      </c>
      <c r="AX76" s="6">
        <v>133657</v>
      </c>
      <c r="AY76" s="6">
        <v>138227</v>
      </c>
      <c r="AZ76" s="6">
        <v>133360</v>
      </c>
      <c r="BA76" s="6">
        <v>133360</v>
      </c>
      <c r="BB76" s="6">
        <v>123228</v>
      </c>
      <c r="BC76" s="6">
        <v>125767</v>
      </c>
      <c r="BD76" s="6">
        <v>124094</v>
      </c>
      <c r="BE76" s="6">
        <v>125713</v>
      </c>
      <c r="BF76" s="6">
        <v>124795</v>
      </c>
      <c r="BG76" s="6">
        <v>134033</v>
      </c>
      <c r="BH76" s="6">
        <v>142873</v>
      </c>
      <c r="BI76" s="6">
        <v>153168</v>
      </c>
    </row>
    <row r="77" spans="2:61" s="3" customFormat="1">
      <c r="B77" s="6" t="s">
        <v>69</v>
      </c>
      <c r="C77" s="6"/>
      <c r="D77" s="6"/>
      <c r="E77" s="6"/>
      <c r="F77" s="6"/>
      <c r="G77" s="6"/>
      <c r="H77" s="6"/>
      <c r="I77" s="6"/>
      <c r="J77" s="6"/>
      <c r="K77" s="6"/>
      <c r="L77" s="6"/>
      <c r="M77" s="6"/>
      <c r="N77" s="6"/>
      <c r="O77" s="6"/>
      <c r="P77" s="6"/>
      <c r="Q77" s="6"/>
      <c r="R77" s="6"/>
      <c r="S77" s="6"/>
      <c r="T77" s="6"/>
      <c r="U77" s="6"/>
      <c r="V77" s="6"/>
      <c r="W77" s="6"/>
      <c r="X77" s="6"/>
      <c r="Y77" s="6"/>
      <c r="Z77" s="6"/>
      <c r="AA77" s="6"/>
      <c r="AB77" s="6"/>
      <c r="AC77" s="6">
        <f t="shared" ref="AC77:BB77" si="226">+AC75+AC76</f>
        <v>49407</v>
      </c>
      <c r="AD77" s="6">
        <f t="shared" si="226"/>
        <v>52075</v>
      </c>
      <c r="AE77" s="6">
        <f t="shared" si="226"/>
        <v>55739</v>
      </c>
      <c r="AF77" s="6">
        <f t="shared" si="226"/>
        <v>59674</v>
      </c>
      <c r="AG77" s="6">
        <f t="shared" si="226"/>
        <v>64961</v>
      </c>
      <c r="AH77" s="6">
        <f t="shared" si="226"/>
        <v>68714</v>
      </c>
      <c r="AI77" s="6">
        <f t="shared" si="226"/>
        <v>73843</v>
      </c>
      <c r="AJ77" s="6">
        <f t="shared" si="226"/>
        <v>78998</v>
      </c>
      <c r="AK77" s="6">
        <f t="shared" si="226"/>
        <v>84524</v>
      </c>
      <c r="AL77" s="6">
        <f t="shared" si="226"/>
        <v>88945</v>
      </c>
      <c r="AM77" s="6">
        <f t="shared" si="226"/>
        <v>90291</v>
      </c>
      <c r="AN77" s="6">
        <f t="shared" si="226"/>
        <v>92452</v>
      </c>
      <c r="AO77" s="6">
        <f t="shared" si="226"/>
        <v>97334</v>
      </c>
      <c r="AP77" s="6">
        <f t="shared" si="226"/>
        <v>109477</v>
      </c>
      <c r="AQ77" s="6">
        <f t="shared" si="226"/>
        <v>117006</v>
      </c>
      <c r="AR77" s="6">
        <f t="shared" si="226"/>
        <v>124418</v>
      </c>
      <c r="AS77" s="6">
        <f t="shared" si="226"/>
        <v>133376</v>
      </c>
      <c r="AT77" s="6">
        <f t="shared" si="226"/>
        <v>138371</v>
      </c>
      <c r="AU77" s="6">
        <f t="shared" si="226"/>
        <v>139691</v>
      </c>
      <c r="AV77" s="6">
        <f t="shared" si="226"/>
        <v>146437</v>
      </c>
      <c r="AW77" s="6">
        <f t="shared" si="226"/>
        <v>159316</v>
      </c>
      <c r="AX77" s="6">
        <f t="shared" si="226"/>
        <v>163523</v>
      </c>
      <c r="AY77" s="6">
        <f t="shared" si="226"/>
        <v>170609</v>
      </c>
      <c r="AZ77" s="6">
        <f t="shared" si="226"/>
        <v>169585</v>
      </c>
      <c r="BA77" s="6">
        <f t="shared" si="226"/>
        <v>174100</v>
      </c>
      <c r="BB77" s="6">
        <f t="shared" si="226"/>
        <v>164218</v>
      </c>
      <c r="BC77" s="6">
        <f t="shared" ref="BC77:BG77" si="227">+BC75+BC76</f>
        <v>169779</v>
      </c>
      <c r="BD77" s="6">
        <f t="shared" si="227"/>
        <v>178894</v>
      </c>
      <c r="BE77" s="6">
        <f t="shared" si="227"/>
        <v>185727</v>
      </c>
      <c r="BF77" s="6">
        <f t="shared" si="227"/>
        <v>184491</v>
      </c>
      <c r="BG77" s="6">
        <f t="shared" si="227"/>
        <v>206688</v>
      </c>
      <c r="BH77" s="6">
        <f t="shared" ref="BH77:BI77" si="228">+BH75+BH76</f>
        <v>216274</v>
      </c>
      <c r="BI77" s="6">
        <f t="shared" si="228"/>
        <v>229623</v>
      </c>
    </row>
    <row r="79" spans="2:61">
      <c r="B79" s="1" t="s">
        <v>68</v>
      </c>
      <c r="C79" s="1">
        <f t="shared" ref="C79:BG79" si="229">SUM(C53:C54,C58)</f>
        <v>0</v>
      </c>
      <c r="D79" s="1">
        <f t="shared" si="229"/>
        <v>0</v>
      </c>
      <c r="E79" s="1">
        <f t="shared" si="229"/>
        <v>0</v>
      </c>
      <c r="F79" s="1">
        <f t="shared" si="229"/>
        <v>0</v>
      </c>
      <c r="G79" s="1">
        <f t="shared" si="229"/>
        <v>0</v>
      </c>
      <c r="H79" s="1">
        <f t="shared" si="229"/>
        <v>0</v>
      </c>
      <c r="I79" s="1">
        <f t="shared" si="229"/>
        <v>0</v>
      </c>
      <c r="J79" s="1">
        <f t="shared" si="229"/>
        <v>0</v>
      </c>
      <c r="K79" s="1">
        <f t="shared" si="229"/>
        <v>0</v>
      </c>
      <c r="L79" s="1">
        <f t="shared" si="229"/>
        <v>0</v>
      </c>
      <c r="M79" s="1">
        <f t="shared" si="229"/>
        <v>0</v>
      </c>
      <c r="N79" s="1">
        <f t="shared" si="229"/>
        <v>0</v>
      </c>
      <c r="O79" s="1">
        <f t="shared" si="229"/>
        <v>0</v>
      </c>
      <c r="P79" s="1">
        <f t="shared" si="229"/>
        <v>0</v>
      </c>
      <c r="Q79" s="1">
        <f t="shared" si="229"/>
        <v>0</v>
      </c>
      <c r="R79" s="1">
        <f t="shared" si="229"/>
        <v>0</v>
      </c>
      <c r="S79" s="1">
        <f t="shared" si="229"/>
        <v>0</v>
      </c>
      <c r="T79" s="1">
        <f t="shared" si="229"/>
        <v>0</v>
      </c>
      <c r="U79" s="1">
        <f t="shared" si="229"/>
        <v>0</v>
      </c>
      <c r="V79" s="1">
        <f t="shared" si="229"/>
        <v>0</v>
      </c>
      <c r="W79" s="1">
        <f t="shared" si="229"/>
        <v>0</v>
      </c>
      <c r="X79" s="1">
        <f t="shared" si="229"/>
        <v>0</v>
      </c>
      <c r="Y79" s="1">
        <f t="shared" si="229"/>
        <v>0</v>
      </c>
      <c r="Z79" s="1">
        <f t="shared" si="229"/>
        <v>0</v>
      </c>
      <c r="AA79" s="1">
        <f t="shared" si="229"/>
        <v>0</v>
      </c>
      <c r="AB79" s="1">
        <f t="shared" si="229"/>
        <v>0</v>
      </c>
      <c r="AC79" s="1">
        <f t="shared" si="229"/>
        <v>18434</v>
      </c>
      <c r="AD79" s="1">
        <f t="shared" si="229"/>
        <v>20621</v>
      </c>
      <c r="AE79" s="1">
        <f t="shared" si="229"/>
        <v>23293</v>
      </c>
      <c r="AF79" s="1">
        <f t="shared" si="229"/>
        <v>26140</v>
      </c>
      <c r="AG79" s="1">
        <f t="shared" si="229"/>
        <v>29449</v>
      </c>
      <c r="AH79" s="1">
        <f t="shared" si="229"/>
        <v>32306</v>
      </c>
      <c r="AI79" s="1">
        <f t="shared" si="229"/>
        <v>35452</v>
      </c>
      <c r="AJ79" s="1">
        <f t="shared" si="229"/>
        <v>38289</v>
      </c>
      <c r="AK79" s="1">
        <f t="shared" si="229"/>
        <v>41711</v>
      </c>
      <c r="AL79" s="1">
        <f t="shared" si="229"/>
        <v>43956</v>
      </c>
      <c r="AM79" s="1">
        <f t="shared" si="229"/>
        <v>42309</v>
      </c>
      <c r="AN79" s="1">
        <f t="shared" si="229"/>
        <v>41206</v>
      </c>
      <c r="AO79" s="1">
        <f t="shared" si="229"/>
        <v>41114</v>
      </c>
      <c r="AP79" s="1">
        <f t="shared" si="229"/>
        <v>45243</v>
      </c>
      <c r="AQ79" s="1">
        <f t="shared" si="229"/>
        <v>48596</v>
      </c>
      <c r="AR79" s="1">
        <f t="shared" si="229"/>
        <v>52269</v>
      </c>
      <c r="AS79" s="1">
        <f t="shared" si="229"/>
        <v>54941</v>
      </c>
      <c r="AT79" s="1">
        <f t="shared" si="229"/>
        <v>60289</v>
      </c>
      <c r="AU79" s="1">
        <f t="shared" si="229"/>
        <v>58240</v>
      </c>
      <c r="AV79" s="1">
        <f t="shared" si="229"/>
        <v>61784</v>
      </c>
      <c r="AW79" s="1">
        <f t="shared" si="229"/>
        <v>68188</v>
      </c>
      <c r="AX79" s="1">
        <f t="shared" si="229"/>
        <v>70561</v>
      </c>
      <c r="AY79" s="1">
        <f t="shared" si="229"/>
        <v>70473</v>
      </c>
      <c r="AZ79" s="1">
        <f t="shared" si="229"/>
        <v>64833</v>
      </c>
      <c r="BA79" s="1">
        <f t="shared" si="229"/>
        <v>54773</v>
      </c>
      <c r="BB79" s="1">
        <f t="shared" si="229"/>
        <v>50665</v>
      </c>
      <c r="BC79" s="1">
        <f t="shared" si="229"/>
        <v>47025</v>
      </c>
      <c r="BD79" s="1">
        <f>SUM(BD53:BD54,BD58)</f>
        <v>48304</v>
      </c>
      <c r="BE79" s="1">
        <f>SUM(BE53:BE54,BE58)</f>
        <v>46939</v>
      </c>
      <c r="BF79" s="1">
        <f t="shared" si="229"/>
        <v>43606</v>
      </c>
      <c r="BG79" s="1">
        <f t="shared" si="229"/>
        <v>59654</v>
      </c>
      <c r="BH79" s="1">
        <f>SUM(BH53:BH54,BH58)</f>
        <v>67265</v>
      </c>
      <c r="BI79" s="1">
        <f>SUM(BI53:BI54,BI58)</f>
        <v>71544</v>
      </c>
    </row>
    <row r="80" spans="2:61">
      <c r="B80" s="1" t="s">
        <v>213</v>
      </c>
      <c r="C80" s="1">
        <f t="shared" ref="C80:AK80" si="230">+C73</f>
        <v>0</v>
      </c>
      <c r="D80" s="1">
        <f t="shared" si="230"/>
        <v>0</v>
      </c>
      <c r="E80" s="1">
        <f t="shared" si="230"/>
        <v>0</v>
      </c>
      <c r="F80" s="1">
        <f t="shared" si="230"/>
        <v>0</v>
      </c>
      <c r="G80" s="1">
        <f t="shared" si="230"/>
        <v>0</v>
      </c>
      <c r="H80" s="1">
        <f t="shared" si="230"/>
        <v>0</v>
      </c>
      <c r="I80" s="1">
        <f t="shared" si="230"/>
        <v>0</v>
      </c>
      <c r="J80" s="1">
        <f t="shared" si="230"/>
        <v>0</v>
      </c>
      <c r="K80" s="1">
        <f t="shared" si="230"/>
        <v>0</v>
      </c>
      <c r="L80" s="1">
        <f t="shared" si="230"/>
        <v>0</v>
      </c>
      <c r="M80" s="1">
        <f t="shared" si="230"/>
        <v>0</v>
      </c>
      <c r="N80" s="1">
        <f t="shared" si="230"/>
        <v>0</v>
      </c>
      <c r="O80" s="1">
        <f t="shared" si="230"/>
        <v>0</v>
      </c>
      <c r="P80" s="1">
        <f t="shared" si="230"/>
        <v>0</v>
      </c>
      <c r="Q80" s="1">
        <f t="shared" si="230"/>
        <v>0</v>
      </c>
      <c r="R80" s="1">
        <f t="shared" si="230"/>
        <v>0</v>
      </c>
      <c r="S80" s="1">
        <f t="shared" si="230"/>
        <v>0</v>
      </c>
      <c r="T80" s="1">
        <f t="shared" si="230"/>
        <v>0</v>
      </c>
      <c r="U80" s="1">
        <f t="shared" si="230"/>
        <v>0</v>
      </c>
      <c r="V80" s="1">
        <f t="shared" si="230"/>
        <v>0</v>
      </c>
      <c r="W80" s="1">
        <f t="shared" si="230"/>
        <v>0</v>
      </c>
      <c r="X80" s="1">
        <f t="shared" si="230"/>
        <v>0</v>
      </c>
      <c r="Y80" s="1">
        <f t="shared" si="230"/>
        <v>0</v>
      </c>
      <c r="Z80" s="1">
        <f t="shared" si="230"/>
        <v>0</v>
      </c>
      <c r="AA80" s="1">
        <f t="shared" si="230"/>
        <v>0</v>
      </c>
      <c r="AB80" s="1">
        <f t="shared" si="230"/>
        <v>0</v>
      </c>
      <c r="AC80" s="1">
        <f t="shared" si="230"/>
        <v>0</v>
      </c>
      <c r="AD80" s="1">
        <f t="shared" si="230"/>
        <v>0</v>
      </c>
      <c r="AE80" s="1">
        <f t="shared" si="230"/>
        <v>0</v>
      </c>
      <c r="AF80" s="1">
        <f t="shared" si="230"/>
        <v>0</v>
      </c>
      <c r="AG80" s="1">
        <f t="shared" si="230"/>
        <v>0</v>
      </c>
      <c r="AH80" s="1">
        <f t="shared" si="230"/>
        <v>0</v>
      </c>
      <c r="AI80" s="1">
        <f t="shared" si="230"/>
        <v>0</v>
      </c>
      <c r="AJ80" s="1">
        <f t="shared" si="230"/>
        <v>0</v>
      </c>
      <c r="AK80" s="1">
        <f t="shared" si="230"/>
        <v>0</v>
      </c>
      <c r="AL80" s="1">
        <f>+AL73</f>
        <v>0</v>
      </c>
      <c r="AM80" s="1">
        <f t="shared" ref="AM80:BI80" si="231">+AM73</f>
        <v>0</v>
      </c>
      <c r="AN80" s="1">
        <f t="shared" si="231"/>
        <v>0</v>
      </c>
      <c r="AO80" s="1">
        <f t="shared" si="231"/>
        <v>0</v>
      </c>
      <c r="AP80" s="1">
        <f t="shared" si="231"/>
        <v>0</v>
      </c>
      <c r="AQ80" s="1">
        <f t="shared" si="231"/>
        <v>0</v>
      </c>
      <c r="AR80" s="1">
        <f t="shared" si="231"/>
        <v>0</v>
      </c>
      <c r="AS80" s="1">
        <f t="shared" si="231"/>
        <v>0</v>
      </c>
      <c r="AT80" s="1">
        <f t="shared" si="231"/>
        <v>0</v>
      </c>
      <c r="AU80" s="1">
        <f t="shared" si="231"/>
        <v>0</v>
      </c>
      <c r="AV80" s="1">
        <f t="shared" si="231"/>
        <v>0</v>
      </c>
      <c r="AW80" s="1">
        <f t="shared" si="231"/>
        <v>0</v>
      </c>
      <c r="AX80" s="1">
        <f t="shared" si="231"/>
        <v>0</v>
      </c>
      <c r="AY80" s="1">
        <f t="shared" si="231"/>
        <v>0</v>
      </c>
      <c r="AZ80" s="1">
        <f t="shared" si="231"/>
        <v>0</v>
      </c>
      <c r="BA80" s="1">
        <f t="shared" si="231"/>
        <v>0</v>
      </c>
      <c r="BB80" s="1">
        <f t="shared" si="231"/>
        <v>0</v>
      </c>
      <c r="BC80" s="1">
        <f t="shared" si="231"/>
        <v>0</v>
      </c>
      <c r="BD80" s="1">
        <f t="shared" si="231"/>
        <v>9922</v>
      </c>
      <c r="BE80" s="1">
        <f t="shared" si="231"/>
        <v>9923</v>
      </c>
      <c r="BF80" s="1">
        <f t="shared" si="231"/>
        <v>9925</v>
      </c>
      <c r="BG80" s="1">
        <f t="shared" si="231"/>
        <v>18382</v>
      </c>
      <c r="BH80" s="1">
        <f t="shared" si="231"/>
        <v>18383</v>
      </c>
      <c r="BI80" s="1">
        <f t="shared" si="231"/>
        <v>18385</v>
      </c>
    </row>
    <row r="81" spans="2:61">
      <c r="B81" s="1" t="s">
        <v>214</v>
      </c>
      <c r="C81" s="1">
        <f>+C80-C53</f>
        <v>0</v>
      </c>
      <c r="D81" s="1">
        <f t="shared" ref="D81:BE81" si="232">+D80-D53</f>
        <v>0</v>
      </c>
      <c r="E81" s="1">
        <f t="shared" si="232"/>
        <v>0</v>
      </c>
      <c r="F81" s="1">
        <f t="shared" si="232"/>
        <v>0</v>
      </c>
      <c r="G81" s="1">
        <f t="shared" si="232"/>
        <v>0</v>
      </c>
      <c r="H81" s="1">
        <f t="shared" si="232"/>
        <v>0</v>
      </c>
      <c r="I81" s="1">
        <f t="shared" si="232"/>
        <v>0</v>
      </c>
      <c r="J81" s="1">
        <f t="shared" si="232"/>
        <v>0</v>
      </c>
      <c r="K81" s="1">
        <f t="shared" si="232"/>
        <v>0</v>
      </c>
      <c r="L81" s="1">
        <f t="shared" si="232"/>
        <v>0</v>
      </c>
      <c r="M81" s="1">
        <f t="shared" si="232"/>
        <v>0</v>
      </c>
      <c r="N81" s="1">
        <f t="shared" si="232"/>
        <v>0</v>
      </c>
      <c r="O81" s="1">
        <f t="shared" si="232"/>
        <v>0</v>
      </c>
      <c r="P81" s="1">
        <f t="shared" si="232"/>
        <v>0</v>
      </c>
      <c r="Q81" s="1">
        <f t="shared" si="232"/>
        <v>0</v>
      </c>
      <c r="R81" s="1">
        <f t="shared" si="232"/>
        <v>0</v>
      </c>
      <c r="S81" s="1">
        <f t="shared" si="232"/>
        <v>0</v>
      </c>
      <c r="T81" s="1">
        <f t="shared" si="232"/>
        <v>0</v>
      </c>
      <c r="U81" s="1">
        <f t="shared" si="232"/>
        <v>0</v>
      </c>
      <c r="V81" s="1">
        <f t="shared" si="232"/>
        <v>0</v>
      </c>
      <c r="W81" s="1">
        <f t="shared" si="232"/>
        <v>0</v>
      </c>
      <c r="X81" s="1">
        <f t="shared" si="232"/>
        <v>0</v>
      </c>
      <c r="Y81" s="1">
        <f t="shared" si="232"/>
        <v>0</v>
      </c>
      <c r="Z81" s="1">
        <f t="shared" si="232"/>
        <v>0</v>
      </c>
      <c r="AA81" s="1">
        <f t="shared" si="232"/>
        <v>0</v>
      </c>
      <c r="AB81" s="1">
        <f t="shared" si="232"/>
        <v>0</v>
      </c>
      <c r="AC81" s="1">
        <f t="shared" si="232"/>
        <v>-4907</v>
      </c>
      <c r="AD81" s="1">
        <f t="shared" si="232"/>
        <v>-6456</v>
      </c>
      <c r="AE81" s="1">
        <f t="shared" si="232"/>
        <v>-5108</v>
      </c>
      <c r="AF81" s="1">
        <f t="shared" si="232"/>
        <v>-6038</v>
      </c>
      <c r="AG81" s="1">
        <f t="shared" si="232"/>
        <v>-8903</v>
      </c>
      <c r="AH81" s="1">
        <f t="shared" si="232"/>
        <v>-7104</v>
      </c>
      <c r="AI81" s="1">
        <f t="shared" si="232"/>
        <v>-6252</v>
      </c>
      <c r="AJ81" s="1">
        <f t="shared" si="232"/>
        <v>-7201</v>
      </c>
      <c r="AK81" s="1">
        <f t="shared" si="232"/>
        <v>-8079</v>
      </c>
      <c r="AL81" s="1">
        <f t="shared" si="232"/>
        <v>-12082</v>
      </c>
      <c r="AM81" s="1">
        <f t="shared" si="232"/>
        <v>-11552</v>
      </c>
      <c r="AN81" s="1">
        <f t="shared" si="232"/>
        <v>-9637</v>
      </c>
      <c r="AO81" s="1">
        <f t="shared" si="232"/>
        <v>-10019</v>
      </c>
      <c r="AP81" s="1">
        <f t="shared" si="232"/>
        <v>-11076</v>
      </c>
      <c r="AQ81" s="1">
        <f t="shared" si="232"/>
        <v>-13877</v>
      </c>
      <c r="AR81" s="1">
        <f t="shared" si="232"/>
        <v>-15979</v>
      </c>
      <c r="AS81" s="1">
        <f t="shared" si="232"/>
        <v>-19079</v>
      </c>
      <c r="AT81" s="1">
        <f t="shared" si="232"/>
        <v>-23618</v>
      </c>
      <c r="AU81" s="1">
        <f t="shared" si="232"/>
        <v>-21045</v>
      </c>
      <c r="AV81" s="1">
        <f t="shared" si="232"/>
        <v>-11617</v>
      </c>
      <c r="AW81" s="1">
        <f t="shared" si="232"/>
        <v>-17576</v>
      </c>
      <c r="AX81" s="1">
        <f t="shared" si="232"/>
        <v>-19513</v>
      </c>
      <c r="AY81" s="1">
        <f t="shared" si="232"/>
        <v>-16186</v>
      </c>
      <c r="AZ81" s="1">
        <f t="shared" si="232"/>
        <v>-14496</v>
      </c>
      <c r="BA81" s="1">
        <f t="shared" si="232"/>
        <v>-16601</v>
      </c>
      <c r="BB81" s="1">
        <f t="shared" si="232"/>
        <v>-14886</v>
      </c>
      <c r="BC81" s="1">
        <f t="shared" si="232"/>
        <v>-12681</v>
      </c>
      <c r="BD81" s="1">
        <f>+BD80-BD53</f>
        <v>-4386</v>
      </c>
      <c r="BE81" s="1">
        <f t="shared" si="232"/>
        <v>-4758</v>
      </c>
      <c r="BF81" s="1">
        <f t="shared" ref="BF81" si="233">+BF80-BF53</f>
        <v>-1626</v>
      </c>
      <c r="BG81" s="1">
        <f t="shared" ref="BG81" si="234">+BG80-BG53</f>
        <v>-10403</v>
      </c>
      <c r="BH81" s="1">
        <f t="shared" ref="BH81:BI81" si="235">+BH80-BH53</f>
        <v>-18507</v>
      </c>
      <c r="BI81" s="1">
        <f t="shared" si="235"/>
        <v>-23477</v>
      </c>
    </row>
    <row r="82" spans="2:61">
      <c r="B82" s="1" t="s">
        <v>215</v>
      </c>
      <c r="C82" s="1">
        <f t="shared" ref="C82:AH82" si="236">IFERROR(C81/C32,0)</f>
        <v>0</v>
      </c>
      <c r="D82" s="1">
        <f t="shared" si="236"/>
        <v>0</v>
      </c>
      <c r="E82" s="1">
        <f t="shared" si="236"/>
        <v>0</v>
      </c>
      <c r="F82" s="1">
        <f t="shared" si="236"/>
        <v>0</v>
      </c>
      <c r="G82" s="1">
        <f t="shared" si="236"/>
        <v>0</v>
      </c>
      <c r="H82" s="1">
        <f t="shared" si="236"/>
        <v>0</v>
      </c>
      <c r="I82" s="1">
        <f t="shared" si="236"/>
        <v>0</v>
      </c>
      <c r="J82" s="1">
        <f t="shared" si="236"/>
        <v>0</v>
      </c>
      <c r="K82" s="1">
        <f t="shared" si="236"/>
        <v>0</v>
      </c>
      <c r="L82" s="1">
        <f t="shared" si="236"/>
        <v>0</v>
      </c>
      <c r="M82" s="1">
        <f t="shared" si="236"/>
        <v>0</v>
      </c>
      <c r="N82" s="1">
        <f t="shared" si="236"/>
        <v>0</v>
      </c>
      <c r="O82" s="1">
        <f t="shared" si="236"/>
        <v>0</v>
      </c>
      <c r="P82" s="1">
        <f t="shared" si="236"/>
        <v>0</v>
      </c>
      <c r="Q82" s="1">
        <f t="shared" si="236"/>
        <v>0</v>
      </c>
      <c r="R82" s="1">
        <f t="shared" si="236"/>
        <v>0</v>
      </c>
      <c r="S82" s="1">
        <f t="shared" si="236"/>
        <v>0</v>
      </c>
      <c r="T82" s="1">
        <f t="shared" si="236"/>
        <v>0</v>
      </c>
      <c r="U82" s="1">
        <f t="shared" si="236"/>
        <v>0</v>
      </c>
      <c r="V82" s="1">
        <f t="shared" si="236"/>
        <v>0</v>
      </c>
      <c r="W82" s="1">
        <f t="shared" si="236"/>
        <v>0</v>
      </c>
      <c r="X82" s="1">
        <f t="shared" si="236"/>
        <v>0</v>
      </c>
      <c r="Y82" s="1">
        <f t="shared" si="236"/>
        <v>0</v>
      </c>
      <c r="Z82" s="1">
        <f t="shared" si="236"/>
        <v>0</v>
      </c>
      <c r="AA82" s="1">
        <f t="shared" si="236"/>
        <v>0</v>
      </c>
      <c r="AB82" s="1">
        <f t="shared" si="236"/>
        <v>0</v>
      </c>
      <c r="AC82" s="1">
        <f t="shared" si="236"/>
        <v>-1.7215221956491231</v>
      </c>
      <c r="AD82" s="1">
        <f t="shared" si="236"/>
        <v>-2.2223752151462994</v>
      </c>
      <c r="AE82" s="1">
        <f t="shared" si="236"/>
        <v>-1.7589531680440771</v>
      </c>
      <c r="AF82" s="1">
        <f t="shared" si="236"/>
        <v>-2.0713550600343051</v>
      </c>
      <c r="AG82" s="1">
        <f t="shared" si="236"/>
        <v>-3.0199672134079236</v>
      </c>
      <c r="AH82" s="1">
        <f t="shared" si="236"/>
        <v>-2.4130434782608696</v>
      </c>
      <c r="AI82" s="1">
        <f t="shared" ref="AI82:BH82" si="237">IFERROR(AI81/AI32,0)</f>
        <v>-2.1186038630972552</v>
      </c>
      <c r="AJ82" s="1">
        <f t="shared" si="237"/>
        <v>-2.4360622462787549</v>
      </c>
      <c r="AK82" s="1">
        <f t="shared" si="237"/>
        <v>-2.7208655014027223</v>
      </c>
      <c r="AL82" s="1">
        <f t="shared" si="237"/>
        <v>-4.1025466893039049</v>
      </c>
      <c r="AM82" s="1">
        <f t="shared" si="237"/>
        <v>-3.9426621160409558</v>
      </c>
      <c r="AN82" s="1">
        <f t="shared" si="237"/>
        <v>-3.3082732578098182</v>
      </c>
      <c r="AO82" s="1">
        <f t="shared" si="237"/>
        <v>-3.4510379342391784</v>
      </c>
      <c r="AP82" s="1">
        <f t="shared" si="237"/>
        <v>-3.8605785988149179</v>
      </c>
      <c r="AQ82" s="1">
        <f t="shared" si="237"/>
        <v>-4.8267826086956518</v>
      </c>
      <c r="AR82" s="1">
        <f t="shared" si="237"/>
        <v>-5.559846903270703</v>
      </c>
      <c r="AS82" s="1">
        <f t="shared" si="237"/>
        <v>-6.6238691388462065</v>
      </c>
      <c r="AT82" s="1">
        <f t="shared" si="237"/>
        <v>-8.2350069735006972</v>
      </c>
      <c r="AU82" s="1">
        <f t="shared" si="237"/>
        <v>-7.3098298020145887</v>
      </c>
      <c r="AV82" s="1">
        <f t="shared" si="237"/>
        <v>-4.0183327568315459</v>
      </c>
      <c r="AW82" s="1">
        <f t="shared" si="237"/>
        <v>-6.0629669403001403</v>
      </c>
      <c r="AX82" s="1">
        <f t="shared" si="237"/>
        <v>-6.7706453851492023</v>
      </c>
      <c r="AY82" s="1">
        <f t="shared" si="237"/>
        <v>-5.6259993048314216</v>
      </c>
      <c r="AZ82" s="1">
        <f t="shared" si="237"/>
        <v>-5.0703043022035681</v>
      </c>
      <c r="BA82" s="1">
        <f t="shared" si="237"/>
        <v>-5.8860790693519389</v>
      </c>
      <c r="BB82" s="1">
        <f t="shared" si="237"/>
        <v>-5.4288840262582054</v>
      </c>
      <c r="BC82" s="1">
        <f t="shared" si="237"/>
        <v>-4.67416144489495</v>
      </c>
      <c r="BD82" s="1">
        <f t="shared" si="237"/>
        <v>-1.6323036844064012</v>
      </c>
      <c r="BE82" s="1">
        <f t="shared" si="237"/>
        <v>-1.8022727272727272</v>
      </c>
      <c r="BF82" s="1">
        <f t="shared" si="237"/>
        <v>-0.62634822804314327</v>
      </c>
      <c r="BG82" s="1">
        <f t="shared" si="237"/>
        <v>-3.9827718223583459</v>
      </c>
      <c r="BH82" s="1">
        <f t="shared" si="237"/>
        <v>-7.5941731637258929</v>
      </c>
      <c r="BI82" s="1">
        <f t="shared" ref="BI82" si="238">IFERROR(BI81/BI32,0)</f>
        <v>-8.9266159695817482</v>
      </c>
    </row>
    <row r="83" spans="2:61">
      <c r="B83" s="1" t="s">
        <v>216</v>
      </c>
      <c r="C83" s="1">
        <f t="shared" ref="C83:BG83" si="239">+IFERROR(C57-C71,0)</f>
        <v>0</v>
      </c>
      <c r="D83" s="1">
        <f t="shared" si="239"/>
        <v>0</v>
      </c>
      <c r="E83" s="1">
        <f t="shared" si="239"/>
        <v>0</v>
      </c>
      <c r="F83" s="1">
        <f t="shared" si="239"/>
        <v>0</v>
      </c>
      <c r="G83" s="1">
        <f t="shared" si="239"/>
        <v>0</v>
      </c>
      <c r="H83" s="1">
        <f t="shared" si="239"/>
        <v>0</v>
      </c>
      <c r="I83" s="1">
        <f t="shared" si="239"/>
        <v>0</v>
      </c>
      <c r="J83" s="1">
        <f t="shared" si="239"/>
        <v>0</v>
      </c>
      <c r="K83" s="1">
        <f t="shared" si="239"/>
        <v>0</v>
      </c>
      <c r="L83" s="1">
        <f t="shared" si="239"/>
        <v>0</v>
      </c>
      <c r="M83" s="1">
        <f t="shared" si="239"/>
        <v>0</v>
      </c>
      <c r="N83" s="1">
        <f t="shared" si="239"/>
        <v>0</v>
      </c>
      <c r="O83" s="1">
        <f t="shared" si="239"/>
        <v>0</v>
      </c>
      <c r="P83" s="1">
        <f t="shared" si="239"/>
        <v>0</v>
      </c>
      <c r="Q83" s="1">
        <f t="shared" si="239"/>
        <v>0</v>
      </c>
      <c r="R83" s="1">
        <f t="shared" si="239"/>
        <v>0</v>
      </c>
      <c r="S83" s="1">
        <f t="shared" si="239"/>
        <v>0</v>
      </c>
      <c r="T83" s="1">
        <f t="shared" si="239"/>
        <v>0</v>
      </c>
      <c r="U83" s="1">
        <f t="shared" si="239"/>
        <v>0</v>
      </c>
      <c r="V83" s="1">
        <f t="shared" si="239"/>
        <v>0</v>
      </c>
      <c r="W83" s="1">
        <f t="shared" si="239"/>
        <v>0</v>
      </c>
      <c r="X83" s="1">
        <f t="shared" si="239"/>
        <v>0</v>
      </c>
      <c r="Y83" s="1">
        <f t="shared" si="239"/>
        <v>0</v>
      </c>
      <c r="Z83" s="1">
        <f t="shared" si="239"/>
        <v>0</v>
      </c>
      <c r="AA83" s="1">
        <f t="shared" si="239"/>
        <v>0</v>
      </c>
      <c r="AB83" s="1">
        <f t="shared" si="239"/>
        <v>0</v>
      </c>
      <c r="AC83" s="1">
        <f t="shared" si="239"/>
        <v>19727</v>
      </c>
      <c r="AD83" s="1">
        <f t="shared" si="239"/>
        <v>22003</v>
      </c>
      <c r="AE83" s="1">
        <f t="shared" si="239"/>
        <v>24799</v>
      </c>
      <c r="AF83" s="1">
        <f t="shared" si="239"/>
        <v>27733</v>
      </c>
      <c r="AG83" s="1">
        <f t="shared" si="239"/>
        <v>31526</v>
      </c>
      <c r="AH83" s="1">
        <f t="shared" si="239"/>
        <v>34002</v>
      </c>
      <c r="AI83" s="1">
        <f t="shared" si="239"/>
        <v>37489</v>
      </c>
      <c r="AJ83" s="1">
        <f t="shared" si="239"/>
        <v>40898</v>
      </c>
      <c r="AK83" s="1">
        <f t="shared" si="239"/>
        <v>44803</v>
      </c>
      <c r="AL83" s="1">
        <f t="shared" si="239"/>
        <v>45326</v>
      </c>
      <c r="AM83" s="1">
        <f t="shared" si="239"/>
        <v>45163</v>
      </c>
      <c r="AN83" s="1">
        <f t="shared" si="239"/>
        <v>43685</v>
      </c>
      <c r="AO83" s="1">
        <f t="shared" si="239"/>
        <v>43463</v>
      </c>
      <c r="AP83" s="1">
        <f t="shared" si="239"/>
        <v>43392</v>
      </c>
      <c r="AQ83" s="1">
        <f t="shared" si="239"/>
        <v>44982</v>
      </c>
      <c r="AR83" s="1">
        <f t="shared" si="239"/>
        <v>48751</v>
      </c>
      <c r="AS83" s="1">
        <f t="shared" si="239"/>
        <v>51172</v>
      </c>
      <c r="AT83" s="1">
        <f t="shared" si="239"/>
        <v>54280</v>
      </c>
      <c r="AU83" s="1">
        <f t="shared" si="239"/>
        <v>56822</v>
      </c>
      <c r="AV83" s="1">
        <f t="shared" si="239"/>
        <v>53855</v>
      </c>
      <c r="AW83" s="1">
        <f t="shared" si="239"/>
        <v>60689</v>
      </c>
      <c r="AX83" s="1">
        <f t="shared" si="239"/>
        <v>64605</v>
      </c>
      <c r="AY83" s="1">
        <f t="shared" si="239"/>
        <v>65823</v>
      </c>
      <c r="AZ83" s="1">
        <f t="shared" si="239"/>
        <v>57609</v>
      </c>
      <c r="BA83" s="1">
        <f t="shared" si="239"/>
        <v>45531</v>
      </c>
      <c r="BB83" s="1">
        <f t="shared" si="239"/>
        <v>38179</v>
      </c>
      <c r="BC83" s="1">
        <f t="shared" si="239"/>
        <v>33770</v>
      </c>
      <c r="BD83" s="1">
        <f t="shared" si="239"/>
        <v>35628</v>
      </c>
      <c r="BE83" s="1">
        <f t="shared" si="239"/>
        <v>32523</v>
      </c>
      <c r="BF83" s="1">
        <f t="shared" si="239"/>
        <v>27102</v>
      </c>
      <c r="BG83" s="1">
        <f t="shared" si="239"/>
        <v>39639</v>
      </c>
      <c r="BH83" s="1">
        <f>+IFERROR(BH57-BH71,0)</f>
        <v>47847</v>
      </c>
      <c r="BI83" s="1">
        <f>+IFERROR(BI57-BI71,0)</f>
        <v>53405</v>
      </c>
    </row>
    <row r="84" spans="2:61">
      <c r="B84" s="1" t="s">
        <v>217</v>
      </c>
      <c r="C84" s="1">
        <f t="shared" ref="C84:BG84" si="240">(C57-C53-C54)-(C71)</f>
        <v>0</v>
      </c>
      <c r="D84" s="1">
        <f t="shared" si="240"/>
        <v>0</v>
      </c>
      <c r="E84" s="1">
        <f t="shared" si="240"/>
        <v>0</v>
      </c>
      <c r="F84" s="1">
        <f t="shared" si="240"/>
        <v>0</v>
      </c>
      <c r="G84" s="1">
        <f t="shared" si="240"/>
        <v>0</v>
      </c>
      <c r="H84" s="1">
        <f t="shared" si="240"/>
        <v>0</v>
      </c>
      <c r="I84" s="1">
        <f t="shared" si="240"/>
        <v>0</v>
      </c>
      <c r="J84" s="1">
        <f t="shared" si="240"/>
        <v>0</v>
      </c>
      <c r="K84" s="1">
        <f t="shared" si="240"/>
        <v>0</v>
      </c>
      <c r="L84" s="1">
        <f t="shared" si="240"/>
        <v>0</v>
      </c>
      <c r="M84" s="1">
        <f t="shared" si="240"/>
        <v>0</v>
      </c>
      <c r="N84" s="1">
        <f t="shared" si="240"/>
        <v>0</v>
      </c>
      <c r="O84" s="1">
        <f t="shared" si="240"/>
        <v>0</v>
      </c>
      <c r="P84" s="1">
        <f t="shared" si="240"/>
        <v>0</v>
      </c>
      <c r="Q84" s="1">
        <f t="shared" si="240"/>
        <v>0</v>
      </c>
      <c r="R84" s="1">
        <f t="shared" si="240"/>
        <v>0</v>
      </c>
      <c r="S84" s="1">
        <f t="shared" si="240"/>
        <v>0</v>
      </c>
      <c r="T84" s="1">
        <f t="shared" si="240"/>
        <v>0</v>
      </c>
      <c r="U84" s="1">
        <f t="shared" si="240"/>
        <v>0</v>
      </c>
      <c r="V84" s="1">
        <f t="shared" si="240"/>
        <v>0</v>
      </c>
      <c r="W84" s="1">
        <f t="shared" si="240"/>
        <v>0</v>
      </c>
      <c r="X84" s="1">
        <f t="shared" si="240"/>
        <v>0</v>
      </c>
      <c r="Y84" s="1">
        <f t="shared" si="240"/>
        <v>0</v>
      </c>
      <c r="Z84" s="1">
        <f t="shared" si="240"/>
        <v>0</v>
      </c>
      <c r="AA84" s="1">
        <f t="shared" si="240"/>
        <v>0</v>
      </c>
      <c r="AB84" s="1">
        <f t="shared" si="240"/>
        <v>0</v>
      </c>
      <c r="AC84" s="1">
        <f t="shared" si="240"/>
        <v>1293</v>
      </c>
      <c r="AD84" s="1">
        <f t="shared" si="240"/>
        <v>1382</v>
      </c>
      <c r="AE84" s="1">
        <f t="shared" si="240"/>
        <v>1506</v>
      </c>
      <c r="AF84" s="1">
        <f t="shared" si="240"/>
        <v>1593</v>
      </c>
      <c r="AG84" s="1">
        <f t="shared" si="240"/>
        <v>2077</v>
      </c>
      <c r="AH84" s="1">
        <f t="shared" si="240"/>
        <v>1696</v>
      </c>
      <c r="AI84" s="1">
        <f t="shared" si="240"/>
        <v>2037</v>
      </c>
      <c r="AJ84" s="1">
        <f t="shared" si="240"/>
        <v>2609</v>
      </c>
      <c r="AK84" s="1">
        <f t="shared" si="240"/>
        <v>3092</v>
      </c>
      <c r="AL84" s="1">
        <f t="shared" si="240"/>
        <v>1370</v>
      </c>
      <c r="AM84" s="1">
        <f t="shared" si="240"/>
        <v>2854</v>
      </c>
      <c r="AN84" s="1">
        <f t="shared" si="240"/>
        <v>2479</v>
      </c>
      <c r="AO84" s="1">
        <f t="shared" si="240"/>
        <v>2349</v>
      </c>
      <c r="AP84" s="1">
        <f t="shared" si="240"/>
        <v>-1851</v>
      </c>
      <c r="AQ84" s="1">
        <f t="shared" si="240"/>
        <v>-3614</v>
      </c>
      <c r="AR84" s="1">
        <f t="shared" si="240"/>
        <v>-3518</v>
      </c>
      <c r="AS84" s="1">
        <f t="shared" si="240"/>
        <v>-3683</v>
      </c>
      <c r="AT84" s="1">
        <f t="shared" si="240"/>
        <v>-6009</v>
      </c>
      <c r="AU84" s="1">
        <f t="shared" si="240"/>
        <v>-1418</v>
      </c>
      <c r="AV84" s="1">
        <f t="shared" si="240"/>
        <v>-1765</v>
      </c>
      <c r="AW84" s="1">
        <f t="shared" si="240"/>
        <v>-1265</v>
      </c>
      <c r="AX84" s="1">
        <f t="shared" si="240"/>
        <v>386</v>
      </c>
      <c r="AY84" s="1">
        <f t="shared" si="240"/>
        <v>1743</v>
      </c>
      <c r="AZ84" s="1">
        <f t="shared" si="240"/>
        <v>-466</v>
      </c>
      <c r="BA84" s="1">
        <f t="shared" si="240"/>
        <v>-2467</v>
      </c>
      <c r="BB84" s="1">
        <f t="shared" si="240"/>
        <v>-5711</v>
      </c>
      <c r="BC84" s="1">
        <f t="shared" si="240"/>
        <v>-6719</v>
      </c>
      <c r="BD84" s="1">
        <f t="shared" si="240"/>
        <v>-6148</v>
      </c>
      <c r="BE84" s="1">
        <f t="shared" si="240"/>
        <v>-8215</v>
      </c>
      <c r="BF84" s="1">
        <f t="shared" si="240"/>
        <v>-10337</v>
      </c>
      <c r="BG84" s="1">
        <f t="shared" si="240"/>
        <v>-13807</v>
      </c>
      <c r="BH84" s="1">
        <f>(BH57-BH53-BH54)-(BH71)</f>
        <v>-13276</v>
      </c>
      <c r="BI84" s="1">
        <f>(BI57-BI53-BI54)-(BI71)</f>
        <v>-11998</v>
      </c>
    </row>
    <row r="85" spans="2:61" s="6" customFormat="1">
      <c r="B85" s="6" t="s">
        <v>88</v>
      </c>
      <c r="C85" s="48">
        <f>+IFERROR(SUM(#REF!)/C76,0)</f>
        <v>0</v>
      </c>
      <c r="D85" s="48">
        <f t="shared" ref="D85:AI85" si="241">+IFERROR(SUM(A31:D31)/D76,0)</f>
        <v>0</v>
      </c>
      <c r="E85" s="48">
        <f t="shared" si="241"/>
        <v>0</v>
      </c>
      <c r="F85" s="48">
        <f t="shared" si="241"/>
        <v>0</v>
      </c>
      <c r="G85" s="48">
        <f t="shared" si="241"/>
        <v>0</v>
      </c>
      <c r="H85" s="48">
        <f t="shared" si="241"/>
        <v>0</v>
      </c>
      <c r="I85" s="48">
        <f t="shared" si="241"/>
        <v>0</v>
      </c>
      <c r="J85" s="48">
        <f t="shared" si="241"/>
        <v>0</v>
      </c>
      <c r="K85" s="48">
        <f t="shared" si="241"/>
        <v>0</v>
      </c>
      <c r="L85" s="48">
        <f t="shared" si="241"/>
        <v>0</v>
      </c>
      <c r="M85" s="48">
        <f t="shared" si="241"/>
        <v>0</v>
      </c>
      <c r="N85" s="48">
        <f t="shared" si="241"/>
        <v>0</v>
      </c>
      <c r="O85" s="48">
        <f t="shared" si="241"/>
        <v>0</v>
      </c>
      <c r="P85" s="48">
        <f t="shared" si="241"/>
        <v>0</v>
      </c>
      <c r="Q85" s="48">
        <f t="shared" si="241"/>
        <v>0</v>
      </c>
      <c r="R85" s="48">
        <f t="shared" si="241"/>
        <v>0</v>
      </c>
      <c r="S85" s="48">
        <f t="shared" si="241"/>
        <v>0</v>
      </c>
      <c r="T85" s="48">
        <f t="shared" si="241"/>
        <v>0</v>
      </c>
      <c r="U85" s="48">
        <f t="shared" si="241"/>
        <v>0</v>
      </c>
      <c r="V85" s="48">
        <f t="shared" si="241"/>
        <v>0</v>
      </c>
      <c r="W85" s="48">
        <f t="shared" si="241"/>
        <v>0</v>
      </c>
      <c r="X85" s="48">
        <f t="shared" si="241"/>
        <v>0</v>
      </c>
      <c r="Y85" s="48">
        <f t="shared" si="241"/>
        <v>0</v>
      </c>
      <c r="Z85" s="48">
        <f t="shared" si="241"/>
        <v>0</v>
      </c>
      <c r="AA85" s="48">
        <f t="shared" si="241"/>
        <v>0</v>
      </c>
      <c r="AB85" s="48">
        <f t="shared" si="241"/>
        <v>0</v>
      </c>
      <c r="AC85" s="48">
        <f t="shared" si="241"/>
        <v>0.10366818942512099</v>
      </c>
      <c r="AD85" s="48">
        <f t="shared" si="241"/>
        <v>0.12532343584305408</v>
      </c>
      <c r="AE85" s="48">
        <f t="shared" si="241"/>
        <v>0.14377865549887858</v>
      </c>
      <c r="AF85" s="48">
        <f t="shared" si="241"/>
        <v>0.16126767070128431</v>
      </c>
      <c r="AG85" s="48">
        <f t="shared" si="241"/>
        <v>0.17260195290063182</v>
      </c>
      <c r="AH85" s="48">
        <f t="shared" si="241"/>
        <v>0.18928089020389785</v>
      </c>
      <c r="AI85" s="48">
        <f t="shared" si="241"/>
        <v>0.20473518749717964</v>
      </c>
      <c r="AJ85" s="48">
        <f t="shared" ref="AJ85:BI85" si="242">+IFERROR(SUM(AG31:AJ31)/AJ76,0)</f>
        <v>0.22383720930232559</v>
      </c>
      <c r="AK85" s="48">
        <f t="shared" si="242"/>
        <v>0.21431934039033182</v>
      </c>
      <c r="AL85" s="48">
        <f t="shared" si="242"/>
        <v>0.23006956969853132</v>
      </c>
      <c r="AM85" s="48">
        <f t="shared" si="242"/>
        <v>0.24023078279710766</v>
      </c>
      <c r="AN85" s="48">
        <f t="shared" si="242"/>
        <v>0.24271240447088696</v>
      </c>
      <c r="AO85" s="48">
        <f t="shared" si="242"/>
        <v>0.26284070512439528</v>
      </c>
      <c r="AP85" s="48">
        <f t="shared" si="242"/>
        <v>0.22600443848536686</v>
      </c>
      <c r="AQ85" s="48">
        <f t="shared" si="242"/>
        <v>0.19223316283995404</v>
      </c>
      <c r="AR85" s="48">
        <f t="shared" si="242"/>
        <v>0.19167225183246631</v>
      </c>
      <c r="AS85" s="48">
        <f t="shared" si="242"/>
        <v>0.18292200209788825</v>
      </c>
      <c r="AT85" s="48">
        <f t="shared" si="242"/>
        <v>0.19902377877383576</v>
      </c>
      <c r="AU85" s="48">
        <f t="shared" si="242"/>
        <v>0.21295281899915797</v>
      </c>
      <c r="AV85" s="48">
        <f t="shared" si="242"/>
        <v>0.21468432273572804</v>
      </c>
      <c r="AW85" s="48">
        <f t="shared" si="242"/>
        <v>0.22718840127835374</v>
      </c>
      <c r="AX85" s="48">
        <f t="shared" si="242"/>
        <v>0.25244469051377783</v>
      </c>
      <c r="AY85" s="48">
        <f t="shared" si="242"/>
        <v>0.28183350575502614</v>
      </c>
      <c r="AZ85" s="48">
        <f t="shared" si="242"/>
        <v>0.30222705458908217</v>
      </c>
      <c r="BA85" s="48">
        <f t="shared" si="242"/>
        <v>0.29521595680863827</v>
      </c>
      <c r="BB85" s="48">
        <f t="shared" si="242"/>
        <v>0.30299931833674165</v>
      </c>
      <c r="BC85" s="48">
        <f t="shared" si="242"/>
        <v>0.26740718948531811</v>
      </c>
      <c r="BD85" s="48">
        <f t="shared" si="242"/>
        <v>0.23234000032233629</v>
      </c>
      <c r="BE85" s="48">
        <f t="shared" si="242"/>
        <v>0.1845393873346432</v>
      </c>
      <c r="BF85" s="48">
        <f t="shared" si="242"/>
        <v>0.17182579430265635</v>
      </c>
      <c r="BG85" s="48">
        <f t="shared" si="242"/>
        <v>0.16819738422627264</v>
      </c>
      <c r="BH85" s="48">
        <f t="shared" si="242"/>
        <v>0.2081009008000112</v>
      </c>
      <c r="BI85" s="48">
        <f t="shared" si="242"/>
        <v>0.25525566698004803</v>
      </c>
    </row>
    <row r="86" spans="2:61" s="6" customFormat="1">
      <c r="B86" s="6" t="s">
        <v>218</v>
      </c>
      <c r="C86" s="6">
        <f>+C76</f>
        <v>0</v>
      </c>
      <c r="D86" s="6">
        <f t="shared" ref="D86:BH86" si="243">+D76</f>
        <v>0</v>
      </c>
      <c r="E86" s="6">
        <f t="shared" si="243"/>
        <v>0</v>
      </c>
      <c r="F86" s="6">
        <f t="shared" si="243"/>
        <v>0</v>
      </c>
      <c r="G86" s="6">
        <f t="shared" si="243"/>
        <v>0</v>
      </c>
      <c r="H86" s="6">
        <f t="shared" si="243"/>
        <v>0</v>
      </c>
      <c r="I86" s="6">
        <f t="shared" si="243"/>
        <v>0</v>
      </c>
      <c r="J86" s="6">
        <f t="shared" si="243"/>
        <v>0</v>
      </c>
      <c r="K86" s="6">
        <f t="shared" si="243"/>
        <v>0</v>
      </c>
      <c r="L86" s="6">
        <f t="shared" si="243"/>
        <v>0</v>
      </c>
      <c r="M86" s="6">
        <f t="shared" si="243"/>
        <v>0</v>
      </c>
      <c r="N86" s="6">
        <f t="shared" si="243"/>
        <v>0</v>
      </c>
      <c r="O86" s="6">
        <f t="shared" si="243"/>
        <v>0</v>
      </c>
      <c r="P86" s="6">
        <f t="shared" si="243"/>
        <v>0</v>
      </c>
      <c r="Q86" s="6">
        <f t="shared" si="243"/>
        <v>0</v>
      </c>
      <c r="R86" s="6">
        <f t="shared" si="243"/>
        <v>0</v>
      </c>
      <c r="S86" s="6">
        <f t="shared" si="243"/>
        <v>0</v>
      </c>
      <c r="T86" s="6">
        <f t="shared" si="243"/>
        <v>0</v>
      </c>
      <c r="U86" s="6">
        <f t="shared" si="243"/>
        <v>0</v>
      </c>
      <c r="V86" s="6">
        <f t="shared" si="243"/>
        <v>0</v>
      </c>
      <c r="W86" s="6">
        <f t="shared" si="243"/>
        <v>0</v>
      </c>
      <c r="X86" s="6">
        <f t="shared" si="243"/>
        <v>0</v>
      </c>
      <c r="Y86" s="6">
        <f t="shared" si="243"/>
        <v>0</v>
      </c>
      <c r="Z86" s="6">
        <f t="shared" si="243"/>
        <v>0</v>
      </c>
      <c r="AA86" s="6">
        <f t="shared" si="243"/>
        <v>0</v>
      </c>
      <c r="AB86" s="6">
        <f t="shared" si="243"/>
        <v>0</v>
      </c>
      <c r="AC86" s="6">
        <f t="shared" si="243"/>
        <v>44218</v>
      </c>
      <c r="AD86" s="6">
        <f t="shared" si="243"/>
        <v>47150</v>
      </c>
      <c r="AE86" s="6">
        <f t="shared" si="243"/>
        <v>50383</v>
      </c>
      <c r="AF86" s="6">
        <f t="shared" si="243"/>
        <v>54115</v>
      </c>
      <c r="AG86" s="6">
        <f t="shared" si="243"/>
        <v>59194</v>
      </c>
      <c r="AH86" s="6">
        <f t="shared" si="243"/>
        <v>62188</v>
      </c>
      <c r="AI86" s="6">
        <f t="shared" si="243"/>
        <v>66481</v>
      </c>
      <c r="AJ86" s="6">
        <f t="shared" si="243"/>
        <v>71208</v>
      </c>
      <c r="AK86" s="6">
        <f t="shared" si="243"/>
        <v>74347</v>
      </c>
      <c r="AL86" s="6">
        <f t="shared" si="243"/>
        <v>77620</v>
      </c>
      <c r="AM86" s="6">
        <f t="shared" si="243"/>
        <v>79382</v>
      </c>
      <c r="AN86" s="6">
        <f t="shared" si="243"/>
        <v>80342</v>
      </c>
      <c r="AO86" s="6">
        <f t="shared" si="243"/>
        <v>84127</v>
      </c>
      <c r="AP86" s="6">
        <f t="shared" si="243"/>
        <v>86516</v>
      </c>
      <c r="AQ86" s="6">
        <f t="shared" si="243"/>
        <v>88762</v>
      </c>
      <c r="AR86" s="6">
        <f t="shared" si="243"/>
        <v>93999</v>
      </c>
      <c r="AS86" s="6">
        <f t="shared" si="243"/>
        <v>101054</v>
      </c>
      <c r="AT86" s="6">
        <f t="shared" si="243"/>
        <v>105304</v>
      </c>
      <c r="AU86" s="6">
        <f t="shared" si="243"/>
        <v>110447</v>
      </c>
      <c r="AV86" s="6">
        <f t="shared" si="243"/>
        <v>117731</v>
      </c>
      <c r="AW86" s="6">
        <f t="shared" si="243"/>
        <v>128290</v>
      </c>
      <c r="AX86" s="6">
        <f t="shared" si="243"/>
        <v>133657</v>
      </c>
      <c r="AY86" s="6">
        <f t="shared" si="243"/>
        <v>138227</v>
      </c>
      <c r="AZ86" s="6">
        <f t="shared" si="243"/>
        <v>133360</v>
      </c>
      <c r="BA86" s="6">
        <f t="shared" si="243"/>
        <v>133360</v>
      </c>
      <c r="BB86" s="6">
        <f t="shared" si="243"/>
        <v>123228</v>
      </c>
      <c r="BC86" s="6">
        <f t="shared" si="243"/>
        <v>125767</v>
      </c>
      <c r="BD86" s="6">
        <f t="shared" si="243"/>
        <v>124094</v>
      </c>
      <c r="BE86" s="6">
        <f t="shared" si="243"/>
        <v>125713</v>
      </c>
      <c r="BF86" s="6">
        <f t="shared" si="243"/>
        <v>124795</v>
      </c>
      <c r="BG86" s="6">
        <f t="shared" si="243"/>
        <v>134033</v>
      </c>
      <c r="BH86" s="6">
        <f t="shared" si="243"/>
        <v>142873</v>
      </c>
      <c r="BI86" s="6">
        <f t="shared" ref="BI86" si="244">+BI76</f>
        <v>153168</v>
      </c>
    </row>
    <row r="87" spans="2:61" s="6" customFormat="1">
      <c r="B87" s="6" t="s">
        <v>219</v>
      </c>
      <c r="C87" s="6">
        <f>+C86-C61-C62</f>
        <v>0</v>
      </c>
      <c r="D87" s="6">
        <f t="shared" ref="D87:BH87" si="245">+D86-D61-D62</f>
        <v>0</v>
      </c>
      <c r="E87" s="6">
        <f t="shared" si="245"/>
        <v>0</v>
      </c>
      <c r="F87" s="6">
        <f t="shared" si="245"/>
        <v>0</v>
      </c>
      <c r="G87" s="6">
        <f t="shared" si="245"/>
        <v>0</v>
      </c>
      <c r="H87" s="6">
        <f t="shared" si="245"/>
        <v>0</v>
      </c>
      <c r="I87" s="6">
        <f t="shared" si="245"/>
        <v>0</v>
      </c>
      <c r="J87" s="6">
        <f t="shared" si="245"/>
        <v>0</v>
      </c>
      <c r="K87" s="6">
        <f t="shared" si="245"/>
        <v>0</v>
      </c>
      <c r="L87" s="6">
        <f t="shared" si="245"/>
        <v>0</v>
      </c>
      <c r="M87" s="6">
        <f t="shared" si="245"/>
        <v>0</v>
      </c>
      <c r="N87" s="6">
        <f t="shared" si="245"/>
        <v>0</v>
      </c>
      <c r="O87" s="6">
        <f t="shared" si="245"/>
        <v>0</v>
      </c>
      <c r="P87" s="6">
        <f t="shared" si="245"/>
        <v>0</v>
      </c>
      <c r="Q87" s="6">
        <f t="shared" si="245"/>
        <v>0</v>
      </c>
      <c r="R87" s="6">
        <f t="shared" si="245"/>
        <v>0</v>
      </c>
      <c r="S87" s="6">
        <f t="shared" si="245"/>
        <v>0</v>
      </c>
      <c r="T87" s="6">
        <f t="shared" si="245"/>
        <v>0</v>
      </c>
      <c r="U87" s="6">
        <f t="shared" si="245"/>
        <v>0</v>
      </c>
      <c r="V87" s="6">
        <f t="shared" si="245"/>
        <v>0</v>
      </c>
      <c r="W87" s="6">
        <f t="shared" si="245"/>
        <v>0</v>
      </c>
      <c r="X87" s="6">
        <f t="shared" si="245"/>
        <v>0</v>
      </c>
      <c r="Y87" s="6">
        <f t="shared" si="245"/>
        <v>0</v>
      </c>
      <c r="Z87" s="6">
        <f t="shared" si="245"/>
        <v>0</v>
      </c>
      <c r="AA87" s="6">
        <f t="shared" si="245"/>
        <v>0</v>
      </c>
      <c r="AB87" s="6">
        <f t="shared" si="245"/>
        <v>0</v>
      </c>
      <c r="AC87" s="6">
        <f t="shared" si="245"/>
        <v>22946</v>
      </c>
      <c r="AD87" s="6">
        <f t="shared" si="245"/>
        <v>26054</v>
      </c>
      <c r="AE87" s="6">
        <f t="shared" si="245"/>
        <v>29461</v>
      </c>
      <c r="AF87" s="6">
        <f t="shared" si="245"/>
        <v>33328</v>
      </c>
      <c r="AG87" s="6">
        <f t="shared" si="245"/>
        <v>38537</v>
      </c>
      <c r="AH87" s="6">
        <f t="shared" si="245"/>
        <v>41702</v>
      </c>
      <c r="AI87" s="6">
        <f t="shared" si="245"/>
        <v>46166</v>
      </c>
      <c r="AJ87" s="6">
        <f t="shared" si="245"/>
        <v>50945</v>
      </c>
      <c r="AK87" s="6">
        <f t="shared" si="245"/>
        <v>54242</v>
      </c>
      <c r="AL87" s="6">
        <f t="shared" si="245"/>
        <v>57617</v>
      </c>
      <c r="AM87" s="6">
        <f t="shared" si="245"/>
        <v>59546</v>
      </c>
      <c r="AN87" s="6">
        <f t="shared" si="245"/>
        <v>60587</v>
      </c>
      <c r="AO87" s="6">
        <f t="shared" si="245"/>
        <v>64532</v>
      </c>
      <c r="AP87" s="6">
        <f t="shared" si="245"/>
        <v>67033</v>
      </c>
      <c r="AQ87" s="6">
        <f t="shared" si="245"/>
        <v>69434</v>
      </c>
      <c r="AR87" s="6">
        <f t="shared" si="245"/>
        <v>74808</v>
      </c>
      <c r="AS87" s="6">
        <f t="shared" si="245"/>
        <v>81445</v>
      </c>
      <c r="AT87" s="6">
        <f t="shared" si="245"/>
        <v>85655</v>
      </c>
      <c r="AU87" s="6">
        <f t="shared" si="245"/>
        <v>90559</v>
      </c>
      <c r="AV87" s="6">
        <f t="shared" si="245"/>
        <v>97956</v>
      </c>
      <c r="AW87" s="6">
        <f t="shared" si="245"/>
        <v>108617</v>
      </c>
      <c r="AX87" s="6">
        <f t="shared" si="245"/>
        <v>114096</v>
      </c>
      <c r="AY87" s="6">
        <f t="shared" si="245"/>
        <v>118494</v>
      </c>
      <c r="AZ87" s="6">
        <f t="shared" si="245"/>
        <v>113930</v>
      </c>
      <c r="BA87" s="6">
        <f t="shared" si="245"/>
        <v>113529</v>
      </c>
      <c r="BB87" s="6">
        <f t="shared" si="245"/>
        <v>102395</v>
      </c>
      <c r="BC87" s="6">
        <f t="shared" si="245"/>
        <v>104573</v>
      </c>
      <c r="BD87" s="6">
        <f t="shared" si="245"/>
        <v>102951</v>
      </c>
      <c r="BE87" s="6">
        <f t="shared" si="245"/>
        <v>104510</v>
      </c>
      <c r="BF87" s="6">
        <f t="shared" si="245"/>
        <v>103197</v>
      </c>
      <c r="BG87" s="6">
        <f t="shared" si="245"/>
        <v>112518</v>
      </c>
      <c r="BH87" s="6">
        <f t="shared" si="245"/>
        <v>121392</v>
      </c>
      <c r="BI87" s="6">
        <f t="shared" ref="BI87" si="246">+BI86-BI61-BI62</f>
        <v>131726</v>
      </c>
    </row>
    <row r="88" spans="2:61" s="3" customFormat="1">
      <c r="B88" s="3" t="s">
        <v>220</v>
      </c>
      <c r="AC88" s="10"/>
      <c r="AD88" s="10"/>
      <c r="AE88" s="10"/>
      <c r="AF88" s="10"/>
      <c r="AG88" s="10"/>
      <c r="AH88" s="10"/>
      <c r="AI88" s="10"/>
      <c r="AJ88" s="10"/>
      <c r="AK88" s="10"/>
      <c r="AL88" s="10"/>
      <c r="AM88" s="10"/>
      <c r="AN88" s="10"/>
      <c r="AO88" s="10"/>
      <c r="AP88" s="10"/>
      <c r="AQ88" s="10">
        <f t="shared" ref="AQ88:BI88" si="247">IFERROR(SUM(AN93:AQ93)/AQ87,0)</f>
        <v>0.25818763141976553</v>
      </c>
      <c r="AR88" s="10">
        <f t="shared" si="247"/>
        <v>0.26128221580579619</v>
      </c>
      <c r="AS88" s="10">
        <f t="shared" si="247"/>
        <v>0.26044569955184482</v>
      </c>
      <c r="AT88" s="10">
        <f t="shared" si="247"/>
        <v>0.27066721148794581</v>
      </c>
      <c r="AU88" s="10">
        <f t="shared" si="247"/>
        <v>0.2078534436113473</v>
      </c>
      <c r="AV88" s="10">
        <f t="shared" si="247"/>
        <v>0.19588386622565232</v>
      </c>
      <c r="AW88" s="10">
        <f t="shared" si="247"/>
        <v>0.21757183497979138</v>
      </c>
      <c r="AX88" s="10">
        <f t="shared" si="247"/>
        <v>0.21174274295330248</v>
      </c>
      <c r="AY88" s="10">
        <f t="shared" si="247"/>
        <v>0.27150741809711887</v>
      </c>
      <c r="AZ88" s="10">
        <f t="shared" si="247"/>
        <v>0.31431580795225139</v>
      </c>
      <c r="BA88" s="10">
        <f t="shared" si="247"/>
        <v>0.34454632737009927</v>
      </c>
      <c r="BB88" s="10">
        <f t="shared" si="247"/>
        <v>0.3885052981102593</v>
      </c>
      <c r="BC88" s="10">
        <f t="shared" si="247"/>
        <v>0.34205770131869601</v>
      </c>
      <c r="BD88" s="10">
        <f t="shared" si="247"/>
        <v>0.25554875620440792</v>
      </c>
      <c r="BE88" s="10">
        <f t="shared" si="247"/>
        <v>0.13292507893981437</v>
      </c>
      <c r="BF88" s="10">
        <f t="shared" si="247"/>
        <v>0.12028450439450759</v>
      </c>
      <c r="BG88" s="10">
        <f t="shared" si="247"/>
        <v>0.16781314989601664</v>
      </c>
      <c r="BH88" s="10">
        <f t="shared" si="247"/>
        <v>0.26710162119414788</v>
      </c>
      <c r="BI88" s="10">
        <f t="shared" si="247"/>
        <v>0.3328651898638082</v>
      </c>
    </row>
    <row r="89" spans="2:61" s="3" customFormat="1">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1" spans="2:61">
      <c r="B91" s="1" t="s">
        <v>91</v>
      </c>
      <c r="AH91" s="1">
        <v>5058</v>
      </c>
      <c r="AI91" s="1">
        <f>10418-AH91</f>
        <v>5360</v>
      </c>
      <c r="AJ91" s="1">
        <f>16545-SUM(AH91:AI91)</f>
        <v>6127</v>
      </c>
      <c r="AK91" s="1">
        <f>24216-SUM(AH91:AJ91)</f>
        <v>7671</v>
      </c>
      <c r="AL91" s="1">
        <v>7860</v>
      </c>
      <c r="AM91" s="1">
        <f>14158-AL91</f>
        <v>6298</v>
      </c>
      <c r="AN91" s="1">
        <f>21656-SUM(AL91:AM91)</f>
        <v>7498</v>
      </c>
      <c r="AO91" s="1">
        <f>29274-SUM(AL91:AN91)</f>
        <v>7618</v>
      </c>
      <c r="AP91" s="1">
        <v>9308</v>
      </c>
      <c r="AQ91" s="1">
        <f>17924-AP91</f>
        <v>8616</v>
      </c>
      <c r="AR91" s="1">
        <f>27231-SUM(AP91:AQ91)</f>
        <v>9307</v>
      </c>
      <c r="AS91" s="1">
        <f>36314-SUM(AP91:AR91)</f>
        <v>9083</v>
      </c>
      <c r="AT91" s="1">
        <v>11001</v>
      </c>
      <c r="AU91" s="1">
        <f>14878-AT91</f>
        <v>3877</v>
      </c>
      <c r="AV91" s="1">
        <f>24707-SUM(AT91:AU91)</f>
        <v>9829</v>
      </c>
      <c r="AW91" s="1">
        <f>38747-SUM(AT91:AV91)</f>
        <v>14040</v>
      </c>
      <c r="AX91" s="1">
        <v>12242</v>
      </c>
      <c r="AY91" s="1">
        <f>25489-AX91</f>
        <v>13247</v>
      </c>
      <c r="AZ91" s="1">
        <v>14091</v>
      </c>
      <c r="BA91" s="1">
        <f>57683-SUM(AX91:AZ91)</f>
        <v>18103</v>
      </c>
      <c r="BB91" s="1">
        <v>14076</v>
      </c>
      <c r="BC91" s="1">
        <f>26272-BB91</f>
        <v>12196</v>
      </c>
      <c r="BD91" s="1">
        <f>35964-SUM(BB91:BC91)</f>
        <v>9692</v>
      </c>
      <c r="BE91" s="1">
        <v>9691</v>
      </c>
      <c r="BF91" s="1">
        <v>13998</v>
      </c>
      <c r="BG91" s="1">
        <v>17309</v>
      </c>
      <c r="BH91" s="1">
        <v>20402</v>
      </c>
      <c r="BI91" s="1">
        <v>19404</v>
      </c>
    </row>
    <row r="92" spans="2:61">
      <c r="B92" s="1" t="s">
        <v>92</v>
      </c>
      <c r="AH92" s="1">
        <v>-1271</v>
      </c>
      <c r="AI92" s="1">
        <f>+-2715-AH92</f>
        <v>-1444</v>
      </c>
      <c r="AJ92" s="1">
        <f>+-4470-SUM(AH92:AI92)</f>
        <v>-1755</v>
      </c>
      <c r="AK92" s="1">
        <f>+-6733-SUM(AH92:AJ92)</f>
        <v>-2263</v>
      </c>
      <c r="AL92" s="1">
        <v>-2812</v>
      </c>
      <c r="AM92" s="1">
        <f>+-6272-AL92</f>
        <v>-3460</v>
      </c>
      <c r="AN92" s="1">
        <f>+-9614-SUM(AL92:AM92)</f>
        <v>-3342</v>
      </c>
      <c r="AO92" s="1">
        <f>+-13915-SUM(AL92:AN92)</f>
        <v>-4301</v>
      </c>
      <c r="AP92" s="1">
        <v>-3837</v>
      </c>
      <c r="AQ92" s="1">
        <f>+-7470-AP92</f>
        <v>-3633</v>
      </c>
      <c r="AR92" s="1">
        <f>+-11002-SUM(AP92:AQ92)</f>
        <v>-3532</v>
      </c>
      <c r="AS92" s="1">
        <f>+-15102-SUM(AP92:AR92)</f>
        <v>-4100</v>
      </c>
      <c r="AT92" s="1">
        <v>-3558</v>
      </c>
      <c r="AU92" s="1">
        <f>+-6813-AT92</f>
        <v>-3255</v>
      </c>
      <c r="AV92" s="1">
        <f>+-10502-SUM(AT92:AU92)</f>
        <v>-3689</v>
      </c>
      <c r="AW92" s="1">
        <f>+-15115-SUM(AT92:AV92)</f>
        <v>-4613</v>
      </c>
      <c r="AX92" s="1">
        <f>+-4272</f>
        <v>-4272</v>
      </c>
      <c r="AY92" s="1">
        <f>+-8884-AX92</f>
        <v>-4612</v>
      </c>
      <c r="AZ92" s="1">
        <v>-4313</v>
      </c>
      <c r="BA92" s="1">
        <f>+-18567-SUM(AX92:AZ92)</f>
        <v>-5370</v>
      </c>
      <c r="BB92" s="1">
        <v>-5441</v>
      </c>
      <c r="BC92" s="1">
        <f>-13013-BB92</f>
        <v>-7572</v>
      </c>
      <c r="BD92" s="1">
        <f>+-22388-SUM(BB92:BC92)</f>
        <v>-9375</v>
      </c>
      <c r="BE92" s="1">
        <v>-9375</v>
      </c>
      <c r="BF92" s="1">
        <v>-6842</v>
      </c>
      <c r="BG92" s="1">
        <v>-6216</v>
      </c>
      <c r="BH92" s="1">
        <v>-6543</v>
      </c>
      <c r="BI92" s="1">
        <v>-7665</v>
      </c>
    </row>
    <row r="93" spans="2:61" s="3" customFormat="1">
      <c r="B93" s="3" t="s">
        <v>93</v>
      </c>
      <c r="AH93" s="3">
        <f t="shared" ref="AH93:BC93" si="248">+AH91+AH92</f>
        <v>3787</v>
      </c>
      <c r="AI93" s="3">
        <f t="shared" si="248"/>
        <v>3916</v>
      </c>
      <c r="AJ93" s="3">
        <f t="shared" si="248"/>
        <v>4372</v>
      </c>
      <c r="AK93" s="3">
        <f t="shared" si="248"/>
        <v>5408</v>
      </c>
      <c r="AL93" s="3">
        <f t="shared" si="248"/>
        <v>5048</v>
      </c>
      <c r="AM93" s="3">
        <f t="shared" si="248"/>
        <v>2838</v>
      </c>
      <c r="AN93" s="3">
        <f t="shared" si="248"/>
        <v>4156</v>
      </c>
      <c r="AO93" s="3">
        <f t="shared" si="248"/>
        <v>3317</v>
      </c>
      <c r="AP93" s="3">
        <f t="shared" si="248"/>
        <v>5471</v>
      </c>
      <c r="AQ93" s="3">
        <f t="shared" si="248"/>
        <v>4983</v>
      </c>
      <c r="AR93" s="3">
        <f t="shared" si="248"/>
        <v>5775</v>
      </c>
      <c r="AS93" s="3">
        <f t="shared" si="248"/>
        <v>4983</v>
      </c>
      <c r="AT93" s="3">
        <f t="shared" si="248"/>
        <v>7443</v>
      </c>
      <c r="AU93" s="3">
        <f t="shared" si="248"/>
        <v>622</v>
      </c>
      <c r="AV93" s="3">
        <f t="shared" si="248"/>
        <v>6140</v>
      </c>
      <c r="AW93" s="3">
        <f t="shared" si="248"/>
        <v>9427</v>
      </c>
      <c r="AX93" s="3">
        <f t="shared" si="248"/>
        <v>7970</v>
      </c>
      <c r="AY93" s="3">
        <f t="shared" si="248"/>
        <v>8635</v>
      </c>
      <c r="AZ93" s="3">
        <f t="shared" si="248"/>
        <v>9778</v>
      </c>
      <c r="BA93" s="3">
        <f t="shared" si="248"/>
        <v>12733</v>
      </c>
      <c r="BB93" s="3">
        <f>+BB91+BB92</f>
        <v>8635</v>
      </c>
      <c r="BC93" s="3">
        <f t="shared" si="248"/>
        <v>4624</v>
      </c>
      <c r="BD93" s="3">
        <f>+BD91+BD92</f>
        <v>317</v>
      </c>
      <c r="BE93" s="3">
        <f t="shared" ref="BE93:BH93" si="249">+BE91+BE92</f>
        <v>316</v>
      </c>
      <c r="BF93" s="3">
        <f t="shared" si="249"/>
        <v>7156</v>
      </c>
      <c r="BG93" s="3">
        <f t="shared" si="249"/>
        <v>11093</v>
      </c>
      <c r="BH93" s="3">
        <f t="shared" si="249"/>
        <v>13859</v>
      </c>
      <c r="BI93" s="3">
        <f t="shared" ref="BI93" si="250">+BI91+BI92</f>
        <v>11739</v>
      </c>
    </row>
    <row r="94" spans="2:61">
      <c r="B94" s="1" t="s">
        <v>28</v>
      </c>
      <c r="AH94" s="1">
        <f t="shared" ref="AH94:BH94" si="251">+AH31</f>
        <v>3064</v>
      </c>
      <c r="AI94" s="1">
        <f t="shared" si="251"/>
        <v>3894</v>
      </c>
      <c r="AJ94" s="1">
        <f t="shared" si="251"/>
        <v>4707</v>
      </c>
      <c r="AK94" s="1">
        <f t="shared" si="251"/>
        <v>4269</v>
      </c>
      <c r="AL94" s="1">
        <f t="shared" si="251"/>
        <v>4988</v>
      </c>
      <c r="AM94" s="1">
        <f t="shared" si="251"/>
        <v>5106</v>
      </c>
      <c r="AN94" s="1">
        <f t="shared" si="251"/>
        <v>5137</v>
      </c>
      <c r="AO94" s="1">
        <f t="shared" si="251"/>
        <v>6881</v>
      </c>
      <c r="AP94" s="1">
        <f t="shared" si="251"/>
        <v>2429</v>
      </c>
      <c r="AQ94" s="1">
        <f t="shared" si="251"/>
        <v>2616</v>
      </c>
      <c r="AR94" s="1">
        <f t="shared" si="251"/>
        <v>6091</v>
      </c>
      <c r="AS94" s="1">
        <f t="shared" si="251"/>
        <v>7349</v>
      </c>
      <c r="AT94" s="1">
        <f t="shared" si="251"/>
        <v>4902</v>
      </c>
      <c r="AU94" s="1">
        <f t="shared" si="251"/>
        <v>5178</v>
      </c>
      <c r="AV94" s="1">
        <f t="shared" si="251"/>
        <v>7846</v>
      </c>
      <c r="AW94" s="1">
        <f t="shared" si="251"/>
        <v>11220</v>
      </c>
      <c r="AX94" s="1">
        <f t="shared" si="251"/>
        <v>9497</v>
      </c>
      <c r="AY94" s="1">
        <f t="shared" si="251"/>
        <v>10394</v>
      </c>
      <c r="AZ94" s="1">
        <f t="shared" si="251"/>
        <v>9194</v>
      </c>
      <c r="BA94" s="1">
        <f t="shared" si="251"/>
        <v>10285</v>
      </c>
      <c r="BB94" s="1">
        <f t="shared" si="251"/>
        <v>7465</v>
      </c>
      <c r="BC94" s="1">
        <f t="shared" si="251"/>
        <v>6687</v>
      </c>
      <c r="BD94" s="1">
        <f t="shared" si="251"/>
        <v>4395</v>
      </c>
      <c r="BE94" s="1">
        <f t="shared" si="251"/>
        <v>4652</v>
      </c>
      <c r="BF94" s="1">
        <f t="shared" si="251"/>
        <v>5709</v>
      </c>
      <c r="BG94" s="1">
        <f t="shared" si="251"/>
        <v>7788</v>
      </c>
      <c r="BH94" s="1">
        <f t="shared" si="251"/>
        <v>11583</v>
      </c>
      <c r="BI94" s="1">
        <f t="shared" ref="BI94" si="252">+BI31</f>
        <v>14017</v>
      </c>
    </row>
    <row r="96" spans="2:61" s="6" customFormat="1">
      <c r="B96" s="6" t="s">
        <v>94</v>
      </c>
      <c r="AK96" s="6">
        <f t="shared" ref="AK96:AX96" si="253">+SUM(AH93:AK93)</f>
        <v>17483</v>
      </c>
      <c r="AL96" s="6">
        <f t="shared" si="253"/>
        <v>18744</v>
      </c>
      <c r="AM96" s="6">
        <f t="shared" si="253"/>
        <v>17666</v>
      </c>
      <c r="AN96" s="6">
        <f t="shared" si="253"/>
        <v>17450</v>
      </c>
      <c r="AO96" s="6">
        <f t="shared" si="253"/>
        <v>15359</v>
      </c>
      <c r="AP96" s="6">
        <f t="shared" si="253"/>
        <v>15782</v>
      </c>
      <c r="AQ96" s="6">
        <f t="shared" si="253"/>
        <v>17927</v>
      </c>
      <c r="AR96" s="6">
        <f t="shared" si="253"/>
        <v>19546</v>
      </c>
      <c r="AS96" s="6">
        <f t="shared" si="253"/>
        <v>21212</v>
      </c>
      <c r="AT96" s="6">
        <f t="shared" si="253"/>
        <v>23184</v>
      </c>
      <c r="AU96" s="6">
        <f t="shared" si="253"/>
        <v>18823</v>
      </c>
      <c r="AV96" s="6">
        <f t="shared" si="253"/>
        <v>19188</v>
      </c>
      <c r="AW96" s="6">
        <f t="shared" si="253"/>
        <v>23632</v>
      </c>
      <c r="AX96" s="6">
        <f t="shared" si="253"/>
        <v>24159</v>
      </c>
      <c r="AY96" s="6">
        <f>+SUM(AV93:AY93)</f>
        <v>32172</v>
      </c>
      <c r="AZ96" s="6">
        <f t="shared" ref="AZ96:BC96" si="254">+SUM(AW93:AZ93)</f>
        <v>35810</v>
      </c>
      <c r="BA96" s="6">
        <f t="shared" si="254"/>
        <v>39116</v>
      </c>
      <c r="BB96" s="6">
        <f t="shared" si="254"/>
        <v>39781</v>
      </c>
      <c r="BC96" s="6">
        <f t="shared" si="254"/>
        <v>35770</v>
      </c>
      <c r="BD96" s="6">
        <f>+SUM(BA93:BD93)</f>
        <v>26309</v>
      </c>
      <c r="BE96" s="6">
        <f t="shared" ref="BE96:BI96" si="255">+SUM(BB93:BE93)</f>
        <v>13892</v>
      </c>
      <c r="BF96" s="6">
        <f t="shared" si="255"/>
        <v>12413</v>
      </c>
      <c r="BG96" s="6">
        <f t="shared" si="255"/>
        <v>18882</v>
      </c>
      <c r="BH96" s="6">
        <f t="shared" si="255"/>
        <v>32424</v>
      </c>
      <c r="BI96" s="6">
        <f t="shared" si="255"/>
        <v>43847</v>
      </c>
    </row>
    <row r="97" spans="2:61" s="6" customFormat="1">
      <c r="B97" s="6" t="s">
        <v>95</v>
      </c>
      <c r="AK97" s="6">
        <f t="shared" ref="AK97:AX97" si="256">+SUM(AH94:AK94)</f>
        <v>15934</v>
      </c>
      <c r="AL97" s="6">
        <f t="shared" si="256"/>
        <v>17858</v>
      </c>
      <c r="AM97" s="6">
        <f t="shared" si="256"/>
        <v>19070</v>
      </c>
      <c r="AN97" s="6">
        <f t="shared" si="256"/>
        <v>19500</v>
      </c>
      <c r="AO97" s="6">
        <f t="shared" si="256"/>
        <v>22112</v>
      </c>
      <c r="AP97" s="6">
        <f t="shared" si="256"/>
        <v>19553</v>
      </c>
      <c r="AQ97" s="6">
        <f t="shared" si="256"/>
        <v>17063</v>
      </c>
      <c r="AR97" s="6">
        <f t="shared" si="256"/>
        <v>18017</v>
      </c>
      <c r="AS97" s="6">
        <f t="shared" si="256"/>
        <v>18485</v>
      </c>
      <c r="AT97" s="6">
        <f t="shared" si="256"/>
        <v>20958</v>
      </c>
      <c r="AU97" s="6">
        <f t="shared" si="256"/>
        <v>23520</v>
      </c>
      <c r="AV97" s="6">
        <f t="shared" si="256"/>
        <v>25275</v>
      </c>
      <c r="AW97" s="6">
        <f t="shared" si="256"/>
        <v>29146</v>
      </c>
      <c r="AX97" s="6">
        <f t="shared" si="256"/>
        <v>33741</v>
      </c>
      <c r="AY97" s="6">
        <f>+SUM(AV94:AY94)</f>
        <v>38957</v>
      </c>
      <c r="AZ97" s="6">
        <f t="shared" ref="AZ97:BC97" si="257">+SUM(AW94:AZ94)</f>
        <v>40305</v>
      </c>
      <c r="BA97" s="6">
        <f t="shared" si="257"/>
        <v>39370</v>
      </c>
      <c r="BB97" s="6">
        <f t="shared" si="257"/>
        <v>37338</v>
      </c>
      <c r="BC97" s="6">
        <f t="shared" si="257"/>
        <v>33631</v>
      </c>
      <c r="BD97" s="6">
        <f>+SUM(BA94:BD94)</f>
        <v>28832</v>
      </c>
      <c r="BE97" s="6">
        <f t="shared" ref="BE97:BI97" si="258">+SUM(BB94:BE94)</f>
        <v>23199</v>
      </c>
      <c r="BF97" s="6">
        <f t="shared" si="258"/>
        <v>21443</v>
      </c>
      <c r="BG97" s="6">
        <f t="shared" si="258"/>
        <v>22544</v>
      </c>
      <c r="BH97" s="6">
        <f t="shared" si="258"/>
        <v>29732</v>
      </c>
      <c r="BI97" s="6">
        <f t="shared" si="258"/>
        <v>39097</v>
      </c>
    </row>
    <row r="98" spans="2:61">
      <c r="AK98" s="1">
        <f t="shared" ref="AK98:AX98" si="259">+AK96-AK97</f>
        <v>1549</v>
      </c>
      <c r="AL98" s="1">
        <f t="shared" si="259"/>
        <v>886</v>
      </c>
      <c r="AM98" s="11">
        <f t="shared" si="259"/>
        <v>-1404</v>
      </c>
      <c r="AN98" s="11">
        <f t="shared" si="259"/>
        <v>-2050</v>
      </c>
      <c r="AO98" s="11">
        <f t="shared" si="259"/>
        <v>-6753</v>
      </c>
      <c r="AP98" s="11">
        <f t="shared" si="259"/>
        <v>-3771</v>
      </c>
      <c r="AQ98" s="1">
        <f t="shared" si="259"/>
        <v>864</v>
      </c>
      <c r="AR98" s="1">
        <f t="shared" si="259"/>
        <v>1529</v>
      </c>
      <c r="AS98" s="1">
        <f t="shared" si="259"/>
        <v>2727</v>
      </c>
      <c r="AT98" s="1">
        <f t="shared" si="259"/>
        <v>2226</v>
      </c>
      <c r="AU98" s="11">
        <f t="shared" si="259"/>
        <v>-4697</v>
      </c>
      <c r="AV98" s="11">
        <f t="shared" si="259"/>
        <v>-6087</v>
      </c>
      <c r="AW98" s="11">
        <f t="shared" si="259"/>
        <v>-5514</v>
      </c>
      <c r="AX98" s="11">
        <f t="shared" si="259"/>
        <v>-9582</v>
      </c>
      <c r="AY98" s="11">
        <f>+AY96-AY97</f>
        <v>-6785</v>
      </c>
      <c r="AZ98" s="11">
        <f t="shared" ref="AZ98:BC98" si="260">+AZ96-AZ97</f>
        <v>-4495</v>
      </c>
      <c r="BA98" s="11">
        <f>+BA96-BA97</f>
        <v>-254</v>
      </c>
      <c r="BB98" s="11">
        <f t="shared" si="260"/>
        <v>2443</v>
      </c>
      <c r="BC98" s="11">
        <f t="shared" si="260"/>
        <v>2139</v>
      </c>
      <c r="BD98" s="11">
        <f>+BD96-BD97</f>
        <v>-2523</v>
      </c>
      <c r="BE98" s="11">
        <f t="shared" ref="BE98:BH98" si="261">+BE96-BE97</f>
        <v>-9307</v>
      </c>
      <c r="BF98" s="11">
        <f t="shared" si="261"/>
        <v>-9030</v>
      </c>
      <c r="BG98" s="11">
        <f t="shared" si="261"/>
        <v>-3662</v>
      </c>
      <c r="BH98" s="11">
        <f t="shared" si="261"/>
        <v>2692</v>
      </c>
      <c r="BI98" s="11">
        <f t="shared" ref="BI98" si="262">+BI96-BI97</f>
        <v>4750</v>
      </c>
    </row>
    <row r="99" spans="2:61">
      <c r="B99" s="49" t="str">
        <f>CONCATENATE(COUNT(AH93:BH93),"Q","AverageFCF")</f>
        <v>27QAverageFCF</v>
      </c>
    </row>
    <row r="100" spans="2:61">
      <c r="B100" s="49" t="str">
        <f>CONCATENATE(COUNT(AH94:BH94),"Q","AverageNI")</f>
        <v>27QAverageNI</v>
      </c>
    </row>
    <row r="104" spans="2:61" s="63" customFormat="1">
      <c r="B104" s="63" t="s">
        <v>230</v>
      </c>
      <c r="BI104" s="63">
        <v>2</v>
      </c>
    </row>
    <row r="105" spans="2:61" s="63" customFormat="1">
      <c r="B105" s="63" t="s">
        <v>231</v>
      </c>
      <c r="BI105" s="63">
        <f>+BI104/4</f>
        <v>0.5</v>
      </c>
    </row>
  </sheetData>
  <pageMargins left="0.7" right="0.7" top="0.75" bottom="0.75" header="0.3" footer="0.3"/>
  <ignoredErrors>
    <ignoredError sqref="AU26 AT26 AV26 AR26 AJ26 AH26:AI26 AD26:AF26 BY26:CD26 AX26:AY26 AP26:AQ26 AL26:AN26 Z26 BW26:BX26 BU26:BV26 BS26:BT26 AC22:AC25 AA26:AB26 AC52:AZ52 AZ26 BB26 BA52:BH52 AS79:BH79 CB17:CE20 CD22:CE25 CD27:CD30 AX39:BH40 AO79:AR79 CF17:CF30 CD33:CD34" formulaRange="1"/>
    <ignoredError sqref="CH29:CN29 AW26:AW28 AW33 AS26:AS28 AS33 AO26:AO28 AO33 AK26:AK28 AK32:AK33 AG26:AG28 AG32:AG33 AG30:AG31 AW30:AW32 AS30:AS32 AO30:AO32 AK30:AK31 AG29:AW29 AC31:AC33 BA24:BA33 CE38:CE39 CD11:CE11 AS11:BE11 BF11:BI11 BG26:BM29 CG31:CG32 CG28" formula="1"/>
    <ignoredError sqref="AC26:AC30 CE26 CE27 CE34 CE28:CE30 CE33 CF31:CF32 CD31:CD32 CE31:CE3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A156-93D8-BC4A-BD21-6A327FA37653}">
  <dimension ref="B1:E23"/>
  <sheetViews>
    <sheetView zoomScale="310" workbookViewId="0">
      <selection activeCell="C7" sqref="C7"/>
    </sheetView>
  </sheetViews>
  <sheetFormatPr baseColWidth="10" defaultRowHeight="13"/>
  <cols>
    <col min="1" max="1" width="3.33203125" customWidth="1"/>
    <col min="2" max="2" width="5.6640625" bestFit="1" customWidth="1"/>
    <col min="3" max="3" width="6.1640625" style="44" customWidth="1"/>
    <col min="4" max="4" width="7.83203125" bestFit="1" customWidth="1"/>
    <col min="5" max="5" width="46.6640625" bestFit="1" customWidth="1"/>
    <col min="6" max="6" width="21.5" bestFit="1" customWidth="1"/>
  </cols>
  <sheetData>
    <row r="1" spans="3:5">
      <c r="C1" s="44" t="s">
        <v>145</v>
      </c>
      <c r="D1" t="s">
        <v>198</v>
      </c>
    </row>
    <row r="2" spans="3:5">
      <c r="C2" s="44">
        <v>2</v>
      </c>
      <c r="D2" t="s">
        <v>197</v>
      </c>
    </row>
    <row r="3" spans="3:5">
      <c r="C3" s="44">
        <v>1</v>
      </c>
      <c r="D3" t="s">
        <v>152</v>
      </c>
    </row>
    <row r="4" spans="3:5">
      <c r="C4" s="44">
        <v>0</v>
      </c>
      <c r="D4" t="s">
        <v>153</v>
      </c>
    </row>
    <row r="5" spans="3:5" s="15" customFormat="1">
      <c r="C5" s="45"/>
      <c r="E5" s="15" t="s">
        <v>156</v>
      </c>
    </row>
    <row r="6" spans="3:5">
      <c r="C6" s="44">
        <v>0</v>
      </c>
      <c r="D6" t="s">
        <v>145</v>
      </c>
      <c r="E6" s="17" t="s">
        <v>146</v>
      </c>
    </row>
    <row r="7" spans="3:5">
      <c r="C7" s="44">
        <v>0</v>
      </c>
      <c r="D7" t="s">
        <v>145</v>
      </c>
      <c r="E7" s="16" t="s">
        <v>144</v>
      </c>
    </row>
    <row r="8" spans="3:5">
      <c r="C8" s="44">
        <v>1</v>
      </c>
      <c r="D8" t="s">
        <v>145</v>
      </c>
      <c r="E8" s="16" t="s">
        <v>147</v>
      </c>
    </row>
    <row r="9" spans="3:5">
      <c r="C9" s="44">
        <v>1</v>
      </c>
      <c r="D9" t="s">
        <v>145</v>
      </c>
      <c r="E9" s="16" t="s">
        <v>148</v>
      </c>
    </row>
    <row r="10" spans="3:5">
      <c r="C10" s="44">
        <v>0</v>
      </c>
      <c r="D10" t="s">
        <v>145</v>
      </c>
      <c r="E10" s="16" t="s">
        <v>149</v>
      </c>
    </row>
    <row r="11" spans="3:5">
      <c r="C11" s="44">
        <v>1</v>
      </c>
      <c r="D11" t="s">
        <v>145</v>
      </c>
      <c r="E11" s="16" t="s">
        <v>151</v>
      </c>
    </row>
    <row r="12" spans="3:5">
      <c r="C12" s="44">
        <v>1</v>
      </c>
      <c r="D12" t="s">
        <v>145</v>
      </c>
      <c r="E12" s="16" t="s">
        <v>154</v>
      </c>
    </row>
    <row r="13" spans="3:5">
      <c r="E13" s="16"/>
    </row>
    <row r="14" spans="3:5">
      <c r="E14" s="15" t="s">
        <v>158</v>
      </c>
    </row>
    <row r="15" spans="3:5">
      <c r="E15" t="s">
        <v>157</v>
      </c>
    </row>
    <row r="17" spans="2:5">
      <c r="E17" t="s">
        <v>160</v>
      </c>
    </row>
    <row r="21" spans="2:5">
      <c r="B21" t="s">
        <v>155</v>
      </c>
      <c r="C21" s="46">
        <f>SUM(C6:C12)/COUNT(C6:C12)</f>
        <v>0.5714285714285714</v>
      </c>
      <c r="E21" t="s">
        <v>159</v>
      </c>
    </row>
    <row r="23" spans="2:5">
      <c r="C23" s="46"/>
    </row>
  </sheetData>
  <hyperlinks>
    <hyperlink ref="E7" r:id="rId1" xr:uid="{361AFF53-4658-3F48-950F-F4677A0ED385}"/>
    <hyperlink ref="E8" r:id="rId2" xr:uid="{24A6E7CF-CFE4-6A44-8F47-96D21F7AEF18}"/>
    <hyperlink ref="E9" r:id="rId3" xr:uid="{72E60179-354D-804F-B35A-6FEDB1068E02}"/>
    <hyperlink ref="E10" r:id="rId4" xr:uid="{40344DA1-0D97-C849-8E17-9AAB15B5ACE8}"/>
    <hyperlink ref="E11" r:id="rId5" xr:uid="{D32FBF7E-3719-514E-9212-CC4C1DA43D77}"/>
    <hyperlink ref="E12" r:id="rId6" xr:uid="{BDAEC80C-CEB8-FD4D-A7C6-365A5B08E84A}"/>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Notes on FB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jameel</cp:lastModifiedBy>
  <dcterms:created xsi:type="dcterms:W3CDTF">2021-08-19T03:58:56Z</dcterms:created>
  <dcterms:modified xsi:type="dcterms:W3CDTF">2024-02-14T02:37:53Z</dcterms:modified>
</cp:coreProperties>
</file>