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elbrannon/Dropbox/Models/"/>
    </mc:Choice>
  </mc:AlternateContent>
  <xr:revisionPtr revIDLastSave="0" documentId="13_ncr:1_{1A3EAFA6-D0F7-5246-82E1-CA5A0F8CFE10}" xr6:coauthVersionLast="47" xr6:coauthVersionMax="47" xr10:uidLastSave="{00000000-0000-0000-0000-000000000000}"/>
  <bookViews>
    <workbookView xWindow="6000" yWindow="500" windowWidth="38800" windowHeight="24700" xr2:uid="{7ADF5479-45F4-A64C-AA40-8D4B81328AA1}"/>
  </bookViews>
  <sheets>
    <sheet name="Main" sheetId="1" r:id="rId1"/>
    <sheet name="Model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41" i="2" l="1"/>
  <c r="R47" i="2"/>
  <c r="Q47" i="2"/>
  <c r="R46" i="2"/>
  <c r="Q46" i="2"/>
  <c r="R45" i="2"/>
  <c r="Q45" i="2"/>
  <c r="R44" i="2"/>
  <c r="Q44" i="2"/>
  <c r="T49" i="2"/>
  <c r="N28" i="2"/>
  <c r="M28" i="2"/>
  <c r="N27" i="2"/>
  <c r="M27" i="2"/>
  <c r="N26" i="2"/>
  <c r="M26" i="2"/>
  <c r="S47" i="2"/>
  <c r="S46" i="2"/>
  <c r="S45" i="2"/>
  <c r="S44" i="2"/>
  <c r="L46" i="2"/>
  <c r="L45" i="2"/>
  <c r="K47" i="2"/>
  <c r="J47" i="2"/>
  <c r="I47" i="2"/>
  <c r="H47" i="2"/>
  <c r="G47" i="2"/>
  <c r="F47" i="2"/>
  <c r="E47" i="2"/>
  <c r="D47" i="2"/>
  <c r="C47" i="2"/>
  <c r="K46" i="2"/>
  <c r="J46" i="2"/>
  <c r="I46" i="2"/>
  <c r="H46" i="2"/>
  <c r="G46" i="2"/>
  <c r="F46" i="2"/>
  <c r="E46" i="2"/>
  <c r="D46" i="2"/>
  <c r="C46" i="2"/>
  <c r="K45" i="2"/>
  <c r="I45" i="2"/>
  <c r="H45" i="2"/>
  <c r="G45" i="2"/>
  <c r="F45" i="2"/>
  <c r="E45" i="2"/>
  <c r="D45" i="2"/>
  <c r="C45" i="2"/>
  <c r="L47" i="2"/>
  <c r="T44" i="2"/>
  <c r="V7" i="2"/>
  <c r="W7" i="2" s="1"/>
  <c r="X7" i="2" s="1"/>
  <c r="Y7" i="2" s="1"/>
  <c r="Z7" i="2" s="1"/>
  <c r="AA7" i="2" s="1"/>
  <c r="AB7" i="2" s="1"/>
  <c r="AC7" i="2" s="1"/>
  <c r="U7" i="2"/>
  <c r="U5" i="2"/>
  <c r="V5" i="2" s="1"/>
  <c r="T6" i="2"/>
  <c r="S6" i="2"/>
  <c r="R6" i="2"/>
  <c r="L39" i="2"/>
  <c r="K41" i="2"/>
  <c r="I41" i="2"/>
  <c r="H41" i="2"/>
  <c r="K40" i="2"/>
  <c r="I40" i="2"/>
  <c r="H40" i="2"/>
  <c r="K39" i="2"/>
  <c r="I39" i="2"/>
  <c r="H39" i="2"/>
  <c r="L41" i="2"/>
  <c r="L40" i="2"/>
  <c r="E44" i="2"/>
  <c r="C44" i="2"/>
  <c r="L76" i="2"/>
  <c r="L69" i="2"/>
  <c r="L71" i="2" s="1"/>
  <c r="L77" i="2" s="1"/>
  <c r="L57" i="2"/>
  <c r="L63" i="2" s="1"/>
  <c r="L52" i="2"/>
  <c r="L14" i="2"/>
  <c r="L23" i="2" s="1"/>
  <c r="L6" i="2" s="1"/>
  <c r="L7" i="2" s="1"/>
  <c r="G5" i="1"/>
  <c r="G6" i="1" s="1"/>
  <c r="G9" i="1" s="1"/>
  <c r="AI50" i="2" s="1"/>
  <c r="Q34" i="1"/>
  <c r="Q33" i="1"/>
  <c r="Q32" i="1"/>
  <c r="P87" i="2"/>
  <c r="H76" i="2"/>
  <c r="I76" i="2"/>
  <c r="H69" i="2"/>
  <c r="H71" i="2" s="1"/>
  <c r="H57" i="2"/>
  <c r="H63" i="2" s="1"/>
  <c r="H52" i="2"/>
  <c r="F76" i="2"/>
  <c r="F69" i="2"/>
  <c r="F71" i="2" s="1"/>
  <c r="F57" i="2"/>
  <c r="F63" i="2" s="1"/>
  <c r="F52" i="2"/>
  <c r="I52" i="2"/>
  <c r="I69" i="2"/>
  <c r="I71" i="2" s="1"/>
  <c r="I57" i="2"/>
  <c r="I63" i="2" s="1"/>
  <c r="J52" i="2"/>
  <c r="K52" i="2"/>
  <c r="D14" i="2"/>
  <c r="D20" i="2" s="1"/>
  <c r="G11" i="1"/>
  <c r="D7" i="2"/>
  <c r="E7" i="2"/>
  <c r="F7" i="2"/>
  <c r="G7" i="2"/>
  <c r="H7" i="2"/>
  <c r="I7" i="2"/>
  <c r="J7" i="2"/>
  <c r="R4" i="2"/>
  <c r="AF45" i="2"/>
  <c r="R10" i="1"/>
  <c r="M5" i="2"/>
  <c r="C29" i="2"/>
  <c r="H14" i="2"/>
  <c r="H23" i="2" s="1"/>
  <c r="R38" i="2"/>
  <c r="Q7" i="2"/>
  <c r="S5" i="2"/>
  <c r="S7" i="2" s="1"/>
  <c r="S8" i="2" s="1"/>
  <c r="R5" i="2"/>
  <c r="R7" i="2" s="1"/>
  <c r="R8" i="2" s="1"/>
  <c r="S4" i="2"/>
  <c r="Q28" i="2"/>
  <c r="Q29" i="2" s="1"/>
  <c r="Q25" i="2"/>
  <c r="Q49" i="2" s="1"/>
  <c r="F24" i="2"/>
  <c r="F26" i="2"/>
  <c r="F27" i="2"/>
  <c r="F28" i="2"/>
  <c r="F31" i="2"/>
  <c r="F33" i="2"/>
  <c r="F35" i="2"/>
  <c r="D29" i="2"/>
  <c r="J35" i="2"/>
  <c r="J33" i="2"/>
  <c r="J31" i="2"/>
  <c r="J28" i="2"/>
  <c r="J27" i="2"/>
  <c r="J26" i="2"/>
  <c r="J45" i="2" s="1"/>
  <c r="J24" i="2"/>
  <c r="H32" i="2"/>
  <c r="H29" i="2"/>
  <c r="F13" i="2"/>
  <c r="F12" i="2"/>
  <c r="F11" i="2"/>
  <c r="F10" i="2"/>
  <c r="J39" i="2" s="1"/>
  <c r="J13" i="2"/>
  <c r="J12" i="2"/>
  <c r="J41" i="2" s="1"/>
  <c r="J11" i="2"/>
  <c r="J40" i="2" s="1"/>
  <c r="J10" i="2"/>
  <c r="R14" i="2"/>
  <c r="S14" i="2"/>
  <c r="E14" i="2"/>
  <c r="E25" i="2" s="1"/>
  <c r="I14" i="2"/>
  <c r="I23" i="2" s="1"/>
  <c r="E29" i="2"/>
  <c r="G14" i="2"/>
  <c r="G23" i="2" s="1"/>
  <c r="G38" i="2" s="1"/>
  <c r="G29" i="2"/>
  <c r="I29" i="2"/>
  <c r="J57" i="2"/>
  <c r="J63" i="2" s="1"/>
  <c r="J69" i="2"/>
  <c r="J71" i="2" s="1"/>
  <c r="J76" i="2"/>
  <c r="K79" i="2" s="1"/>
  <c r="K85" i="2" s="1"/>
  <c r="S38" i="2"/>
  <c r="R29" i="2"/>
  <c r="R25" i="2"/>
  <c r="R49" i="2" s="1"/>
  <c r="S29" i="2"/>
  <c r="S25" i="2"/>
  <c r="S49" i="2" s="1"/>
  <c r="K14" i="2"/>
  <c r="K23" i="2" s="1"/>
  <c r="K6" i="2" s="1"/>
  <c r="K7" i="2" s="1"/>
  <c r="K108" i="2"/>
  <c r="K102" i="2"/>
  <c r="K76" i="2"/>
  <c r="K69" i="2"/>
  <c r="K71" i="2" s="1"/>
  <c r="K57" i="2"/>
  <c r="K63" i="2" s="1"/>
  <c r="K29" i="2"/>
  <c r="Q3" i="2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H7" i="1"/>
  <c r="H8" i="1" s="1"/>
  <c r="W5" i="2" l="1"/>
  <c r="V23" i="2"/>
  <c r="V26" i="2" s="1"/>
  <c r="I44" i="2"/>
  <c r="K44" i="2"/>
  <c r="L44" i="2"/>
  <c r="H44" i="2"/>
  <c r="G44" i="2"/>
  <c r="L17" i="2"/>
  <c r="L18" i="2"/>
  <c r="L19" i="2"/>
  <c r="D23" i="2"/>
  <c r="H38" i="2" s="1"/>
  <c r="L20" i="2"/>
  <c r="AF43" i="2"/>
  <c r="F77" i="2"/>
  <c r="I77" i="2"/>
  <c r="K38" i="2"/>
  <c r="K17" i="2"/>
  <c r="G18" i="2"/>
  <c r="K18" i="2"/>
  <c r="K19" i="2"/>
  <c r="G20" i="2"/>
  <c r="D17" i="2"/>
  <c r="K20" i="2"/>
  <c r="D18" i="2"/>
  <c r="D19" i="2"/>
  <c r="G19" i="2"/>
  <c r="E18" i="2"/>
  <c r="E20" i="2"/>
  <c r="E19" i="2"/>
  <c r="G17" i="2"/>
  <c r="H18" i="2"/>
  <c r="H20" i="2"/>
  <c r="H19" i="2"/>
  <c r="E17" i="2"/>
  <c r="H17" i="2"/>
  <c r="I18" i="2"/>
  <c r="I20" i="2"/>
  <c r="I19" i="2"/>
  <c r="I17" i="2"/>
  <c r="F14" i="2"/>
  <c r="F17" i="2" s="1"/>
  <c r="J29" i="2"/>
  <c r="E30" i="2"/>
  <c r="E49" i="2"/>
  <c r="J23" i="2"/>
  <c r="J44" i="2" s="1"/>
  <c r="I38" i="2"/>
  <c r="N5" i="2"/>
  <c r="H25" i="2"/>
  <c r="H50" i="2"/>
  <c r="I25" i="2"/>
  <c r="F29" i="2"/>
  <c r="C25" i="2"/>
  <c r="J14" i="2"/>
  <c r="J17" i="2" s="1"/>
  <c r="Q30" i="2"/>
  <c r="H34" i="2"/>
  <c r="H36" i="2" s="1"/>
  <c r="G25" i="2"/>
  <c r="J77" i="2"/>
  <c r="S30" i="2"/>
  <c r="R30" i="2"/>
  <c r="K25" i="2"/>
  <c r="K77" i="2"/>
  <c r="X5" i="2" l="1"/>
  <c r="W23" i="2"/>
  <c r="W26" i="2" s="1"/>
  <c r="D25" i="2"/>
  <c r="D49" i="2"/>
  <c r="D44" i="2"/>
  <c r="F23" i="2"/>
  <c r="H49" i="2"/>
  <c r="I49" i="2"/>
  <c r="E50" i="2"/>
  <c r="E32" i="2"/>
  <c r="E34" i="2" s="1"/>
  <c r="E36" i="2" s="1"/>
  <c r="J19" i="2"/>
  <c r="F19" i="2"/>
  <c r="F20" i="2"/>
  <c r="J18" i="2"/>
  <c r="J20" i="2"/>
  <c r="F18" i="2"/>
  <c r="M6" i="2"/>
  <c r="L38" i="2"/>
  <c r="J25" i="2"/>
  <c r="D30" i="2"/>
  <c r="D50" i="2" s="1"/>
  <c r="T5" i="2"/>
  <c r="C30" i="2"/>
  <c r="C49" i="2"/>
  <c r="I30" i="2"/>
  <c r="K49" i="2"/>
  <c r="S32" i="2"/>
  <c r="S50" i="2"/>
  <c r="G30" i="2"/>
  <c r="G49" i="2"/>
  <c r="R32" i="2"/>
  <c r="R34" i="2" s="1"/>
  <c r="R36" i="2" s="1"/>
  <c r="R50" i="2"/>
  <c r="Q32" i="2"/>
  <c r="Q34" i="2" s="1"/>
  <c r="Q36" i="2" s="1"/>
  <c r="Q50" i="2"/>
  <c r="F25" i="2"/>
  <c r="K30" i="2"/>
  <c r="Y5" i="2" l="1"/>
  <c r="X23" i="2"/>
  <c r="X26" i="2" s="1"/>
  <c r="J49" i="2"/>
  <c r="F44" i="2"/>
  <c r="F49" i="2"/>
  <c r="J38" i="2"/>
  <c r="N6" i="2"/>
  <c r="M7" i="2"/>
  <c r="M23" i="2"/>
  <c r="F30" i="2"/>
  <c r="F50" i="2" s="1"/>
  <c r="D32" i="2"/>
  <c r="D34" i="2" s="1"/>
  <c r="M38" i="2"/>
  <c r="M24" i="2"/>
  <c r="G32" i="2"/>
  <c r="G34" i="2" s="1"/>
  <c r="G36" i="2" s="1"/>
  <c r="G50" i="2"/>
  <c r="S34" i="2"/>
  <c r="C32" i="2"/>
  <c r="C50" i="2"/>
  <c r="I32" i="2"/>
  <c r="I34" i="2" s="1"/>
  <c r="I36" i="2" s="1"/>
  <c r="I50" i="2"/>
  <c r="J30" i="2"/>
  <c r="J50" i="2" s="1"/>
  <c r="K32" i="2"/>
  <c r="K50" i="2"/>
  <c r="L25" i="2"/>
  <c r="Z5" i="2" l="1"/>
  <c r="Y23" i="2"/>
  <c r="Y26" i="2" s="1"/>
  <c r="M25" i="2"/>
  <c r="M44" i="2"/>
  <c r="N23" i="2"/>
  <c r="N7" i="2"/>
  <c r="T23" i="2"/>
  <c r="C34" i="2"/>
  <c r="C36" i="2" s="1"/>
  <c r="M29" i="2"/>
  <c r="M30" i="2" s="1"/>
  <c r="L29" i="2"/>
  <c r="L30" i="2" s="1"/>
  <c r="M49" i="2"/>
  <c r="J32" i="2"/>
  <c r="S36" i="2"/>
  <c r="J34" i="2"/>
  <c r="J36" i="2" s="1"/>
  <c r="K34" i="2"/>
  <c r="F32" i="2"/>
  <c r="L49" i="2"/>
  <c r="AA5" i="2" l="1"/>
  <c r="Z23" i="2"/>
  <c r="Z26" i="2" s="1"/>
  <c r="N24" i="2"/>
  <c r="N44" i="2" s="1"/>
  <c r="T28" i="2"/>
  <c r="T47" i="2" s="1"/>
  <c r="N38" i="2"/>
  <c r="F34" i="2"/>
  <c r="F36" i="2" s="1"/>
  <c r="AF47" i="2"/>
  <c r="T7" i="2"/>
  <c r="T38" i="2"/>
  <c r="M50" i="2"/>
  <c r="M31" i="2"/>
  <c r="M32" i="2" s="1"/>
  <c r="L50" i="2"/>
  <c r="K36" i="2"/>
  <c r="K88" i="2"/>
  <c r="K98" i="2" s="1"/>
  <c r="K112" i="2" s="1"/>
  <c r="AB5" i="2" l="1"/>
  <c r="AA23" i="2"/>
  <c r="AA26" i="2" s="1"/>
  <c r="T8" i="2"/>
  <c r="T27" i="2"/>
  <c r="T46" i="2" s="1"/>
  <c r="T26" i="2"/>
  <c r="T45" i="2" s="1"/>
  <c r="N29" i="2"/>
  <c r="T29" i="2" s="1"/>
  <c r="N25" i="2"/>
  <c r="T24" i="2"/>
  <c r="K109" i="2"/>
  <c r="L32" i="2"/>
  <c r="AC5" i="2" l="1"/>
  <c r="AC23" i="2" s="1"/>
  <c r="AC26" i="2" s="1"/>
  <c r="AB23" i="2"/>
  <c r="AB26" i="2" s="1"/>
  <c r="U23" i="2"/>
  <c r="U26" i="2" s="1"/>
  <c r="N30" i="2"/>
  <c r="N49" i="2"/>
  <c r="T25" i="2"/>
  <c r="AI53" i="2"/>
  <c r="AI54" i="2" s="1"/>
  <c r="AF48" i="2"/>
  <c r="L34" i="2"/>
  <c r="U38" i="2" l="1"/>
  <c r="T30" i="2"/>
  <c r="T50" i="2" s="1"/>
  <c r="N31" i="2"/>
  <c r="N50" i="2"/>
  <c r="L36" i="2"/>
  <c r="M36" i="2" s="1"/>
  <c r="N36" i="2" s="1"/>
  <c r="V38" i="2"/>
  <c r="M33" i="2"/>
  <c r="N32" i="2" l="1"/>
  <c r="T32" i="2" s="1"/>
  <c r="T31" i="2"/>
  <c r="W38" i="2"/>
  <c r="M34" i="2"/>
  <c r="M52" i="2" s="1"/>
  <c r="N33" i="2" l="1"/>
  <c r="N34" i="2" s="1"/>
  <c r="N35" i="2" s="1"/>
  <c r="X38" i="2"/>
  <c r="M35" i="2"/>
  <c r="T33" i="2" l="1"/>
  <c r="N52" i="2"/>
  <c r="S52" i="2" s="1"/>
  <c r="Y38" i="2"/>
  <c r="T34" i="2"/>
  <c r="T35" i="2"/>
  <c r="T52" i="2" l="1"/>
  <c r="Z38" i="2"/>
  <c r="T36" i="2"/>
  <c r="U36" i="2" s="1"/>
  <c r="AA38" i="2" l="1"/>
  <c r="V36" i="2"/>
  <c r="AB38" i="2" l="1"/>
  <c r="W36" i="2"/>
  <c r="X36" i="2" l="1"/>
  <c r="AC38" i="2" l="1"/>
  <c r="Y36" i="2"/>
  <c r="Z36" i="2" l="1"/>
  <c r="AA36" i="2" l="1"/>
  <c r="AB36" i="2" l="1"/>
  <c r="AC36" i="2" l="1"/>
  <c r="H77" i="2" l="1"/>
  <c r="V24" i="2" l="1"/>
  <c r="V25" i="2" s="1"/>
  <c r="V49" i="2" s="1"/>
  <c r="V28" i="2" l="1"/>
  <c r="V27" i="2"/>
  <c r="V29" i="2" s="1"/>
  <c r="V30" i="2" s="1"/>
  <c r="V50" i="2" l="1"/>
  <c r="W24" i="2"/>
  <c r="W25" i="2"/>
  <c r="W49" i="2" s="1"/>
  <c r="W27" i="2"/>
  <c r="X24" i="2"/>
  <c r="X27" i="2" s="1"/>
  <c r="W28" i="2" l="1"/>
  <c r="W29" i="2" s="1"/>
  <c r="W30" i="2" s="1"/>
  <c r="W50" i="2" s="1"/>
  <c r="X25" i="2"/>
  <c r="Y24" i="2"/>
  <c r="Y25" i="2" s="1"/>
  <c r="Y49" i="2" s="1"/>
  <c r="Y27" i="2" l="1"/>
  <c r="X49" i="2"/>
  <c r="X28" i="2"/>
  <c r="X29" i="2" s="1"/>
  <c r="X30" i="2" s="1"/>
  <c r="X50" i="2" s="1"/>
  <c r="Y28" i="2"/>
  <c r="Y29" i="2" s="1"/>
  <c r="Y30" i="2" s="1"/>
  <c r="Y50" i="2" l="1"/>
  <c r="Z24" i="2"/>
  <c r="Z25" i="2" s="1"/>
  <c r="Z49" i="2" s="1"/>
  <c r="Z27" i="2" l="1"/>
  <c r="Z28" i="2"/>
  <c r="Z29" i="2" s="1"/>
  <c r="Z30" i="2" s="1"/>
  <c r="Z50" i="2" l="1"/>
  <c r="AA24" i="2"/>
  <c r="AA25" i="2" s="1"/>
  <c r="AA27" i="2"/>
  <c r="AA28" i="2" l="1"/>
  <c r="AA29" i="2" s="1"/>
  <c r="AA30" i="2" s="1"/>
  <c r="AA50" i="2" s="1"/>
  <c r="AA49" i="2"/>
  <c r="AB24" i="2"/>
  <c r="AB27" i="2" s="1"/>
  <c r="AB25" i="2" l="1"/>
  <c r="AB49" i="2" l="1"/>
  <c r="AB28" i="2"/>
  <c r="AB29" i="2" s="1"/>
  <c r="AB30" i="2" s="1"/>
  <c r="AB50" i="2" l="1"/>
  <c r="AC24" i="2"/>
  <c r="AC25" i="2" s="1"/>
  <c r="AC27" i="2" l="1"/>
  <c r="AC28" i="2"/>
  <c r="AC49" i="2"/>
  <c r="AC29" i="2" l="1"/>
  <c r="AC30" i="2" s="1"/>
  <c r="AC50" i="2" s="1"/>
  <c r="U24" i="2"/>
  <c r="U25" i="2"/>
  <c r="U27" i="2"/>
  <c r="U28" i="2"/>
  <c r="U29" i="2"/>
  <c r="U30" i="2"/>
  <c r="U31" i="2"/>
  <c r="V31" i="2"/>
  <c r="W31" i="2"/>
  <c r="X31" i="2"/>
  <c r="Y31" i="2"/>
  <c r="Z31" i="2"/>
  <c r="AA31" i="2"/>
  <c r="AB31" i="2"/>
  <c r="AC31" i="2"/>
  <c r="U32" i="2"/>
  <c r="V32" i="2"/>
  <c r="W32" i="2"/>
  <c r="X32" i="2"/>
  <c r="Y32" i="2"/>
  <c r="Z32" i="2"/>
  <c r="AA32" i="2"/>
  <c r="AB32" i="2"/>
  <c r="AC32" i="2"/>
  <c r="U33" i="2"/>
  <c r="V33" i="2"/>
  <c r="W33" i="2"/>
  <c r="X33" i="2"/>
  <c r="Y33" i="2"/>
  <c r="Z33" i="2"/>
  <c r="AA33" i="2"/>
  <c r="AB33" i="2"/>
  <c r="AC33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Z34" i="2"/>
  <c r="FA34" i="2"/>
  <c r="FB34" i="2"/>
  <c r="FC34" i="2"/>
  <c r="FD34" i="2"/>
  <c r="FE34" i="2"/>
  <c r="FF34" i="2"/>
  <c r="FG34" i="2"/>
  <c r="FH34" i="2"/>
  <c r="FI34" i="2"/>
  <c r="FJ34" i="2"/>
  <c r="FK34" i="2"/>
  <c r="FL34" i="2"/>
  <c r="FM34" i="2"/>
  <c r="FN34" i="2"/>
  <c r="FO34" i="2"/>
  <c r="FP34" i="2"/>
  <c r="FQ34" i="2"/>
  <c r="FR34" i="2"/>
  <c r="FS34" i="2"/>
  <c r="FT34" i="2"/>
  <c r="FU34" i="2"/>
  <c r="FV34" i="2"/>
  <c r="FW34" i="2"/>
  <c r="FX34" i="2"/>
  <c r="FY34" i="2"/>
  <c r="FZ34" i="2"/>
  <c r="GA34" i="2"/>
  <c r="GB34" i="2"/>
  <c r="GC34" i="2"/>
  <c r="GD34" i="2"/>
  <c r="GE34" i="2"/>
  <c r="GF34" i="2"/>
  <c r="GG34" i="2"/>
  <c r="GH34" i="2"/>
  <c r="GI34" i="2"/>
  <c r="GJ34" i="2"/>
  <c r="GK34" i="2"/>
  <c r="GL34" i="2"/>
  <c r="GM34" i="2"/>
  <c r="GN34" i="2"/>
  <c r="GO34" i="2"/>
  <c r="GP34" i="2"/>
  <c r="GQ34" i="2"/>
  <c r="GR34" i="2"/>
  <c r="U35" i="2"/>
  <c r="V35" i="2"/>
  <c r="W35" i="2"/>
  <c r="X35" i="2"/>
  <c r="Y35" i="2"/>
  <c r="Z35" i="2"/>
  <c r="AA35" i="2"/>
  <c r="AB35" i="2"/>
  <c r="AC35" i="2"/>
  <c r="AF40" i="2"/>
  <c r="AF42" i="2"/>
  <c r="U44" i="2"/>
  <c r="AF44" i="2"/>
  <c r="AF46" i="2"/>
  <c r="U49" i="2"/>
  <c r="U50" i="2"/>
  <c r="U52" i="2"/>
  <c r="V52" i="2"/>
  <c r="W52" i="2"/>
  <c r="X52" i="2"/>
  <c r="Y52" i="2"/>
  <c r="Z52" i="2"/>
  <c r="AA52" i="2"/>
  <c r="AB52" i="2"/>
  <c r="AC5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Brannon, Jameel A.</author>
  </authors>
  <commentList>
    <comment ref="K4" authorId="0" shapeId="0" xr:uid="{35F11F3E-8E6A-7B49-B13D-8EB465E3349A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Brand marketing attributed to growth</t>
        </r>
      </text>
    </comment>
    <comment ref="K10" authorId="0" shapeId="0" xr:uid="{DE6834CE-8C7A-D648-AFC7-4DABC91DF448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Due to increase in paid users</t>
        </r>
      </text>
    </comment>
    <comment ref="K11" authorId="0" shapeId="0" xr:uid="{A6FF0E84-B66C-2149-B09D-8D0E8FDA87F7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Due to higher DAU</t>
        </r>
      </text>
    </comment>
    <comment ref="K12" authorId="0" shapeId="0" xr:uid="{059E41E7-0E13-CA41-961D-6580C0C6FEEA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Due to increase of international students taking test</t>
        </r>
      </text>
    </comment>
    <comment ref="K13" authorId="0" shapeId="0" xr:uid="{0FDD653C-38B6-1E41-B532-74C159DA5FD9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Growth in-APp purchases</t>
        </r>
      </text>
    </comment>
    <comment ref="G23" authorId="0" shapeId="0" xr:uid="{CF4EFA1A-0F27-0F43-81C4-0CD81DA2BB5E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IntelClear-Regular"/>
          </rPr>
          <t>51% Apple, 28% Google, 10% Stripe</t>
        </r>
        <r>
          <rPr>
            <sz val="10"/>
            <color rgb="FF000000"/>
            <rFont val="IntelClear-Regular"/>
          </rPr>
          <t xml:space="preserve">
</t>
        </r>
      </text>
    </comment>
    <comment ref="K23" authorId="0" shapeId="0" xr:uid="{4393C517-41CB-2E46-8696-E937A49D1511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Apple = 51% 
</t>
        </r>
        <r>
          <rPr>
            <sz val="10"/>
            <color rgb="FF000000"/>
            <rFont val="Tahoma"/>
            <family val="2"/>
          </rPr>
          <t xml:space="preserve">Google = 29% </t>
        </r>
      </text>
    </comment>
    <comment ref="K26" authorId="0" shapeId="0" xr:uid="{7F4AC455-F228-044C-9AB7-A30782996A20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led by employee cost, HC +$7.2M, </t>
        </r>
      </text>
    </comment>
    <comment ref="G27" authorId="0" shapeId="0" xr:uid="{C9FEC8DB-424B-5441-B1F4-914E620ED60D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$12,066, 51% </t>
        </r>
      </text>
    </comment>
    <comment ref="K27" authorId="0" shapeId="0" xr:uid="{677FE778-818F-1C48-87BF-E09EEF462B72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 spend | $10,954 ... 73% of S&amp;M</t>
        </r>
      </text>
    </comment>
    <comment ref="K49" authorId="0" shapeId="0" xr:uid="{5EE101B9-D762-D24B-BFDB-D0F35B191EE8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Up y/y due to increased subscription margins due to reduced payment processing fees for subscription revenue due to improved retention + change in google pay structure resulting in reduction of payment fees</t>
        </r>
      </text>
    </comment>
    <comment ref="K53" authorId="0" shapeId="0" xr:uid="{88515045-E2A1-7A45-8724-BAA6135EF8FC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$509.8M in MMF</t>
        </r>
      </text>
    </comment>
    <comment ref="J54" authorId="0" shapeId="0" xr:uid="{F3D95BA7-BBC4-EE4D-90D9-8614C83F689F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51% Apple, 28% Google, 10% stripe</t>
        </r>
      </text>
    </comment>
    <comment ref="K54" authorId="0" shapeId="0" xr:uid="{394F249E-683D-4148-AF68-C8E593711FCF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49% Apple, 26.6% Google</t>
        </r>
      </text>
    </comment>
  </commentList>
</comments>
</file>

<file path=xl/sharedStrings.xml><?xml version="1.0" encoding="utf-8"?>
<sst xmlns="http://schemas.openxmlformats.org/spreadsheetml/2006/main" count="202" uniqueCount="178">
  <si>
    <t>P</t>
  </si>
  <si>
    <t>Shares</t>
  </si>
  <si>
    <t>MC</t>
  </si>
  <si>
    <t>Cash</t>
  </si>
  <si>
    <t>Debt</t>
  </si>
  <si>
    <t>EV</t>
  </si>
  <si>
    <t>Q122</t>
  </si>
  <si>
    <t>Q121</t>
  </si>
  <si>
    <t>Q221</t>
  </si>
  <si>
    <t>Q321</t>
  </si>
  <si>
    <t>Q421</t>
  </si>
  <si>
    <t>Q222</t>
  </si>
  <si>
    <t>Q322</t>
  </si>
  <si>
    <t>Q422</t>
  </si>
  <si>
    <t>Revenues</t>
  </si>
  <si>
    <t>Costs</t>
  </si>
  <si>
    <t xml:space="preserve">Gross Profit </t>
  </si>
  <si>
    <t>R&amp;D</t>
  </si>
  <si>
    <t>S&amp;M</t>
  </si>
  <si>
    <t>G&amp;A</t>
  </si>
  <si>
    <t>Total Op E</t>
  </si>
  <si>
    <t>Operating Income</t>
  </si>
  <si>
    <t>Other expense</t>
  </si>
  <si>
    <t>Pretax Income</t>
  </si>
  <si>
    <t>Taxes</t>
  </si>
  <si>
    <t xml:space="preserve">Net Income </t>
  </si>
  <si>
    <t>Eps</t>
  </si>
  <si>
    <t>Revenue y/y</t>
  </si>
  <si>
    <t>A/R</t>
  </si>
  <si>
    <t>Deferred costs</t>
  </si>
  <si>
    <t>Prepaid E</t>
  </si>
  <si>
    <t>Current Assets</t>
  </si>
  <si>
    <t>PPE</t>
  </si>
  <si>
    <t>Capitalized software</t>
  </si>
  <si>
    <t>Op lease</t>
  </si>
  <si>
    <t xml:space="preserve">Other </t>
  </si>
  <si>
    <t xml:space="preserve">Total Assets </t>
  </si>
  <si>
    <t>A/P</t>
  </si>
  <si>
    <t>Deferred revenue</t>
  </si>
  <si>
    <t>Invome tax payable</t>
  </si>
  <si>
    <t>Accrued expenses</t>
  </si>
  <si>
    <t>Current Liabilitiea</t>
  </si>
  <si>
    <t>Long term obligation</t>
  </si>
  <si>
    <t xml:space="preserve">Total Liabilities </t>
  </si>
  <si>
    <t>CS</t>
  </si>
  <si>
    <t>Additional capital</t>
  </si>
  <si>
    <t>Accumalated deficit</t>
  </si>
  <si>
    <t>Equity</t>
  </si>
  <si>
    <t>TL + E</t>
  </si>
  <si>
    <t>SBC</t>
  </si>
  <si>
    <t>Stock options</t>
  </si>
  <si>
    <t>Release of RSU's</t>
  </si>
  <si>
    <t>Net Loss</t>
  </si>
  <si>
    <t>Balance</t>
  </si>
  <si>
    <t>Book Value/Equity</t>
  </si>
  <si>
    <t>NI</t>
  </si>
  <si>
    <t>D&amp;A</t>
  </si>
  <si>
    <t>Deferred cost</t>
  </si>
  <si>
    <t>Noncurrent assets/liab</t>
  </si>
  <si>
    <t>CFFO</t>
  </si>
  <si>
    <t>Capitalized Software</t>
  </si>
  <si>
    <t>CFFI</t>
  </si>
  <si>
    <t>Stock exercises</t>
  </si>
  <si>
    <t>Option buybacks</t>
  </si>
  <si>
    <t>ommon buybacks</t>
  </si>
  <si>
    <t>Deferring offering costs</t>
  </si>
  <si>
    <t>CFFF</t>
  </si>
  <si>
    <t>Net Increase</t>
  </si>
  <si>
    <t>Common repurchases</t>
  </si>
  <si>
    <t>DAU</t>
  </si>
  <si>
    <t>ARPU (q)</t>
  </si>
  <si>
    <t>ARPU (a)</t>
  </si>
  <si>
    <t>MAU</t>
  </si>
  <si>
    <t>FCF</t>
  </si>
  <si>
    <t>Subscription</t>
  </si>
  <si>
    <t>Advertising</t>
  </si>
  <si>
    <t>Duolingo English Test</t>
  </si>
  <si>
    <t>Other</t>
  </si>
  <si>
    <t>GM %</t>
  </si>
  <si>
    <t>Q120</t>
  </si>
  <si>
    <t>Q220</t>
  </si>
  <si>
    <t>Q320</t>
  </si>
  <si>
    <t>Q420</t>
  </si>
  <si>
    <t>OM %</t>
  </si>
  <si>
    <t>MAT</t>
  </si>
  <si>
    <t>DISC</t>
  </si>
  <si>
    <t>NPV</t>
  </si>
  <si>
    <t>Current</t>
  </si>
  <si>
    <t>Delta</t>
  </si>
  <si>
    <t>EV / Rev</t>
  </si>
  <si>
    <t>Time</t>
  </si>
  <si>
    <t>Notes</t>
  </si>
  <si>
    <t>Q1'22</t>
  </si>
  <si>
    <t>Estimate</t>
  </si>
  <si>
    <t>Deborah Belevan</t>
  </si>
  <si>
    <t>IR@duolingo.com</t>
  </si>
  <si>
    <t>Investor Relations</t>
  </si>
  <si>
    <t>CP</t>
  </si>
  <si>
    <t xml:space="preserve">% Total </t>
  </si>
  <si>
    <t>EV/22R</t>
  </si>
  <si>
    <t>EV/23R</t>
  </si>
  <si>
    <t xml:space="preserve">Net Cash </t>
  </si>
  <si>
    <t>ROIC</t>
  </si>
  <si>
    <t>Preferred</t>
  </si>
  <si>
    <t>Offerings</t>
  </si>
  <si>
    <t xml:space="preserve">Spanish </t>
  </si>
  <si>
    <t>French</t>
  </si>
  <si>
    <t>German</t>
  </si>
  <si>
    <t>Italian</t>
  </si>
  <si>
    <t>Portuguse</t>
  </si>
  <si>
    <t>Dutch</t>
  </si>
  <si>
    <t>Japanese</t>
  </si>
  <si>
    <t>Arabic</t>
  </si>
  <si>
    <t>Czech</t>
  </si>
  <si>
    <t>Welsh</t>
  </si>
  <si>
    <t>Danish</t>
  </si>
  <si>
    <t>Greek</t>
  </si>
  <si>
    <t>Esparanto</t>
  </si>
  <si>
    <t>Finnish</t>
  </si>
  <si>
    <t>Irish</t>
  </si>
  <si>
    <t>Scottish Gaelic</t>
  </si>
  <si>
    <t>Hebrew</t>
  </si>
  <si>
    <t>Hindi</t>
  </si>
  <si>
    <t>Hatian Creole</t>
  </si>
  <si>
    <t>Hungarian</t>
  </si>
  <si>
    <t>High Valyrian</t>
  </si>
  <si>
    <t>Hawaiian</t>
  </si>
  <si>
    <t>Indonesian</t>
  </si>
  <si>
    <t>Korean</t>
  </si>
  <si>
    <t>Latin</t>
  </si>
  <si>
    <t>Norwegian</t>
  </si>
  <si>
    <t>Navajo</t>
  </si>
  <si>
    <t>Polish</t>
  </si>
  <si>
    <t>Romanian</t>
  </si>
  <si>
    <t>Russian</t>
  </si>
  <si>
    <t>Swedish</t>
  </si>
  <si>
    <t>Swahili</t>
  </si>
  <si>
    <t>Klingon</t>
  </si>
  <si>
    <t>Turkish</t>
  </si>
  <si>
    <t>Ukrainian</t>
  </si>
  <si>
    <t>Vietnamese</t>
  </si>
  <si>
    <t>Yiddish</t>
  </si>
  <si>
    <t>Chinese</t>
  </si>
  <si>
    <t>Country Count</t>
  </si>
  <si>
    <t>Founded</t>
  </si>
  <si>
    <t>IPO</t>
  </si>
  <si>
    <t>HQ</t>
  </si>
  <si>
    <t>PA</t>
  </si>
  <si>
    <t>Languages</t>
  </si>
  <si>
    <t>Duolingo Plus</t>
  </si>
  <si>
    <t>Q4'21</t>
  </si>
  <si>
    <t>Q3'21</t>
  </si>
  <si>
    <t>Q2'21</t>
  </si>
  <si>
    <t>Q1'21</t>
  </si>
  <si>
    <t>Q4'20</t>
  </si>
  <si>
    <t>Q3'20</t>
  </si>
  <si>
    <t>Q2'20</t>
  </si>
  <si>
    <t>Q1'20</t>
  </si>
  <si>
    <t>Rev Source</t>
  </si>
  <si>
    <t>Time Based Subscriptions</t>
  </si>
  <si>
    <t>In-App Ads</t>
  </si>
  <si>
    <t>Duolingo English test</t>
  </si>
  <si>
    <t>--&gt; Recognized when add is placed</t>
  </si>
  <si>
    <t>--&gt; Recognized as tets go through proctoring process &amp; decision is made</t>
  </si>
  <si>
    <t>--&gt; Booked as deferred, recognized over 12mo period</t>
  </si>
  <si>
    <t>R&amp;d y/y</t>
  </si>
  <si>
    <t>Pre-IPO Fin</t>
  </si>
  <si>
    <t>$183.3M</t>
  </si>
  <si>
    <t>Post IPO</t>
  </si>
  <si>
    <t>$431.1M</t>
  </si>
  <si>
    <t>CEO</t>
  </si>
  <si>
    <t>Luis von Ahn</t>
  </si>
  <si>
    <t>Q2'22</t>
  </si>
  <si>
    <t>Deferred TA</t>
  </si>
  <si>
    <t>% Rev</t>
  </si>
  <si>
    <t>NC</t>
  </si>
  <si>
    <t>T.NPV</t>
  </si>
  <si>
    <t>Assumptions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</si>
</sst>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,"/>
    <numFmt numFmtId="165" formatCode="0\x"/>
  </numFmts>
  <fonts count="10">
    <font>
      <sz val="10"/>
      <color theme="1"/>
      <name val="IntelClear-Regular"/>
      <family val="2"/>
    </font>
    <font>
      <b/>
      <sz val="10"/>
      <color theme="1"/>
      <name val="IntelClear-Regular"/>
    </font>
    <font>
      <sz val="10"/>
      <color theme="1"/>
      <name val="IntelClear-Regular"/>
      <family val="2"/>
    </font>
    <font>
      <b/>
      <u/>
      <sz val="10"/>
      <color theme="1"/>
      <name val="IntelClear-Regular"/>
    </font>
    <font>
      <u/>
      <sz val="10"/>
      <color theme="10"/>
      <name val="IntelClear-Regular"/>
      <family val="2"/>
    </font>
    <font>
      <sz val="10"/>
      <color theme="1"/>
      <name val="IntelClear-Regula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IntelClear-Regular"/>
    </font>
    <font>
      <b/>
      <sz val="10"/>
      <color rgb="FF0432FF"/>
      <name val="IntelClear-Regula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right"/>
    </xf>
    <xf numFmtId="4" fontId="0" fillId="0" borderId="0" xfId="0" applyNumberFormat="1"/>
    <xf numFmtId="9" fontId="0" fillId="0" borderId="0" xfId="0" applyNumberFormat="1"/>
    <xf numFmtId="164" fontId="0" fillId="0" borderId="0" xfId="0" applyNumberFormat="1"/>
    <xf numFmtId="9" fontId="1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3" fontId="1" fillId="0" borderId="0" xfId="0" applyNumberFormat="1" applyFont="1"/>
    <xf numFmtId="3" fontId="3" fillId="0" borderId="0" xfId="0" applyNumberFormat="1" applyFont="1"/>
    <xf numFmtId="9" fontId="0" fillId="0" borderId="0" xfId="1" applyFont="1"/>
    <xf numFmtId="3" fontId="4" fillId="0" borderId="0" xfId="2" applyNumberFormat="1"/>
    <xf numFmtId="3" fontId="1" fillId="0" borderId="0" xfId="0" applyNumberFormat="1" applyFont="1" applyAlignment="1">
      <alignment horizontal="right"/>
    </xf>
    <xf numFmtId="3" fontId="5" fillId="0" borderId="0" xfId="0" applyNumberFormat="1" applyFont="1"/>
    <xf numFmtId="3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left"/>
    </xf>
    <xf numFmtId="3" fontId="1" fillId="0" borderId="0" xfId="0" applyNumberFormat="1" applyFont="1" applyAlignment="1">
      <alignment horizontal="left"/>
    </xf>
    <xf numFmtId="9" fontId="0" fillId="0" borderId="0" xfId="0" quotePrefix="1" applyNumberFormat="1"/>
    <xf numFmtId="3" fontId="0" fillId="0" borderId="0" xfId="0" quotePrefix="1" applyNumberFormat="1"/>
    <xf numFmtId="9" fontId="0" fillId="0" borderId="0" xfId="0" applyNumberFormat="1" applyAlignment="1">
      <alignment horizontal="left"/>
    </xf>
    <xf numFmtId="9" fontId="0" fillId="0" borderId="0" xfId="0" applyNumberFormat="1" applyFont="1" applyAlignment="1">
      <alignment horizontal="left"/>
    </xf>
    <xf numFmtId="3" fontId="0" fillId="0" borderId="0" xfId="0" applyNumberFormat="1" applyFont="1" applyAlignment="1">
      <alignment horizontal="left"/>
    </xf>
    <xf numFmtId="4" fontId="0" fillId="0" borderId="0" xfId="0" applyNumberFormat="1" applyAlignment="1">
      <alignment horizontal="left"/>
    </xf>
    <xf numFmtId="9" fontId="5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3" fontId="0" fillId="2" borderId="0" xfId="0" applyNumberFormat="1" applyFill="1" applyAlignment="1">
      <alignment horizontal="left"/>
    </xf>
    <xf numFmtId="3" fontId="1" fillId="2" borderId="0" xfId="0" applyNumberFormat="1" applyFont="1" applyFill="1" applyAlignment="1">
      <alignment horizontal="left"/>
    </xf>
    <xf numFmtId="1" fontId="1" fillId="0" borderId="0" xfId="0" applyNumberFormat="1" applyFont="1" applyAlignment="1">
      <alignment horizontal="left"/>
    </xf>
    <xf numFmtId="9" fontId="9" fillId="0" borderId="0" xfId="0" applyNumberFormat="1" applyFont="1" applyAlignment="1">
      <alignment horizontal="left"/>
    </xf>
    <xf numFmtId="9" fontId="0" fillId="2" borderId="0" xfId="0" applyNumberFormat="1" applyFill="1" applyAlignment="1">
      <alignment horizontal="left"/>
    </xf>
    <xf numFmtId="4" fontId="0" fillId="2" borderId="0" xfId="0" applyNumberFormat="1" applyFill="1" applyAlignment="1">
      <alignment horizontal="left"/>
    </xf>
    <xf numFmtId="3" fontId="5" fillId="0" borderId="0" xfId="0" applyNumberFormat="1" applyFont="1" applyAlignment="1">
      <alignment horizontal="left"/>
    </xf>
    <xf numFmtId="9" fontId="5" fillId="2" borderId="0" xfId="0" applyNumberFormat="1" applyFont="1" applyFill="1" applyAlignment="1">
      <alignment horizontal="left"/>
    </xf>
    <xf numFmtId="164" fontId="0" fillId="2" borderId="0" xfId="0" applyNumberFormat="1" applyFill="1" applyAlignment="1">
      <alignment horizontal="left"/>
    </xf>
    <xf numFmtId="3" fontId="9" fillId="0" borderId="0" xfId="0" applyNumberFormat="1" applyFont="1"/>
    <xf numFmtId="3" fontId="9" fillId="0" borderId="0" xfId="0" applyNumberFormat="1" applyFont="1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1</xdr:row>
      <xdr:rowOff>61383</xdr:rowOff>
    </xdr:from>
    <xdr:to>
      <xdr:col>12</xdr:col>
      <xdr:colOff>42008</xdr:colOff>
      <xdr:row>120</xdr:row>
      <xdr:rowOff>140188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4AA0073-9A04-3441-6FF3-E51E7E6C94F1}"/>
            </a:ext>
          </a:extLst>
        </xdr:cNvPr>
        <xdr:cNvCxnSpPr/>
      </xdr:nvCxnSpPr>
      <xdr:spPr>
        <a:xfrm>
          <a:off x="8128000" y="239183"/>
          <a:ext cx="29308" cy="20170205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8466</xdr:colOff>
      <xdr:row>0</xdr:row>
      <xdr:rowOff>0</xdr:rowOff>
    </xdr:from>
    <xdr:to>
      <xdr:col>19</xdr:col>
      <xdr:colOff>34637</xdr:colOff>
      <xdr:row>135</xdr:row>
      <xdr:rowOff>115455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1E35114-0169-4245-A3A8-C4160C9665BE}"/>
            </a:ext>
          </a:extLst>
        </xdr:cNvPr>
        <xdr:cNvCxnSpPr/>
      </xdr:nvCxnSpPr>
      <xdr:spPr>
        <a:xfrm>
          <a:off x="12385193" y="0"/>
          <a:ext cx="26171" cy="22802273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R@duolingo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83A20-85C0-044C-BC33-5DCBE2BCD94B}">
  <dimension ref="B2:R45"/>
  <sheetViews>
    <sheetView showGridLines="0" tabSelected="1" zoomScale="230" zoomScaleNormal="230" workbookViewId="0">
      <selection activeCell="J26" sqref="J26"/>
    </sheetView>
  </sheetViews>
  <sheetFormatPr baseColWidth="10" defaultRowHeight="14"/>
  <cols>
    <col min="1" max="1" width="4.33203125" style="1" customWidth="1"/>
    <col min="2" max="2" width="14.83203125" style="1" bestFit="1" customWidth="1"/>
    <col min="3" max="3" width="20.6640625" style="15" bestFit="1" customWidth="1"/>
    <col min="4" max="4" width="7.1640625" style="1" bestFit="1" customWidth="1"/>
    <col min="5" max="5" width="10.83203125" style="1"/>
    <col min="6" max="6" width="6.33203125" style="1" bestFit="1" customWidth="1"/>
    <col min="7" max="7" width="8.83203125" style="3" bestFit="1" customWidth="1"/>
    <col min="8" max="8" width="5.83203125" style="2" customWidth="1"/>
    <col min="9" max="11" width="10.83203125" style="1"/>
    <col min="12" max="12" width="5.5" style="1" bestFit="1" customWidth="1"/>
    <col min="13" max="16384" width="10.83203125" style="1"/>
  </cols>
  <sheetData>
    <row r="2" spans="2:18">
      <c r="B2" s="9" t="s">
        <v>96</v>
      </c>
    </row>
    <row r="3" spans="2:18">
      <c r="B3" s="1" t="s">
        <v>94</v>
      </c>
      <c r="F3" s="1" t="s">
        <v>2</v>
      </c>
    </row>
    <row r="4" spans="2:18">
      <c r="B4" s="12" t="s">
        <v>95</v>
      </c>
      <c r="F4" s="1" t="s">
        <v>0</v>
      </c>
      <c r="G4" s="3">
        <v>77</v>
      </c>
    </row>
    <row r="5" spans="2:18">
      <c r="B5" s="1" t="s">
        <v>170</v>
      </c>
      <c r="C5" s="15" t="s">
        <v>171</v>
      </c>
      <c r="F5" s="1" t="s">
        <v>1</v>
      </c>
      <c r="G5" s="1">
        <f>30610.714+9025.418</f>
        <v>39636.131999999998</v>
      </c>
      <c r="H5" s="2" t="s">
        <v>172</v>
      </c>
      <c r="K5" s="10" t="s">
        <v>90</v>
      </c>
      <c r="N5" s="9" t="s">
        <v>104</v>
      </c>
    </row>
    <row r="6" spans="2:18">
      <c r="B6" s="1" t="s">
        <v>144</v>
      </c>
      <c r="C6" s="16">
        <v>40773</v>
      </c>
      <c r="F6" s="1" t="s">
        <v>2</v>
      </c>
      <c r="G6" s="1">
        <f>+G4*G5</f>
        <v>3051982.1639999999</v>
      </c>
      <c r="K6" s="1" t="s">
        <v>92</v>
      </c>
      <c r="L6" s="1" t="s">
        <v>91</v>
      </c>
      <c r="N6" s="1" t="s">
        <v>149</v>
      </c>
      <c r="O6" s="1" t="s">
        <v>74</v>
      </c>
    </row>
    <row r="7" spans="2:18">
      <c r="B7" s="1" t="s">
        <v>145</v>
      </c>
      <c r="C7" s="16">
        <v>44407</v>
      </c>
      <c r="F7" s="1" t="s">
        <v>3</v>
      </c>
      <c r="G7" s="1">
        <v>591.16</v>
      </c>
      <c r="H7" s="2" t="str">
        <f>+H5</f>
        <v>Q2'22</v>
      </c>
      <c r="K7" s="1" t="s">
        <v>150</v>
      </c>
      <c r="N7" s="10" t="s">
        <v>148</v>
      </c>
      <c r="O7" s="9" t="s">
        <v>143</v>
      </c>
    </row>
    <row r="8" spans="2:18">
      <c r="B8" s="1" t="s">
        <v>146</v>
      </c>
      <c r="C8" s="15" t="s">
        <v>147</v>
      </c>
      <c r="F8" s="1" t="s">
        <v>4</v>
      </c>
      <c r="G8" s="1">
        <v>0</v>
      </c>
      <c r="H8" s="2" t="str">
        <f>+H7</f>
        <v>Q2'22</v>
      </c>
      <c r="K8" s="1" t="s">
        <v>151</v>
      </c>
      <c r="N8" s="1" t="s">
        <v>105</v>
      </c>
    </row>
    <row r="9" spans="2:18">
      <c r="B9" s="1" t="s">
        <v>166</v>
      </c>
      <c r="C9" s="15" t="s">
        <v>167</v>
      </c>
      <c r="F9" s="1" t="s">
        <v>5</v>
      </c>
      <c r="G9" s="1">
        <f>+G6-G7+G8</f>
        <v>3051391.0039999997</v>
      </c>
      <c r="K9" s="1" t="s">
        <v>152</v>
      </c>
      <c r="N9" s="1" t="s">
        <v>106</v>
      </c>
    </row>
    <row r="10" spans="2:18">
      <c r="B10" s="1" t="s">
        <v>168</v>
      </c>
      <c r="C10" s="15" t="s">
        <v>169</v>
      </c>
      <c r="K10" s="1" t="s">
        <v>153</v>
      </c>
      <c r="N10" s="1" t="s">
        <v>107</v>
      </c>
      <c r="R10" s="1">
        <f>2017-1942</f>
        <v>75</v>
      </c>
    </row>
    <row r="11" spans="2:18">
      <c r="F11" s="1" t="s">
        <v>97</v>
      </c>
      <c r="G11" s="3">
        <f>+G7/G5</f>
        <v>1.4914674317867345E-2</v>
      </c>
      <c r="K11" s="1" t="s">
        <v>154</v>
      </c>
      <c r="N11" s="1" t="s">
        <v>108</v>
      </c>
    </row>
    <row r="12" spans="2:18">
      <c r="K12" s="1" t="s">
        <v>155</v>
      </c>
      <c r="N12" s="1" t="s">
        <v>109</v>
      </c>
    </row>
    <row r="13" spans="2:18">
      <c r="C13" s="17"/>
      <c r="K13" s="1" t="s">
        <v>156</v>
      </c>
      <c r="N13" s="1" t="s">
        <v>110</v>
      </c>
    </row>
    <row r="14" spans="2:18">
      <c r="C14" s="18" t="s">
        <v>158</v>
      </c>
      <c r="K14" s="1" t="s">
        <v>157</v>
      </c>
      <c r="N14" s="1" t="s">
        <v>111</v>
      </c>
    </row>
    <row r="15" spans="2:18">
      <c r="C15" s="17" t="s">
        <v>159</v>
      </c>
      <c r="D15" s="19" t="s">
        <v>164</v>
      </c>
      <c r="N15" s="1" t="s">
        <v>112</v>
      </c>
    </row>
    <row r="16" spans="2:18">
      <c r="C16" s="17" t="s">
        <v>160</v>
      </c>
      <c r="D16" s="19" t="s">
        <v>162</v>
      </c>
      <c r="N16" s="1" t="s">
        <v>113</v>
      </c>
    </row>
    <row r="17" spans="3:17">
      <c r="C17" s="17" t="s">
        <v>161</v>
      </c>
      <c r="D17" s="20" t="s">
        <v>163</v>
      </c>
      <c r="N17" s="1" t="s">
        <v>114</v>
      </c>
    </row>
    <row r="18" spans="3:17">
      <c r="C18" s="17"/>
      <c r="N18" s="1" t="s">
        <v>115</v>
      </c>
    </row>
    <row r="19" spans="3:17">
      <c r="N19" s="1" t="s">
        <v>116</v>
      </c>
    </row>
    <row r="20" spans="3:17">
      <c r="N20" s="1" t="s">
        <v>117</v>
      </c>
    </row>
    <row r="21" spans="3:17">
      <c r="N21" s="1" t="s">
        <v>118</v>
      </c>
    </row>
    <row r="22" spans="3:17">
      <c r="N22" s="1" t="s">
        <v>119</v>
      </c>
    </row>
    <row r="23" spans="3:17">
      <c r="N23" s="1" t="s">
        <v>120</v>
      </c>
    </row>
    <row r="24" spans="3:17">
      <c r="N24" s="1" t="s">
        <v>121</v>
      </c>
    </row>
    <row r="25" spans="3:17">
      <c r="N25" s="1" t="s">
        <v>122</v>
      </c>
    </row>
    <row r="26" spans="3:17">
      <c r="N26" s="1" t="s">
        <v>123</v>
      </c>
    </row>
    <row r="27" spans="3:17">
      <c r="N27" s="1" t="s">
        <v>124</v>
      </c>
    </row>
    <row r="28" spans="3:17">
      <c r="N28" s="1" t="s">
        <v>125</v>
      </c>
    </row>
    <row r="29" spans="3:17">
      <c r="N29" s="1" t="s">
        <v>126</v>
      </c>
    </row>
    <row r="30" spans="3:17">
      <c r="N30" s="1" t="s">
        <v>127</v>
      </c>
    </row>
    <row r="31" spans="3:17">
      <c r="N31" s="1" t="s">
        <v>128</v>
      </c>
    </row>
    <row r="32" spans="3:17">
      <c r="N32" s="1" t="s">
        <v>129</v>
      </c>
      <c r="Q32" s="1">
        <f>2005-1978</f>
        <v>27</v>
      </c>
    </row>
    <row r="33" spans="14:17">
      <c r="N33" s="1" t="s">
        <v>130</v>
      </c>
      <c r="Q33" s="1">
        <f>2007-1978</f>
        <v>29</v>
      </c>
    </row>
    <row r="34" spans="14:17">
      <c r="N34" s="1" t="s">
        <v>131</v>
      </c>
      <c r="Q34" s="1">
        <f>2009-1978</f>
        <v>31</v>
      </c>
    </row>
    <row r="35" spans="14:17">
      <c r="N35" s="1" t="s">
        <v>132</v>
      </c>
    </row>
    <row r="36" spans="14:17">
      <c r="N36" s="1" t="s">
        <v>133</v>
      </c>
    </row>
    <row r="37" spans="14:17">
      <c r="N37" s="1" t="s">
        <v>134</v>
      </c>
    </row>
    <row r="38" spans="14:17">
      <c r="N38" s="1" t="s">
        <v>135</v>
      </c>
    </row>
    <row r="39" spans="14:17">
      <c r="N39" s="1" t="s">
        <v>136</v>
      </c>
    </row>
    <row r="40" spans="14:17">
      <c r="N40" s="1" t="s">
        <v>137</v>
      </c>
    </row>
    <row r="41" spans="14:17">
      <c r="N41" s="14" t="s">
        <v>138</v>
      </c>
    </row>
    <row r="42" spans="14:17">
      <c r="N42" s="1" t="s">
        <v>139</v>
      </c>
    </row>
    <row r="43" spans="14:17">
      <c r="N43" s="1" t="s">
        <v>140</v>
      </c>
    </row>
    <row r="44" spans="14:17">
      <c r="N44" s="1" t="s">
        <v>141</v>
      </c>
    </row>
    <row r="45" spans="14:17">
      <c r="N45" s="1" t="s">
        <v>142</v>
      </c>
    </row>
  </sheetData>
  <hyperlinks>
    <hyperlink ref="B4" r:id="rId1" xr:uid="{E0EF9975-69B6-234E-9077-26EB650BC3E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C4930-84E1-7245-B266-F6B38B24EB05}">
  <dimension ref="B1:GR118"/>
  <sheetViews>
    <sheetView zoomScale="160" zoomScaleNormal="16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G4" sqref="G4"/>
    </sheetView>
  </sheetViews>
  <sheetFormatPr baseColWidth="10" defaultRowHeight="14"/>
  <cols>
    <col min="1" max="1" width="5" style="5" customWidth="1"/>
    <col min="2" max="2" width="19" style="5" bestFit="1" customWidth="1"/>
    <col min="3" max="5" width="6.5" style="26" bestFit="1" customWidth="1"/>
    <col min="6" max="6" width="8.1640625" style="26" bestFit="1" customWidth="1"/>
    <col min="7" max="7" width="7.1640625" style="26" bestFit="1" customWidth="1"/>
    <col min="8" max="12" width="8.1640625" style="26" bestFit="1" customWidth="1"/>
    <col min="13" max="14" width="7.5" style="26" bestFit="1" customWidth="1"/>
    <col min="15" max="15" width="1.33203125" style="35" customWidth="1"/>
    <col min="16" max="16" width="5.33203125" style="26" bestFit="1" customWidth="1"/>
    <col min="17" max="17" width="7.33203125" style="26" bestFit="1" customWidth="1"/>
    <col min="18" max="20" width="7.6640625" style="26" bestFit="1" customWidth="1"/>
    <col min="21" max="21" width="8.1640625" style="26" bestFit="1" customWidth="1"/>
    <col min="22" max="24" width="7.6640625" style="26" bestFit="1" customWidth="1"/>
    <col min="25" max="29" width="9.1640625" style="26" bestFit="1" customWidth="1"/>
    <col min="30" max="31" width="7.6640625" style="26" bestFit="1" customWidth="1"/>
    <col min="32" max="32" width="9.1640625" style="5" bestFit="1" customWidth="1"/>
    <col min="33" max="33" width="7.6640625" style="5" bestFit="1" customWidth="1"/>
    <col min="34" max="34" width="8" style="5" customWidth="1"/>
    <col min="35" max="35" width="12.6640625" style="5" bestFit="1" customWidth="1"/>
    <col min="36" max="36" width="12.5" style="5" bestFit="1" customWidth="1"/>
    <col min="37" max="40" width="7.6640625" style="5" bestFit="1" customWidth="1"/>
    <col min="41" max="200" width="9.1640625" style="5" bestFit="1" customWidth="1"/>
    <col min="201" max="16384" width="10.83203125" style="5"/>
  </cols>
  <sheetData>
    <row r="1" spans="2:31" s="1" customFormat="1"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2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</row>
    <row r="2" spans="2:31" s="1" customFormat="1">
      <c r="B2" s="36" t="s">
        <v>177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2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</row>
    <row r="3" spans="2:31" s="13" customFormat="1">
      <c r="C3" s="18" t="s">
        <v>79</v>
      </c>
      <c r="D3" s="18" t="s">
        <v>80</v>
      </c>
      <c r="E3" s="18" t="s">
        <v>81</v>
      </c>
      <c r="F3" s="18" t="s">
        <v>82</v>
      </c>
      <c r="G3" s="18" t="s">
        <v>7</v>
      </c>
      <c r="H3" s="18" t="s">
        <v>8</v>
      </c>
      <c r="I3" s="18" t="s">
        <v>9</v>
      </c>
      <c r="J3" s="18" t="s">
        <v>10</v>
      </c>
      <c r="K3" s="18" t="s">
        <v>6</v>
      </c>
      <c r="L3" s="18" t="s">
        <v>11</v>
      </c>
      <c r="M3" s="18" t="s">
        <v>12</v>
      </c>
      <c r="N3" s="18" t="s">
        <v>13</v>
      </c>
      <c r="O3" s="28"/>
      <c r="P3" s="29">
        <v>2018</v>
      </c>
      <c r="Q3" s="29">
        <f>+P3+1</f>
        <v>2019</v>
      </c>
      <c r="R3" s="29">
        <f t="shared" ref="R3:AC3" si="0">+Q3+1</f>
        <v>2020</v>
      </c>
      <c r="S3" s="29">
        <f t="shared" si="0"/>
        <v>2021</v>
      </c>
      <c r="T3" s="29">
        <f t="shared" si="0"/>
        <v>2022</v>
      </c>
      <c r="U3" s="29">
        <f t="shared" si="0"/>
        <v>2023</v>
      </c>
      <c r="V3" s="29">
        <f t="shared" si="0"/>
        <v>2024</v>
      </c>
      <c r="W3" s="29">
        <f t="shared" si="0"/>
        <v>2025</v>
      </c>
      <c r="X3" s="29">
        <f t="shared" si="0"/>
        <v>2026</v>
      </c>
      <c r="Y3" s="29">
        <f t="shared" si="0"/>
        <v>2027</v>
      </c>
      <c r="Z3" s="29">
        <f t="shared" si="0"/>
        <v>2028</v>
      </c>
      <c r="AA3" s="29">
        <f t="shared" si="0"/>
        <v>2029</v>
      </c>
      <c r="AB3" s="29">
        <f t="shared" si="0"/>
        <v>2030</v>
      </c>
      <c r="AC3" s="29">
        <f t="shared" si="0"/>
        <v>2031</v>
      </c>
      <c r="AD3" s="18"/>
      <c r="AE3" s="18"/>
    </row>
    <row r="4" spans="2:31" s="1" customFormat="1">
      <c r="B4" s="1" t="s">
        <v>72</v>
      </c>
      <c r="C4" s="17"/>
      <c r="D4" s="17">
        <v>39.200000000000003</v>
      </c>
      <c r="E4" s="17">
        <v>37</v>
      </c>
      <c r="F4" s="17">
        <v>37</v>
      </c>
      <c r="G4" s="17">
        <v>39.9</v>
      </c>
      <c r="H4" s="17">
        <v>37.9</v>
      </c>
      <c r="I4" s="17">
        <v>417.4</v>
      </c>
      <c r="J4" s="17">
        <v>37</v>
      </c>
      <c r="K4" s="17">
        <v>49.2</v>
      </c>
      <c r="L4" s="17">
        <v>49.5</v>
      </c>
      <c r="M4" s="17"/>
      <c r="N4" s="17"/>
      <c r="O4" s="27"/>
      <c r="P4" s="17"/>
      <c r="Q4" s="17">
        <v>27.3</v>
      </c>
      <c r="R4" s="17">
        <f>+F4</f>
        <v>37</v>
      </c>
      <c r="S4" s="17">
        <f>+J4</f>
        <v>37</v>
      </c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</row>
    <row r="5" spans="2:31" s="1" customFormat="1">
      <c r="B5" s="1" t="s">
        <v>69</v>
      </c>
      <c r="C5" s="17"/>
      <c r="D5" s="17">
        <v>9</v>
      </c>
      <c r="E5" s="17">
        <v>8.4</v>
      </c>
      <c r="F5" s="17">
        <v>8.4</v>
      </c>
      <c r="G5" s="17">
        <v>9.5</v>
      </c>
      <c r="H5" s="17">
        <v>9.1</v>
      </c>
      <c r="I5" s="17">
        <v>9.8000000000000007</v>
      </c>
      <c r="J5" s="17">
        <v>8.4</v>
      </c>
      <c r="K5" s="17">
        <v>12.5</v>
      </c>
      <c r="L5" s="17">
        <v>13.2</v>
      </c>
      <c r="M5" s="17">
        <f t="shared" ref="M5:N5" si="1">+L5*1.05</f>
        <v>13.86</v>
      </c>
      <c r="N5" s="17">
        <f t="shared" si="1"/>
        <v>14.553000000000001</v>
      </c>
      <c r="O5" s="27"/>
      <c r="P5" s="17"/>
      <c r="Q5" s="17">
        <v>5.2</v>
      </c>
      <c r="R5" s="17">
        <f>+F5</f>
        <v>8.4</v>
      </c>
      <c r="S5" s="17">
        <f>+J5</f>
        <v>8.4</v>
      </c>
      <c r="T5" s="17">
        <f>+N5</f>
        <v>14.553000000000001</v>
      </c>
      <c r="U5" s="17">
        <f>+T5*(1+U6)</f>
        <v>18.918900000000001</v>
      </c>
      <c r="V5" s="17">
        <f t="shared" ref="V5:AC5" si="2">+U5*(1+V6)</f>
        <v>23.648625000000003</v>
      </c>
      <c r="W5" s="17">
        <f t="shared" si="2"/>
        <v>28.378350000000001</v>
      </c>
      <c r="X5" s="17">
        <f t="shared" si="2"/>
        <v>32.635102500000002</v>
      </c>
      <c r="Y5" s="17">
        <f t="shared" si="2"/>
        <v>37.204016850000009</v>
      </c>
      <c r="Z5" s="17">
        <f t="shared" si="2"/>
        <v>42.040539040500008</v>
      </c>
      <c r="AA5" s="17">
        <f t="shared" si="2"/>
        <v>47.08540372536001</v>
      </c>
      <c r="AB5" s="17">
        <f t="shared" si="2"/>
        <v>52.264798135149618</v>
      </c>
      <c r="AC5" s="17">
        <f t="shared" si="2"/>
        <v>57.491277948664582</v>
      </c>
      <c r="AD5" s="17"/>
      <c r="AE5" s="17"/>
    </row>
    <row r="6" spans="2:31" s="1" customFormat="1">
      <c r="B6" s="1" t="s">
        <v>70</v>
      </c>
      <c r="C6" s="17"/>
      <c r="D6" s="17">
        <v>1.6</v>
      </c>
      <c r="E6" s="17">
        <v>1.6</v>
      </c>
      <c r="F6" s="17">
        <v>1.6</v>
      </c>
      <c r="G6" s="17">
        <v>1.6</v>
      </c>
      <c r="H6" s="17">
        <v>1.6</v>
      </c>
      <c r="I6" s="17">
        <v>1.6</v>
      </c>
      <c r="J6" s="17">
        <v>1.6</v>
      </c>
      <c r="K6" s="17">
        <f>+(K23/1000)/K5</f>
        <v>6.4976000000000003</v>
      </c>
      <c r="L6" s="17">
        <f>+(L23/1000)/L5</f>
        <v>6.6959090909090913</v>
      </c>
      <c r="M6" s="17">
        <f t="shared" ref="M6:N6" si="3">+L6</f>
        <v>6.6959090909090913</v>
      </c>
      <c r="N6" s="17">
        <f t="shared" si="3"/>
        <v>6.6959090909090913</v>
      </c>
      <c r="O6" s="27"/>
      <c r="P6" s="17"/>
      <c r="Q6" s="17"/>
      <c r="R6" s="21">
        <f t="shared" ref="R6" si="4">+R5/Q5-1</f>
        <v>0.61538461538461542</v>
      </c>
      <c r="S6" s="21">
        <f t="shared" ref="S6" si="5">+S5/R5-1</f>
        <v>0</v>
      </c>
      <c r="T6" s="30">
        <f>+T5/S5-1</f>
        <v>0.73249999999999993</v>
      </c>
      <c r="U6" s="30">
        <v>0.3</v>
      </c>
      <c r="V6" s="30">
        <v>0.25</v>
      </c>
      <c r="W6" s="30">
        <v>0.2</v>
      </c>
      <c r="X6" s="30">
        <v>0.15</v>
      </c>
      <c r="Y6" s="30">
        <v>0.14000000000000001</v>
      </c>
      <c r="Z6" s="30">
        <v>0.13</v>
      </c>
      <c r="AA6" s="30">
        <v>0.12</v>
      </c>
      <c r="AB6" s="30">
        <v>0.11</v>
      </c>
      <c r="AC6" s="30">
        <v>0.1</v>
      </c>
      <c r="AD6" s="17"/>
      <c r="AE6" s="17"/>
    </row>
    <row r="7" spans="2:31" s="1" customFormat="1">
      <c r="B7" s="1" t="s">
        <v>71</v>
      </c>
      <c r="C7" s="17"/>
      <c r="D7" s="17">
        <f t="shared" ref="D7:F7" si="6">+D6*4</f>
        <v>6.4</v>
      </c>
      <c r="E7" s="17">
        <f t="shared" si="6"/>
        <v>6.4</v>
      </c>
      <c r="F7" s="17">
        <f t="shared" si="6"/>
        <v>6.4</v>
      </c>
      <c r="G7" s="17">
        <f>+G6*4</f>
        <v>6.4</v>
      </c>
      <c r="H7" s="17">
        <f t="shared" ref="H7:J7" si="7">+H6*4</f>
        <v>6.4</v>
      </c>
      <c r="I7" s="17">
        <f t="shared" si="7"/>
        <v>6.4</v>
      </c>
      <c r="J7" s="17">
        <f t="shared" si="7"/>
        <v>6.4</v>
      </c>
      <c r="K7" s="17">
        <f>+K6*4</f>
        <v>25.990400000000001</v>
      </c>
      <c r="L7" s="17">
        <f>+L6*4</f>
        <v>26.783636363636365</v>
      </c>
      <c r="M7" s="17">
        <f t="shared" ref="M7:N7" si="8">+M6*4</f>
        <v>26.783636363636365</v>
      </c>
      <c r="N7" s="17">
        <f t="shared" si="8"/>
        <v>26.783636363636365</v>
      </c>
      <c r="O7" s="27"/>
      <c r="P7" s="17"/>
      <c r="Q7" s="17">
        <f>+(Q23/1000)/Q5</f>
        <v>13.607692307692309</v>
      </c>
      <c r="R7" s="17">
        <f>+(R23/1000)/R5</f>
        <v>19.249523809523808</v>
      </c>
      <c r="S7" s="17">
        <f>+(S23/1000)/S5</f>
        <v>29.85380952380952</v>
      </c>
      <c r="T7" s="17">
        <f>+(T23/1000)/T5</f>
        <v>24.727332165189306</v>
      </c>
      <c r="U7" s="17">
        <f>+T7*(1+U8)</f>
        <v>25.469152130144987</v>
      </c>
      <c r="V7" s="17">
        <f t="shared" ref="V7:AC7" si="9">+U7*(1+V8)</f>
        <v>25.978535172747886</v>
      </c>
      <c r="W7" s="17">
        <f t="shared" si="9"/>
        <v>26.498105876202846</v>
      </c>
      <c r="X7" s="17">
        <f t="shared" si="9"/>
        <v>27.028067993726903</v>
      </c>
      <c r="Y7" s="17">
        <f t="shared" si="9"/>
        <v>27.568629353601441</v>
      </c>
      <c r="Z7" s="17">
        <f t="shared" si="9"/>
        <v>28.120001940673472</v>
      </c>
      <c r="AA7" s="17">
        <f t="shared" si="9"/>
        <v>28.68240197948694</v>
      </c>
      <c r="AB7" s="17">
        <f t="shared" si="9"/>
        <v>29.256050019076678</v>
      </c>
      <c r="AC7" s="17">
        <f t="shared" si="9"/>
        <v>29.841171019458212</v>
      </c>
      <c r="AD7" s="17"/>
      <c r="AE7" s="17"/>
    </row>
    <row r="8" spans="2:31" s="1" customFormat="1"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27"/>
      <c r="P8" s="17"/>
      <c r="Q8" s="17"/>
      <c r="R8" s="21">
        <f t="shared" ref="R8:AB8" si="10">+R7/Q7-1</f>
        <v>0.41460604592317396</v>
      </c>
      <c r="S8" s="21">
        <f t="shared" si="10"/>
        <v>0.5508856125074213</v>
      </c>
      <c r="T8" s="30">
        <f t="shared" si="10"/>
        <v>-0.17171936983558689</v>
      </c>
      <c r="U8" s="30">
        <v>0.03</v>
      </c>
      <c r="V8" s="30">
        <v>0.02</v>
      </c>
      <c r="W8" s="30">
        <v>0.02</v>
      </c>
      <c r="X8" s="30">
        <v>0.02</v>
      </c>
      <c r="Y8" s="30">
        <v>0.02</v>
      </c>
      <c r="Z8" s="30">
        <v>0.02</v>
      </c>
      <c r="AA8" s="30">
        <v>0.02</v>
      </c>
      <c r="AB8" s="30">
        <v>0.02</v>
      </c>
      <c r="AC8" s="30">
        <v>0.02</v>
      </c>
      <c r="AD8" s="17"/>
      <c r="AE8" s="17"/>
    </row>
    <row r="9" spans="2:31" s="1" customFormat="1"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27"/>
      <c r="P9" s="17"/>
      <c r="Q9" s="17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17"/>
      <c r="AE9" s="17"/>
    </row>
    <row r="10" spans="2:31" s="1" customFormat="1">
      <c r="B10" s="1" t="s">
        <v>74</v>
      </c>
      <c r="C10" s="17"/>
      <c r="D10" s="17">
        <v>28274</v>
      </c>
      <c r="E10" s="17">
        <v>32217</v>
      </c>
      <c r="F10" s="17">
        <f>+R10-SUM(C10:E10)</f>
        <v>57010</v>
      </c>
      <c r="G10" s="17">
        <v>40055</v>
      </c>
      <c r="H10" s="17">
        <v>43502</v>
      </c>
      <c r="I10" s="17">
        <v>46030</v>
      </c>
      <c r="J10" s="17">
        <f>+S10-SUM(G10:I10)</f>
        <v>51111</v>
      </c>
      <c r="K10" s="17">
        <v>58010</v>
      </c>
      <c r="L10" s="17">
        <v>65194</v>
      </c>
      <c r="M10" s="17"/>
      <c r="N10" s="17"/>
      <c r="O10" s="27"/>
      <c r="P10" s="17"/>
      <c r="Q10" s="17"/>
      <c r="R10" s="17">
        <v>117501</v>
      </c>
      <c r="S10" s="17">
        <v>180698</v>
      </c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</row>
    <row r="11" spans="2:31" s="1" customFormat="1">
      <c r="B11" s="1" t="s">
        <v>75</v>
      </c>
      <c r="C11" s="17"/>
      <c r="D11" s="17">
        <v>6808</v>
      </c>
      <c r="E11" s="17">
        <v>6720</v>
      </c>
      <c r="F11" s="17">
        <f t="shared" ref="F11:F13" si="11">+R11-SUM(C11:E11)</f>
        <v>13515</v>
      </c>
      <c r="G11" s="17">
        <v>9275</v>
      </c>
      <c r="H11" s="17">
        <v>9056</v>
      </c>
      <c r="I11" s="17">
        <v>9029</v>
      </c>
      <c r="J11" s="17">
        <f t="shared" ref="J11:J13" si="12">+S11-SUM(G11:I11)</f>
        <v>11141</v>
      </c>
      <c r="K11" s="17">
        <v>11748</v>
      </c>
      <c r="L11" s="17">
        <v>11218</v>
      </c>
      <c r="M11" s="17"/>
      <c r="N11" s="17"/>
      <c r="O11" s="27"/>
      <c r="P11" s="17"/>
      <c r="Q11" s="17"/>
      <c r="R11" s="17">
        <v>27043</v>
      </c>
      <c r="S11" s="17">
        <v>38501</v>
      </c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</row>
    <row r="12" spans="2:31" s="1" customFormat="1">
      <c r="B12" s="1" t="s">
        <v>76</v>
      </c>
      <c r="C12" s="17"/>
      <c r="D12" s="17">
        <v>4598</v>
      </c>
      <c r="E12" s="17">
        <v>5607</v>
      </c>
      <c r="F12" s="17">
        <f t="shared" si="11"/>
        <v>4950</v>
      </c>
      <c r="G12" s="17">
        <v>5035</v>
      </c>
      <c r="H12" s="17">
        <v>4833</v>
      </c>
      <c r="I12" s="17">
        <v>6695</v>
      </c>
      <c r="J12" s="17">
        <f t="shared" si="12"/>
        <v>8095</v>
      </c>
      <c r="K12" s="17">
        <v>8080</v>
      </c>
      <c r="L12" s="17">
        <v>8036</v>
      </c>
      <c r="M12" s="17"/>
      <c r="N12" s="17"/>
      <c r="O12" s="27"/>
      <c r="P12" s="17"/>
      <c r="Q12" s="17"/>
      <c r="R12" s="17">
        <v>15155</v>
      </c>
      <c r="S12" s="17">
        <v>24658</v>
      </c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</row>
    <row r="13" spans="2:31" s="1" customFormat="1">
      <c r="B13" s="1" t="s">
        <v>77</v>
      </c>
      <c r="C13" s="17"/>
      <c r="D13" s="17">
        <v>331</v>
      </c>
      <c r="E13" s="17">
        <v>661</v>
      </c>
      <c r="F13" s="17">
        <f t="shared" si="11"/>
        <v>1005</v>
      </c>
      <c r="G13" s="17">
        <v>995</v>
      </c>
      <c r="H13" s="17">
        <v>1412</v>
      </c>
      <c r="I13" s="17">
        <v>1841</v>
      </c>
      <c r="J13" s="17">
        <f t="shared" si="12"/>
        <v>2667</v>
      </c>
      <c r="K13" s="17">
        <v>3382</v>
      </c>
      <c r="L13" s="17">
        <v>3938</v>
      </c>
      <c r="M13" s="17"/>
      <c r="N13" s="17"/>
      <c r="O13" s="27"/>
      <c r="P13" s="17"/>
      <c r="Q13" s="17"/>
      <c r="R13" s="17">
        <v>1997</v>
      </c>
      <c r="S13" s="17">
        <v>6915</v>
      </c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</row>
    <row r="14" spans="2:31" s="1" customFormat="1">
      <c r="B14" s="1" t="s">
        <v>14</v>
      </c>
      <c r="C14" s="17"/>
      <c r="D14" s="17">
        <f>SUM(D10:D13)</f>
        <v>40011</v>
      </c>
      <c r="E14" s="17">
        <f t="shared" ref="E14:L14" si="13">SUM(E10:E13)</f>
        <v>45205</v>
      </c>
      <c r="F14" s="17">
        <f t="shared" si="13"/>
        <v>76480</v>
      </c>
      <c r="G14" s="17">
        <f t="shared" si="13"/>
        <v>55360</v>
      </c>
      <c r="H14" s="17">
        <f t="shared" si="13"/>
        <v>58803</v>
      </c>
      <c r="I14" s="17">
        <f t="shared" si="13"/>
        <v>63595</v>
      </c>
      <c r="J14" s="17">
        <f t="shared" si="13"/>
        <v>73014</v>
      </c>
      <c r="K14" s="17">
        <f t="shared" si="13"/>
        <v>81220</v>
      </c>
      <c r="L14" s="17">
        <f t="shared" si="13"/>
        <v>88386</v>
      </c>
      <c r="M14" s="17"/>
      <c r="N14" s="17"/>
      <c r="O14" s="27"/>
      <c r="P14" s="17"/>
      <c r="Q14" s="17"/>
      <c r="R14" s="17">
        <f>SUM(R10:R13)</f>
        <v>161696</v>
      </c>
      <c r="S14" s="17">
        <f>SUM(S10:S13)</f>
        <v>250772</v>
      </c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</row>
    <row r="15" spans="2:31" s="1" customFormat="1"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2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</row>
    <row r="16" spans="2:31" s="1" customFormat="1">
      <c r="B16" s="9" t="s">
        <v>98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2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</row>
    <row r="17" spans="2:31" s="1" customFormat="1">
      <c r="B17" s="1" t="s">
        <v>74</v>
      </c>
      <c r="C17" s="17"/>
      <c r="D17" s="21">
        <f>+D10/D$14</f>
        <v>0.70665566969083504</v>
      </c>
      <c r="E17" s="21">
        <f t="shared" ref="E17:K17" si="14">+E10/E$14</f>
        <v>0.71268664970689088</v>
      </c>
      <c r="F17" s="21">
        <f t="shared" si="14"/>
        <v>0.74542364016736407</v>
      </c>
      <c r="G17" s="21">
        <f t="shared" si="14"/>
        <v>0.72353684971098264</v>
      </c>
      <c r="H17" s="21">
        <f t="shared" si="14"/>
        <v>0.73979218747342823</v>
      </c>
      <c r="I17" s="21">
        <f t="shared" si="14"/>
        <v>0.72379904080509472</v>
      </c>
      <c r="J17" s="21">
        <f t="shared" si="14"/>
        <v>0.70001643520420742</v>
      </c>
      <c r="K17" s="21">
        <f t="shared" si="14"/>
        <v>0.71423294754986455</v>
      </c>
      <c r="L17" s="21">
        <f t="shared" ref="L17" si="15">+L10/L$14</f>
        <v>0.73760550313398054</v>
      </c>
      <c r="M17" s="17"/>
      <c r="N17" s="17"/>
      <c r="O17" s="2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</row>
    <row r="18" spans="2:31" s="1" customFormat="1">
      <c r="B18" s="1" t="s">
        <v>75</v>
      </c>
      <c r="C18" s="17"/>
      <c r="D18" s="21">
        <f t="shared" ref="D18:K20" si="16">+D11/D$14</f>
        <v>0.17015320786783633</v>
      </c>
      <c r="E18" s="21">
        <f t="shared" si="16"/>
        <v>0.14865612211038601</v>
      </c>
      <c r="F18" s="21">
        <f t="shared" si="16"/>
        <v>0.17671286610878661</v>
      </c>
      <c r="G18" s="21">
        <f t="shared" si="16"/>
        <v>0.16753973988439305</v>
      </c>
      <c r="H18" s="21">
        <f t="shared" si="16"/>
        <v>0.1540057480060541</v>
      </c>
      <c r="I18" s="21">
        <f t="shared" si="16"/>
        <v>0.14197657048510104</v>
      </c>
      <c r="J18" s="21">
        <f t="shared" si="16"/>
        <v>0.15258717506231681</v>
      </c>
      <c r="K18" s="21">
        <f t="shared" si="16"/>
        <v>0.1446441763112534</v>
      </c>
      <c r="L18" s="21">
        <f t="shared" ref="L18" si="17">+L11/L$14</f>
        <v>0.12692055302876021</v>
      </c>
      <c r="M18" s="17"/>
      <c r="N18" s="17"/>
      <c r="O18" s="2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</row>
    <row r="19" spans="2:31" s="1" customFormat="1">
      <c r="B19" s="1" t="s">
        <v>76</v>
      </c>
      <c r="C19" s="17"/>
      <c r="D19" s="22">
        <f t="shared" ref="D19:J19" si="18">+D12/D$14</f>
        <v>0.11491839744070381</v>
      </c>
      <c r="E19" s="21">
        <f t="shared" si="18"/>
        <v>0.12403495188585334</v>
      </c>
      <c r="F19" s="21">
        <f t="shared" si="18"/>
        <v>6.4722803347280339E-2</v>
      </c>
      <c r="G19" s="21">
        <f t="shared" si="18"/>
        <v>9.0950144508670519E-2</v>
      </c>
      <c r="H19" s="21">
        <f t="shared" si="18"/>
        <v>8.2189684199785729E-2</v>
      </c>
      <c r="I19" s="21">
        <f t="shared" si="18"/>
        <v>0.10527557197892916</v>
      </c>
      <c r="J19" s="21">
        <f t="shared" si="18"/>
        <v>0.11086914838250199</v>
      </c>
      <c r="K19" s="21">
        <f t="shared" si="16"/>
        <v>9.9482885988672734E-2</v>
      </c>
      <c r="L19" s="21">
        <f t="shared" ref="L19" si="19">+L12/L$14</f>
        <v>9.0919376371823596E-2</v>
      </c>
      <c r="M19" s="17"/>
      <c r="N19" s="17"/>
      <c r="O19" s="2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</row>
    <row r="20" spans="2:31" s="1" customFormat="1">
      <c r="B20" s="1" t="s">
        <v>77</v>
      </c>
      <c r="C20" s="17"/>
      <c r="D20" s="21">
        <f t="shared" si="16"/>
        <v>8.2727250006248282E-3</v>
      </c>
      <c r="E20" s="21">
        <f t="shared" si="16"/>
        <v>1.4622276296869815E-2</v>
      </c>
      <c r="F20" s="21">
        <f t="shared" si="16"/>
        <v>1.3140690376569038E-2</v>
      </c>
      <c r="G20" s="21">
        <f t="shared" si="16"/>
        <v>1.7973265895953758E-2</v>
      </c>
      <c r="H20" s="21">
        <f t="shared" si="16"/>
        <v>2.4012380320731934E-2</v>
      </c>
      <c r="I20" s="21">
        <f t="shared" si="16"/>
        <v>2.8948816730875068E-2</v>
      </c>
      <c r="J20" s="21">
        <f t="shared" si="16"/>
        <v>3.6527241350973787E-2</v>
      </c>
      <c r="K20" s="21">
        <f t="shared" si="16"/>
        <v>4.1639990150209305E-2</v>
      </c>
      <c r="L20" s="21">
        <f t="shared" ref="L20" si="20">+L13/L$14</f>
        <v>4.45545674654357E-2</v>
      </c>
      <c r="M20" s="17"/>
      <c r="N20" s="17"/>
      <c r="O20" s="2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</row>
    <row r="21" spans="2:31" s="1" customFormat="1">
      <c r="C21" s="17"/>
      <c r="D21" s="21"/>
      <c r="E21" s="21"/>
      <c r="F21" s="21"/>
      <c r="G21" s="21"/>
      <c r="H21" s="21"/>
      <c r="I21" s="21"/>
      <c r="J21" s="21"/>
      <c r="K21" s="21"/>
      <c r="L21" s="17"/>
      <c r="M21" s="21"/>
      <c r="N21" s="17"/>
      <c r="O21" s="2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</row>
    <row r="22" spans="2:31" s="1" customFormat="1"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31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</row>
    <row r="23" spans="2:31" s="1" customFormat="1">
      <c r="B23" s="1" t="s">
        <v>14</v>
      </c>
      <c r="C23" s="17">
        <v>28112</v>
      </c>
      <c r="D23" s="17">
        <f>+D14</f>
        <v>40011</v>
      </c>
      <c r="E23" s="17">
        <v>45305</v>
      </c>
      <c r="F23" s="17">
        <f>+R23-SUM(C23:E23)</f>
        <v>48268</v>
      </c>
      <c r="G23" s="17">
        <f>+G14</f>
        <v>55360</v>
      </c>
      <c r="H23" s="17">
        <f>+H14</f>
        <v>58803</v>
      </c>
      <c r="I23" s="17">
        <f>+I14</f>
        <v>63595</v>
      </c>
      <c r="J23" s="23">
        <f>+S23-SUM(G23:I23)</f>
        <v>73014</v>
      </c>
      <c r="K23" s="17">
        <f>+K14</f>
        <v>81220</v>
      </c>
      <c r="L23" s="17">
        <f>+L14</f>
        <v>88386</v>
      </c>
      <c r="M23" s="17">
        <f>+M5*M6*1000</f>
        <v>92805.3</v>
      </c>
      <c r="N23" s="17">
        <f>+N5*N6*1000</f>
        <v>97445.565000000017</v>
      </c>
      <c r="O23" s="27"/>
      <c r="P23" s="17"/>
      <c r="Q23" s="17">
        <v>70760</v>
      </c>
      <c r="R23" s="17">
        <v>161696</v>
      </c>
      <c r="S23" s="17">
        <v>250772</v>
      </c>
      <c r="T23" s="17">
        <f>+SUM(K23:N23)</f>
        <v>359856.86499999999</v>
      </c>
      <c r="U23" s="17">
        <f t="shared" ref="U23:AC23" si="21">+U5*U7*1000</f>
        <v>481848.34223499999</v>
      </c>
      <c r="V23" s="17">
        <f t="shared" ref="V23:AC23" si="22">+V5*V7*1000</f>
        <v>614356.63634962507</v>
      </c>
      <c r="W23" s="17">
        <f t="shared" si="22"/>
        <v>751972.52289194101</v>
      </c>
      <c r="X23" s="17">
        <f t="shared" si="22"/>
        <v>882063.76935224689</v>
      </c>
      <c r="Y23" s="17">
        <f t="shared" si="22"/>
        <v>1025663.7510027929</v>
      </c>
      <c r="Z23" s="17">
        <f t="shared" si="22"/>
        <v>1182180.039405819</v>
      </c>
      <c r="AA23" s="17">
        <f t="shared" si="22"/>
        <v>1350522.4770172075</v>
      </c>
      <c r="AB23" s="17">
        <f t="shared" si="22"/>
        <v>1529061.5484788828</v>
      </c>
      <c r="AC23" s="17">
        <f t="shared" si="22"/>
        <v>1715607.0573933064</v>
      </c>
      <c r="AD23" s="17"/>
      <c r="AE23" s="17"/>
    </row>
    <row r="24" spans="2:31" s="1" customFormat="1">
      <c r="B24" s="1" t="s">
        <v>15</v>
      </c>
      <c r="C24" s="17">
        <v>8214</v>
      </c>
      <c r="D24" s="17">
        <v>11809</v>
      </c>
      <c r="E24" s="17">
        <v>13101</v>
      </c>
      <c r="F24" s="17">
        <f t="shared" ref="F24:F35" si="23">+R24-SUM(C24:E24)</f>
        <v>12863</v>
      </c>
      <c r="G24" s="17">
        <v>15019</v>
      </c>
      <c r="H24" s="17">
        <v>16137</v>
      </c>
      <c r="I24" s="17">
        <v>18078</v>
      </c>
      <c r="J24" s="17">
        <f t="shared" ref="J24:J35" si="24">+S24-SUM(G24:I24)</f>
        <v>19952</v>
      </c>
      <c r="K24" s="17">
        <v>21490</v>
      </c>
      <c r="L24" s="17">
        <v>23869</v>
      </c>
      <c r="M24" s="17">
        <f t="shared" ref="M24:N24" si="25">+M23*(I24/I23)</f>
        <v>26381.542784810124</v>
      </c>
      <c r="N24" s="17">
        <f t="shared" si="25"/>
        <v>26628.234487632515</v>
      </c>
      <c r="O24" s="27"/>
      <c r="P24" s="17"/>
      <c r="Q24" s="17">
        <v>20737</v>
      </c>
      <c r="R24" s="17">
        <v>45987</v>
      </c>
      <c r="S24" s="17">
        <v>69186</v>
      </c>
      <c r="T24" s="17">
        <f t="shared" ref="T24:T34" si="26">+SUM(K24:N24)</f>
        <v>98368.777272442647</v>
      </c>
      <c r="U24" s="17">
        <f ca="1">+U23*U44</f>
        <v>131715.79276780071</v>
      </c>
      <c r="V24" s="17">
        <f t="shared" ref="V24:AC24" si="27">+V23*V44</f>
        <v>159732.72545090254</v>
      </c>
      <c r="W24" s="17">
        <f t="shared" si="27"/>
        <v>195512.85595190467</v>
      </c>
      <c r="X24" s="17">
        <f t="shared" si="27"/>
        <v>220515.94233806172</v>
      </c>
      <c r="Y24" s="17">
        <f t="shared" si="27"/>
        <v>256415.93775069821</v>
      </c>
      <c r="Z24" s="17">
        <f t="shared" si="27"/>
        <v>283723.20945739653</v>
      </c>
      <c r="AA24" s="17">
        <f t="shared" si="27"/>
        <v>310620.16971395776</v>
      </c>
      <c r="AB24" s="17">
        <f t="shared" si="27"/>
        <v>351684.15615014307</v>
      </c>
      <c r="AC24" s="17">
        <f t="shared" si="27"/>
        <v>377433.55262652744</v>
      </c>
      <c r="AD24" s="17"/>
      <c r="AE24" s="17"/>
    </row>
    <row r="25" spans="2:31" s="1" customFormat="1">
      <c r="B25" s="1" t="s">
        <v>16</v>
      </c>
      <c r="C25" s="17">
        <f>+C23-C24</f>
        <v>19898</v>
      </c>
      <c r="D25" s="17">
        <f>+D23-D24</f>
        <v>28202</v>
      </c>
      <c r="E25" s="17">
        <f>+E23-E24</f>
        <v>32204</v>
      </c>
      <c r="F25" s="17">
        <f t="shared" si="23"/>
        <v>35405</v>
      </c>
      <c r="G25" s="17">
        <f>+G23-G24</f>
        <v>40341</v>
      </c>
      <c r="H25" s="17">
        <f>+H23-H24</f>
        <v>42666</v>
      </c>
      <c r="I25" s="17">
        <f>+I23-I24</f>
        <v>45517</v>
      </c>
      <c r="J25" s="17">
        <f t="shared" si="24"/>
        <v>53062</v>
      </c>
      <c r="K25" s="17">
        <f>+K23-K24</f>
        <v>59730</v>
      </c>
      <c r="L25" s="17">
        <f>+L23-L24</f>
        <v>64517</v>
      </c>
      <c r="M25" s="17">
        <f t="shared" ref="M25:N25" si="28">+M23-M24</f>
        <v>66423.757215189878</v>
      </c>
      <c r="N25" s="17">
        <f t="shared" si="28"/>
        <v>70817.330512367509</v>
      </c>
      <c r="O25" s="27"/>
      <c r="P25" s="17"/>
      <c r="Q25" s="17">
        <f>+Q23-Q24</f>
        <v>50023</v>
      </c>
      <c r="R25" s="17">
        <f>+R23-R24</f>
        <v>115709</v>
      </c>
      <c r="S25" s="17">
        <f>+S23-S24</f>
        <v>181586</v>
      </c>
      <c r="T25" s="17">
        <f t="shared" si="26"/>
        <v>261488.08772755737</v>
      </c>
      <c r="U25" s="17">
        <f ca="1">+U23-U24</f>
        <v>350132.54946719925</v>
      </c>
      <c r="V25" s="17">
        <f t="shared" ref="V25:AC25" si="29">+V23-V24</f>
        <v>454623.91089872253</v>
      </c>
      <c r="W25" s="17">
        <f t="shared" si="29"/>
        <v>556459.66694003635</v>
      </c>
      <c r="X25" s="17">
        <f t="shared" si="29"/>
        <v>661547.82701418514</v>
      </c>
      <c r="Y25" s="17">
        <f t="shared" si="29"/>
        <v>769247.81325209467</v>
      </c>
      <c r="Z25" s="17">
        <f t="shared" si="29"/>
        <v>898456.8299484225</v>
      </c>
      <c r="AA25" s="17">
        <f t="shared" si="29"/>
        <v>1039902.3073032498</v>
      </c>
      <c r="AB25" s="17">
        <f t="shared" si="29"/>
        <v>1177377.3923287396</v>
      </c>
      <c r="AC25" s="17">
        <f t="shared" si="29"/>
        <v>1338173.504766779</v>
      </c>
      <c r="AD25" s="17"/>
      <c r="AE25" s="17"/>
    </row>
    <row r="26" spans="2:31" s="1" customFormat="1">
      <c r="B26" s="1" t="s">
        <v>17</v>
      </c>
      <c r="C26" s="17">
        <v>9576</v>
      </c>
      <c r="D26" s="17">
        <v>12111</v>
      </c>
      <c r="E26" s="17">
        <v>15894</v>
      </c>
      <c r="F26" s="17">
        <f t="shared" si="23"/>
        <v>15443</v>
      </c>
      <c r="G26" s="17">
        <v>22529</v>
      </c>
      <c r="H26" s="17">
        <v>21940</v>
      </c>
      <c r="I26" s="17">
        <v>29345</v>
      </c>
      <c r="J26" s="17">
        <f t="shared" si="24"/>
        <v>30019</v>
      </c>
      <c r="K26" s="17">
        <v>29781</v>
      </c>
      <c r="L26" s="17">
        <v>34217</v>
      </c>
      <c r="M26" s="17">
        <f>+M23*M45</f>
        <v>36194.067000000003</v>
      </c>
      <c r="N26" s="17">
        <f>+N23*N45</f>
        <v>38003.770350000006</v>
      </c>
      <c r="O26" s="27"/>
      <c r="P26" s="17"/>
      <c r="Q26" s="17">
        <v>31560</v>
      </c>
      <c r="R26" s="17">
        <v>53024</v>
      </c>
      <c r="S26" s="17">
        <v>103833</v>
      </c>
      <c r="T26" s="17">
        <f t="shared" si="26"/>
        <v>138195.83735000002</v>
      </c>
      <c r="U26" s="17">
        <f>+U23*U$45</f>
        <v>173465.40320459998</v>
      </c>
      <c r="V26" s="17">
        <f t="shared" ref="V26:AC26" si="30">+V23*V$45</f>
        <v>208881.25635887255</v>
      </c>
      <c r="W26" s="17">
        <f t="shared" si="30"/>
        <v>248150.93255434054</v>
      </c>
      <c r="X26" s="17">
        <f t="shared" si="30"/>
        <v>291081.0438862415</v>
      </c>
      <c r="Y26" s="17">
        <f t="shared" si="30"/>
        <v>328212.40032089374</v>
      </c>
      <c r="Z26" s="17">
        <f t="shared" si="30"/>
        <v>378297.61260986212</v>
      </c>
      <c r="AA26" s="17">
        <f t="shared" si="30"/>
        <v>418661.96787533432</v>
      </c>
      <c r="AB26" s="17">
        <f t="shared" si="30"/>
        <v>474009.08002845367</v>
      </c>
      <c r="AC26" s="17">
        <f t="shared" si="30"/>
        <v>514682.11721799191</v>
      </c>
      <c r="AD26" s="17"/>
      <c r="AE26" s="17"/>
    </row>
    <row r="27" spans="2:31" s="1" customFormat="1">
      <c r="B27" s="1" t="s">
        <v>18</v>
      </c>
      <c r="C27" s="17">
        <v>5511</v>
      </c>
      <c r="D27" s="17">
        <v>8625</v>
      </c>
      <c r="E27" s="17">
        <v>11142</v>
      </c>
      <c r="F27" s="17">
        <f t="shared" si="23"/>
        <v>9705</v>
      </c>
      <c r="G27" s="17">
        <v>19773</v>
      </c>
      <c r="H27" s="17">
        <v>9619</v>
      </c>
      <c r="I27" s="17">
        <v>15267</v>
      </c>
      <c r="J27" s="17">
        <f t="shared" si="24"/>
        <v>14511</v>
      </c>
      <c r="K27" s="17">
        <v>14940</v>
      </c>
      <c r="L27" s="17">
        <v>15277</v>
      </c>
      <c r="M27" s="17">
        <f>+M23*M46</f>
        <v>15776.901000000002</v>
      </c>
      <c r="N27" s="17">
        <f>+N23*N46</f>
        <v>16565.746050000005</v>
      </c>
      <c r="O27" s="27"/>
      <c r="P27" s="17"/>
      <c r="Q27" s="17">
        <v>14989</v>
      </c>
      <c r="R27" s="17">
        <v>34983</v>
      </c>
      <c r="S27" s="17">
        <v>59170</v>
      </c>
      <c r="T27" s="17">
        <f t="shared" si="26"/>
        <v>62559.64705</v>
      </c>
      <c r="U27" s="17">
        <f t="shared" ref="U27:AC28" ca="1" si="31">+U24*U$45</f>
        <v>47417.685396408255</v>
      </c>
      <c r="V27" s="17">
        <f t="shared" ref="V27:AC27" si="32">+V24*V$45</f>
        <v>54309.126653306863</v>
      </c>
      <c r="W27" s="17">
        <f t="shared" si="32"/>
        <v>64519.242464128547</v>
      </c>
      <c r="X27" s="17">
        <f t="shared" si="32"/>
        <v>72770.260971560376</v>
      </c>
      <c r="Y27" s="17">
        <f t="shared" si="32"/>
        <v>82053.100080223434</v>
      </c>
      <c r="Z27" s="17">
        <f t="shared" si="32"/>
        <v>90791.427026366888</v>
      </c>
      <c r="AA27" s="17">
        <f t="shared" si="32"/>
        <v>96292.252611326898</v>
      </c>
      <c r="AB27" s="17">
        <f t="shared" si="32"/>
        <v>109022.08840654435</v>
      </c>
      <c r="AC27" s="17">
        <f t="shared" si="32"/>
        <v>113230.06578795823</v>
      </c>
      <c r="AD27" s="17"/>
      <c r="AE27" s="17"/>
    </row>
    <row r="28" spans="2:31" s="1" customFormat="1">
      <c r="B28" s="1" t="s">
        <v>19</v>
      </c>
      <c r="C28" s="17">
        <v>7266</v>
      </c>
      <c r="D28" s="17">
        <v>7384</v>
      </c>
      <c r="E28" s="17">
        <v>8235</v>
      </c>
      <c r="F28" s="17">
        <f t="shared" si="23"/>
        <v>20828</v>
      </c>
      <c r="G28" s="17">
        <v>11453</v>
      </c>
      <c r="H28" s="17">
        <v>11585</v>
      </c>
      <c r="I28" s="17">
        <v>29605</v>
      </c>
      <c r="J28" s="17">
        <f t="shared" si="24"/>
        <v>25947</v>
      </c>
      <c r="K28" s="17">
        <v>26856</v>
      </c>
      <c r="L28" s="17">
        <v>30057</v>
      </c>
      <c r="M28" s="17">
        <f>+M23*M47</f>
        <v>31553.802000000003</v>
      </c>
      <c r="N28" s="17">
        <f>+N23*N47</f>
        <v>33131.49210000001</v>
      </c>
      <c r="O28" s="27"/>
      <c r="P28" s="17"/>
      <c r="Q28" s="17">
        <f>1228+16371</f>
        <v>17599</v>
      </c>
      <c r="R28" s="17">
        <v>43713</v>
      </c>
      <c r="S28" s="17">
        <v>78590</v>
      </c>
      <c r="T28" s="17">
        <f t="shared" si="26"/>
        <v>121598.2941</v>
      </c>
      <c r="U28" s="17">
        <f t="shared" ca="1" si="31"/>
        <v>126047.71780819172</v>
      </c>
      <c r="V28" s="17">
        <f t="shared" ref="V28:AC28" si="33">+V25*V$45</f>
        <v>154572.12970556566</v>
      </c>
      <c r="W28" s="17">
        <f t="shared" si="33"/>
        <v>183631.69009021201</v>
      </c>
      <c r="X28" s="17">
        <f t="shared" si="33"/>
        <v>218310.7829146811</v>
      </c>
      <c r="Y28" s="17">
        <f t="shared" si="33"/>
        <v>246159.3002406703</v>
      </c>
      <c r="Z28" s="17">
        <f t="shared" si="33"/>
        <v>287506.18558349519</v>
      </c>
      <c r="AA28" s="17">
        <f t="shared" si="33"/>
        <v>322369.71526400745</v>
      </c>
      <c r="AB28" s="17">
        <f t="shared" si="33"/>
        <v>364986.99162190926</v>
      </c>
      <c r="AC28" s="17">
        <f t="shared" si="33"/>
        <v>401452.05143003369</v>
      </c>
      <c r="AD28" s="17"/>
      <c r="AE28" s="17"/>
    </row>
    <row r="29" spans="2:31" s="1" customFormat="1">
      <c r="B29" s="1" t="s">
        <v>20</v>
      </c>
      <c r="C29" s="17">
        <f>+SUM(C26:C28)</f>
        <v>22353</v>
      </c>
      <c r="D29" s="17">
        <f>+SUM(D26:D28)</f>
        <v>28120</v>
      </c>
      <c r="E29" s="17">
        <f>+SUM(E26:E28)</f>
        <v>35271</v>
      </c>
      <c r="F29" s="17">
        <f t="shared" si="23"/>
        <v>45976</v>
      </c>
      <c r="G29" s="17">
        <f>+SUM(G26:G28)</f>
        <v>53755</v>
      </c>
      <c r="H29" s="17">
        <f>+SUM(H26:H28)</f>
        <v>43144</v>
      </c>
      <c r="I29" s="17">
        <f>+SUM(I26:I28)</f>
        <v>74217</v>
      </c>
      <c r="J29" s="17">
        <f t="shared" si="24"/>
        <v>70477</v>
      </c>
      <c r="K29" s="17">
        <f>+SUM(K26:K28)</f>
        <v>71577</v>
      </c>
      <c r="L29" s="17">
        <f>+SUM(L26:L28)</f>
        <v>79551</v>
      </c>
      <c r="M29" s="17">
        <f t="shared" ref="M29:N29" si="34">+SUM(M26:M28)</f>
        <v>83524.770000000019</v>
      </c>
      <c r="N29" s="17">
        <f t="shared" si="34"/>
        <v>87701.008500000025</v>
      </c>
      <c r="O29" s="27"/>
      <c r="P29" s="17"/>
      <c r="Q29" s="17">
        <f>+SUM(Q26:Q28)</f>
        <v>64148</v>
      </c>
      <c r="R29" s="17">
        <f>+SUM(R26:R28)</f>
        <v>131720</v>
      </c>
      <c r="S29" s="17">
        <f>+SUM(S26:S28)</f>
        <v>241593</v>
      </c>
      <c r="T29" s="17">
        <f t="shared" si="26"/>
        <v>322353.77850000001</v>
      </c>
      <c r="U29" s="17">
        <f ca="1">+SUM(U26:U28)</f>
        <v>346930.80640919995</v>
      </c>
      <c r="V29" s="17">
        <f t="shared" ref="V29:AC29" si="35">+SUM(V26:V28)</f>
        <v>417762.51271774503</v>
      </c>
      <c r="W29" s="17">
        <f t="shared" si="35"/>
        <v>496301.86510868114</v>
      </c>
      <c r="X29" s="17">
        <f t="shared" si="35"/>
        <v>582162.08777248301</v>
      </c>
      <c r="Y29" s="17">
        <f t="shared" si="35"/>
        <v>656424.80064178747</v>
      </c>
      <c r="Z29" s="17">
        <f t="shared" si="35"/>
        <v>756595.22521972423</v>
      </c>
      <c r="AA29" s="17">
        <f t="shared" si="35"/>
        <v>837323.93575066864</v>
      </c>
      <c r="AB29" s="17">
        <f t="shared" si="35"/>
        <v>948018.16005690722</v>
      </c>
      <c r="AC29" s="17">
        <f t="shared" si="35"/>
        <v>1029364.2344359839</v>
      </c>
      <c r="AD29" s="17"/>
      <c r="AE29" s="17"/>
    </row>
    <row r="30" spans="2:31" s="1" customFormat="1">
      <c r="B30" s="1" t="s">
        <v>21</v>
      </c>
      <c r="C30" s="17">
        <f>+C25-C29</f>
        <v>-2455</v>
      </c>
      <c r="D30" s="17">
        <f t="shared" ref="D30:E30" si="36">+D25-D29</f>
        <v>82</v>
      </c>
      <c r="E30" s="17">
        <f t="shared" si="36"/>
        <v>-3067</v>
      </c>
      <c r="F30" s="17">
        <f t="shared" si="23"/>
        <v>-10571</v>
      </c>
      <c r="G30" s="17">
        <f>+G25-G29</f>
        <v>-13414</v>
      </c>
      <c r="H30" s="17">
        <v>-478</v>
      </c>
      <c r="I30" s="17">
        <f>+I25-I29</f>
        <v>-28700</v>
      </c>
      <c r="J30" s="17">
        <f t="shared" si="24"/>
        <v>-17415</v>
      </c>
      <c r="K30" s="17">
        <f>+K25-K29</f>
        <v>-11847</v>
      </c>
      <c r="L30" s="17">
        <f>+L25-L29</f>
        <v>-15034</v>
      </c>
      <c r="M30" s="17">
        <f t="shared" ref="M30:N30" si="37">+M25-M29</f>
        <v>-17101.01278481014</v>
      </c>
      <c r="N30" s="17">
        <f t="shared" si="37"/>
        <v>-16883.677987632516</v>
      </c>
      <c r="O30" s="27"/>
      <c r="P30" s="17"/>
      <c r="Q30" s="17">
        <f>+Q25-Q29</f>
        <v>-14125</v>
      </c>
      <c r="R30" s="17">
        <f>+R25-R29</f>
        <v>-16011</v>
      </c>
      <c r="S30" s="17">
        <f>+S25-S29</f>
        <v>-60007</v>
      </c>
      <c r="T30" s="17">
        <f t="shared" si="26"/>
        <v>-60865.690772442656</v>
      </c>
      <c r="U30" s="17">
        <f ca="1">+U25-U29</f>
        <v>3201.7430579992943</v>
      </c>
      <c r="V30" s="17">
        <f t="shared" ref="V30:AC30" si="38">+V25-V29</f>
        <v>36861.3981809775</v>
      </c>
      <c r="W30" s="17">
        <f t="shared" si="38"/>
        <v>60157.801831355202</v>
      </c>
      <c r="X30" s="17">
        <f t="shared" si="38"/>
        <v>79385.739241702133</v>
      </c>
      <c r="Y30" s="17">
        <f t="shared" si="38"/>
        <v>112823.0126103072</v>
      </c>
      <c r="Z30" s="17">
        <f t="shared" si="38"/>
        <v>141861.60472869826</v>
      </c>
      <c r="AA30" s="17">
        <f t="shared" si="38"/>
        <v>202578.3715525812</v>
      </c>
      <c r="AB30" s="17">
        <f t="shared" si="38"/>
        <v>229359.23227183241</v>
      </c>
      <c r="AC30" s="17">
        <f t="shared" si="38"/>
        <v>308809.27033079509</v>
      </c>
      <c r="AD30" s="17"/>
      <c r="AE30" s="17"/>
    </row>
    <row r="31" spans="2:31" s="1" customFormat="1">
      <c r="B31" s="1" t="s">
        <v>22</v>
      </c>
      <c r="C31" s="17">
        <v>233</v>
      </c>
      <c r="D31" s="17">
        <v>-31</v>
      </c>
      <c r="E31" s="17">
        <v>-86</v>
      </c>
      <c r="F31" s="17">
        <f t="shared" si="23"/>
        <v>187</v>
      </c>
      <c r="G31" s="17">
        <v>-41</v>
      </c>
      <c r="H31" s="17">
        <v>303</v>
      </c>
      <c r="I31" s="17">
        <v>-219</v>
      </c>
      <c r="J31" s="17">
        <f t="shared" si="24"/>
        <v>6</v>
      </c>
      <c r="K31" s="17">
        <v>-279</v>
      </c>
      <c r="L31" s="17">
        <v>130</v>
      </c>
      <c r="M31" s="17">
        <f t="shared" ref="M31:N31" si="39">+M30*(I31/I30)</f>
        <v>-130.49204877607738</v>
      </c>
      <c r="N31" s="17">
        <f t="shared" si="39"/>
        <v>5.8169433204590923</v>
      </c>
      <c r="O31" s="27"/>
      <c r="P31" s="17"/>
      <c r="Q31" s="17">
        <v>571</v>
      </c>
      <c r="R31" s="17">
        <v>303</v>
      </c>
      <c r="S31" s="17">
        <v>49</v>
      </c>
      <c r="T31" s="17">
        <f t="shared" si="26"/>
        <v>-273.67510545561828</v>
      </c>
      <c r="U31" s="17">
        <f ca="1">+U30*(T31/T30)</f>
        <v>14.39624454958906</v>
      </c>
      <c r="V31" s="17">
        <f t="shared" ref="V31:AC31" ca="1" si="40">+V30*(U31/U30)</f>
        <v>165.7427510703285</v>
      </c>
      <c r="W31" s="17">
        <f t="shared" ca="1" si="40"/>
        <v>270.4921697467758</v>
      </c>
      <c r="X31" s="17">
        <f t="shared" ca="1" si="40"/>
        <v>356.94822950208913</v>
      </c>
      <c r="Y31" s="17">
        <f t="shared" ca="1" si="40"/>
        <v>507.29482376836967</v>
      </c>
      <c r="Z31" s="17">
        <f t="shared" ca="1" si="40"/>
        <v>637.86328786409774</v>
      </c>
      <c r="AA31" s="17">
        <f t="shared" ca="1" si="40"/>
        <v>910.86877506993187</v>
      </c>
      <c r="AB31" s="17">
        <f t="shared" ca="1" si="40"/>
        <v>1031.2856271341768</v>
      </c>
      <c r="AC31" s="17">
        <f t="shared" ca="1" si="40"/>
        <v>1388.5229683734553</v>
      </c>
      <c r="AD31" s="17"/>
      <c r="AE31" s="17"/>
    </row>
    <row r="32" spans="2:31" s="1" customFormat="1">
      <c r="B32" s="1" t="s">
        <v>23</v>
      </c>
      <c r="C32" s="17">
        <f>+SUM(C30:C31)</f>
        <v>-2222</v>
      </c>
      <c r="D32" s="17">
        <f>+SUM(D30:D31)</f>
        <v>51</v>
      </c>
      <c r="E32" s="17">
        <f>+SUM(E30:E31)</f>
        <v>-3153</v>
      </c>
      <c r="F32" s="17">
        <f t="shared" si="23"/>
        <v>-10384</v>
      </c>
      <c r="G32" s="17">
        <f>+SUM(G30:G31)</f>
        <v>-13455</v>
      </c>
      <c r="H32" s="17">
        <f>+SUM(H30:H31)</f>
        <v>-175</v>
      </c>
      <c r="I32" s="17">
        <f>+SUM(I30:I31)</f>
        <v>-28919</v>
      </c>
      <c r="J32" s="17">
        <f t="shared" si="24"/>
        <v>-17409</v>
      </c>
      <c r="K32" s="17">
        <f>+SUM(K30:K31)</f>
        <v>-12126</v>
      </c>
      <c r="L32" s="17">
        <f>+SUM(L30:L31)</f>
        <v>-14904</v>
      </c>
      <c r="M32" s="17">
        <f t="shared" ref="M32:N32" si="41">+SUM(M30:M31)</f>
        <v>-17231.504833586219</v>
      </c>
      <c r="N32" s="17">
        <f t="shared" si="41"/>
        <v>-16877.861044312056</v>
      </c>
      <c r="O32" s="27"/>
      <c r="P32" s="17"/>
      <c r="Q32" s="17">
        <f>+SUM(Q30:Q31)</f>
        <v>-13554</v>
      </c>
      <c r="R32" s="17">
        <f>+SUM(R30:R31)</f>
        <v>-15708</v>
      </c>
      <c r="S32" s="17">
        <f>+SUM(S30:S31)</f>
        <v>-59958</v>
      </c>
      <c r="T32" s="17">
        <f t="shared" si="26"/>
        <v>-61139.365877898279</v>
      </c>
      <c r="U32" s="17">
        <f ca="1">+SUM(U30:U31)</f>
        <v>3216.1393025488833</v>
      </c>
      <c r="V32" s="17">
        <f t="shared" ref="V32:AC32" ca="1" si="42">+SUM(V30:V31)</f>
        <v>37027.140932047827</v>
      </c>
      <c r="W32" s="17">
        <f t="shared" ca="1" si="42"/>
        <v>60428.294001101975</v>
      </c>
      <c r="X32" s="17">
        <f t="shared" ca="1" si="42"/>
        <v>79742.687471204219</v>
      </c>
      <c r="Y32" s="17">
        <f t="shared" ca="1" si="42"/>
        <v>113330.30743407557</v>
      </c>
      <c r="Z32" s="17">
        <f t="shared" ca="1" si="42"/>
        <v>142499.46801656237</v>
      </c>
      <c r="AA32" s="17">
        <f t="shared" ca="1" si="42"/>
        <v>203489.24032765115</v>
      </c>
      <c r="AB32" s="17">
        <f t="shared" ca="1" si="42"/>
        <v>230390.51789896659</v>
      </c>
      <c r="AC32" s="17">
        <f t="shared" ca="1" si="42"/>
        <v>310197.79329916852</v>
      </c>
      <c r="AD32" s="17"/>
      <c r="AE32" s="17"/>
    </row>
    <row r="33" spans="2:200" s="1" customFormat="1">
      <c r="B33" s="1" t="s">
        <v>24</v>
      </c>
      <c r="C33" s="17">
        <v>11</v>
      </c>
      <c r="D33" s="17">
        <v>11</v>
      </c>
      <c r="E33" s="17">
        <v>23</v>
      </c>
      <c r="F33" s="17">
        <f t="shared" si="23"/>
        <v>23</v>
      </c>
      <c r="G33" s="17">
        <v>17</v>
      </c>
      <c r="H33" s="17">
        <v>1</v>
      </c>
      <c r="I33" s="17">
        <v>51</v>
      </c>
      <c r="J33" s="17">
        <f t="shared" si="24"/>
        <v>108</v>
      </c>
      <c r="K33" s="17">
        <v>28</v>
      </c>
      <c r="L33" s="17">
        <v>141</v>
      </c>
      <c r="M33" s="17">
        <f t="shared" ref="M33:N33" si="43">+M32*(L33/L32)</f>
        <v>163.01947004399202</v>
      </c>
      <c r="N33" s="17">
        <f t="shared" si="43"/>
        <v>159.67380617606011</v>
      </c>
      <c r="O33" s="27"/>
      <c r="P33" s="17"/>
      <c r="Q33" s="17">
        <v>0</v>
      </c>
      <c r="R33" s="17">
        <v>68</v>
      </c>
      <c r="S33" s="17">
        <v>177</v>
      </c>
      <c r="T33" s="17">
        <f t="shared" si="26"/>
        <v>491.6932762200521</v>
      </c>
      <c r="U33" s="17">
        <f ca="1">+U32*0.21</f>
        <v>675.38925353526542</v>
      </c>
      <c r="V33" s="17">
        <f t="shared" ref="V33:AC33" ca="1" si="44">+V32*0.21</f>
        <v>7775.6995957300433</v>
      </c>
      <c r="W33" s="17">
        <f t="shared" ca="1" si="44"/>
        <v>12689.941740231414</v>
      </c>
      <c r="X33" s="17">
        <f t="shared" ca="1" si="44"/>
        <v>16745.964368952886</v>
      </c>
      <c r="Y33" s="17">
        <f t="shared" ca="1" si="44"/>
        <v>23799.364561155868</v>
      </c>
      <c r="Z33" s="17">
        <f t="shared" ca="1" si="44"/>
        <v>29924.888283478096</v>
      </c>
      <c r="AA33" s="17">
        <f t="shared" ca="1" si="44"/>
        <v>42732.74046880674</v>
      </c>
      <c r="AB33" s="17">
        <f t="shared" ca="1" si="44"/>
        <v>48382.008758782984</v>
      </c>
      <c r="AC33" s="17">
        <f t="shared" ca="1" si="44"/>
        <v>65141.536592825389</v>
      </c>
      <c r="AD33" s="17"/>
      <c r="AE33" s="17"/>
    </row>
    <row r="34" spans="2:200" s="9" customFormat="1">
      <c r="B34" s="9" t="s">
        <v>25</v>
      </c>
      <c r="C34" s="18">
        <f>+C32-C33</f>
        <v>-2233</v>
      </c>
      <c r="D34" s="18">
        <f>+D32-D33</f>
        <v>40</v>
      </c>
      <c r="E34" s="18">
        <f>+E32-E33</f>
        <v>-3176</v>
      </c>
      <c r="F34" s="18">
        <f t="shared" si="23"/>
        <v>-10407</v>
      </c>
      <c r="G34" s="18">
        <f>+G32-G33</f>
        <v>-13472</v>
      </c>
      <c r="H34" s="18">
        <f>+H32-H33</f>
        <v>-176</v>
      </c>
      <c r="I34" s="18">
        <f>+I32-I33</f>
        <v>-28970</v>
      </c>
      <c r="J34" s="18">
        <f t="shared" si="24"/>
        <v>-17517</v>
      </c>
      <c r="K34" s="18">
        <f>+K32-K33</f>
        <v>-12154</v>
      </c>
      <c r="L34" s="18">
        <f>+L32-L33</f>
        <v>-15045</v>
      </c>
      <c r="M34" s="18">
        <f t="shared" ref="M34:N34" si="45">+M32-M33</f>
        <v>-17394.524303630213</v>
      </c>
      <c r="N34" s="18">
        <f t="shared" si="45"/>
        <v>-17037.534850488115</v>
      </c>
      <c r="O34" s="28"/>
      <c r="P34" s="18"/>
      <c r="Q34" s="18">
        <f>+Q32-Q33</f>
        <v>-13554</v>
      </c>
      <c r="R34" s="18">
        <f>+R32-R33</f>
        <v>-15776</v>
      </c>
      <c r="S34" s="18">
        <f>+S32-S33</f>
        <v>-60135</v>
      </c>
      <c r="T34" s="18">
        <f t="shared" si="26"/>
        <v>-61631.059154118324</v>
      </c>
      <c r="U34" s="18">
        <f ca="1">+U32-U33</f>
        <v>2540.7500490136181</v>
      </c>
      <c r="V34" s="18">
        <f t="shared" ref="V34:AC34" ca="1" si="46">+V32-V33</f>
        <v>29251.441336317785</v>
      </c>
      <c r="W34" s="18">
        <f t="shared" ca="1" si="46"/>
        <v>47738.352260870561</v>
      </c>
      <c r="X34" s="18">
        <f t="shared" ca="1" si="46"/>
        <v>62996.72310225133</v>
      </c>
      <c r="Y34" s="18">
        <f t="shared" ca="1" si="46"/>
        <v>89530.942872919695</v>
      </c>
      <c r="Z34" s="18">
        <f t="shared" ca="1" si="46"/>
        <v>112574.57973308428</v>
      </c>
      <c r="AA34" s="18">
        <f t="shared" ca="1" si="46"/>
        <v>160756.49985884441</v>
      </c>
      <c r="AB34" s="18">
        <f t="shared" ca="1" si="46"/>
        <v>182008.5091401836</v>
      </c>
      <c r="AC34" s="18">
        <f t="shared" ca="1" si="46"/>
        <v>245056.25670634315</v>
      </c>
      <c r="AD34" s="18">
        <f t="shared" ref="AD34:BI34" ca="1" si="47">+AC34*(1+$AF$38)</f>
        <v>247506.81927340658</v>
      </c>
      <c r="AE34" s="18">
        <f t="shared" ca="1" si="47"/>
        <v>249981.88746614064</v>
      </c>
      <c r="AF34" s="9">
        <f t="shared" ca="1" si="47"/>
        <v>252481.70634080205</v>
      </c>
      <c r="AG34" s="9">
        <f t="shared" ca="1" si="47"/>
        <v>255006.52340421008</v>
      </c>
      <c r="AH34" s="9">
        <f t="shared" ca="1" si="47"/>
        <v>257556.58863825217</v>
      </c>
      <c r="AI34" s="9">
        <f t="shared" ca="1" si="47"/>
        <v>260132.15452463471</v>
      </c>
      <c r="AJ34" s="9">
        <f t="shared" ca="1" si="47"/>
        <v>262733.47606988106</v>
      </c>
      <c r="AK34" s="9">
        <f t="shared" ca="1" si="47"/>
        <v>265360.8108305799</v>
      </c>
      <c r="AL34" s="9">
        <f t="shared" ca="1" si="47"/>
        <v>268014.41893888568</v>
      </c>
      <c r="AM34" s="9">
        <f t="shared" ca="1" si="47"/>
        <v>270694.56312827452</v>
      </c>
      <c r="AN34" s="9">
        <f t="shared" ca="1" si="47"/>
        <v>273401.50875955727</v>
      </c>
      <c r="AO34" s="9">
        <f t="shared" ca="1" si="47"/>
        <v>276135.52384715283</v>
      </c>
      <c r="AP34" s="9">
        <f t="shared" ca="1" si="47"/>
        <v>278896.87908562436</v>
      </c>
      <c r="AQ34" s="9">
        <f t="shared" ca="1" si="47"/>
        <v>281685.84787648061</v>
      </c>
      <c r="AR34" s="9">
        <f t="shared" ca="1" si="47"/>
        <v>284502.70635524543</v>
      </c>
      <c r="AS34" s="9">
        <f t="shared" ca="1" si="47"/>
        <v>287347.7334187979</v>
      </c>
      <c r="AT34" s="9">
        <f t="shared" ca="1" si="47"/>
        <v>290221.21075298591</v>
      </c>
      <c r="AU34" s="9">
        <f t="shared" ca="1" si="47"/>
        <v>293123.42286051577</v>
      </c>
      <c r="AV34" s="9">
        <f t="shared" ca="1" si="47"/>
        <v>296054.65708912094</v>
      </c>
      <c r="AW34" s="9">
        <f t="shared" ca="1" si="47"/>
        <v>299015.20366001216</v>
      </c>
      <c r="AX34" s="9">
        <f t="shared" ca="1" si="47"/>
        <v>302005.35569661227</v>
      </c>
      <c r="AY34" s="9">
        <f t="shared" ca="1" si="47"/>
        <v>305025.4092535784</v>
      </c>
      <c r="AZ34" s="9">
        <f t="shared" ca="1" si="47"/>
        <v>308075.66334611416</v>
      </c>
      <c r="BA34" s="9">
        <f t="shared" ca="1" si="47"/>
        <v>311156.41997957532</v>
      </c>
      <c r="BB34" s="9">
        <f t="shared" ca="1" si="47"/>
        <v>314267.98417937109</v>
      </c>
      <c r="BC34" s="9">
        <f t="shared" ca="1" si="47"/>
        <v>317410.66402116482</v>
      </c>
      <c r="BD34" s="9">
        <f t="shared" ca="1" si="47"/>
        <v>320584.77066137647</v>
      </c>
      <c r="BE34" s="9">
        <f t="shared" ca="1" si="47"/>
        <v>323790.61836799025</v>
      </c>
      <c r="BF34" s="9">
        <f t="shared" ca="1" si="47"/>
        <v>327028.52455167013</v>
      </c>
      <c r="BG34" s="9">
        <f t="shared" ca="1" si="47"/>
        <v>330298.80979718681</v>
      </c>
      <c r="BH34" s="9">
        <f t="shared" ca="1" si="47"/>
        <v>333601.7978951587</v>
      </c>
      <c r="BI34" s="9">
        <f t="shared" ca="1" si="47"/>
        <v>336937.81587411027</v>
      </c>
      <c r="BJ34" s="9">
        <f t="shared" ref="BJ34:CO34" ca="1" si="48">+BI34*(1+$AF$38)</f>
        <v>340307.19403285137</v>
      </c>
      <c r="BK34" s="9">
        <f t="shared" ca="1" si="48"/>
        <v>343710.26597317989</v>
      </c>
      <c r="BL34" s="9">
        <f t="shared" ca="1" si="48"/>
        <v>347147.3686329117</v>
      </c>
      <c r="BM34" s="9">
        <f t="shared" ca="1" si="48"/>
        <v>350618.84231924085</v>
      </c>
      <c r="BN34" s="9">
        <f t="shared" ca="1" si="48"/>
        <v>354125.03074243327</v>
      </c>
      <c r="BO34" s="9">
        <f t="shared" ca="1" si="48"/>
        <v>357666.28104985761</v>
      </c>
      <c r="BP34" s="9">
        <f t="shared" ca="1" si="48"/>
        <v>361242.94386035617</v>
      </c>
      <c r="BQ34" s="9">
        <f t="shared" ca="1" si="48"/>
        <v>364855.37329895975</v>
      </c>
      <c r="BR34" s="9">
        <f t="shared" ca="1" si="48"/>
        <v>368503.92703194934</v>
      </c>
      <c r="BS34" s="9">
        <f t="shared" ca="1" si="48"/>
        <v>372188.96630226885</v>
      </c>
      <c r="BT34" s="9">
        <f t="shared" ca="1" si="48"/>
        <v>375910.85596529156</v>
      </c>
      <c r="BU34" s="9">
        <f t="shared" ca="1" si="48"/>
        <v>379669.96452494449</v>
      </c>
      <c r="BV34" s="9">
        <f t="shared" ca="1" si="48"/>
        <v>383466.66417019395</v>
      </c>
      <c r="BW34" s="9">
        <f t="shared" ca="1" si="48"/>
        <v>387301.3308118959</v>
      </c>
      <c r="BX34" s="9">
        <f t="shared" ca="1" si="48"/>
        <v>391174.34412001487</v>
      </c>
      <c r="BY34" s="9">
        <f t="shared" ca="1" si="48"/>
        <v>395086.08756121504</v>
      </c>
      <c r="BZ34" s="9">
        <f t="shared" ca="1" si="48"/>
        <v>399036.94843682722</v>
      </c>
      <c r="CA34" s="9">
        <f t="shared" ca="1" si="48"/>
        <v>403027.31792119553</v>
      </c>
      <c r="CB34" s="9">
        <f t="shared" ca="1" si="48"/>
        <v>407057.59110040747</v>
      </c>
      <c r="CC34" s="9">
        <f t="shared" ca="1" si="48"/>
        <v>411128.16701141157</v>
      </c>
      <c r="CD34" s="9">
        <f t="shared" ca="1" si="48"/>
        <v>415239.44868152571</v>
      </c>
      <c r="CE34" s="9">
        <f t="shared" ca="1" si="48"/>
        <v>419391.84316834097</v>
      </c>
      <c r="CF34" s="9">
        <f t="shared" ca="1" si="48"/>
        <v>423585.76160002436</v>
      </c>
      <c r="CG34" s="9">
        <f t="shared" ca="1" si="48"/>
        <v>427821.61921602458</v>
      </c>
      <c r="CH34" s="9">
        <f t="shared" ca="1" si="48"/>
        <v>432099.83540818485</v>
      </c>
      <c r="CI34" s="9">
        <f t="shared" ca="1" si="48"/>
        <v>436420.83376226673</v>
      </c>
      <c r="CJ34" s="9">
        <f t="shared" ca="1" si="48"/>
        <v>440785.04209988943</v>
      </c>
      <c r="CK34" s="9">
        <f t="shared" ca="1" si="48"/>
        <v>445192.8925208883</v>
      </c>
      <c r="CL34" s="9">
        <f t="shared" ca="1" si="48"/>
        <v>449644.82144609716</v>
      </c>
      <c r="CM34" s="9">
        <f t="shared" ca="1" si="48"/>
        <v>454141.26966055814</v>
      </c>
      <c r="CN34" s="9">
        <f t="shared" ca="1" si="48"/>
        <v>458682.68235716375</v>
      </c>
      <c r="CO34" s="9">
        <f t="shared" ca="1" si="48"/>
        <v>463269.50918073539</v>
      </c>
      <c r="CP34" s="9">
        <f t="shared" ref="CP34:DU34" ca="1" si="49">+CO34*(1+$AF$38)</f>
        <v>467902.20427254273</v>
      </c>
      <c r="CQ34" s="9">
        <f t="shared" ca="1" si="49"/>
        <v>472581.22631526814</v>
      </c>
      <c r="CR34" s="9">
        <f t="shared" ca="1" si="49"/>
        <v>477307.03857842082</v>
      </c>
      <c r="CS34" s="9">
        <f t="shared" ca="1" si="49"/>
        <v>482080.10896420502</v>
      </c>
      <c r="CT34" s="9">
        <f t="shared" ca="1" si="49"/>
        <v>486900.91005384707</v>
      </c>
      <c r="CU34" s="9">
        <f t="shared" ca="1" si="49"/>
        <v>491769.91915438557</v>
      </c>
      <c r="CV34" s="9">
        <f t="shared" ca="1" si="49"/>
        <v>496687.61834592943</v>
      </c>
      <c r="CW34" s="9">
        <f t="shared" ca="1" si="49"/>
        <v>501654.49452938873</v>
      </c>
      <c r="CX34" s="9">
        <f t="shared" ca="1" si="49"/>
        <v>506671.03947468259</v>
      </c>
      <c r="CY34" s="9">
        <f t="shared" ca="1" si="49"/>
        <v>511737.74986942945</v>
      </c>
      <c r="CZ34" s="9">
        <f t="shared" ca="1" si="49"/>
        <v>516855.12736812374</v>
      </c>
      <c r="DA34" s="9">
        <f t="shared" ca="1" si="49"/>
        <v>522023.67864180496</v>
      </c>
      <c r="DB34" s="9">
        <f t="shared" ca="1" si="49"/>
        <v>527243.91542822297</v>
      </c>
      <c r="DC34" s="9">
        <f t="shared" ca="1" si="49"/>
        <v>532516.35458250518</v>
      </c>
      <c r="DD34" s="9">
        <f t="shared" ca="1" si="49"/>
        <v>537841.51812833024</v>
      </c>
      <c r="DE34" s="9">
        <f t="shared" ca="1" si="49"/>
        <v>543219.93330961349</v>
      </c>
      <c r="DF34" s="9">
        <f t="shared" ca="1" si="49"/>
        <v>548652.13264270965</v>
      </c>
      <c r="DG34" s="9">
        <f t="shared" ca="1" si="49"/>
        <v>554138.65396913677</v>
      </c>
      <c r="DH34" s="9">
        <f t="shared" ca="1" si="49"/>
        <v>559680.04050882813</v>
      </c>
      <c r="DI34" s="9">
        <f t="shared" ca="1" si="49"/>
        <v>565276.84091391636</v>
      </c>
      <c r="DJ34" s="9">
        <f t="shared" ca="1" si="49"/>
        <v>570929.60932305548</v>
      </c>
      <c r="DK34" s="9">
        <f t="shared" ca="1" si="49"/>
        <v>576638.90541628608</v>
      </c>
      <c r="DL34" s="9">
        <f t="shared" ca="1" si="49"/>
        <v>582405.29447044898</v>
      </c>
      <c r="DM34" s="9">
        <f t="shared" ca="1" si="49"/>
        <v>588229.34741515352</v>
      </c>
      <c r="DN34" s="9">
        <f t="shared" ca="1" si="49"/>
        <v>594111.64088930504</v>
      </c>
      <c r="DO34" s="9">
        <f t="shared" ca="1" si="49"/>
        <v>600052.75729819806</v>
      </c>
      <c r="DP34" s="9">
        <f t="shared" ca="1" si="49"/>
        <v>606053.28487118008</v>
      </c>
      <c r="DQ34" s="9">
        <f t="shared" ca="1" si="49"/>
        <v>612113.8177198919</v>
      </c>
      <c r="DR34" s="9">
        <f t="shared" ca="1" si="49"/>
        <v>618234.95589709084</v>
      </c>
      <c r="DS34" s="9">
        <f t="shared" ca="1" si="49"/>
        <v>624417.30545606173</v>
      </c>
      <c r="DT34" s="9">
        <f t="shared" ca="1" si="49"/>
        <v>630661.4785106224</v>
      </c>
      <c r="DU34" s="9">
        <f t="shared" ca="1" si="49"/>
        <v>636968.09329572867</v>
      </c>
      <c r="DV34" s="9">
        <f t="shared" ref="DV34:FA34" ca="1" si="50">+DU34*(1+$AF$38)</f>
        <v>643337.774228686</v>
      </c>
      <c r="DW34" s="9">
        <f t="shared" ca="1" si="50"/>
        <v>649771.15197097289</v>
      </c>
      <c r="DX34" s="9">
        <f t="shared" ca="1" si="50"/>
        <v>656268.86349068268</v>
      </c>
      <c r="DY34" s="9">
        <f t="shared" ca="1" si="50"/>
        <v>662831.55212558946</v>
      </c>
      <c r="DZ34" s="9">
        <f t="shared" ca="1" si="50"/>
        <v>669459.86764684541</v>
      </c>
      <c r="EA34" s="9">
        <f t="shared" ca="1" si="50"/>
        <v>676154.46632331389</v>
      </c>
      <c r="EB34" s="9">
        <f t="shared" ca="1" si="50"/>
        <v>682916.01098654699</v>
      </c>
      <c r="EC34" s="9">
        <f t="shared" ca="1" si="50"/>
        <v>689745.17109641246</v>
      </c>
      <c r="ED34" s="9">
        <f t="shared" ca="1" si="50"/>
        <v>696642.62280737655</v>
      </c>
      <c r="EE34" s="9">
        <f t="shared" ca="1" si="50"/>
        <v>703609.04903545033</v>
      </c>
      <c r="EF34" s="9">
        <f t="shared" ca="1" si="50"/>
        <v>710645.13952580479</v>
      </c>
      <c r="EG34" s="9">
        <f t="shared" ca="1" si="50"/>
        <v>717751.59092106286</v>
      </c>
      <c r="EH34" s="9">
        <f t="shared" ca="1" si="50"/>
        <v>724929.10683027352</v>
      </c>
      <c r="EI34" s="9">
        <f t="shared" ca="1" si="50"/>
        <v>732178.39789857622</v>
      </c>
      <c r="EJ34" s="9">
        <f t="shared" ca="1" si="50"/>
        <v>739500.18187756196</v>
      </c>
      <c r="EK34" s="9">
        <f t="shared" ca="1" si="50"/>
        <v>746895.18369633763</v>
      </c>
      <c r="EL34" s="9">
        <f t="shared" ca="1" si="50"/>
        <v>754364.13553330104</v>
      </c>
      <c r="EM34" s="9">
        <f t="shared" ca="1" si="50"/>
        <v>761907.77688863408</v>
      </c>
      <c r="EN34" s="9">
        <f t="shared" ca="1" si="50"/>
        <v>769526.85465752042</v>
      </c>
      <c r="EO34" s="9">
        <f t="shared" ca="1" si="50"/>
        <v>777222.12320409564</v>
      </c>
      <c r="EP34" s="9">
        <f t="shared" ca="1" si="50"/>
        <v>784994.34443613666</v>
      </c>
      <c r="EQ34" s="9">
        <f t="shared" ca="1" si="50"/>
        <v>792844.28788049798</v>
      </c>
      <c r="ER34" s="9">
        <f t="shared" ca="1" si="50"/>
        <v>800772.73075930297</v>
      </c>
      <c r="ES34" s="9">
        <f t="shared" ca="1" si="50"/>
        <v>808780.45806689595</v>
      </c>
      <c r="ET34" s="9">
        <f t="shared" ca="1" si="50"/>
        <v>816868.26264756487</v>
      </c>
      <c r="EU34" s="9">
        <f t="shared" ca="1" si="50"/>
        <v>825036.94527404057</v>
      </c>
      <c r="EV34" s="9">
        <f t="shared" ca="1" si="50"/>
        <v>833287.31472678098</v>
      </c>
      <c r="EW34" s="9">
        <f t="shared" ca="1" si="50"/>
        <v>841620.18787404883</v>
      </c>
      <c r="EX34" s="9">
        <f t="shared" ca="1" si="50"/>
        <v>850036.38975278928</v>
      </c>
      <c r="EY34" s="9">
        <f t="shared" ca="1" si="50"/>
        <v>858536.7536503172</v>
      </c>
      <c r="EZ34" s="9">
        <f t="shared" ca="1" si="50"/>
        <v>867122.12118682032</v>
      </c>
      <c r="FA34" s="9">
        <f t="shared" ca="1" si="50"/>
        <v>875793.34239868855</v>
      </c>
      <c r="FB34" s="9">
        <f t="shared" ref="FB34:GG34" ca="1" si="51">+FA34*(1+$AF$38)</f>
        <v>884551.27582267544</v>
      </c>
      <c r="FC34" s="9">
        <f t="shared" ca="1" si="51"/>
        <v>893396.78858090215</v>
      </c>
      <c r="FD34" s="9">
        <f t="shared" ca="1" si="51"/>
        <v>902330.75646671117</v>
      </c>
      <c r="FE34" s="9">
        <f t="shared" ca="1" si="51"/>
        <v>911354.06403137825</v>
      </c>
      <c r="FF34" s="9">
        <f t="shared" ca="1" si="51"/>
        <v>920467.60467169201</v>
      </c>
      <c r="FG34" s="9">
        <f t="shared" ca="1" si="51"/>
        <v>929672.28071840899</v>
      </c>
      <c r="FH34" s="9">
        <f t="shared" ca="1" si="51"/>
        <v>938969.00352559309</v>
      </c>
      <c r="FI34" s="9">
        <f t="shared" ca="1" si="51"/>
        <v>948358.69356084906</v>
      </c>
      <c r="FJ34" s="9">
        <f t="shared" ca="1" si="51"/>
        <v>957842.28049645759</v>
      </c>
      <c r="FK34" s="9">
        <f t="shared" ca="1" si="51"/>
        <v>967420.70330142218</v>
      </c>
      <c r="FL34" s="9">
        <f t="shared" ca="1" si="51"/>
        <v>977094.91033443646</v>
      </c>
      <c r="FM34" s="9">
        <f t="shared" ca="1" si="51"/>
        <v>986865.8594377808</v>
      </c>
      <c r="FN34" s="9">
        <f t="shared" ca="1" si="51"/>
        <v>996734.51803215861</v>
      </c>
      <c r="FO34" s="9">
        <f t="shared" ca="1" si="51"/>
        <v>1006701.8632124802</v>
      </c>
      <c r="FP34" s="9">
        <f t="shared" ca="1" si="51"/>
        <v>1016768.881844605</v>
      </c>
      <c r="FQ34" s="9">
        <f t="shared" ca="1" si="51"/>
        <v>1026936.570663051</v>
      </c>
      <c r="FR34" s="9">
        <f t="shared" ca="1" si="51"/>
        <v>1037205.9363696815</v>
      </c>
      <c r="FS34" s="9">
        <f t="shared" ca="1" si="51"/>
        <v>1047577.9957333783</v>
      </c>
      <c r="FT34" s="9">
        <f t="shared" ca="1" si="51"/>
        <v>1058053.775690712</v>
      </c>
      <c r="FU34" s="9">
        <f t="shared" ca="1" si="51"/>
        <v>1068634.3134476191</v>
      </c>
      <c r="FV34" s="9">
        <f t="shared" ca="1" si="51"/>
        <v>1079320.6565820952</v>
      </c>
      <c r="FW34" s="9">
        <f t="shared" ca="1" si="51"/>
        <v>1090113.8631479163</v>
      </c>
      <c r="FX34" s="9">
        <f t="shared" ca="1" si="51"/>
        <v>1101015.0017793954</v>
      </c>
      <c r="FY34" s="9">
        <f t="shared" ca="1" si="51"/>
        <v>1112025.1517971894</v>
      </c>
      <c r="FZ34" s="9">
        <f t="shared" ca="1" si="51"/>
        <v>1123145.4033151614</v>
      </c>
      <c r="GA34" s="9">
        <f t="shared" ca="1" si="51"/>
        <v>1134376.8573483131</v>
      </c>
      <c r="GB34" s="9">
        <f t="shared" ca="1" si="51"/>
        <v>1145720.6259217963</v>
      </c>
      <c r="GC34" s="9">
        <f t="shared" ca="1" si="51"/>
        <v>1157177.8321810144</v>
      </c>
      <c r="GD34" s="9">
        <f t="shared" ca="1" si="51"/>
        <v>1168749.6105028244</v>
      </c>
      <c r="GE34" s="9">
        <f t="shared" ca="1" si="51"/>
        <v>1180437.1066078527</v>
      </c>
      <c r="GF34" s="9">
        <f t="shared" ca="1" si="51"/>
        <v>1192241.4776739313</v>
      </c>
      <c r="GG34" s="9">
        <f t="shared" ca="1" si="51"/>
        <v>1204163.8924506707</v>
      </c>
      <c r="GH34" s="9">
        <f t="shared" ref="GH34:GR34" ca="1" si="52">+GG34*(1+$AF$38)</f>
        <v>1216205.5313751774</v>
      </c>
      <c r="GI34" s="9">
        <f t="shared" ca="1" si="52"/>
        <v>1228367.5866889292</v>
      </c>
      <c r="GJ34" s="9">
        <f t="shared" ca="1" si="52"/>
        <v>1240651.2625558185</v>
      </c>
      <c r="GK34" s="9">
        <f t="shared" ca="1" si="52"/>
        <v>1253057.7751813768</v>
      </c>
      <c r="GL34" s="9">
        <f t="shared" ca="1" si="52"/>
        <v>1265588.3529331905</v>
      </c>
      <c r="GM34" s="9">
        <f t="shared" ca="1" si="52"/>
        <v>1278244.2364625225</v>
      </c>
      <c r="GN34" s="9">
        <f t="shared" ca="1" si="52"/>
        <v>1291026.6788271477</v>
      </c>
      <c r="GO34" s="9">
        <f t="shared" ca="1" si="52"/>
        <v>1303936.9456154192</v>
      </c>
      <c r="GP34" s="9">
        <f t="shared" ca="1" si="52"/>
        <v>1316976.3150715735</v>
      </c>
      <c r="GQ34" s="9">
        <f t="shared" ca="1" si="52"/>
        <v>1330146.0782222892</v>
      </c>
      <c r="GR34" s="9">
        <f t="shared" ca="1" si="52"/>
        <v>1343447.5390045121</v>
      </c>
    </row>
    <row r="35" spans="2:200" s="3" customFormat="1">
      <c r="B35" s="3" t="s">
        <v>26</v>
      </c>
      <c r="C35" s="24">
        <v>-0.18</v>
      </c>
      <c r="D35" s="24">
        <v>0</v>
      </c>
      <c r="E35" s="24">
        <v>-0.25</v>
      </c>
      <c r="F35" s="24">
        <f t="shared" si="23"/>
        <v>-0.81</v>
      </c>
      <c r="G35" s="24">
        <v>-1.04</v>
      </c>
      <c r="H35" s="24">
        <v>-0.01</v>
      </c>
      <c r="I35" s="24">
        <v>-0.98</v>
      </c>
      <c r="J35" s="24">
        <f t="shared" si="24"/>
        <v>-0.53999999999999959</v>
      </c>
      <c r="K35" s="24">
        <v>-0.31</v>
      </c>
      <c r="L35" s="24">
        <v>-0.38</v>
      </c>
      <c r="M35" s="24">
        <f t="shared" ref="M35:N35" si="53">+M34/M36</f>
        <v>-0.43934325260082957</v>
      </c>
      <c r="N35" s="24">
        <f t="shared" si="53"/>
        <v>-0.43032656983619033</v>
      </c>
      <c r="O35" s="32"/>
      <c r="P35" s="24"/>
      <c r="Q35" s="24">
        <v>-1.1000000000000001</v>
      </c>
      <c r="R35" s="24">
        <v>-1.24</v>
      </c>
      <c r="S35" s="24">
        <v>-2.57</v>
      </c>
      <c r="T35" s="24">
        <f>+SUM(K35:N35)</f>
        <v>-1.5596698224370198</v>
      </c>
      <c r="U35" s="24">
        <f ca="1">+U34/U36</f>
        <v>6.4297632268374219E-2</v>
      </c>
      <c r="V35" s="24">
        <f t="shared" ref="V35:AC35" ca="1" si="54">+V34/V36</f>
        <v>0.74025322526025505</v>
      </c>
      <c r="W35" s="24">
        <f t="shared" ca="1" si="54"/>
        <v>1.2080932636247348</v>
      </c>
      <c r="X35" s="24">
        <f t="shared" ca="1" si="54"/>
        <v>1.594230073010791</v>
      </c>
      <c r="Y35" s="24">
        <f t="shared" ca="1" si="54"/>
        <v>2.2657197797629389</v>
      </c>
      <c r="Z35" s="24">
        <f t="shared" ca="1" si="54"/>
        <v>2.8488748561688331</v>
      </c>
      <c r="AA35" s="24">
        <f t="shared" ca="1" si="54"/>
        <v>4.0681932946090953</v>
      </c>
      <c r="AB35" s="24">
        <f t="shared" ca="1" si="54"/>
        <v>4.6060084481564161</v>
      </c>
      <c r="AC35" s="24">
        <f t="shared" ca="1" si="54"/>
        <v>6.2015297745977973</v>
      </c>
      <c r="AD35" s="24"/>
      <c r="AE35" s="24"/>
    </row>
    <row r="36" spans="2:200" s="1" customFormat="1">
      <c r="B36" s="1" t="s">
        <v>1</v>
      </c>
      <c r="C36" s="17">
        <f>+C34/C35</f>
        <v>12405.555555555557</v>
      </c>
      <c r="D36" s="17">
        <v>0</v>
      </c>
      <c r="E36" s="17">
        <f t="shared" ref="E36:L36" si="55">+E34/E35</f>
        <v>12704</v>
      </c>
      <c r="F36" s="17">
        <f t="shared" si="55"/>
        <v>12848.148148148148</v>
      </c>
      <c r="G36" s="17">
        <f t="shared" si="55"/>
        <v>12953.846153846154</v>
      </c>
      <c r="H36" s="17">
        <f t="shared" si="55"/>
        <v>17600</v>
      </c>
      <c r="I36" s="17">
        <f t="shared" si="55"/>
        <v>29561.224489795917</v>
      </c>
      <c r="J36" s="17">
        <f t="shared" si="55"/>
        <v>32438.888888888912</v>
      </c>
      <c r="K36" s="17">
        <f t="shared" si="55"/>
        <v>39206.451612903227</v>
      </c>
      <c r="L36" s="17">
        <f t="shared" si="55"/>
        <v>39592.105263157893</v>
      </c>
      <c r="M36" s="17">
        <f t="shared" ref="M36:N36" si="56">+L36</f>
        <v>39592.105263157893</v>
      </c>
      <c r="N36" s="17">
        <f t="shared" si="56"/>
        <v>39592.105263157893</v>
      </c>
      <c r="O36" s="27"/>
      <c r="P36" s="17"/>
      <c r="Q36" s="17">
        <f>+Q34/Q35</f>
        <v>12321.81818181818</v>
      </c>
      <c r="R36" s="17">
        <f>+R34/R35</f>
        <v>12722.58064516129</v>
      </c>
      <c r="S36" s="17">
        <f>+S34/S35</f>
        <v>23398.832684824905</v>
      </c>
      <c r="T36" s="17">
        <f>+T34/T35</f>
        <v>39515.452737181506</v>
      </c>
      <c r="U36" s="17">
        <f>+T36</f>
        <v>39515.452737181506</v>
      </c>
      <c r="V36" s="17">
        <f t="shared" ref="V36:AC36" si="57">+U36</f>
        <v>39515.452737181506</v>
      </c>
      <c r="W36" s="17">
        <f t="shared" si="57"/>
        <v>39515.452737181506</v>
      </c>
      <c r="X36" s="17">
        <f t="shared" si="57"/>
        <v>39515.452737181506</v>
      </c>
      <c r="Y36" s="17">
        <f t="shared" si="57"/>
        <v>39515.452737181506</v>
      </c>
      <c r="Z36" s="17">
        <f t="shared" si="57"/>
        <v>39515.452737181506</v>
      </c>
      <c r="AA36" s="17">
        <f t="shared" si="57"/>
        <v>39515.452737181506</v>
      </c>
      <c r="AB36" s="17">
        <f t="shared" si="57"/>
        <v>39515.452737181506</v>
      </c>
      <c r="AC36" s="17">
        <f t="shared" si="57"/>
        <v>39515.452737181506</v>
      </c>
      <c r="AD36" s="17"/>
      <c r="AE36" s="17"/>
    </row>
    <row r="37" spans="2:200" s="1" customFormat="1"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2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 t="s">
        <v>102</v>
      </c>
      <c r="AF37" s="4">
        <v>0.01</v>
      </c>
    </row>
    <row r="38" spans="2:200" s="1" customFormat="1">
      <c r="B38" s="9" t="s">
        <v>27</v>
      </c>
      <c r="C38" s="21"/>
      <c r="D38" s="21"/>
      <c r="E38" s="21"/>
      <c r="F38" s="21"/>
      <c r="G38" s="21">
        <f>+G23/C23-1</f>
        <v>0.96926579396698909</v>
      </c>
      <c r="H38" s="21">
        <f>+H23/D23-1</f>
        <v>0.46967084051885721</v>
      </c>
      <c r="I38" s="21">
        <f>+I23/E23-1</f>
        <v>0.40370819997792728</v>
      </c>
      <c r="J38" s="21">
        <f>+J23/F23-1</f>
        <v>0.51267920775669173</v>
      </c>
      <c r="K38" s="21">
        <f>+K14/G14-1</f>
        <v>0.46712427745664731</v>
      </c>
      <c r="L38" s="21">
        <f t="shared" ref="L38:N38" si="58">+L23/H23-1</f>
        <v>0.50308657721544825</v>
      </c>
      <c r="M38" s="21">
        <f t="shared" si="58"/>
        <v>0.4593175564116676</v>
      </c>
      <c r="N38" s="21">
        <f t="shared" si="58"/>
        <v>0.33461479990138909</v>
      </c>
      <c r="O38" s="31"/>
      <c r="P38" s="21"/>
      <c r="Q38" s="21"/>
      <c r="R38" s="21">
        <f>+R23/Q23-1</f>
        <v>1.2851328434143583</v>
      </c>
      <c r="S38" s="21">
        <f>+S23/R23-1</f>
        <v>0.5508856125074213</v>
      </c>
      <c r="T38" s="21">
        <f>+T23/S23-1</f>
        <v>0.4349961917598455</v>
      </c>
      <c r="U38" s="21">
        <f t="shared" ref="U38:AC38" si="59">+U23/T23-1</f>
        <v>0.33899999999999997</v>
      </c>
      <c r="V38" s="21">
        <f t="shared" si="59"/>
        <v>0.27500000000000013</v>
      </c>
      <c r="W38" s="21">
        <f t="shared" si="59"/>
        <v>0.22399999999999998</v>
      </c>
      <c r="X38" s="21">
        <f t="shared" si="59"/>
        <v>0.17300000000000004</v>
      </c>
      <c r="Y38" s="21">
        <f t="shared" si="59"/>
        <v>0.16280000000000028</v>
      </c>
      <c r="Z38" s="21">
        <f t="shared" si="59"/>
        <v>0.15260000000000007</v>
      </c>
      <c r="AA38" s="21">
        <f t="shared" si="59"/>
        <v>0.14239999999999986</v>
      </c>
      <c r="AB38" s="21">
        <f t="shared" si="59"/>
        <v>0.13220000000000032</v>
      </c>
      <c r="AC38" s="21">
        <f t="shared" si="59"/>
        <v>0.12199999999999989</v>
      </c>
      <c r="AD38" s="17"/>
      <c r="AE38" s="17" t="s">
        <v>84</v>
      </c>
      <c r="AF38" s="11">
        <v>0.01</v>
      </c>
    </row>
    <row r="39" spans="2:200" s="1" customFormat="1">
      <c r="B39" s="1" t="s">
        <v>74</v>
      </c>
      <c r="C39" s="21"/>
      <c r="D39" s="21"/>
      <c r="E39" s="21"/>
      <c r="F39" s="21"/>
      <c r="G39" s="21"/>
      <c r="H39" s="21">
        <f t="shared" ref="H39:K41" si="60">+H10/D10-1</f>
        <v>0.53858668741600058</v>
      </c>
      <c r="I39" s="21">
        <f t="shared" si="60"/>
        <v>0.4287487972188595</v>
      </c>
      <c r="J39" s="21">
        <f t="shared" si="60"/>
        <v>-0.10347307489914048</v>
      </c>
      <c r="K39" s="21">
        <f t="shared" si="60"/>
        <v>0.44825864436399954</v>
      </c>
      <c r="L39" s="21">
        <f>+L10/H10-1</f>
        <v>0.49864374051767735</v>
      </c>
      <c r="M39" s="21"/>
      <c r="N39" s="21"/>
      <c r="O39" s="3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17"/>
      <c r="AE39" s="17" t="s">
        <v>85</v>
      </c>
      <c r="AF39" s="11">
        <v>0.08</v>
      </c>
    </row>
    <row r="40" spans="2:200" s="1" customFormat="1">
      <c r="B40" s="1" t="s">
        <v>75</v>
      </c>
      <c r="C40" s="21"/>
      <c r="D40" s="21"/>
      <c r="E40" s="21"/>
      <c r="F40" s="21"/>
      <c r="G40" s="21"/>
      <c r="H40" s="21">
        <f t="shared" si="60"/>
        <v>0.33019976498237358</v>
      </c>
      <c r="I40" s="21">
        <f t="shared" si="60"/>
        <v>0.34360119047619042</v>
      </c>
      <c r="J40" s="21">
        <f t="shared" si="60"/>
        <v>-0.1756566777654458</v>
      </c>
      <c r="K40" s="21">
        <f t="shared" si="60"/>
        <v>0.26663072776280328</v>
      </c>
      <c r="L40" s="21">
        <f t="shared" ref="L40:L41" si="61">+L11/H11-1</f>
        <v>0.23873674911660769</v>
      </c>
      <c r="M40" s="21"/>
      <c r="N40" s="21"/>
      <c r="O40" s="3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17"/>
      <c r="AE40" s="17" t="s">
        <v>86</v>
      </c>
      <c r="AF40" s="1">
        <f ca="1">NPV(AF39,T34:GR34)</f>
        <v>2097560.151745209</v>
      </c>
    </row>
    <row r="41" spans="2:200" s="1" customFormat="1">
      <c r="B41" s="1" t="s">
        <v>76</v>
      </c>
      <c r="C41" s="21"/>
      <c r="D41" s="21"/>
      <c r="E41" s="21"/>
      <c r="F41" s="21"/>
      <c r="G41" s="21"/>
      <c r="H41" s="21">
        <f t="shared" si="60"/>
        <v>5.1109177903436276E-2</v>
      </c>
      <c r="I41" s="21">
        <f t="shared" si="60"/>
        <v>0.19404316033529523</v>
      </c>
      <c r="J41" s="21">
        <f t="shared" si="60"/>
        <v>0.63535353535353534</v>
      </c>
      <c r="K41" s="21">
        <f t="shared" si="60"/>
        <v>0.60476663356504479</v>
      </c>
      <c r="L41" s="21">
        <f t="shared" si="61"/>
        <v>0.66273536105938335</v>
      </c>
      <c r="M41" s="21"/>
      <c r="N41" s="21"/>
      <c r="O41" s="3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17"/>
      <c r="AE41" s="1" t="s">
        <v>175</v>
      </c>
      <c r="AF41" s="1">
        <f>+L52</f>
        <v>591160</v>
      </c>
    </row>
    <row r="42" spans="2:200" s="1" customFormat="1">
      <c r="B42" s="9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3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17"/>
      <c r="AE42" s="9" t="s">
        <v>176</v>
      </c>
      <c r="AF42" s="9">
        <f ca="1">+SUM(AF40:AF41)</f>
        <v>2688720.151745209</v>
      </c>
    </row>
    <row r="43" spans="2:200" s="1" customFormat="1">
      <c r="B43" s="10" t="s">
        <v>174</v>
      </c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3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17"/>
      <c r="AE43" s="17" t="s">
        <v>1</v>
      </c>
      <c r="AF43" s="1">
        <f>+Main!G5</f>
        <v>39636.131999999998</v>
      </c>
    </row>
    <row r="44" spans="2:200" s="1" customFormat="1">
      <c r="B44" s="14" t="s">
        <v>15</v>
      </c>
      <c r="C44" s="21">
        <f t="shared" ref="C44:H44" si="62">+C24/C$23</f>
        <v>0.29218838929994306</v>
      </c>
      <c r="D44" s="21">
        <f t="shared" si="62"/>
        <v>0.29514383544525258</v>
      </c>
      <c r="E44" s="21">
        <f t="shared" si="62"/>
        <v>0.28917338042158702</v>
      </c>
      <c r="F44" s="21">
        <f t="shared" si="62"/>
        <v>0.26649125714759259</v>
      </c>
      <c r="G44" s="21">
        <f t="shared" si="62"/>
        <v>0.27129696531791908</v>
      </c>
      <c r="H44" s="21">
        <f>+H24/H$23</f>
        <v>0.27442477424621192</v>
      </c>
      <c r="I44" s="21">
        <f t="shared" ref="I44:N44" si="63">+I24/I$23</f>
        <v>0.28426763110307413</v>
      </c>
      <c r="J44" s="21">
        <f t="shared" si="63"/>
        <v>0.27326266195524146</v>
      </c>
      <c r="K44" s="21">
        <f t="shared" si="63"/>
        <v>0.26459000246244768</v>
      </c>
      <c r="L44" s="21">
        <f t="shared" si="63"/>
        <v>0.27005408096304845</v>
      </c>
      <c r="M44" s="30">
        <f t="shared" si="63"/>
        <v>0.28426763110307413</v>
      </c>
      <c r="N44" s="30">
        <f t="shared" si="63"/>
        <v>0.27326266195524146</v>
      </c>
      <c r="O44" s="31"/>
      <c r="P44" s="21"/>
      <c r="Q44" s="21">
        <f t="shared" ref="Q44:S44" si="64">+Q24/Q$23</f>
        <v>0.29306105144149236</v>
      </c>
      <c r="R44" s="21">
        <f t="shared" si="64"/>
        <v>0.28440406689095588</v>
      </c>
      <c r="S44" s="21">
        <f t="shared" si="64"/>
        <v>0.27589204536391621</v>
      </c>
      <c r="T44" s="30">
        <f t="shared" ref="T44" si="65">+T24/T$23</f>
        <v>0.27335528883808469</v>
      </c>
      <c r="U44" s="30">
        <f t="shared" ref="S44:AC44" ca="1" si="66">+U24/U$23</f>
        <v>0.27335528883808469</v>
      </c>
      <c r="V44" s="30">
        <v>0.26</v>
      </c>
      <c r="W44" s="30">
        <v>0.26</v>
      </c>
      <c r="X44" s="30">
        <v>0.25</v>
      </c>
      <c r="Y44" s="30">
        <v>0.25</v>
      </c>
      <c r="Z44" s="30">
        <v>0.24</v>
      </c>
      <c r="AA44" s="30">
        <v>0.23</v>
      </c>
      <c r="AB44" s="30">
        <v>0.23</v>
      </c>
      <c r="AC44" s="30">
        <v>0.22</v>
      </c>
      <c r="AD44" s="17"/>
      <c r="AE44" s="17" t="s">
        <v>93</v>
      </c>
      <c r="AF44" s="1">
        <f ca="1">+AF42/AF43</f>
        <v>67.8350791582087</v>
      </c>
    </row>
    <row r="45" spans="2:200" s="1" customFormat="1">
      <c r="B45" s="14" t="s">
        <v>165</v>
      </c>
      <c r="C45" s="21">
        <f t="shared" ref="C45:L47" si="67">+C26/C$23</f>
        <v>0.34063745019920316</v>
      </c>
      <c r="D45" s="21">
        <f t="shared" si="67"/>
        <v>0.30269175976606433</v>
      </c>
      <c r="E45" s="21">
        <f t="shared" si="67"/>
        <v>0.35082220505462974</v>
      </c>
      <c r="F45" s="21">
        <f t="shared" si="67"/>
        <v>0.31994281925913648</v>
      </c>
      <c r="G45" s="21">
        <f t="shared" si="67"/>
        <v>0.40695447976878613</v>
      </c>
      <c r="H45" s="21">
        <f t="shared" si="67"/>
        <v>0.37311021546519735</v>
      </c>
      <c r="I45" s="21">
        <f t="shared" si="67"/>
        <v>0.46143564745656107</v>
      </c>
      <c r="J45" s="21">
        <f t="shared" si="67"/>
        <v>0.41114032925192429</v>
      </c>
      <c r="K45" s="21">
        <f t="shared" si="67"/>
        <v>0.36667077074612164</v>
      </c>
      <c r="L45" s="21">
        <f>+L26/L$23</f>
        <v>0.38713144615663114</v>
      </c>
      <c r="M45" s="30">
        <v>0.39</v>
      </c>
      <c r="N45" s="30">
        <v>0.39</v>
      </c>
      <c r="O45" s="31"/>
      <c r="P45" s="21"/>
      <c r="Q45" s="21">
        <f t="shared" ref="Q45:S45" si="68">+Q26/Q$23</f>
        <v>0.44601469756924816</v>
      </c>
      <c r="R45" s="21">
        <f t="shared" si="68"/>
        <v>0.32792400554126261</v>
      </c>
      <c r="S45" s="21">
        <f>+S26/S$23</f>
        <v>0.41405340309125421</v>
      </c>
      <c r="T45" s="30">
        <f t="shared" ref="T45:AC45" si="69">+T26/T$23</f>
        <v>0.38403001523953145</v>
      </c>
      <c r="U45" s="30">
        <v>0.36</v>
      </c>
      <c r="V45" s="30">
        <v>0.34</v>
      </c>
      <c r="W45" s="30">
        <v>0.33</v>
      </c>
      <c r="X45" s="30">
        <v>0.33</v>
      </c>
      <c r="Y45" s="30">
        <v>0.32</v>
      </c>
      <c r="Z45" s="30">
        <v>0.32</v>
      </c>
      <c r="AA45" s="30">
        <v>0.31</v>
      </c>
      <c r="AB45" s="30">
        <v>0.31</v>
      </c>
      <c r="AC45" s="30">
        <v>0.3</v>
      </c>
      <c r="AD45" s="17"/>
      <c r="AE45" s="33" t="s">
        <v>87</v>
      </c>
      <c r="AF45" s="14">
        <f>Main!G4</f>
        <v>77</v>
      </c>
    </row>
    <row r="46" spans="2:200" s="1" customFormat="1">
      <c r="B46" s="14" t="s">
        <v>18</v>
      </c>
      <c r="C46" s="21">
        <f t="shared" si="67"/>
        <v>0.19603727945361413</v>
      </c>
      <c r="D46" s="21">
        <f t="shared" si="67"/>
        <v>0.21556571942715752</v>
      </c>
      <c r="E46" s="21">
        <f t="shared" si="67"/>
        <v>0.24593311996468381</v>
      </c>
      <c r="F46" s="21">
        <f t="shared" si="67"/>
        <v>0.20106488771028425</v>
      </c>
      <c r="G46" s="21">
        <f t="shared" si="67"/>
        <v>0.35717124277456647</v>
      </c>
      <c r="H46" s="21">
        <f t="shared" si="67"/>
        <v>0.16358008945121846</v>
      </c>
      <c r="I46" s="21">
        <f t="shared" si="67"/>
        <v>0.24006604292790315</v>
      </c>
      <c r="J46" s="21">
        <f t="shared" si="67"/>
        <v>0.19874270687813297</v>
      </c>
      <c r="K46" s="21">
        <f t="shared" si="67"/>
        <v>0.18394484117212509</v>
      </c>
      <c r="L46" s="21">
        <f>+L27/L$23</f>
        <v>0.17284411558391599</v>
      </c>
      <c r="M46" s="30">
        <v>0.17</v>
      </c>
      <c r="N46" s="30">
        <v>0.17</v>
      </c>
      <c r="O46" s="31"/>
      <c r="P46" s="21"/>
      <c r="Q46" s="21">
        <f t="shared" ref="Q46:S46" si="70">+Q27/Q$23</f>
        <v>0.21182871678914642</v>
      </c>
      <c r="R46" s="21">
        <f t="shared" si="70"/>
        <v>0.21635043538491985</v>
      </c>
      <c r="S46" s="21">
        <f>+S27/S$23</f>
        <v>0.23595138213197644</v>
      </c>
      <c r="T46" s="30">
        <f t="shared" ref="S46:AC47" si="71">+T27/T$23</f>
        <v>0.17384591801520863</v>
      </c>
      <c r="U46" s="30">
        <v>0.16</v>
      </c>
      <c r="V46" s="30">
        <v>0.15</v>
      </c>
      <c r="W46" s="30">
        <v>0.14000000000000001</v>
      </c>
      <c r="X46" s="30">
        <v>0.13</v>
      </c>
      <c r="Y46" s="30">
        <v>0.13</v>
      </c>
      <c r="Z46" s="30">
        <v>0.13</v>
      </c>
      <c r="AA46" s="30">
        <v>0.12</v>
      </c>
      <c r="AB46" s="30">
        <v>0.13</v>
      </c>
      <c r="AC46" s="30">
        <v>0.12</v>
      </c>
      <c r="AD46" s="17"/>
      <c r="AE46" s="18" t="s">
        <v>88</v>
      </c>
      <c r="AF46" s="6">
        <f ca="1">+AF44/AF45-1</f>
        <v>-0.11902494599728963</v>
      </c>
    </row>
    <row r="47" spans="2:200" s="14" customFormat="1">
      <c r="B47" s="14" t="s">
        <v>19</v>
      </c>
      <c r="C47" s="21">
        <f t="shared" si="67"/>
        <v>0.25846613545816732</v>
      </c>
      <c r="D47" s="21">
        <f t="shared" si="67"/>
        <v>0.18454924895653696</v>
      </c>
      <c r="E47" s="21">
        <f t="shared" si="67"/>
        <v>0.18176801677519039</v>
      </c>
      <c r="F47" s="21">
        <f t="shared" si="67"/>
        <v>0.43150741692218447</v>
      </c>
      <c r="G47" s="21">
        <f t="shared" si="67"/>
        <v>0.20688222543352602</v>
      </c>
      <c r="H47" s="21">
        <f t="shared" si="67"/>
        <v>0.19701375780147271</v>
      </c>
      <c r="I47" s="21">
        <f t="shared" si="67"/>
        <v>0.46552401918389813</v>
      </c>
      <c r="J47" s="21">
        <f t="shared" si="67"/>
        <v>0.35537020297477195</v>
      </c>
      <c r="K47" s="21">
        <f t="shared" si="67"/>
        <v>0.33065747352868752</v>
      </c>
      <c r="L47" s="21">
        <f t="shared" ref="L46:N47" si="72">+L28/L$23</f>
        <v>0.34006516869187425</v>
      </c>
      <c r="M47" s="30">
        <v>0.34</v>
      </c>
      <c r="N47" s="30">
        <v>0.34</v>
      </c>
      <c r="O47" s="34"/>
      <c r="P47" s="25"/>
      <c r="Q47" s="21">
        <f t="shared" ref="Q47:S47" si="73">+Q28/Q$23</f>
        <v>0.24871396269078574</v>
      </c>
      <c r="R47" s="21">
        <f t="shared" si="73"/>
        <v>0.27034063922422324</v>
      </c>
      <c r="S47" s="21">
        <f t="shared" si="73"/>
        <v>0.31339224474821753</v>
      </c>
      <c r="T47" s="30">
        <f t="shared" si="71"/>
        <v>0.33790739020638111</v>
      </c>
      <c r="U47" s="30">
        <v>0.31</v>
      </c>
      <c r="V47" s="30">
        <v>0.3</v>
      </c>
      <c r="W47" s="30">
        <v>0.28999999999999998</v>
      </c>
      <c r="X47" s="30">
        <v>0.28000000000000003</v>
      </c>
      <c r="Y47" s="30">
        <v>0.27</v>
      </c>
      <c r="Z47" s="30">
        <v>0.26</v>
      </c>
      <c r="AA47" s="30">
        <v>0.24</v>
      </c>
      <c r="AB47" s="30">
        <v>0.24</v>
      </c>
      <c r="AC47" s="30">
        <v>0.23</v>
      </c>
      <c r="AD47" s="33"/>
      <c r="AE47" s="17" t="s">
        <v>99</v>
      </c>
      <c r="AF47" s="7">
        <f>+Main!$G$9/Model!T23</f>
        <v>8.4794575309824918</v>
      </c>
    </row>
    <row r="48" spans="2:200" s="1" customFormat="1"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37"/>
      <c r="N48" s="37"/>
      <c r="O48" s="2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8" t="s">
        <v>100</v>
      </c>
      <c r="AF48" s="7">
        <f>+Main!$G$9/Model!U23</f>
        <v>6.332679261376021</v>
      </c>
    </row>
    <row r="49" spans="2:35" s="1" customFormat="1">
      <c r="B49" s="1" t="s">
        <v>78</v>
      </c>
      <c r="C49" s="21">
        <f t="shared" ref="C49:N49" si="74">+C25/C23</f>
        <v>0.70781161070005694</v>
      </c>
      <c r="D49" s="21">
        <f t="shared" si="74"/>
        <v>0.70485616455474742</v>
      </c>
      <c r="E49" s="21">
        <f t="shared" si="74"/>
        <v>0.71082661957841298</v>
      </c>
      <c r="F49" s="21">
        <f t="shared" si="74"/>
        <v>0.73350874285240741</v>
      </c>
      <c r="G49" s="21">
        <f t="shared" si="74"/>
        <v>0.72870303468208097</v>
      </c>
      <c r="H49" s="21">
        <f t="shared" si="74"/>
        <v>0.72557522575378808</v>
      </c>
      <c r="I49" s="21">
        <f t="shared" si="74"/>
        <v>0.71573236889692582</v>
      </c>
      <c r="J49" s="21">
        <f t="shared" si="74"/>
        <v>0.72673733804475849</v>
      </c>
      <c r="K49" s="21">
        <f t="shared" si="74"/>
        <v>0.73540999753755232</v>
      </c>
      <c r="L49" s="21">
        <f t="shared" si="74"/>
        <v>0.72994591903695161</v>
      </c>
      <c r="M49" s="30">
        <f t="shared" si="74"/>
        <v>0.71573236889692593</v>
      </c>
      <c r="N49" s="30">
        <f t="shared" si="74"/>
        <v>0.7267373380447586</v>
      </c>
      <c r="O49" s="31"/>
      <c r="P49" s="21"/>
      <c r="Q49" s="21">
        <f t="shared" ref="Q49:AC49" si="75">+Q25/Q23</f>
        <v>0.70693894855850758</v>
      </c>
      <c r="R49" s="21">
        <f t="shared" si="75"/>
        <v>0.71559593310904412</v>
      </c>
      <c r="S49" s="21">
        <f t="shared" si="75"/>
        <v>0.72410795463608379</v>
      </c>
      <c r="T49" s="21">
        <f>+T25/T23</f>
        <v>0.72664471116191542</v>
      </c>
      <c r="U49" s="21">
        <f ca="1">+U25/U23</f>
        <v>0.7266447111619152</v>
      </c>
      <c r="V49" s="21">
        <f>+V25/V23</f>
        <v>0.74</v>
      </c>
      <c r="W49" s="21">
        <f>+W25/W23</f>
        <v>0.74</v>
      </c>
      <c r="X49" s="21">
        <f>+X25/X23</f>
        <v>0.75</v>
      </c>
      <c r="Y49" s="21">
        <f>+Y25/Y23</f>
        <v>0.75</v>
      </c>
      <c r="Z49" s="21">
        <f t="shared" si="75"/>
        <v>0.76</v>
      </c>
      <c r="AA49" s="21">
        <f t="shared" si="75"/>
        <v>0.77</v>
      </c>
      <c r="AB49" s="21">
        <f t="shared" si="75"/>
        <v>0.76999999999999991</v>
      </c>
      <c r="AC49" s="21">
        <f t="shared" si="75"/>
        <v>0.78</v>
      </c>
      <c r="AD49" s="17"/>
      <c r="AE49" s="17"/>
    </row>
    <row r="50" spans="2:35" s="1" customFormat="1">
      <c r="B50" s="1" t="s">
        <v>83</v>
      </c>
      <c r="C50" s="21">
        <f t="shared" ref="C50:N50" si="76">+C30/C23</f>
        <v>-8.7329254410927717E-2</v>
      </c>
      <c r="D50" s="21">
        <f t="shared" si="76"/>
        <v>2.0494364049886281E-3</v>
      </c>
      <c r="E50" s="21">
        <f t="shared" si="76"/>
        <v>-6.7696722216090938E-2</v>
      </c>
      <c r="F50" s="21">
        <f t="shared" si="76"/>
        <v>-0.21900638103919781</v>
      </c>
      <c r="G50" s="21">
        <f t="shared" si="76"/>
        <v>-0.2423049132947977</v>
      </c>
      <c r="H50" s="21">
        <f t="shared" si="76"/>
        <v>-8.1288369641004717E-3</v>
      </c>
      <c r="I50" s="21">
        <f t="shared" si="76"/>
        <v>-0.45129334067143645</v>
      </c>
      <c r="J50" s="21">
        <f t="shared" si="76"/>
        <v>-0.23851590106007067</v>
      </c>
      <c r="K50" s="21">
        <f t="shared" si="76"/>
        <v>-0.14586308790938193</v>
      </c>
      <c r="L50" s="21">
        <f t="shared" si="76"/>
        <v>-0.17009481139546986</v>
      </c>
      <c r="M50" s="30">
        <f t="shared" si="76"/>
        <v>-0.18426763110307429</v>
      </c>
      <c r="N50" s="30">
        <f t="shared" si="76"/>
        <v>-0.17326266195524151</v>
      </c>
      <c r="O50" s="31"/>
      <c r="P50" s="21"/>
      <c r="Q50" s="21">
        <f t="shared" ref="Q50:AC50" si="77">+Q30/Q23</f>
        <v>-0.19961842849067268</v>
      </c>
      <c r="R50" s="21">
        <f t="shared" si="77"/>
        <v>-9.9019147041361569E-2</v>
      </c>
      <c r="S50" s="21">
        <f t="shared" si="77"/>
        <v>-0.23928907533536439</v>
      </c>
      <c r="T50" s="21">
        <f t="shared" si="77"/>
        <v>-0.16913861229920585</v>
      </c>
      <c r="U50" s="21">
        <f t="shared" ca="1" si="77"/>
        <v>6.6447111619153129E-3</v>
      </c>
      <c r="V50" s="21">
        <f t="shared" si="77"/>
        <v>5.9999999999999991E-2</v>
      </c>
      <c r="W50" s="21">
        <f t="shared" si="77"/>
        <v>7.9999999999999891E-2</v>
      </c>
      <c r="X50" s="21">
        <f t="shared" si="77"/>
        <v>8.99999999999999E-2</v>
      </c>
      <c r="Y50" s="21">
        <f t="shared" si="77"/>
        <v>0.10999999999999999</v>
      </c>
      <c r="Z50" s="21">
        <f t="shared" si="77"/>
        <v>0.11999999999999998</v>
      </c>
      <c r="AA50" s="21">
        <f t="shared" si="77"/>
        <v>0.15000000000000005</v>
      </c>
      <c r="AB50" s="21">
        <f t="shared" si="77"/>
        <v>0.15</v>
      </c>
      <c r="AC50" s="21">
        <f t="shared" si="77"/>
        <v>0.17999999999999997</v>
      </c>
      <c r="AD50" s="17"/>
      <c r="AE50" s="17"/>
      <c r="AH50" s="1" t="s">
        <v>5</v>
      </c>
      <c r="AI50" s="1">
        <f>+Main!G9</f>
        <v>3051391.0039999997</v>
      </c>
    </row>
    <row r="51" spans="2:35" s="1" customFormat="1"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3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17"/>
      <c r="AE51" s="18"/>
      <c r="AF51" s="7"/>
    </row>
    <row r="52" spans="2:35" s="9" customFormat="1">
      <c r="B52" s="9" t="s">
        <v>101</v>
      </c>
      <c r="C52" s="18"/>
      <c r="D52" s="18"/>
      <c r="E52" s="18"/>
      <c r="F52" s="18">
        <f>+F53</f>
        <v>120490</v>
      </c>
      <c r="G52" s="18"/>
      <c r="H52" s="18">
        <f>+H53</f>
        <v>114636</v>
      </c>
      <c r="I52" s="18">
        <f>+I53</f>
        <v>549440</v>
      </c>
      <c r="J52" s="18">
        <f>+J53</f>
        <v>553922</v>
      </c>
      <c r="K52" s="18">
        <f>+K53</f>
        <v>577331</v>
      </c>
      <c r="L52" s="18">
        <f>+L53</f>
        <v>591160</v>
      </c>
      <c r="M52" s="18">
        <f t="shared" ref="M52:N52" si="78">+L52+M34</f>
        <v>573765.47569636977</v>
      </c>
      <c r="N52" s="18">
        <f t="shared" si="78"/>
        <v>556727.94084588171</v>
      </c>
      <c r="O52" s="28"/>
      <c r="P52" s="18"/>
      <c r="Q52" s="18"/>
      <c r="R52" s="18"/>
      <c r="S52" s="18">
        <f>+N52</f>
        <v>556727.94084588171</v>
      </c>
      <c r="T52" s="18">
        <f>+S52+T34</f>
        <v>495096.88169176341</v>
      </c>
      <c r="U52" s="18">
        <f t="shared" ref="U52:AC52" ca="1" si="79">+T52+U34</f>
        <v>497637.63174077705</v>
      </c>
      <c r="V52" s="18">
        <f t="shared" ca="1" si="79"/>
        <v>526889.07307709486</v>
      </c>
      <c r="W52" s="18">
        <f t="shared" ca="1" si="79"/>
        <v>574627.42533796537</v>
      </c>
      <c r="X52" s="18">
        <f t="shared" ca="1" si="79"/>
        <v>637624.14844021667</v>
      </c>
      <c r="Y52" s="18">
        <f t="shared" ca="1" si="79"/>
        <v>727155.09131313639</v>
      </c>
      <c r="Z52" s="18">
        <f t="shared" ca="1" si="79"/>
        <v>839729.6710462207</v>
      </c>
      <c r="AA52" s="18">
        <f t="shared" ca="1" si="79"/>
        <v>1000486.1709050651</v>
      </c>
      <c r="AB52" s="18">
        <f t="shared" ca="1" si="79"/>
        <v>1182494.6800452487</v>
      </c>
      <c r="AC52" s="18">
        <f t="shared" ca="1" si="79"/>
        <v>1427550.936751592</v>
      </c>
      <c r="AD52" s="18"/>
      <c r="AE52" s="18"/>
      <c r="AF52" s="8"/>
    </row>
    <row r="53" spans="2:35" s="1" customFormat="1">
      <c r="B53" s="1" t="s">
        <v>3</v>
      </c>
      <c r="C53" s="17"/>
      <c r="D53" s="17"/>
      <c r="E53" s="17"/>
      <c r="F53" s="17">
        <v>120490</v>
      </c>
      <c r="G53" s="17"/>
      <c r="H53" s="17">
        <v>114636</v>
      </c>
      <c r="I53" s="17">
        <v>549440</v>
      </c>
      <c r="J53" s="17">
        <v>553922</v>
      </c>
      <c r="K53" s="17">
        <v>577331</v>
      </c>
      <c r="L53" s="17">
        <v>591160</v>
      </c>
      <c r="M53" s="17"/>
      <c r="N53" s="17"/>
      <c r="O53" s="2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H53" s="1" t="s">
        <v>89</v>
      </c>
      <c r="AI53" s="1">
        <f>+AI50/(U23*1000)</f>
        <v>6.3326792613760206E-3</v>
      </c>
    </row>
    <row r="54" spans="2:35" s="1" customFormat="1">
      <c r="B54" s="1" t="s">
        <v>28</v>
      </c>
      <c r="C54" s="17"/>
      <c r="D54" s="17"/>
      <c r="E54" s="17"/>
      <c r="F54" s="17">
        <v>20450</v>
      </c>
      <c r="G54" s="17"/>
      <c r="H54" s="17">
        <v>25129</v>
      </c>
      <c r="I54" s="17">
        <v>20737</v>
      </c>
      <c r="J54" s="17">
        <v>33163</v>
      </c>
      <c r="K54" s="17">
        <v>28573</v>
      </c>
      <c r="L54" s="17">
        <v>28209</v>
      </c>
      <c r="M54" s="17"/>
      <c r="N54" s="17"/>
      <c r="O54" s="2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I54" s="1">
        <f>+AI50/AI53/1000</f>
        <v>481848.34223499999</v>
      </c>
    </row>
    <row r="55" spans="2:35" s="1" customFormat="1">
      <c r="B55" s="1" t="s">
        <v>29</v>
      </c>
      <c r="C55" s="17"/>
      <c r="D55" s="17"/>
      <c r="E55" s="17"/>
      <c r="F55" s="17">
        <v>13585</v>
      </c>
      <c r="G55" s="17"/>
      <c r="H55" s="17">
        <v>17168</v>
      </c>
      <c r="I55" s="17">
        <v>19726</v>
      </c>
      <c r="J55" s="17">
        <v>24219</v>
      </c>
      <c r="K55" s="17">
        <v>27780</v>
      </c>
      <c r="L55" s="17">
        <v>29218</v>
      </c>
      <c r="M55" s="17"/>
      <c r="N55" s="17"/>
      <c r="O55" s="2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</row>
    <row r="56" spans="2:35" s="1" customFormat="1">
      <c r="B56" s="1" t="s">
        <v>30</v>
      </c>
      <c r="C56" s="17"/>
      <c r="D56" s="17"/>
      <c r="E56" s="17"/>
      <c r="F56" s="17">
        <v>3855</v>
      </c>
      <c r="G56" s="17"/>
      <c r="H56" s="17">
        <v>5635</v>
      </c>
      <c r="I56" s="17">
        <v>6441</v>
      </c>
      <c r="J56" s="17">
        <v>7967</v>
      </c>
      <c r="K56" s="17">
        <v>6951</v>
      </c>
      <c r="L56" s="17">
        <v>6563</v>
      </c>
      <c r="M56" s="17"/>
      <c r="N56" s="17"/>
      <c r="O56" s="2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</row>
    <row r="57" spans="2:35" s="9" customFormat="1">
      <c r="B57" s="9" t="s">
        <v>31</v>
      </c>
      <c r="C57" s="18"/>
      <c r="D57" s="18"/>
      <c r="E57" s="18"/>
      <c r="F57" s="18">
        <f>+SUM(F53:F56)</f>
        <v>158380</v>
      </c>
      <c r="G57" s="18"/>
      <c r="H57" s="18">
        <f>+SUM(H53:H56)</f>
        <v>162568</v>
      </c>
      <c r="I57" s="18">
        <f>+SUM(I53:I56)</f>
        <v>596344</v>
      </c>
      <c r="J57" s="18">
        <f>+SUM(J53:J56)</f>
        <v>619271</v>
      </c>
      <c r="K57" s="18">
        <f>+SUM(K53:K56)</f>
        <v>640635</v>
      </c>
      <c r="L57" s="18">
        <f>+SUM(L53:L56)</f>
        <v>655150</v>
      </c>
      <c r="M57" s="18"/>
      <c r="N57" s="18"/>
      <c r="O57" s="2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</row>
    <row r="58" spans="2:35" s="1" customFormat="1">
      <c r="B58" s="1" t="s">
        <v>32</v>
      </c>
      <c r="C58" s="17"/>
      <c r="D58" s="17"/>
      <c r="E58" s="17"/>
      <c r="F58" s="17">
        <v>6428</v>
      </c>
      <c r="G58" s="17"/>
      <c r="H58" s="17">
        <v>7692</v>
      </c>
      <c r="I58" s="17">
        <v>8010</v>
      </c>
      <c r="J58" s="17">
        <v>8211</v>
      </c>
      <c r="K58" s="17">
        <v>10254</v>
      </c>
      <c r="L58" s="17">
        <v>13356</v>
      </c>
      <c r="M58" s="17"/>
      <c r="N58" s="17"/>
      <c r="O58" s="2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</row>
    <row r="59" spans="2:35" s="1" customFormat="1">
      <c r="B59" s="1" t="s">
        <v>33</v>
      </c>
      <c r="C59" s="17"/>
      <c r="D59" s="17"/>
      <c r="E59" s="17"/>
      <c r="F59" s="17">
        <v>2296</v>
      </c>
      <c r="G59" s="17"/>
      <c r="H59" s="17">
        <v>3731</v>
      </c>
      <c r="I59" s="17">
        <v>4184</v>
      </c>
      <c r="J59" s="17">
        <v>4566</v>
      </c>
      <c r="K59" s="17">
        <v>5488</v>
      </c>
      <c r="L59" s="17">
        <v>6409</v>
      </c>
      <c r="M59" s="17"/>
      <c r="N59" s="17"/>
      <c r="O59" s="2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</row>
    <row r="60" spans="2:35" s="1" customFormat="1">
      <c r="B60" s="1" t="s">
        <v>34</v>
      </c>
      <c r="C60" s="17"/>
      <c r="D60" s="17"/>
      <c r="E60" s="17"/>
      <c r="F60" s="17">
        <v>8073</v>
      </c>
      <c r="G60" s="17"/>
      <c r="H60" s="17">
        <v>6805</v>
      </c>
      <c r="I60" s="17">
        <v>8231</v>
      </c>
      <c r="J60" s="17">
        <v>28369</v>
      </c>
      <c r="K60" s="17">
        <v>27093</v>
      </c>
      <c r="L60" s="17">
        <v>24511</v>
      </c>
      <c r="M60" s="17"/>
      <c r="N60" s="17"/>
      <c r="O60" s="2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</row>
    <row r="61" spans="2:35" s="1" customFormat="1">
      <c r="B61" s="1" t="s">
        <v>173</v>
      </c>
      <c r="C61" s="17"/>
      <c r="D61" s="17"/>
      <c r="E61" s="17"/>
      <c r="F61" s="17"/>
      <c r="G61" s="17"/>
      <c r="H61" s="17"/>
      <c r="I61" s="17"/>
      <c r="J61" s="17"/>
      <c r="K61" s="17"/>
      <c r="L61" s="17">
        <v>418</v>
      </c>
      <c r="M61" s="17"/>
      <c r="N61" s="17"/>
      <c r="O61" s="2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</row>
    <row r="62" spans="2:35" s="1" customFormat="1">
      <c r="B62" s="1" t="s">
        <v>35</v>
      </c>
      <c r="C62" s="17"/>
      <c r="D62" s="17"/>
      <c r="E62" s="17"/>
      <c r="F62" s="17">
        <v>562</v>
      </c>
      <c r="G62" s="17"/>
      <c r="H62" s="17">
        <v>897</v>
      </c>
      <c r="I62" s="17">
        <v>1008</v>
      </c>
      <c r="J62" s="17">
        <v>894</v>
      </c>
      <c r="K62" s="17">
        <v>1041</v>
      </c>
      <c r="L62" s="17">
        <v>1206</v>
      </c>
      <c r="M62" s="17"/>
      <c r="N62" s="17"/>
      <c r="O62" s="2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</row>
    <row r="63" spans="2:35" s="9" customFormat="1">
      <c r="B63" s="9" t="s">
        <v>36</v>
      </c>
      <c r="C63" s="18"/>
      <c r="D63" s="18"/>
      <c r="E63" s="18"/>
      <c r="F63" s="18">
        <f>+SUM(F57:F62)</f>
        <v>175739</v>
      </c>
      <c r="G63" s="18"/>
      <c r="H63" s="18">
        <f>+SUM(H57:H62)</f>
        <v>181693</v>
      </c>
      <c r="I63" s="18">
        <f>+SUM(I57:I62)</f>
        <v>617777</v>
      </c>
      <c r="J63" s="18">
        <f>+SUM(J57:J62)</f>
        <v>661311</v>
      </c>
      <c r="K63" s="18">
        <f>+SUM(K57:K62)</f>
        <v>684511</v>
      </c>
      <c r="L63" s="18">
        <f>+SUM(L57:L62)</f>
        <v>701050</v>
      </c>
      <c r="M63" s="18"/>
      <c r="N63" s="18"/>
      <c r="O63" s="2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</row>
    <row r="64" spans="2:35" s="1" customFormat="1"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2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</row>
    <row r="65" spans="2:31" s="1" customFormat="1">
      <c r="B65" s="1" t="s">
        <v>37</v>
      </c>
      <c r="C65" s="17"/>
      <c r="D65" s="17"/>
      <c r="E65" s="17"/>
      <c r="F65" s="17">
        <v>2196</v>
      </c>
      <c r="G65" s="17"/>
      <c r="H65" s="17">
        <v>4266</v>
      </c>
      <c r="I65" s="17">
        <v>8708</v>
      </c>
      <c r="J65" s="17">
        <v>7818</v>
      </c>
      <c r="K65" s="17">
        <v>2018</v>
      </c>
      <c r="L65" s="17">
        <v>1504</v>
      </c>
      <c r="M65" s="17"/>
      <c r="N65" s="17"/>
      <c r="O65" s="2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</row>
    <row r="66" spans="2:31" s="1" customFormat="1">
      <c r="B66" s="1" t="s">
        <v>38</v>
      </c>
      <c r="C66" s="17"/>
      <c r="D66" s="17"/>
      <c r="E66" s="17"/>
      <c r="F66" s="17">
        <v>54792</v>
      </c>
      <c r="G66" s="17"/>
      <c r="H66" s="17">
        <v>70997</v>
      </c>
      <c r="I66" s="17">
        <v>80460</v>
      </c>
      <c r="J66" s="17">
        <v>98267</v>
      </c>
      <c r="K66" s="17">
        <v>119101</v>
      </c>
      <c r="L66" s="17">
        <v>128194</v>
      </c>
      <c r="M66" s="17"/>
      <c r="N66" s="17"/>
      <c r="O66" s="2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</row>
    <row r="67" spans="2:31" s="1" customFormat="1">
      <c r="B67" s="1" t="s">
        <v>39</v>
      </c>
      <c r="C67" s="17"/>
      <c r="D67" s="17"/>
      <c r="E67" s="17"/>
      <c r="F67" s="17">
        <v>68</v>
      </c>
      <c r="G67" s="17"/>
      <c r="H67" s="17">
        <v>9</v>
      </c>
      <c r="I67" s="17">
        <v>25</v>
      </c>
      <c r="J67" s="17">
        <v>113</v>
      </c>
      <c r="K67" s="17">
        <v>138</v>
      </c>
      <c r="L67" s="17">
        <v>92</v>
      </c>
      <c r="M67" s="17"/>
      <c r="N67" s="17"/>
      <c r="O67" s="2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</row>
    <row r="68" spans="2:31" s="1" customFormat="1">
      <c r="B68" s="1" t="s">
        <v>40</v>
      </c>
      <c r="C68" s="17"/>
      <c r="D68" s="17"/>
      <c r="E68" s="17"/>
      <c r="F68" s="17">
        <v>8634</v>
      </c>
      <c r="G68" s="17"/>
      <c r="H68" s="17">
        <v>9779</v>
      </c>
      <c r="I68" s="17">
        <v>9452</v>
      </c>
      <c r="J68" s="17">
        <v>12933</v>
      </c>
      <c r="K68" s="17">
        <v>14518</v>
      </c>
      <c r="L68" s="17">
        <v>17536</v>
      </c>
      <c r="M68" s="17"/>
      <c r="N68" s="17"/>
      <c r="O68" s="2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</row>
    <row r="69" spans="2:31" s="9" customFormat="1">
      <c r="B69" s="9" t="s">
        <v>41</v>
      </c>
      <c r="C69" s="18"/>
      <c r="D69" s="18"/>
      <c r="E69" s="18"/>
      <c r="F69" s="18">
        <f>+SUM(F65:F68)</f>
        <v>65690</v>
      </c>
      <c r="G69" s="18"/>
      <c r="H69" s="18">
        <f>+SUM(H65:H68)</f>
        <v>85051</v>
      </c>
      <c r="I69" s="18">
        <f>+SUM(I65:I68)</f>
        <v>98645</v>
      </c>
      <c r="J69" s="18">
        <f>+SUM(J65:J68)</f>
        <v>119131</v>
      </c>
      <c r="K69" s="18">
        <f>+SUM(K65:K68)</f>
        <v>135775</v>
      </c>
      <c r="L69" s="18">
        <f>+SUM(L65:L68)</f>
        <v>147326</v>
      </c>
      <c r="M69" s="18"/>
      <c r="N69" s="18"/>
      <c r="O69" s="2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</row>
    <row r="70" spans="2:31" s="1" customFormat="1">
      <c r="B70" s="1" t="s">
        <v>42</v>
      </c>
      <c r="C70" s="17"/>
      <c r="D70" s="17"/>
      <c r="E70" s="17"/>
      <c r="F70" s="17">
        <v>8131</v>
      </c>
      <c r="G70" s="17"/>
      <c r="H70" s="17">
        <v>7810</v>
      </c>
      <c r="I70" s="17">
        <v>8401</v>
      </c>
      <c r="J70" s="17">
        <v>29124</v>
      </c>
      <c r="K70" s="17">
        <v>28022</v>
      </c>
      <c r="L70" s="17">
        <v>25505</v>
      </c>
      <c r="M70" s="17"/>
      <c r="N70" s="17"/>
      <c r="O70" s="2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</row>
    <row r="71" spans="2:31" s="9" customFormat="1">
      <c r="B71" s="9" t="s">
        <v>43</v>
      </c>
      <c r="C71" s="18"/>
      <c r="D71" s="18"/>
      <c r="E71" s="18"/>
      <c r="F71" s="18">
        <f>+SUM(F69:F70)</f>
        <v>73821</v>
      </c>
      <c r="G71" s="18"/>
      <c r="H71" s="18">
        <f>+SUM(H69:H70)</f>
        <v>92861</v>
      </c>
      <c r="I71" s="18">
        <f>+SUM(I69:I70)</f>
        <v>107046</v>
      </c>
      <c r="J71" s="18">
        <f>+SUM(J69:J70)</f>
        <v>148255</v>
      </c>
      <c r="K71" s="18">
        <f>+SUM(K69:K70)</f>
        <v>163797</v>
      </c>
      <c r="L71" s="18">
        <f>+SUM(L69:L70)</f>
        <v>172831</v>
      </c>
      <c r="M71" s="18"/>
      <c r="N71" s="18"/>
      <c r="O71" s="2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</row>
    <row r="72" spans="2:31" s="1" customFormat="1">
      <c r="B72" s="1" t="s">
        <v>103</v>
      </c>
      <c r="C72" s="17"/>
      <c r="D72" s="17"/>
      <c r="E72" s="17"/>
      <c r="F72" s="17">
        <v>182609</v>
      </c>
      <c r="G72" s="17"/>
      <c r="H72" s="17">
        <v>182609</v>
      </c>
      <c r="I72" s="17"/>
      <c r="J72" s="17"/>
      <c r="K72" s="17"/>
      <c r="L72" s="17"/>
      <c r="M72" s="17"/>
      <c r="N72" s="17"/>
      <c r="O72" s="2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</row>
    <row r="73" spans="2:31" s="1" customFormat="1">
      <c r="B73" s="1" t="s">
        <v>44</v>
      </c>
      <c r="C73" s="17"/>
      <c r="D73" s="17"/>
      <c r="E73" s="17"/>
      <c r="F73" s="17">
        <v>1</v>
      </c>
      <c r="G73" s="17"/>
      <c r="H73" s="17">
        <v>1</v>
      </c>
      <c r="I73" s="17">
        <v>4</v>
      </c>
      <c r="J73" s="17">
        <v>4</v>
      </c>
      <c r="K73" s="17">
        <v>4</v>
      </c>
      <c r="L73" s="17">
        <v>4</v>
      </c>
      <c r="M73" s="17"/>
      <c r="N73" s="17"/>
      <c r="O73" s="2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</row>
    <row r="74" spans="2:31" s="1" customFormat="1">
      <c r="B74" s="1" t="s">
        <v>45</v>
      </c>
      <c r="C74" s="17"/>
      <c r="D74" s="17"/>
      <c r="E74" s="17"/>
      <c r="F74" s="17">
        <v>30087</v>
      </c>
      <c r="G74" s="17"/>
      <c r="H74" s="17">
        <v>30649</v>
      </c>
      <c r="I74" s="17">
        <v>664124</v>
      </c>
      <c r="J74" s="17">
        <v>683966</v>
      </c>
      <c r="K74" s="17">
        <v>703778</v>
      </c>
      <c r="L74" s="17">
        <v>726328</v>
      </c>
      <c r="M74" s="17"/>
      <c r="N74" s="17"/>
      <c r="O74" s="2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</row>
    <row r="75" spans="2:31" s="1" customFormat="1">
      <c r="B75" s="1" t="s">
        <v>46</v>
      </c>
      <c r="C75" s="17"/>
      <c r="D75" s="17"/>
      <c r="E75" s="17"/>
      <c r="F75" s="17">
        <v>-110779</v>
      </c>
      <c r="G75" s="17"/>
      <c r="H75" s="17">
        <v>-124427</v>
      </c>
      <c r="I75" s="17">
        <v>-153397</v>
      </c>
      <c r="J75" s="17">
        <v>-170914</v>
      </c>
      <c r="K75" s="17">
        <v>-183068</v>
      </c>
      <c r="L75" s="17">
        <v>-198113</v>
      </c>
      <c r="M75" s="17"/>
      <c r="N75" s="17"/>
      <c r="O75" s="2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</row>
    <row r="76" spans="2:31" s="1" customFormat="1">
      <c r="B76" s="1" t="s">
        <v>47</v>
      </c>
      <c r="C76" s="17"/>
      <c r="D76" s="17"/>
      <c r="E76" s="17"/>
      <c r="F76" s="17">
        <f>+SUM(F72:F75)</f>
        <v>101918</v>
      </c>
      <c r="G76" s="17"/>
      <c r="H76" s="17">
        <f>+SUM(H72:H75)</f>
        <v>88832</v>
      </c>
      <c r="I76" s="17">
        <f>+SUM(I73:I75)</f>
        <v>510731</v>
      </c>
      <c r="J76" s="17">
        <f>+SUM(J73:J75)</f>
        <v>513056</v>
      </c>
      <c r="K76" s="17">
        <f>+SUM(K73:K75)</f>
        <v>520714</v>
      </c>
      <c r="L76" s="17">
        <f>+SUM(L73:L75)</f>
        <v>528219</v>
      </c>
      <c r="M76" s="17"/>
      <c r="N76" s="17"/>
      <c r="O76" s="2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</row>
    <row r="77" spans="2:31" s="9" customFormat="1">
      <c r="B77" s="9" t="s">
        <v>48</v>
      </c>
      <c r="C77" s="18"/>
      <c r="D77" s="18"/>
      <c r="E77" s="18"/>
      <c r="F77" s="18">
        <f>+F71+F76</f>
        <v>175739</v>
      </c>
      <c r="G77" s="18"/>
      <c r="H77" s="18">
        <f>+H71+H76</f>
        <v>181693</v>
      </c>
      <c r="I77" s="18">
        <f>+I71+I76</f>
        <v>617777</v>
      </c>
      <c r="J77" s="18">
        <f>+J71+J76</f>
        <v>661311</v>
      </c>
      <c r="K77" s="18">
        <f>+K71+K76</f>
        <v>684511</v>
      </c>
      <c r="L77" s="18">
        <f>+L71+L76</f>
        <v>701050</v>
      </c>
      <c r="M77" s="18"/>
      <c r="N77" s="18"/>
      <c r="O77" s="2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</row>
    <row r="78" spans="2:31" s="1" customFormat="1"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2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</row>
    <row r="79" spans="2:31" s="1" customFormat="1">
      <c r="B79" s="1" t="s">
        <v>53</v>
      </c>
      <c r="C79" s="17"/>
      <c r="D79" s="17"/>
      <c r="E79" s="17"/>
      <c r="F79" s="17"/>
      <c r="G79" s="17"/>
      <c r="H79" s="17"/>
      <c r="I79" s="17"/>
      <c r="J79" s="17"/>
      <c r="K79" s="17">
        <f>+J76</f>
        <v>513056</v>
      </c>
      <c r="L79" s="17"/>
      <c r="M79" s="17"/>
      <c r="N79" s="17"/>
      <c r="O79" s="2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</row>
    <row r="80" spans="2:31" s="1" customFormat="1">
      <c r="B80" s="1" t="s">
        <v>49</v>
      </c>
      <c r="C80" s="17"/>
      <c r="D80" s="17"/>
      <c r="E80" s="17"/>
      <c r="F80" s="17"/>
      <c r="G80" s="17"/>
      <c r="H80" s="17"/>
      <c r="I80" s="17"/>
      <c r="J80" s="17"/>
      <c r="K80" s="17">
        <v>14586</v>
      </c>
      <c r="L80" s="17"/>
      <c r="M80" s="17"/>
      <c r="N80" s="17"/>
      <c r="O80" s="2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</row>
    <row r="81" spans="2:31" s="1" customFormat="1">
      <c r="B81" s="1" t="s">
        <v>68</v>
      </c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2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</row>
    <row r="82" spans="2:31" s="1" customFormat="1">
      <c r="B82" s="1" t="s">
        <v>50</v>
      </c>
      <c r="C82" s="17"/>
      <c r="D82" s="17"/>
      <c r="E82" s="17"/>
      <c r="F82" s="17"/>
      <c r="G82" s="17"/>
      <c r="H82" s="17"/>
      <c r="I82" s="17"/>
      <c r="J82" s="17"/>
      <c r="K82" s="17">
        <v>5226</v>
      </c>
      <c r="L82" s="17"/>
      <c r="M82" s="17"/>
      <c r="N82" s="17"/>
      <c r="O82" s="2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</row>
    <row r="83" spans="2:31" s="1" customFormat="1">
      <c r="B83" s="1" t="s">
        <v>51</v>
      </c>
      <c r="C83" s="17"/>
      <c r="D83" s="17"/>
      <c r="E83" s="17"/>
      <c r="F83" s="17"/>
      <c r="G83" s="17"/>
      <c r="H83" s="17"/>
      <c r="I83" s="17"/>
      <c r="J83" s="17"/>
      <c r="K83" s="17">
        <v>0</v>
      </c>
      <c r="L83" s="17"/>
      <c r="M83" s="17"/>
      <c r="N83" s="17"/>
      <c r="O83" s="2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</row>
    <row r="84" spans="2:31" s="1" customFormat="1">
      <c r="B84" s="1" t="s">
        <v>52</v>
      </c>
      <c r="C84" s="17"/>
      <c r="D84" s="17"/>
      <c r="E84" s="17"/>
      <c r="F84" s="17"/>
      <c r="G84" s="17"/>
      <c r="H84" s="17"/>
      <c r="I84" s="17"/>
      <c r="J84" s="17"/>
      <c r="K84" s="17">
        <v>-12154</v>
      </c>
      <c r="L84" s="17"/>
      <c r="M84" s="17"/>
      <c r="N84" s="17"/>
      <c r="O84" s="2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</row>
    <row r="85" spans="2:31" s="9" customFormat="1">
      <c r="B85" s="9" t="s">
        <v>54</v>
      </c>
      <c r="C85" s="18"/>
      <c r="D85" s="18"/>
      <c r="E85" s="18"/>
      <c r="F85" s="18"/>
      <c r="G85" s="18"/>
      <c r="H85" s="18"/>
      <c r="I85" s="18"/>
      <c r="J85" s="18"/>
      <c r="K85" s="18">
        <f>+SUM(K79:K84)</f>
        <v>520714</v>
      </c>
      <c r="L85" s="18"/>
      <c r="M85" s="18"/>
      <c r="N85" s="18"/>
      <c r="O85" s="2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</row>
    <row r="86" spans="2:31" s="1" customFormat="1"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2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</row>
    <row r="87" spans="2:31" s="1" customFormat="1"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27"/>
      <c r="P87" s="17">
        <f>0.85*7</f>
        <v>5.95</v>
      </c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</row>
    <row r="88" spans="2:31" s="1" customFormat="1">
      <c r="B88" s="1" t="s">
        <v>55</v>
      </c>
      <c r="C88" s="17"/>
      <c r="D88" s="17"/>
      <c r="E88" s="17"/>
      <c r="F88" s="17"/>
      <c r="G88" s="17"/>
      <c r="H88" s="17"/>
      <c r="I88" s="17"/>
      <c r="J88" s="17"/>
      <c r="K88" s="17">
        <f>+K34</f>
        <v>-12154</v>
      </c>
      <c r="L88" s="17"/>
      <c r="M88" s="17"/>
      <c r="N88" s="17"/>
      <c r="O88" s="2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</row>
    <row r="89" spans="2:31" s="1" customFormat="1">
      <c r="B89" s="1" t="s">
        <v>56</v>
      </c>
      <c r="C89" s="17"/>
      <c r="D89" s="17"/>
      <c r="E89" s="17"/>
      <c r="F89" s="17"/>
      <c r="G89" s="17"/>
      <c r="H89" s="17"/>
      <c r="I89" s="17"/>
      <c r="J89" s="17"/>
      <c r="K89" s="17">
        <v>774</v>
      </c>
      <c r="L89" s="17"/>
      <c r="M89" s="17"/>
      <c r="N89" s="17"/>
      <c r="O89" s="2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</row>
    <row r="90" spans="2:31" s="1" customFormat="1">
      <c r="B90" s="1" t="s">
        <v>49</v>
      </c>
      <c r="C90" s="17"/>
      <c r="D90" s="17"/>
      <c r="E90" s="17"/>
      <c r="F90" s="17"/>
      <c r="G90" s="17"/>
      <c r="H90" s="17"/>
      <c r="I90" s="17"/>
      <c r="J90" s="17"/>
      <c r="K90" s="17">
        <v>14586</v>
      </c>
      <c r="L90" s="17"/>
      <c r="M90" s="17"/>
      <c r="N90" s="17"/>
      <c r="O90" s="2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</row>
    <row r="91" spans="2:31" s="1" customFormat="1">
      <c r="B91" s="1" t="s">
        <v>38</v>
      </c>
      <c r="C91" s="17"/>
      <c r="D91" s="17"/>
      <c r="E91" s="17"/>
      <c r="F91" s="17"/>
      <c r="G91" s="17"/>
      <c r="H91" s="17"/>
      <c r="I91" s="17"/>
      <c r="J91" s="17"/>
      <c r="K91" s="17">
        <v>20834</v>
      </c>
      <c r="L91" s="17"/>
      <c r="M91" s="17"/>
      <c r="N91" s="17"/>
      <c r="O91" s="2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</row>
    <row r="92" spans="2:31" s="1" customFormat="1">
      <c r="B92" s="1" t="s">
        <v>28</v>
      </c>
      <c r="C92" s="17"/>
      <c r="D92" s="17"/>
      <c r="E92" s="17"/>
      <c r="F92" s="17"/>
      <c r="G92" s="17"/>
      <c r="H92" s="17"/>
      <c r="I92" s="17"/>
      <c r="J92" s="17"/>
      <c r="K92" s="17">
        <v>4590</v>
      </c>
      <c r="L92" s="17"/>
      <c r="M92" s="17"/>
      <c r="N92" s="17"/>
      <c r="O92" s="2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</row>
    <row r="93" spans="2:31" s="1" customFormat="1">
      <c r="B93" s="1" t="s">
        <v>57</v>
      </c>
      <c r="C93" s="17"/>
      <c r="D93" s="17"/>
      <c r="E93" s="17"/>
      <c r="F93" s="17"/>
      <c r="G93" s="17"/>
      <c r="H93" s="17"/>
      <c r="I93" s="17"/>
      <c r="J93" s="17"/>
      <c r="K93" s="17">
        <v>-3561</v>
      </c>
      <c r="L93" s="17"/>
      <c r="M93" s="17"/>
      <c r="N93" s="17"/>
      <c r="O93" s="2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</row>
    <row r="94" spans="2:31" s="1" customFormat="1">
      <c r="B94" s="1" t="s">
        <v>30</v>
      </c>
      <c r="C94" s="17"/>
      <c r="D94" s="17"/>
      <c r="E94" s="17"/>
      <c r="F94" s="17"/>
      <c r="G94" s="17"/>
      <c r="H94" s="17"/>
      <c r="I94" s="17"/>
      <c r="J94" s="17"/>
      <c r="K94" s="17">
        <v>66</v>
      </c>
      <c r="L94" s="17"/>
      <c r="M94" s="17"/>
      <c r="N94" s="17"/>
      <c r="O94" s="2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</row>
    <row r="95" spans="2:31" s="1" customFormat="1">
      <c r="B95" s="1" t="s">
        <v>37</v>
      </c>
      <c r="C95" s="17"/>
      <c r="D95" s="17"/>
      <c r="E95" s="17"/>
      <c r="F95" s="17"/>
      <c r="G95" s="17"/>
      <c r="H95" s="17"/>
      <c r="I95" s="17"/>
      <c r="J95" s="17"/>
      <c r="K95" s="17">
        <v>-5800</v>
      </c>
      <c r="L95" s="17"/>
      <c r="M95" s="17"/>
      <c r="N95" s="17"/>
      <c r="O95" s="2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</row>
    <row r="96" spans="2:31" s="1" customFormat="1">
      <c r="B96" s="1" t="s">
        <v>40</v>
      </c>
      <c r="C96" s="17"/>
      <c r="D96" s="17"/>
      <c r="E96" s="17"/>
      <c r="F96" s="17"/>
      <c r="G96" s="17"/>
      <c r="H96" s="17"/>
      <c r="I96" s="17"/>
      <c r="J96" s="17"/>
      <c r="K96" s="17">
        <v>1265</v>
      </c>
      <c r="L96" s="17"/>
      <c r="M96" s="17"/>
      <c r="N96" s="17"/>
      <c r="O96" s="2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</row>
    <row r="97" spans="2:31" s="1" customFormat="1">
      <c r="B97" s="1" t="s">
        <v>58</v>
      </c>
      <c r="C97" s="17"/>
      <c r="D97" s="17"/>
      <c r="E97" s="17"/>
      <c r="F97" s="17"/>
      <c r="G97" s="17"/>
      <c r="H97" s="17"/>
      <c r="I97" s="17"/>
      <c r="J97" s="17"/>
      <c r="K97" s="17">
        <v>27</v>
      </c>
      <c r="L97" s="17"/>
      <c r="M97" s="17"/>
      <c r="N97" s="17"/>
      <c r="O97" s="2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</row>
    <row r="98" spans="2:31" s="9" customFormat="1">
      <c r="B98" s="9" t="s">
        <v>59</v>
      </c>
      <c r="C98" s="18"/>
      <c r="D98" s="18"/>
      <c r="E98" s="18"/>
      <c r="F98" s="18"/>
      <c r="G98" s="18"/>
      <c r="H98" s="18"/>
      <c r="I98" s="18"/>
      <c r="J98" s="18"/>
      <c r="K98" s="18">
        <f>+SUM(K88:K97)</f>
        <v>20627</v>
      </c>
      <c r="L98" s="18"/>
      <c r="M98" s="18"/>
      <c r="N98" s="18"/>
      <c r="O98" s="2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</row>
    <row r="99" spans="2:31" s="1" customFormat="1"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2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</row>
    <row r="100" spans="2:31" s="1" customFormat="1">
      <c r="B100" s="1" t="s">
        <v>60</v>
      </c>
      <c r="C100" s="17"/>
      <c r="D100" s="17"/>
      <c r="E100" s="17"/>
      <c r="F100" s="17"/>
      <c r="G100" s="17"/>
      <c r="H100" s="17"/>
      <c r="I100" s="17"/>
      <c r="J100" s="17"/>
      <c r="K100" s="17">
        <v>-1117</v>
      </c>
      <c r="L100" s="17"/>
      <c r="M100" s="17"/>
      <c r="N100" s="17"/>
      <c r="O100" s="2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</row>
    <row r="101" spans="2:31" s="1" customFormat="1">
      <c r="B101" s="1" t="s">
        <v>32</v>
      </c>
      <c r="C101" s="17"/>
      <c r="D101" s="17"/>
      <c r="E101" s="17"/>
      <c r="F101" s="17"/>
      <c r="G101" s="17"/>
      <c r="H101" s="17"/>
      <c r="I101" s="17"/>
      <c r="J101" s="17"/>
      <c r="K101" s="17">
        <v>-1327</v>
      </c>
      <c r="L101" s="17"/>
      <c r="M101" s="17"/>
      <c r="N101" s="17"/>
      <c r="O101" s="2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</row>
    <row r="102" spans="2:31" s="9" customFormat="1">
      <c r="B102" s="9" t="s">
        <v>61</v>
      </c>
      <c r="C102" s="18"/>
      <c r="D102" s="18"/>
      <c r="E102" s="18"/>
      <c r="F102" s="18"/>
      <c r="G102" s="18"/>
      <c r="H102" s="18"/>
      <c r="I102" s="18"/>
      <c r="J102" s="18"/>
      <c r="K102" s="18">
        <f>+SUM(K100:K101)</f>
        <v>-2444</v>
      </c>
      <c r="L102" s="18"/>
      <c r="M102" s="18"/>
      <c r="N102" s="18"/>
      <c r="O102" s="2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</row>
    <row r="103" spans="2:31" s="1" customFormat="1"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2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</row>
    <row r="104" spans="2:31" s="1" customFormat="1">
      <c r="B104" s="1" t="s">
        <v>62</v>
      </c>
      <c r="C104" s="17"/>
      <c r="D104" s="17"/>
      <c r="E104" s="17"/>
      <c r="F104" s="17"/>
      <c r="G104" s="17"/>
      <c r="H104" s="17"/>
      <c r="I104" s="17"/>
      <c r="J104" s="17"/>
      <c r="K104" s="17">
        <v>5226</v>
      </c>
      <c r="L104" s="17"/>
      <c r="M104" s="17"/>
      <c r="N104" s="17"/>
      <c r="O104" s="2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</row>
    <row r="105" spans="2:31" s="1" customFormat="1">
      <c r="B105" s="1" t="s">
        <v>63</v>
      </c>
      <c r="C105" s="17"/>
      <c r="D105" s="17"/>
      <c r="E105" s="17"/>
      <c r="F105" s="17"/>
      <c r="G105" s="17"/>
      <c r="H105" s="17"/>
      <c r="I105" s="17"/>
      <c r="J105" s="17"/>
      <c r="K105" s="17">
        <v>0</v>
      </c>
      <c r="L105" s="17"/>
      <c r="M105" s="17"/>
      <c r="N105" s="17"/>
      <c r="O105" s="2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</row>
    <row r="106" spans="2:31" s="1" customFormat="1">
      <c r="B106" s="1" t="s">
        <v>64</v>
      </c>
      <c r="C106" s="17"/>
      <c r="D106" s="17"/>
      <c r="E106" s="17"/>
      <c r="F106" s="17"/>
      <c r="G106" s="17"/>
      <c r="H106" s="17"/>
      <c r="I106" s="17"/>
      <c r="J106" s="17"/>
      <c r="K106" s="17">
        <v>0</v>
      </c>
      <c r="L106" s="17"/>
      <c r="M106" s="17"/>
      <c r="N106" s="17"/>
      <c r="O106" s="2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</row>
    <row r="107" spans="2:31" s="1" customFormat="1">
      <c r="B107" s="1" t="s">
        <v>65</v>
      </c>
      <c r="C107" s="17"/>
      <c r="D107" s="17"/>
      <c r="E107" s="17"/>
      <c r="F107" s="17"/>
      <c r="G107" s="17"/>
      <c r="H107" s="17"/>
      <c r="I107" s="17"/>
      <c r="J107" s="17"/>
      <c r="K107" s="17">
        <v>0</v>
      </c>
      <c r="L107" s="17"/>
      <c r="M107" s="17"/>
      <c r="N107" s="17"/>
      <c r="O107" s="2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</row>
    <row r="108" spans="2:31" s="9" customFormat="1">
      <c r="B108" s="9" t="s">
        <v>66</v>
      </c>
      <c r="C108" s="18"/>
      <c r="D108" s="18"/>
      <c r="E108" s="18"/>
      <c r="F108" s="18"/>
      <c r="G108" s="18"/>
      <c r="H108" s="18"/>
      <c r="I108" s="18"/>
      <c r="J108" s="18"/>
      <c r="K108" s="18">
        <f>+SUM(K104:K107)</f>
        <v>5226</v>
      </c>
      <c r="L108" s="18"/>
      <c r="M108" s="18"/>
      <c r="N108" s="18"/>
      <c r="O108" s="2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</row>
    <row r="109" spans="2:31" s="1" customFormat="1">
      <c r="B109" s="1" t="s">
        <v>67</v>
      </c>
      <c r="C109" s="17"/>
      <c r="D109" s="17"/>
      <c r="E109" s="17"/>
      <c r="F109" s="17"/>
      <c r="G109" s="17"/>
      <c r="H109" s="17"/>
      <c r="I109" s="17"/>
      <c r="J109" s="17"/>
      <c r="K109" s="17">
        <f>+K98+K102+K108</f>
        <v>23409</v>
      </c>
      <c r="L109" s="17"/>
      <c r="M109" s="17"/>
      <c r="N109" s="17"/>
      <c r="O109" s="2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</row>
    <row r="110" spans="2:31" s="1" customFormat="1">
      <c r="C110" s="17"/>
      <c r="D110" s="17"/>
      <c r="E110" s="17"/>
      <c r="F110" s="17"/>
      <c r="G110" s="17"/>
      <c r="H110" s="17"/>
      <c r="I110" s="17"/>
      <c r="J110" s="17"/>
      <c r="K110" s="17">
        <v>553922</v>
      </c>
      <c r="L110" s="17"/>
      <c r="M110" s="17"/>
      <c r="N110" s="17"/>
      <c r="O110" s="2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</row>
    <row r="111" spans="2:31" s="1" customFormat="1"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2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</row>
    <row r="112" spans="2:31" s="9" customFormat="1">
      <c r="B112" s="9" t="s">
        <v>73</v>
      </c>
      <c r="C112" s="18"/>
      <c r="D112" s="18"/>
      <c r="E112" s="18"/>
      <c r="F112" s="18"/>
      <c r="G112" s="18"/>
      <c r="H112" s="18"/>
      <c r="I112" s="18"/>
      <c r="J112" s="18"/>
      <c r="K112" s="18">
        <f>+K98+K100-K90</f>
        <v>4924</v>
      </c>
      <c r="L112" s="18"/>
      <c r="M112" s="18"/>
      <c r="N112" s="18"/>
      <c r="O112" s="2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</row>
    <row r="113" spans="3:31" s="1" customFormat="1"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2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</row>
    <row r="114" spans="3:31" s="1" customFormat="1"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2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</row>
    <row r="115" spans="3:31" s="1" customFormat="1"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2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</row>
    <row r="116" spans="3:31" s="1" customFormat="1"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2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</row>
    <row r="117" spans="3:31" s="1" customFormat="1"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2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</row>
    <row r="118" spans="3:31" s="1" customFormat="1"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2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Brannon, Jameel A.</dc:creator>
  <cp:lastModifiedBy>Brannon, Jameel A.</cp:lastModifiedBy>
  <dcterms:created xsi:type="dcterms:W3CDTF">2022-07-29T18:02:59Z</dcterms:created>
  <dcterms:modified xsi:type="dcterms:W3CDTF">2022-11-10T04:26:56Z</dcterms:modified>
</cp:coreProperties>
</file>