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22472C2B-9F5F-7B49-98FE-2B75F3E2371D}" xr6:coauthVersionLast="47" xr6:coauthVersionMax="47" xr10:uidLastSave="{00000000-0000-0000-0000-000000000000}"/>
  <bookViews>
    <workbookView xWindow="71420" yWindow="1620" windowWidth="51440" windowHeight="26340" xr2:uid="{878FD0CC-54A2-6941-9F93-001B82566C7E}"/>
  </bookViews>
  <sheets>
    <sheet name="Model" sheetId="1" r:id="rId1"/>
    <sheet name="CMG baseline" sheetId="3" r:id="rId2"/>
    <sheet name="Mai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2" i="1" l="1"/>
  <c r="AO41" i="1"/>
  <c r="AO40" i="1"/>
  <c r="AM26" i="1"/>
  <c r="AL26" i="1"/>
  <c r="AO33" i="1"/>
  <c r="AK18" i="1"/>
  <c r="AJ18" i="1"/>
  <c r="AI18" i="1"/>
  <c r="AH18" i="1"/>
  <c r="AG18" i="1"/>
  <c r="AF18" i="1"/>
  <c r="AE18" i="1"/>
  <c r="AD18" i="1"/>
  <c r="AC18" i="1"/>
  <c r="AK17" i="1"/>
  <c r="AJ17" i="1"/>
  <c r="AI17" i="1"/>
  <c r="AH17" i="1"/>
  <c r="AG17" i="1"/>
  <c r="AF17" i="1"/>
  <c r="AE17" i="1"/>
  <c r="AD17" i="1"/>
  <c r="AC17" i="1"/>
  <c r="AK16" i="1"/>
  <c r="AJ16" i="1"/>
  <c r="AI16" i="1"/>
  <c r="AH16" i="1"/>
  <c r="AG16" i="1"/>
  <c r="AF16" i="1"/>
  <c r="AE16" i="1"/>
  <c r="AD16" i="1"/>
  <c r="AC16" i="1"/>
  <c r="AK15" i="1"/>
  <c r="AJ15" i="1"/>
  <c r="AI15" i="1"/>
  <c r="AH15" i="1"/>
  <c r="AG15" i="1"/>
  <c r="AF15" i="1"/>
  <c r="AE15" i="1"/>
  <c r="AD15" i="1"/>
  <c r="AC15" i="1"/>
  <c r="AK14" i="1"/>
  <c r="AJ14" i="1"/>
  <c r="AI14" i="1"/>
  <c r="AH14" i="1"/>
  <c r="AG14" i="1"/>
  <c r="AF14" i="1"/>
  <c r="AE14" i="1"/>
  <c r="AD14" i="1"/>
  <c r="AC14" i="1"/>
  <c r="AK13" i="1"/>
  <c r="AJ13" i="1"/>
  <c r="AI13" i="1"/>
  <c r="AH13" i="1"/>
  <c r="AG13" i="1"/>
  <c r="AF13" i="1"/>
  <c r="AE13" i="1"/>
  <c r="AD13" i="1"/>
  <c r="AC13" i="1"/>
  <c r="AB18" i="1"/>
  <c r="AB17" i="1"/>
  <c r="AB16" i="1"/>
  <c r="AB15" i="1"/>
  <c r="AB14" i="1"/>
  <c r="AB13" i="1"/>
  <c r="AO36" i="1"/>
  <c r="O4" i="1" l="1"/>
  <c r="O6" i="1"/>
  <c r="N9" i="1"/>
  <c r="N38" i="1" s="1"/>
  <c r="P38" i="1"/>
  <c r="O38" i="1"/>
  <c r="O35" i="1"/>
  <c r="O20" i="1"/>
  <c r="O21" i="1" s="1"/>
  <c r="O24" i="1" s="1"/>
  <c r="M64" i="1"/>
  <c r="L64" i="1"/>
  <c r="K64" i="1"/>
  <c r="J64" i="1"/>
  <c r="N64" i="1"/>
  <c r="AK35" i="1"/>
  <c r="N35" i="1"/>
  <c r="N61" i="1"/>
  <c r="N51" i="1"/>
  <c r="AA37" i="1"/>
  <c r="HS2" i="1"/>
  <c r="AK27" i="1"/>
  <c r="AK12" i="1"/>
  <c r="AK19" i="1" s="1"/>
  <c r="AK7" i="1"/>
  <c r="AK6" i="1"/>
  <c r="AK3" i="1"/>
  <c r="AM2" i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AL2" i="1"/>
  <c r="AJ12" i="1"/>
  <c r="AI12" i="1"/>
  <c r="AH12" i="1"/>
  <c r="AG12" i="1"/>
  <c r="AF12" i="1"/>
  <c r="AE12" i="1"/>
  <c r="AD12" i="1"/>
  <c r="AC12" i="1"/>
  <c r="AD7" i="1"/>
  <c r="AE7" i="1" s="1"/>
  <c r="AF7" i="1" s="1"/>
  <c r="AG7" i="1" s="1"/>
  <c r="AH7" i="1" s="1"/>
  <c r="AI7" i="1" s="1"/>
  <c r="AJ7" i="1" s="1"/>
  <c r="AC7" i="1"/>
  <c r="AB12" i="1"/>
  <c r="AO34" i="1"/>
  <c r="AC27" i="1"/>
  <c r="AD27" i="1" s="1"/>
  <c r="AB27" i="1"/>
  <c r="AB19" i="1"/>
  <c r="AB20" i="1"/>
  <c r="AB21" i="1" s="1"/>
  <c r="AB35" i="1"/>
  <c r="AD6" i="1"/>
  <c r="AE6" i="1" s="1"/>
  <c r="AF6" i="1" s="1"/>
  <c r="AG6" i="1" s="1"/>
  <c r="AH6" i="1" s="1"/>
  <c r="AI6" i="1" s="1"/>
  <c r="AJ6" i="1" s="1"/>
  <c r="AC6" i="1"/>
  <c r="AB7" i="1"/>
  <c r="AA7" i="1"/>
  <c r="N7" i="1"/>
  <c r="J7" i="1"/>
  <c r="K7" i="1"/>
  <c r="L7" i="1"/>
  <c r="M7" i="1"/>
  <c r="AB6" i="1"/>
  <c r="AA6" i="1"/>
  <c r="N20" i="1"/>
  <c r="N21" i="1" s="1"/>
  <c r="N25" i="1"/>
  <c r="N22" i="1"/>
  <c r="N23" i="1"/>
  <c r="N19" i="1"/>
  <c r="N18" i="1"/>
  <c r="N17" i="1"/>
  <c r="N16" i="1"/>
  <c r="N15" i="1"/>
  <c r="N14" i="1"/>
  <c r="N13" i="1"/>
  <c r="AA32" i="1"/>
  <c r="Z35" i="1"/>
  <c r="AA35" i="1"/>
  <c r="AA20" i="1"/>
  <c r="AA21" i="1" s="1"/>
  <c r="AA24" i="1" s="1"/>
  <c r="AA26" i="1" s="1"/>
  <c r="K35" i="1"/>
  <c r="AF35" i="1" l="1"/>
  <c r="AB22" i="1"/>
  <c r="AB23" i="1"/>
  <c r="AC19" i="1"/>
  <c r="AD19" i="1" s="1"/>
  <c r="AE19" i="1" s="1"/>
  <c r="AF19" i="1" s="1"/>
  <c r="AG19" i="1" s="1"/>
  <c r="AC35" i="1"/>
  <c r="AD35" i="1"/>
  <c r="AE35" i="1"/>
  <c r="AE27" i="1"/>
  <c r="AA28" i="1"/>
  <c r="C4" i="2"/>
  <c r="J25" i="1"/>
  <c r="J23" i="1"/>
  <c r="J22" i="1"/>
  <c r="J19" i="1"/>
  <c r="J18" i="1"/>
  <c r="J17" i="1"/>
  <c r="J16" i="1"/>
  <c r="J15" i="1"/>
  <c r="J14" i="1"/>
  <c r="J13" i="1"/>
  <c r="Y20" i="1"/>
  <c r="Y21" i="1" s="1"/>
  <c r="Y24" i="1" s="1"/>
  <c r="Y26" i="1" s="1"/>
  <c r="Y28" i="1" s="1"/>
  <c r="Z20" i="1"/>
  <c r="G20" i="1"/>
  <c r="G21" i="1" s="1"/>
  <c r="G24" i="1" s="1"/>
  <c r="G26" i="1" s="1"/>
  <c r="K20" i="1"/>
  <c r="K21" i="1" s="1"/>
  <c r="K24" i="1" s="1"/>
  <c r="L61" i="1"/>
  <c r="L51" i="1"/>
  <c r="H7" i="1"/>
  <c r="H38" i="1"/>
  <c r="L38" i="1"/>
  <c r="L34" i="1"/>
  <c r="L33" i="1"/>
  <c r="L32" i="1"/>
  <c r="H20" i="1"/>
  <c r="H12" i="1"/>
  <c r="L20" i="1"/>
  <c r="L12" i="1"/>
  <c r="AB24" i="1" l="1"/>
  <c r="AB25" i="1" s="1"/>
  <c r="AB26" i="1" s="1"/>
  <c r="O26" i="1" s="1"/>
  <c r="AG35" i="1"/>
  <c r="AC20" i="1"/>
  <c r="AC21" i="1" s="1"/>
  <c r="AF27" i="1"/>
  <c r="K26" i="1"/>
  <c r="L35" i="1"/>
  <c r="Z21" i="1"/>
  <c r="H21" i="1"/>
  <c r="H24" i="1" s="1"/>
  <c r="H26" i="1" s="1"/>
  <c r="H28" i="1" s="1"/>
  <c r="L21" i="1"/>
  <c r="L24" i="1" s="1"/>
  <c r="L26" i="1" s="1"/>
  <c r="L28" i="1" s="1"/>
  <c r="J61" i="1"/>
  <c r="J51" i="1"/>
  <c r="M61" i="1"/>
  <c r="M51" i="1"/>
  <c r="M6" i="1"/>
  <c r="I6" i="1"/>
  <c r="M34" i="1"/>
  <c r="M33" i="1"/>
  <c r="M32" i="1"/>
  <c r="I38" i="1"/>
  <c r="M38" i="1"/>
  <c r="M12" i="1"/>
  <c r="N12" i="1" s="1"/>
  <c r="I12" i="1"/>
  <c r="J12" i="1" s="1"/>
  <c r="I20" i="1"/>
  <c r="J20" i="1" s="1"/>
  <c r="M20" i="1"/>
  <c r="AB3" i="1"/>
  <c r="AC3" i="1" s="1"/>
  <c r="AD3" i="1" s="1"/>
  <c r="AE3" i="1" s="1"/>
  <c r="AF3" i="1" s="1"/>
  <c r="AG3" i="1" s="1"/>
  <c r="AH3" i="1" s="1"/>
  <c r="AI3" i="1" s="1"/>
  <c r="AJ3" i="1" s="1"/>
  <c r="L7" i="2"/>
  <c r="L8" i="2" s="1"/>
  <c r="K6" i="2"/>
  <c r="K9" i="2" s="1"/>
  <c r="AH35" i="1" l="1"/>
  <c r="AH19" i="1"/>
  <c r="AI19" i="1" s="1"/>
  <c r="AD20" i="1"/>
  <c r="AD21" i="1" s="1"/>
  <c r="AC22" i="1"/>
  <c r="AC23" i="1"/>
  <c r="AD23" i="1" s="1"/>
  <c r="AB28" i="1"/>
  <c r="O28" i="1" s="1"/>
  <c r="AG27" i="1"/>
  <c r="N4" i="1"/>
  <c r="N6" i="1" s="1"/>
  <c r="Z24" i="1"/>
  <c r="I7" i="1"/>
  <c r="J4" i="1"/>
  <c r="J6" i="1" s="1"/>
  <c r="K4" i="1" s="1"/>
  <c r="K6" i="1" s="1"/>
  <c r="M35" i="1"/>
  <c r="M21" i="1"/>
  <c r="I21" i="1"/>
  <c r="I24" i="1" s="1"/>
  <c r="I26" i="1" s="1"/>
  <c r="I28" i="1" s="1"/>
  <c r="AD22" i="1" l="1"/>
  <c r="AJ35" i="1"/>
  <c r="AI35" i="1"/>
  <c r="AD24" i="1"/>
  <c r="AC24" i="1"/>
  <c r="AE20" i="1"/>
  <c r="AE21" i="1" s="1"/>
  <c r="AH27" i="1"/>
  <c r="M24" i="1"/>
  <c r="L4" i="1"/>
  <c r="L6" i="1" s="1"/>
  <c r="J21" i="1"/>
  <c r="J24" i="1"/>
  <c r="Z26" i="1"/>
  <c r="AJ19" i="1" l="1"/>
  <c r="AF20" i="1"/>
  <c r="AF21" i="1" s="1"/>
  <c r="AE23" i="1"/>
  <c r="AC25" i="1"/>
  <c r="AD25" i="1" s="1"/>
  <c r="AD26" i="1" s="1"/>
  <c r="AD28" i="1" s="1"/>
  <c r="AE22" i="1"/>
  <c r="AI27" i="1"/>
  <c r="J26" i="1"/>
  <c r="Z28" i="1"/>
  <c r="M26" i="1"/>
  <c r="N24" i="1"/>
  <c r="AF23" i="1" l="1"/>
  <c r="AF22" i="1"/>
  <c r="AC26" i="1"/>
  <c r="AG20" i="1"/>
  <c r="AG21" i="1" s="1"/>
  <c r="AE24" i="1"/>
  <c r="AJ27" i="1"/>
  <c r="M28" i="1"/>
  <c r="N28" i="1" s="1"/>
  <c r="N26" i="1"/>
  <c r="N27" i="1" s="1"/>
  <c r="AF24" i="1" l="1"/>
  <c r="AG22" i="1"/>
  <c r="AE25" i="1"/>
  <c r="AE26" i="1"/>
  <c r="AE28" i="1" s="1"/>
  <c r="AF25" i="1"/>
  <c r="AF26" i="1" s="1"/>
  <c r="AF28" i="1" s="1"/>
  <c r="AH20" i="1"/>
  <c r="AH21" i="1" s="1"/>
  <c r="AH22" i="1" s="1"/>
  <c r="AG23" i="1"/>
  <c r="AG24" i="1" s="1"/>
  <c r="AC28" i="1"/>
  <c r="AI20" i="1" l="1"/>
  <c r="AI21" i="1" s="1"/>
  <c r="AG25" i="1"/>
  <c r="AG26" i="1"/>
  <c r="AH23" i="1"/>
  <c r="AI23" i="1" l="1"/>
  <c r="AJ20" i="1"/>
  <c r="AJ21" i="1" s="1"/>
  <c r="AK20" i="1"/>
  <c r="AK21" i="1" s="1"/>
  <c r="AG28" i="1"/>
  <c r="AH24" i="1"/>
  <c r="AI22" i="1"/>
  <c r="AJ22" i="1" s="1"/>
  <c r="AJ23" i="1" l="1"/>
  <c r="AJ24" i="1"/>
  <c r="AK22" i="1"/>
  <c r="AK23" i="1"/>
  <c r="AH25" i="1"/>
  <c r="AH26" i="1" s="1"/>
  <c r="AI24" i="1"/>
  <c r="AK24" i="1" l="1"/>
  <c r="AI25" i="1"/>
  <c r="AJ25" i="1" s="1"/>
  <c r="AJ26" i="1" s="1"/>
  <c r="AH28" i="1"/>
  <c r="AK25" i="1" l="1"/>
  <c r="AK26" i="1" s="1"/>
  <c r="AK28" i="1" s="1"/>
  <c r="AI26" i="1"/>
  <c r="AJ28" i="1"/>
  <c r="AN26" i="1" l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Z26" i="1" s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HO26" i="1" s="1"/>
  <c r="HP26" i="1" s="1"/>
  <c r="HQ26" i="1" s="1"/>
  <c r="HR26" i="1" s="1"/>
  <c r="HS26" i="1" s="1"/>
  <c r="AI28" i="1"/>
  <c r="AO35" i="1" l="1"/>
  <c r="AO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tc={5B148B8B-1C7E-C34B-ADAB-3DE6D4BECBF6}</author>
    <author>tc={EA3921EB-6ECE-CB4B-A448-F6CFBB4F3446}</author>
    <author>tc={2B8F2534-1559-DB4D-BF6B-8A105400B28F}</author>
  </authors>
  <commentList>
    <comment ref="N5" authorId="0" shapeId="0" xr:uid="{5B148B8B-1C7E-C34B-ADAB-3DE6D4BECBF6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  <comment ref="O5" authorId="1" shapeId="0" xr:uid="{EA3921EB-6ECE-CB4B-A448-F6CFBB4F3446}">
      <text>
        <t>[Threaded comment]
Your version of Excel allows you to read this threaded comment; however, any edits to it will get removed if the file is opened in a newer version of Excel. Learn more: https://go.microsoft.com/fwlink/?linkid=870924
Comment:
    OPENED 15, 1 CLOSED</t>
      </text>
    </comment>
    <comment ref="AB12" authorId="2" shapeId="0" xr:uid="{2B8F2534-1559-DB4D-BF6B-8A105400B2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Guidance was sss growth of 3-5%, additional growth assumes new stores could get 2000 per unit </t>
      </text>
    </comment>
  </commentList>
</comments>
</file>

<file path=xl/sharedStrings.xml><?xml version="1.0" encoding="utf-8"?>
<sst xmlns="http://schemas.openxmlformats.org/spreadsheetml/2006/main" count="124" uniqueCount="109">
  <si>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</si>
  <si>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</si>
  <si>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</si>
  <si>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</si>
  <si>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</si>
  <si>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</si>
  <si>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</si>
  <si>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</si>
  <si>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</si>
  <si>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</si>
  <si>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</si>
  <si>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</si>
  <si>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</si>
  <si>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</si>
  <si>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</si>
  <si>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</si>
  <si>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</si>
  <si>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Shares</t>
  </si>
  <si>
    <t>MC</t>
  </si>
  <si>
    <t>Cash</t>
  </si>
  <si>
    <t>Debt</t>
  </si>
  <si>
    <t>EV</t>
  </si>
  <si>
    <t>Q3'23</t>
  </si>
  <si>
    <t>Press releases</t>
  </si>
  <si>
    <t>Founded</t>
  </si>
  <si>
    <t>Openings</t>
  </si>
  <si>
    <t>Revenue</t>
  </si>
  <si>
    <t>Food, Beverage, Packaging</t>
  </si>
  <si>
    <t>Labor</t>
  </si>
  <si>
    <t>Occupancy</t>
  </si>
  <si>
    <t>Other Opex</t>
  </si>
  <si>
    <t>G&amp;A</t>
  </si>
  <si>
    <t>D&amp;A</t>
  </si>
  <si>
    <t>Pre-opening vosts</t>
  </si>
  <si>
    <t>Total Opex</t>
  </si>
  <si>
    <t>Operating Income</t>
  </si>
  <si>
    <t>Other income</t>
  </si>
  <si>
    <t>EBT</t>
  </si>
  <si>
    <t>Taxes</t>
  </si>
  <si>
    <t>Net Income</t>
  </si>
  <si>
    <t>Diluted</t>
  </si>
  <si>
    <t>EPS</t>
  </si>
  <si>
    <t>$K</t>
  </si>
  <si>
    <t>Interest (Income)</t>
  </si>
  <si>
    <t>Zoes Kitchen</t>
  </si>
  <si>
    <t>Other</t>
  </si>
  <si>
    <t>CAVA</t>
  </si>
  <si>
    <t>Margins</t>
  </si>
  <si>
    <t>RPU</t>
  </si>
  <si>
    <t>Growth Analysis</t>
  </si>
  <si>
    <t>Beginning</t>
  </si>
  <si>
    <t>Net CAVA Units</t>
  </si>
  <si>
    <t>TL + E</t>
  </si>
  <si>
    <t>A/P</t>
  </si>
  <si>
    <t>Accrued E</t>
  </si>
  <si>
    <t>Op lease</t>
  </si>
  <si>
    <t>Deferred I/T</t>
  </si>
  <si>
    <t>Op Lease</t>
  </si>
  <si>
    <t>OLTL</t>
  </si>
  <si>
    <t>E</t>
  </si>
  <si>
    <t>TA</t>
  </si>
  <si>
    <t>Trade A/R</t>
  </si>
  <si>
    <t>OCR</t>
  </si>
  <si>
    <t>Inventories</t>
  </si>
  <si>
    <t>Prepaid E</t>
  </si>
  <si>
    <t>PPE</t>
  </si>
  <si>
    <t>Goodwill</t>
  </si>
  <si>
    <t>Intangibles</t>
  </si>
  <si>
    <t>OLTA</t>
  </si>
  <si>
    <t>Preferred Stock</t>
  </si>
  <si>
    <t xml:space="preserve"> </t>
  </si>
  <si>
    <t>Q2'23</t>
  </si>
  <si>
    <t>S1 Filing</t>
  </si>
  <si>
    <t>About</t>
  </si>
  <si>
    <t>Founders</t>
  </si>
  <si>
    <t>Ted Xenohristos, Ike Grigoropoulos, Dimitri Moshovitis</t>
  </si>
  <si>
    <t xml:space="preserve">2018 Cava group acquires Zoes  Kitchen $300m cash deal </t>
  </si>
  <si>
    <t>2021 series F funding round $190m led by T. Rowe Price - $1.3B valuation</t>
  </si>
  <si>
    <t>Dec 2022 company reduced the number of Zoe's kitchen locations</t>
  </si>
  <si>
    <t>As of May 2023 all Zoe's kitchen units have been closed, many replaced by cava</t>
  </si>
  <si>
    <t>IPO Date</t>
  </si>
  <si>
    <t>IPO Price</t>
  </si>
  <si>
    <t xml:space="preserve">Years Ago </t>
  </si>
  <si>
    <t>IPO Shares (k)</t>
  </si>
  <si>
    <t xml:space="preserve">Chipotle growth </t>
  </si>
  <si>
    <t>Food type | Mediterranean</t>
  </si>
  <si>
    <t>Chipotle</t>
  </si>
  <si>
    <t>Ingredients</t>
  </si>
  <si>
    <t>Units</t>
  </si>
  <si>
    <t xml:space="preserve">Terminal </t>
  </si>
  <si>
    <t>Discount</t>
  </si>
  <si>
    <t>NPV</t>
  </si>
  <si>
    <t>Estimate</t>
  </si>
  <si>
    <t>Upside</t>
  </si>
  <si>
    <t>Current</t>
  </si>
  <si>
    <t xml:space="preserve">Cash </t>
  </si>
  <si>
    <t>Total Debt</t>
  </si>
  <si>
    <t>CR</t>
  </si>
  <si>
    <t xml:space="preserve">Total Revenue </t>
  </si>
  <si>
    <t xml:space="preserve">Food, beverage, packaging </t>
  </si>
  <si>
    <t>Other op costs</t>
  </si>
  <si>
    <t>Pre-opening costs</t>
  </si>
  <si>
    <t>MODELING AFTER CHIPOTLE  -- SAME APPROAH FOR SWEETGREENS</t>
  </si>
  <si>
    <t>modeled to mimic CMG --- this is best case scenario modeling</t>
  </si>
  <si>
    <t>Pess Releases</t>
  </si>
  <si>
    <t xml:space="preserve">CEO </t>
  </si>
  <si>
    <t>Brett Schulman</t>
  </si>
  <si>
    <t>EV/24E</t>
  </si>
  <si>
    <t>EV/25E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</si>
</sst>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>
    <font>
      <sz val="10"/>
      <color theme="1"/>
      <name val="ArialMT"/>
      <family val="2"/>
    </font>
    <font>
      <u/>
      <sz val="10"/>
      <color theme="10"/>
      <name val="ArialMT"/>
      <family val="2"/>
    </font>
    <font>
      <b/>
      <sz val="10"/>
      <color theme="1"/>
      <name val="ArialMT"/>
    </font>
    <font>
      <b/>
      <u/>
      <sz val="10"/>
      <color theme="1"/>
      <name val="ArialMT"/>
    </font>
    <font>
      <sz val="10"/>
      <color rgb="FF000000"/>
      <name val="Tahoma"/>
      <family val="2"/>
    </font>
    <font>
      <sz val="10"/>
      <color theme="1"/>
      <name val="ArialMT"/>
    </font>
    <font>
      <b/>
      <sz val="10"/>
      <color theme="1"/>
      <name val="Intel Clear"/>
      <family val="2"/>
    </font>
    <font>
      <i/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3" fontId="1" fillId="0" borderId="0" xfId="1" applyNumberFormat="1"/>
    <xf numFmtId="1" fontId="0" fillId="0" borderId="0" xfId="0" applyNumberFormat="1"/>
    <xf numFmtId="3" fontId="2" fillId="0" borderId="0" xfId="0" applyNumberFormat="1" applyFont="1"/>
    <xf numFmtId="9" fontId="0" fillId="0" borderId="0" xfId="0" applyNumberFormat="1"/>
    <xf numFmtId="14" fontId="0" fillId="0" borderId="0" xfId="0" applyNumberFormat="1"/>
    <xf numFmtId="3" fontId="3" fillId="0" borderId="0" xfId="0" applyNumberFormat="1" applyFont="1"/>
    <xf numFmtId="3" fontId="5" fillId="0" borderId="0" xfId="0" applyNumberFormat="1" applyFont="1"/>
    <xf numFmtId="8" fontId="0" fillId="0" borderId="0" xfId="0" applyNumberFormat="1"/>
    <xf numFmtId="9" fontId="2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2" fontId="5" fillId="0" borderId="0" xfId="0" applyNumberFormat="1" applyFont="1"/>
    <xf numFmtId="1" fontId="6" fillId="0" borderId="0" xfId="0" applyNumberFormat="1" applyFont="1" applyAlignment="1">
      <alignment horizontal="left"/>
    </xf>
    <xf numFmtId="10" fontId="0" fillId="0" borderId="0" xfId="0" applyNumberFormat="1"/>
    <xf numFmtId="3" fontId="7" fillId="0" borderId="0" xfId="0" applyNumberFormat="1" applyFont="1" applyAlignment="1">
      <alignment horizontal="center"/>
    </xf>
    <xf numFmtId="14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15583</xdr:colOff>
      <xdr:row>0</xdr:row>
      <xdr:rowOff>0</xdr:rowOff>
    </xdr:from>
    <xdr:to>
      <xdr:col>15</xdr:col>
      <xdr:colOff>66383</xdr:colOff>
      <xdr:row>93</xdr:row>
      <xdr:rowOff>50800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90A3B41-1D02-33C8-8271-1D1014BFE8FD}"/>
            </a:ext>
          </a:extLst>
        </xdr:cNvPr>
        <xdr:cNvCxnSpPr/>
      </xdr:nvCxnSpPr>
      <xdr:spPr>
        <a:xfrm>
          <a:off x="9022454" y="0"/>
          <a:ext cx="50800" cy="152674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60960</xdr:colOff>
      <xdr:row>0</xdr:row>
      <xdr:rowOff>0</xdr:rowOff>
    </xdr:from>
    <xdr:to>
      <xdr:col>27</xdr:col>
      <xdr:colOff>81280</xdr:colOff>
      <xdr:row>74</xdr:row>
      <xdr:rowOff>101600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A113C29-7241-5C4F-B755-C51914577D7E}"/>
            </a:ext>
          </a:extLst>
        </xdr:cNvPr>
        <xdr:cNvCxnSpPr/>
      </xdr:nvCxnSpPr>
      <xdr:spPr>
        <a:xfrm>
          <a:off x="15494000" y="0"/>
          <a:ext cx="20320" cy="1245616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BF0B73FB-DEEF-BF4D-99B2-F243EF92EA4B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4-02-17T03:26:34.29" personId="{BF0B73FB-DEEF-BF4D-99B2-F243EF92EA4B}" id="{5B148B8B-1C7E-C34B-ADAB-3DE6D4BECBF6}">
    <text>Guidance</text>
  </threadedComment>
  <threadedComment ref="O5" dT="2024-08-19T00:51:22.44" personId="{BF0B73FB-DEEF-BF4D-99B2-F243EF92EA4B}" id="{EA3921EB-6ECE-CB4B-A448-F6CFBB4F3446}">
    <text>OPENED 15, 1 CLOSED</text>
  </threadedComment>
  <threadedComment ref="AB12" dT="2024-04-10T01:56:32.24" personId="{BF0B73FB-DEEF-BF4D-99B2-F243EF92EA4B}" id="{2B8F2534-1559-DB4D-BF6B-8A105400B28F}">
    <text xml:space="preserve">Guidance was sss growth of 3-5%, additional growth assumes new stores could get 2000 per unit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1639438/000162828023018945/cava-sx1.htm" TargetMode="External"/><Relationship Id="rId2" Type="http://schemas.openxmlformats.org/officeDocument/2006/relationships/hyperlink" Target="https://s202.q4cdn.com/514401993/files/doc_events/CAVA-Group-Reports-Second-Quarter-2023-Results.pdf" TargetMode="External"/><Relationship Id="rId1" Type="http://schemas.openxmlformats.org/officeDocument/2006/relationships/hyperlink" Target="https://s202.q4cdn.com/514401993/files/doc_news/2023/CAVA-Group-Reports-Third-Quarter-2023-Results.pdf" TargetMode="External"/><Relationship Id="rId4" Type="http://schemas.openxmlformats.org/officeDocument/2006/relationships/hyperlink" Target="https://investor.cava.com/news/news-details/2024/CAVA-Debuts-Mediterranean-Inspired-Grilled-Steak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C40D-95F0-884D-B037-235F465D5282}">
  <dimension ref="A2:HS66"/>
  <sheetViews>
    <sheetView tabSelected="1" zoomScale="163" zoomScaleNormal="80" workbookViewId="0">
      <pane xSplit="2" ySplit="3" topLeftCell="AD4" activePane="bottomRight" state="frozen"/>
      <selection pane="topRight" activeCell="C1" sqref="C1"/>
      <selection pane="bottomLeft" activeCell="A3" sqref="A3"/>
      <selection pane="bottomRight" activeCell="AO33" sqref="AO33"/>
    </sheetView>
  </sheetViews>
  <sheetFormatPr baseColWidth="10" defaultRowHeight="13"/>
  <cols>
    <col min="1" max="1" width="3.33203125" style="1" bestFit="1" customWidth="1"/>
    <col min="2" max="2" width="23.1640625" style="1" bestFit="1" customWidth="1"/>
    <col min="3" max="6" width="5.5" style="1" bestFit="1" customWidth="1"/>
    <col min="7" max="9" width="7.6640625" style="1" bestFit="1" customWidth="1"/>
    <col min="10" max="10" width="8.1640625" style="1" bestFit="1" customWidth="1"/>
    <col min="11" max="15" width="7.6640625" style="1" bestFit="1" customWidth="1"/>
    <col min="16" max="18" width="5.5" style="1" bestFit="1" customWidth="1"/>
    <col min="19" max="19" width="10.83203125" style="1"/>
    <col min="20" max="21" width="6.6640625" style="1" bestFit="1" customWidth="1"/>
    <col min="22" max="28" width="7.6640625" style="1" bestFit="1" customWidth="1"/>
    <col min="29" max="36" width="9.1640625" style="1" bestFit="1" customWidth="1"/>
    <col min="37" max="37" width="10.1640625" style="1" bestFit="1" customWidth="1"/>
    <col min="38" max="38" width="9.1640625" style="1" bestFit="1" customWidth="1"/>
    <col min="39" max="39" width="13.1640625" style="1" bestFit="1" customWidth="1"/>
    <col min="40" max="40" width="7.6640625" style="1" bestFit="1" customWidth="1"/>
    <col min="41" max="41" width="14.1640625" style="1" bestFit="1" customWidth="1"/>
    <col min="42" max="169" width="7.6640625" style="1" bestFit="1" customWidth="1"/>
    <col min="170" max="226" width="9.1640625" style="1" bestFit="1" customWidth="1"/>
    <col min="227" max="16384" width="10.83203125" style="1"/>
  </cols>
  <sheetData>
    <row r="2" spans="1:227" s="3" customFormat="1">
      <c r="G2" s="3">
        <v>44752</v>
      </c>
      <c r="H2" s="3">
        <v>44836</v>
      </c>
      <c r="I2" s="3">
        <v>44836</v>
      </c>
      <c r="J2" s="3">
        <v>44920</v>
      </c>
      <c r="K2" s="3">
        <v>45032</v>
      </c>
      <c r="L2" s="3">
        <v>45116</v>
      </c>
      <c r="M2" s="3">
        <v>45200</v>
      </c>
      <c r="N2" s="3">
        <v>45349</v>
      </c>
      <c r="AK2" s="3">
        <v>10</v>
      </c>
      <c r="AL2" s="3">
        <f>+AK2+1</f>
        <v>11</v>
      </c>
      <c r="AM2" s="3">
        <f t="shared" ref="AM2:CX2" si="0">+AL2+1</f>
        <v>12</v>
      </c>
      <c r="AN2" s="3">
        <f t="shared" si="0"/>
        <v>13</v>
      </c>
      <c r="AO2" s="3">
        <f t="shared" si="0"/>
        <v>14</v>
      </c>
      <c r="AP2" s="3">
        <f t="shared" si="0"/>
        <v>15</v>
      </c>
      <c r="AQ2" s="3">
        <f t="shared" si="0"/>
        <v>16</v>
      </c>
      <c r="AR2" s="3">
        <f t="shared" si="0"/>
        <v>17</v>
      </c>
      <c r="AS2" s="3">
        <f t="shared" si="0"/>
        <v>18</v>
      </c>
      <c r="AT2" s="3">
        <f t="shared" si="0"/>
        <v>19</v>
      </c>
      <c r="AU2" s="3">
        <f t="shared" si="0"/>
        <v>20</v>
      </c>
      <c r="AV2" s="3">
        <f t="shared" si="0"/>
        <v>21</v>
      </c>
      <c r="AW2" s="3">
        <f t="shared" si="0"/>
        <v>22</v>
      </c>
      <c r="AX2" s="3">
        <f t="shared" si="0"/>
        <v>23</v>
      </c>
      <c r="AY2" s="3">
        <f t="shared" si="0"/>
        <v>24</v>
      </c>
      <c r="AZ2" s="3">
        <f t="shared" si="0"/>
        <v>25</v>
      </c>
      <c r="BA2" s="3">
        <f t="shared" si="0"/>
        <v>26</v>
      </c>
      <c r="BB2" s="3">
        <f t="shared" si="0"/>
        <v>27</v>
      </c>
      <c r="BC2" s="3">
        <f t="shared" si="0"/>
        <v>28</v>
      </c>
      <c r="BD2" s="3">
        <f t="shared" si="0"/>
        <v>29</v>
      </c>
      <c r="BE2" s="3">
        <f t="shared" si="0"/>
        <v>30</v>
      </c>
      <c r="BF2" s="3">
        <f t="shared" si="0"/>
        <v>31</v>
      </c>
      <c r="BG2" s="3">
        <f t="shared" si="0"/>
        <v>32</v>
      </c>
      <c r="BH2" s="3">
        <f t="shared" si="0"/>
        <v>33</v>
      </c>
      <c r="BI2" s="3">
        <f t="shared" si="0"/>
        <v>34</v>
      </c>
      <c r="BJ2" s="3">
        <f t="shared" si="0"/>
        <v>35</v>
      </c>
      <c r="BK2" s="3">
        <f t="shared" si="0"/>
        <v>36</v>
      </c>
      <c r="BL2" s="3">
        <f t="shared" si="0"/>
        <v>37</v>
      </c>
      <c r="BM2" s="3">
        <f t="shared" si="0"/>
        <v>38</v>
      </c>
      <c r="BN2" s="3">
        <f t="shared" si="0"/>
        <v>39</v>
      </c>
      <c r="BO2" s="3">
        <f t="shared" si="0"/>
        <v>40</v>
      </c>
      <c r="BP2" s="3">
        <f t="shared" si="0"/>
        <v>41</v>
      </c>
      <c r="BQ2" s="3">
        <f t="shared" si="0"/>
        <v>42</v>
      </c>
      <c r="BR2" s="3">
        <f t="shared" si="0"/>
        <v>43</v>
      </c>
      <c r="BS2" s="3">
        <f t="shared" si="0"/>
        <v>44</v>
      </c>
      <c r="BT2" s="3">
        <f t="shared" si="0"/>
        <v>45</v>
      </c>
      <c r="BU2" s="3">
        <f t="shared" si="0"/>
        <v>46</v>
      </c>
      <c r="BV2" s="3">
        <f t="shared" si="0"/>
        <v>47</v>
      </c>
      <c r="BW2" s="3">
        <f t="shared" si="0"/>
        <v>48</v>
      </c>
      <c r="BX2" s="3">
        <f t="shared" si="0"/>
        <v>49</v>
      </c>
      <c r="BY2" s="3">
        <f t="shared" si="0"/>
        <v>50</v>
      </c>
      <c r="BZ2" s="3">
        <f t="shared" si="0"/>
        <v>51</v>
      </c>
      <c r="CA2" s="3">
        <f t="shared" si="0"/>
        <v>52</v>
      </c>
      <c r="CB2" s="3">
        <f t="shared" si="0"/>
        <v>53</v>
      </c>
      <c r="CC2" s="3">
        <f t="shared" si="0"/>
        <v>54</v>
      </c>
      <c r="CD2" s="3">
        <f t="shared" si="0"/>
        <v>55</v>
      </c>
      <c r="CE2" s="3">
        <f t="shared" si="0"/>
        <v>56</v>
      </c>
      <c r="CF2" s="3">
        <f t="shared" si="0"/>
        <v>57</v>
      </c>
      <c r="CG2" s="3">
        <f t="shared" si="0"/>
        <v>58</v>
      </c>
      <c r="CH2" s="3">
        <f t="shared" si="0"/>
        <v>59</v>
      </c>
      <c r="CI2" s="3">
        <f t="shared" si="0"/>
        <v>60</v>
      </c>
      <c r="CJ2" s="3">
        <f t="shared" si="0"/>
        <v>61</v>
      </c>
      <c r="CK2" s="3">
        <f t="shared" si="0"/>
        <v>62</v>
      </c>
      <c r="CL2" s="3">
        <f t="shared" si="0"/>
        <v>63</v>
      </c>
      <c r="CM2" s="3">
        <f t="shared" si="0"/>
        <v>64</v>
      </c>
      <c r="CN2" s="3">
        <f t="shared" si="0"/>
        <v>65</v>
      </c>
      <c r="CO2" s="3">
        <f t="shared" si="0"/>
        <v>66</v>
      </c>
      <c r="CP2" s="3">
        <f t="shared" si="0"/>
        <v>67</v>
      </c>
      <c r="CQ2" s="3">
        <f t="shared" si="0"/>
        <v>68</v>
      </c>
      <c r="CR2" s="3">
        <f t="shared" si="0"/>
        <v>69</v>
      </c>
      <c r="CS2" s="3">
        <f t="shared" si="0"/>
        <v>70</v>
      </c>
      <c r="CT2" s="3">
        <f t="shared" si="0"/>
        <v>71</v>
      </c>
      <c r="CU2" s="3">
        <f t="shared" si="0"/>
        <v>72</v>
      </c>
      <c r="CV2" s="3">
        <f t="shared" si="0"/>
        <v>73</v>
      </c>
      <c r="CW2" s="3">
        <f t="shared" si="0"/>
        <v>74</v>
      </c>
      <c r="CX2" s="3">
        <f t="shared" si="0"/>
        <v>75</v>
      </c>
      <c r="CY2" s="3">
        <f t="shared" ref="CY2:FJ2" si="1">+CX2+1</f>
        <v>76</v>
      </c>
      <c r="CZ2" s="3">
        <f t="shared" si="1"/>
        <v>77</v>
      </c>
      <c r="DA2" s="3">
        <f t="shared" si="1"/>
        <v>78</v>
      </c>
      <c r="DB2" s="3">
        <f t="shared" si="1"/>
        <v>79</v>
      </c>
      <c r="DC2" s="3">
        <f t="shared" si="1"/>
        <v>80</v>
      </c>
      <c r="DD2" s="3">
        <f t="shared" si="1"/>
        <v>81</v>
      </c>
      <c r="DE2" s="3">
        <f t="shared" si="1"/>
        <v>82</v>
      </c>
      <c r="DF2" s="3">
        <f t="shared" si="1"/>
        <v>83</v>
      </c>
      <c r="DG2" s="3">
        <f t="shared" si="1"/>
        <v>84</v>
      </c>
      <c r="DH2" s="3">
        <f t="shared" si="1"/>
        <v>85</v>
      </c>
      <c r="DI2" s="3">
        <f t="shared" si="1"/>
        <v>86</v>
      </c>
      <c r="DJ2" s="3">
        <f t="shared" si="1"/>
        <v>87</v>
      </c>
      <c r="DK2" s="3">
        <f t="shared" si="1"/>
        <v>88</v>
      </c>
      <c r="DL2" s="3">
        <f t="shared" si="1"/>
        <v>89</v>
      </c>
      <c r="DM2" s="3">
        <f t="shared" si="1"/>
        <v>90</v>
      </c>
      <c r="DN2" s="3">
        <f t="shared" si="1"/>
        <v>91</v>
      </c>
      <c r="DO2" s="3">
        <f t="shared" si="1"/>
        <v>92</v>
      </c>
      <c r="DP2" s="3">
        <f t="shared" si="1"/>
        <v>93</v>
      </c>
      <c r="DQ2" s="3">
        <f t="shared" si="1"/>
        <v>94</v>
      </c>
      <c r="DR2" s="3">
        <f t="shared" si="1"/>
        <v>95</v>
      </c>
      <c r="DS2" s="3">
        <f t="shared" si="1"/>
        <v>96</v>
      </c>
      <c r="DT2" s="3">
        <f t="shared" si="1"/>
        <v>97</v>
      </c>
      <c r="DU2" s="3">
        <f t="shared" si="1"/>
        <v>98</v>
      </c>
      <c r="DV2" s="3">
        <f t="shared" si="1"/>
        <v>99</v>
      </c>
      <c r="DW2" s="3">
        <f t="shared" si="1"/>
        <v>100</v>
      </c>
      <c r="DX2" s="3">
        <f t="shared" si="1"/>
        <v>101</v>
      </c>
      <c r="DY2" s="3">
        <f t="shared" si="1"/>
        <v>102</v>
      </c>
      <c r="DZ2" s="3">
        <f t="shared" si="1"/>
        <v>103</v>
      </c>
      <c r="EA2" s="3">
        <f t="shared" si="1"/>
        <v>104</v>
      </c>
      <c r="EB2" s="3">
        <f t="shared" si="1"/>
        <v>105</v>
      </c>
      <c r="EC2" s="3">
        <f t="shared" si="1"/>
        <v>106</v>
      </c>
      <c r="ED2" s="3">
        <f t="shared" si="1"/>
        <v>107</v>
      </c>
      <c r="EE2" s="3">
        <f t="shared" si="1"/>
        <v>108</v>
      </c>
      <c r="EF2" s="3">
        <f t="shared" si="1"/>
        <v>109</v>
      </c>
      <c r="EG2" s="3">
        <f t="shared" si="1"/>
        <v>110</v>
      </c>
      <c r="EH2" s="3">
        <f t="shared" si="1"/>
        <v>111</v>
      </c>
      <c r="EI2" s="3">
        <f t="shared" si="1"/>
        <v>112</v>
      </c>
      <c r="EJ2" s="3">
        <f t="shared" si="1"/>
        <v>113</v>
      </c>
      <c r="EK2" s="3">
        <f t="shared" si="1"/>
        <v>114</v>
      </c>
      <c r="EL2" s="3">
        <f t="shared" si="1"/>
        <v>115</v>
      </c>
      <c r="EM2" s="3">
        <f t="shared" si="1"/>
        <v>116</v>
      </c>
      <c r="EN2" s="3">
        <f t="shared" si="1"/>
        <v>117</v>
      </c>
      <c r="EO2" s="3">
        <f t="shared" si="1"/>
        <v>118</v>
      </c>
      <c r="EP2" s="3">
        <f t="shared" si="1"/>
        <v>119</v>
      </c>
      <c r="EQ2" s="3">
        <f t="shared" si="1"/>
        <v>120</v>
      </c>
      <c r="ER2" s="3">
        <f t="shared" si="1"/>
        <v>121</v>
      </c>
      <c r="ES2" s="3">
        <f t="shared" si="1"/>
        <v>122</v>
      </c>
      <c r="ET2" s="3">
        <f t="shared" si="1"/>
        <v>123</v>
      </c>
      <c r="EU2" s="3">
        <f t="shared" si="1"/>
        <v>124</v>
      </c>
      <c r="EV2" s="3">
        <f t="shared" si="1"/>
        <v>125</v>
      </c>
      <c r="EW2" s="3">
        <f t="shared" si="1"/>
        <v>126</v>
      </c>
      <c r="EX2" s="3">
        <f t="shared" si="1"/>
        <v>127</v>
      </c>
      <c r="EY2" s="3">
        <f t="shared" si="1"/>
        <v>128</v>
      </c>
      <c r="EZ2" s="3">
        <f t="shared" si="1"/>
        <v>129</v>
      </c>
      <c r="FA2" s="3">
        <f t="shared" si="1"/>
        <v>130</v>
      </c>
      <c r="FB2" s="3">
        <f t="shared" si="1"/>
        <v>131</v>
      </c>
      <c r="FC2" s="3">
        <f t="shared" si="1"/>
        <v>132</v>
      </c>
      <c r="FD2" s="3">
        <f t="shared" si="1"/>
        <v>133</v>
      </c>
      <c r="FE2" s="3">
        <f t="shared" si="1"/>
        <v>134</v>
      </c>
      <c r="FF2" s="3">
        <f t="shared" si="1"/>
        <v>135</v>
      </c>
      <c r="FG2" s="3">
        <f t="shared" si="1"/>
        <v>136</v>
      </c>
      <c r="FH2" s="3">
        <f t="shared" si="1"/>
        <v>137</v>
      </c>
      <c r="FI2" s="3">
        <f t="shared" si="1"/>
        <v>138</v>
      </c>
      <c r="FJ2" s="3">
        <f t="shared" si="1"/>
        <v>139</v>
      </c>
      <c r="FK2" s="3">
        <f t="shared" ref="FK2:HP2" si="2">+FJ2+1</f>
        <v>140</v>
      </c>
      <c r="FL2" s="3">
        <f t="shared" si="2"/>
        <v>141</v>
      </c>
      <c r="FM2" s="3">
        <f t="shared" si="2"/>
        <v>142</v>
      </c>
      <c r="FN2" s="3">
        <f t="shared" si="2"/>
        <v>143</v>
      </c>
      <c r="FO2" s="3">
        <f t="shared" si="2"/>
        <v>144</v>
      </c>
      <c r="FP2" s="3">
        <f t="shared" si="2"/>
        <v>145</v>
      </c>
      <c r="FQ2" s="3">
        <f t="shared" si="2"/>
        <v>146</v>
      </c>
      <c r="FR2" s="3">
        <f t="shared" si="2"/>
        <v>147</v>
      </c>
      <c r="FS2" s="3">
        <f t="shared" si="2"/>
        <v>148</v>
      </c>
      <c r="FT2" s="3">
        <f t="shared" si="2"/>
        <v>149</v>
      </c>
      <c r="FU2" s="3">
        <f t="shared" si="2"/>
        <v>150</v>
      </c>
      <c r="FV2" s="3">
        <f t="shared" si="2"/>
        <v>151</v>
      </c>
      <c r="FW2" s="3">
        <f t="shared" si="2"/>
        <v>152</v>
      </c>
      <c r="FX2" s="3">
        <f t="shared" si="2"/>
        <v>153</v>
      </c>
      <c r="FY2" s="3">
        <f t="shared" si="2"/>
        <v>154</v>
      </c>
      <c r="FZ2" s="3">
        <f t="shared" si="2"/>
        <v>155</v>
      </c>
      <c r="GA2" s="3">
        <f t="shared" si="2"/>
        <v>156</v>
      </c>
      <c r="GB2" s="3">
        <f t="shared" si="2"/>
        <v>157</v>
      </c>
      <c r="GC2" s="3">
        <f t="shared" si="2"/>
        <v>158</v>
      </c>
      <c r="GD2" s="3">
        <f t="shared" si="2"/>
        <v>159</v>
      </c>
      <c r="GE2" s="3">
        <f t="shared" si="2"/>
        <v>160</v>
      </c>
      <c r="GF2" s="3">
        <f t="shared" si="2"/>
        <v>161</v>
      </c>
      <c r="GG2" s="3">
        <f t="shared" si="2"/>
        <v>162</v>
      </c>
      <c r="GH2" s="3">
        <f t="shared" si="2"/>
        <v>163</v>
      </c>
      <c r="GI2" s="3">
        <f t="shared" si="2"/>
        <v>164</v>
      </c>
      <c r="GJ2" s="3">
        <f t="shared" si="2"/>
        <v>165</v>
      </c>
      <c r="GK2" s="3">
        <f t="shared" si="2"/>
        <v>166</v>
      </c>
      <c r="GL2" s="3">
        <f t="shared" si="2"/>
        <v>167</v>
      </c>
      <c r="GM2" s="3">
        <f t="shared" si="2"/>
        <v>168</v>
      </c>
      <c r="GN2" s="3">
        <f t="shared" si="2"/>
        <v>169</v>
      </c>
      <c r="GO2" s="3">
        <f t="shared" si="2"/>
        <v>170</v>
      </c>
      <c r="GP2" s="3">
        <f t="shared" si="2"/>
        <v>171</v>
      </c>
      <c r="GQ2" s="3">
        <f t="shared" si="2"/>
        <v>172</v>
      </c>
      <c r="GR2" s="3">
        <f t="shared" si="2"/>
        <v>173</v>
      </c>
      <c r="GS2" s="3">
        <f t="shared" si="2"/>
        <v>174</v>
      </c>
      <c r="GT2" s="3">
        <f t="shared" si="2"/>
        <v>175</v>
      </c>
      <c r="GU2" s="3">
        <f t="shared" si="2"/>
        <v>176</v>
      </c>
      <c r="GV2" s="3">
        <f t="shared" si="2"/>
        <v>177</v>
      </c>
      <c r="GW2" s="3">
        <f t="shared" si="2"/>
        <v>178</v>
      </c>
      <c r="GX2" s="3">
        <f t="shared" si="2"/>
        <v>179</v>
      </c>
      <c r="GY2" s="3">
        <f t="shared" si="2"/>
        <v>180</v>
      </c>
      <c r="GZ2" s="3">
        <f t="shared" si="2"/>
        <v>181</v>
      </c>
      <c r="HA2" s="3">
        <f t="shared" si="2"/>
        <v>182</v>
      </c>
      <c r="HB2" s="3">
        <f t="shared" si="2"/>
        <v>183</v>
      </c>
      <c r="HC2" s="3">
        <f t="shared" si="2"/>
        <v>184</v>
      </c>
      <c r="HD2" s="3">
        <f t="shared" si="2"/>
        <v>185</v>
      </c>
      <c r="HE2" s="3">
        <f t="shared" si="2"/>
        <v>186</v>
      </c>
      <c r="HF2" s="3">
        <f t="shared" si="2"/>
        <v>187</v>
      </c>
      <c r="HG2" s="3">
        <f t="shared" si="2"/>
        <v>188</v>
      </c>
      <c r="HH2" s="3">
        <f t="shared" si="2"/>
        <v>189</v>
      </c>
      <c r="HI2" s="3">
        <f t="shared" si="2"/>
        <v>190</v>
      </c>
      <c r="HJ2" s="3">
        <f t="shared" si="2"/>
        <v>191</v>
      </c>
      <c r="HK2" s="3">
        <f t="shared" si="2"/>
        <v>192</v>
      </c>
      <c r="HL2" s="3">
        <f t="shared" si="2"/>
        <v>193</v>
      </c>
      <c r="HM2" s="3">
        <f t="shared" si="2"/>
        <v>194</v>
      </c>
      <c r="HN2" s="3">
        <f t="shared" si="2"/>
        <v>195</v>
      </c>
      <c r="HO2" s="3">
        <f t="shared" si="2"/>
        <v>196</v>
      </c>
      <c r="HP2" s="3">
        <f t="shared" si="2"/>
        <v>197</v>
      </c>
      <c r="HQ2" s="3">
        <f t="shared" ref="HQ2:HR2" si="3">+HP2+1</f>
        <v>198</v>
      </c>
      <c r="HR2" s="3">
        <f t="shared" si="3"/>
        <v>199</v>
      </c>
      <c r="HS2" s="3">
        <f t="shared" ref="HS2" si="4">+HR2+1</f>
        <v>200</v>
      </c>
    </row>
    <row r="3" spans="1:227">
      <c r="A3" s="1" t="s">
        <v>42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T3" s="3">
        <v>2016</v>
      </c>
      <c r="U3" s="3">
        <v>2017</v>
      </c>
      <c r="V3" s="3">
        <v>2018</v>
      </c>
      <c r="W3" s="3">
        <v>2019</v>
      </c>
      <c r="X3" s="3">
        <v>2020</v>
      </c>
      <c r="Y3" s="3">
        <v>2021</v>
      </c>
      <c r="Z3" s="3">
        <v>2022</v>
      </c>
      <c r="AA3" s="3">
        <v>2023</v>
      </c>
      <c r="AB3" s="3">
        <f>+AA3+1</f>
        <v>2024</v>
      </c>
      <c r="AC3" s="3">
        <f t="shared" ref="AC3:AK3" si="5">+AB3+1</f>
        <v>2025</v>
      </c>
      <c r="AD3" s="3">
        <f t="shared" si="5"/>
        <v>2026</v>
      </c>
      <c r="AE3" s="3">
        <f t="shared" si="5"/>
        <v>2027</v>
      </c>
      <c r="AF3" s="3">
        <f t="shared" si="5"/>
        <v>2028</v>
      </c>
      <c r="AG3" s="3">
        <f t="shared" si="5"/>
        <v>2029</v>
      </c>
      <c r="AH3" s="3">
        <f t="shared" si="5"/>
        <v>2030</v>
      </c>
      <c r="AI3" s="3">
        <f t="shared" si="5"/>
        <v>2031</v>
      </c>
      <c r="AJ3" s="3">
        <f t="shared" si="5"/>
        <v>2032</v>
      </c>
      <c r="AK3" s="3">
        <f t="shared" si="5"/>
        <v>2033</v>
      </c>
    </row>
    <row r="4" spans="1:227">
      <c r="B4" s="1" t="s">
        <v>50</v>
      </c>
      <c r="H4" s="1">
        <v>26</v>
      </c>
      <c r="I4" s="1">
        <v>195</v>
      </c>
      <c r="J4" s="1">
        <f>+I6</f>
        <v>214</v>
      </c>
      <c r="K4" s="1">
        <f>+J6</f>
        <v>237</v>
      </c>
      <c r="L4" s="1">
        <f>+K6</f>
        <v>263</v>
      </c>
      <c r="M4" s="1">
        <v>279</v>
      </c>
      <c r="N4" s="1">
        <f>+M6</f>
        <v>290</v>
      </c>
      <c r="O4" s="1">
        <f>+N6</f>
        <v>309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227">
      <c r="B5" s="1" t="s">
        <v>25</v>
      </c>
      <c r="G5" s="1">
        <v>18</v>
      </c>
      <c r="H5" s="1">
        <v>26</v>
      </c>
      <c r="I5" s="1">
        <v>19</v>
      </c>
      <c r="J5" s="1">
        <v>23</v>
      </c>
      <c r="K5" s="1">
        <v>26</v>
      </c>
      <c r="L5" s="1">
        <v>16</v>
      </c>
      <c r="M5" s="1">
        <v>11</v>
      </c>
      <c r="N5" s="1">
        <v>19</v>
      </c>
      <c r="O5" s="1">
        <v>14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227" s="4" customFormat="1">
      <c r="B6" s="4" t="s">
        <v>51</v>
      </c>
      <c r="G6" s="4">
        <v>195</v>
      </c>
      <c r="H6" s="4">
        <v>263</v>
      </c>
      <c r="I6" s="4">
        <f>SUM(I4:I5)</f>
        <v>214</v>
      </c>
      <c r="J6" s="4">
        <f>+SUM(J4:J5)</f>
        <v>237</v>
      </c>
      <c r="K6" s="4">
        <f>+SUM(K4:K5)</f>
        <v>263</v>
      </c>
      <c r="L6" s="4">
        <f>+SUM(L4:L5)</f>
        <v>279</v>
      </c>
      <c r="M6" s="4">
        <f>+SUM(M4:M5)</f>
        <v>290</v>
      </c>
      <c r="N6" s="4">
        <f>+SUM(N4:N5)</f>
        <v>309</v>
      </c>
      <c r="O6" s="4">
        <f>+SUM(O4:O5)</f>
        <v>323</v>
      </c>
      <c r="AA6" s="4">
        <f>+N6</f>
        <v>309</v>
      </c>
      <c r="AB6" s="4">
        <f>+AA6+AVERAGE(48,52)</f>
        <v>359</v>
      </c>
      <c r="AC6" s="4">
        <f>+AB6+50</f>
        <v>409</v>
      </c>
      <c r="AD6" s="4">
        <f t="shared" ref="AD6:AJ6" si="6">+AC6+50</f>
        <v>459</v>
      </c>
      <c r="AE6" s="4">
        <f t="shared" si="6"/>
        <v>509</v>
      </c>
      <c r="AF6" s="4">
        <f t="shared" si="6"/>
        <v>559</v>
      </c>
      <c r="AG6" s="4">
        <f t="shared" si="6"/>
        <v>609</v>
      </c>
      <c r="AH6" s="4">
        <f t="shared" si="6"/>
        <v>659</v>
      </c>
      <c r="AI6" s="4">
        <f t="shared" si="6"/>
        <v>709</v>
      </c>
      <c r="AJ6" s="4">
        <f t="shared" si="6"/>
        <v>759</v>
      </c>
      <c r="AK6" s="4">
        <f t="shared" ref="AK6" si="7">+AJ6+50</f>
        <v>809</v>
      </c>
    </row>
    <row r="7" spans="1:227">
      <c r="B7" s="1" t="s">
        <v>48</v>
      </c>
      <c r="H7" s="1">
        <f>+H9/H6</f>
        <v>400.4828897338403</v>
      </c>
      <c r="I7" s="1">
        <f>+I9/I6</f>
        <v>543.05140186915889</v>
      </c>
      <c r="J7" s="1">
        <f>+J12/J6</f>
        <v>548.24894514767936</v>
      </c>
      <c r="K7" s="1">
        <f>+K12/K6</f>
        <v>772.17870722433463</v>
      </c>
      <c r="L7" s="1">
        <f>+L12/L6</f>
        <v>619.69175627240145</v>
      </c>
      <c r="M7" s="1">
        <f>+M12/M6</f>
        <v>605.35517241379307</v>
      </c>
      <c r="N7" s="1">
        <f>+N12/N6</f>
        <v>573.36569579288027</v>
      </c>
      <c r="AA7" s="1">
        <f>+AA12/AA6</f>
        <v>2358.2524271844659</v>
      </c>
      <c r="AB7" s="1">
        <f>+AB12/AB6</f>
        <v>2431.3314763231197</v>
      </c>
      <c r="AC7" s="1">
        <f>+AB7*1.2</f>
        <v>2917.5977715877434</v>
      </c>
      <c r="AD7" s="1">
        <f t="shared" ref="AD7:AJ7" si="8">+AC7*1.2</f>
        <v>3501.1173259052921</v>
      </c>
      <c r="AE7" s="1">
        <f t="shared" si="8"/>
        <v>4201.3407910863507</v>
      </c>
      <c r="AF7" s="1">
        <f t="shared" si="8"/>
        <v>5041.6089493036206</v>
      </c>
      <c r="AG7" s="1">
        <f t="shared" si="8"/>
        <v>6049.9307391643442</v>
      </c>
      <c r="AH7" s="1">
        <f t="shared" si="8"/>
        <v>7259.9168869972127</v>
      </c>
      <c r="AI7" s="1">
        <f t="shared" si="8"/>
        <v>8711.9002643966542</v>
      </c>
      <c r="AJ7" s="1">
        <f t="shared" si="8"/>
        <v>10454.280317275985</v>
      </c>
      <c r="AK7" s="1">
        <f t="shared" ref="AK7" si="9">+AJ7*1.2</f>
        <v>12545.136380731181</v>
      </c>
    </row>
    <row r="9" spans="1:227">
      <c r="B9" s="1" t="s">
        <v>46</v>
      </c>
      <c r="H9" s="1">
        <v>105327</v>
      </c>
      <c r="I9" s="1">
        <v>116213</v>
      </c>
      <c r="L9" s="1">
        <v>171089</v>
      </c>
      <c r="M9" s="1">
        <v>173759</v>
      </c>
      <c r="N9" s="1">
        <f>+AA9-SUM(K9:M9)</f>
        <v>372212</v>
      </c>
      <c r="O9" s="1">
        <v>256290</v>
      </c>
      <c r="T9" s="4">
        <v>41000</v>
      </c>
      <c r="U9" s="4">
        <v>72000</v>
      </c>
      <c r="V9" s="4">
        <v>118000</v>
      </c>
      <c r="W9" s="4">
        <v>168000</v>
      </c>
      <c r="X9" s="4">
        <v>163000</v>
      </c>
      <c r="Z9" s="1">
        <v>448600</v>
      </c>
      <c r="AA9" s="1">
        <v>717060</v>
      </c>
    </row>
    <row r="10" spans="1:227">
      <c r="B10" s="1" t="s">
        <v>44</v>
      </c>
      <c r="H10" s="1">
        <v>28823</v>
      </c>
      <c r="I10" s="1">
        <v>21432</v>
      </c>
      <c r="L10" s="1">
        <v>0</v>
      </c>
      <c r="M10" s="1">
        <v>0</v>
      </c>
      <c r="AC10" s="16" t="s">
        <v>103</v>
      </c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227">
      <c r="B11" s="1" t="s">
        <v>45</v>
      </c>
      <c r="H11" s="1">
        <v>1765</v>
      </c>
      <c r="I11" s="1">
        <v>1613</v>
      </c>
      <c r="L11" s="1">
        <v>1805</v>
      </c>
      <c r="M11" s="1">
        <v>1794</v>
      </c>
    </row>
    <row r="12" spans="1:227" s="4" customFormat="1">
      <c r="B12" s="4" t="s">
        <v>26</v>
      </c>
      <c r="G12" s="4">
        <v>159011</v>
      </c>
      <c r="H12" s="4">
        <f>SUM(H9:H11)</f>
        <v>135915</v>
      </c>
      <c r="I12" s="4">
        <f>SUM(I9:I11)</f>
        <v>139258</v>
      </c>
      <c r="J12" s="4">
        <f>+Z12-SUM(G12:I12)</f>
        <v>129935</v>
      </c>
      <c r="K12" s="4">
        <v>203083</v>
      </c>
      <c r="L12" s="4">
        <f>SUM(L9:L11)</f>
        <v>172894</v>
      </c>
      <c r="M12" s="4">
        <f>SUM(M9:M11)</f>
        <v>175553</v>
      </c>
      <c r="N12" s="4">
        <f t="shared" ref="N12:O19" si="10">+AA12-SUM(K12:M12)</f>
        <v>177170</v>
      </c>
      <c r="O12" s="4">
        <v>259006</v>
      </c>
      <c r="Y12" s="4">
        <v>500072</v>
      </c>
      <c r="Z12" s="4">
        <v>564119</v>
      </c>
      <c r="AA12" s="4">
        <v>728700</v>
      </c>
      <c r="AB12" s="4">
        <f>+AA12*1.04+((AB6-AA6)*2300)</f>
        <v>872848</v>
      </c>
      <c r="AC12" s="4">
        <f>+AC7*AC6</f>
        <v>1193297.4885793871</v>
      </c>
      <c r="AD12" s="4">
        <f t="shared" ref="AD12:AJ12" si="11">+AD7*AD6</f>
        <v>1607012.852590529</v>
      </c>
      <c r="AE12" s="4">
        <f t="shared" si="11"/>
        <v>2138482.4626629525</v>
      </c>
      <c r="AF12" s="4">
        <f t="shared" si="11"/>
        <v>2818259.4026607238</v>
      </c>
      <c r="AG12" s="4">
        <f t="shared" si="11"/>
        <v>3684407.8201510855</v>
      </c>
      <c r="AH12" s="4">
        <f t="shared" si="11"/>
        <v>4784285.2285311632</v>
      </c>
      <c r="AI12" s="4">
        <f t="shared" si="11"/>
        <v>6176737.2874572277</v>
      </c>
      <c r="AJ12" s="4">
        <f t="shared" si="11"/>
        <v>7934798.7608124726</v>
      </c>
      <c r="AK12" s="4">
        <f t="shared" ref="AK12" si="12">+AK7*AK6</f>
        <v>10149015.332011525</v>
      </c>
    </row>
    <row r="13" spans="1:227">
      <c r="B13" s="1" t="s">
        <v>27</v>
      </c>
      <c r="G13" s="1">
        <v>50904</v>
      </c>
      <c r="H13" s="1">
        <v>43741</v>
      </c>
      <c r="I13" s="1">
        <v>44617</v>
      </c>
      <c r="J13" s="8">
        <f t="shared" ref="J13:J26" si="13">+Z13-SUM(G13:I13)</f>
        <v>40726</v>
      </c>
      <c r="K13" s="1">
        <v>59118</v>
      </c>
      <c r="L13" s="1">
        <v>51000</v>
      </c>
      <c r="M13" s="1">
        <v>51818</v>
      </c>
      <c r="N13" s="8">
        <f t="shared" si="10"/>
        <v>51522</v>
      </c>
      <c r="O13" s="8">
        <v>73947</v>
      </c>
      <c r="Y13" s="1">
        <v>154772</v>
      </c>
      <c r="Z13" s="1">
        <v>179988</v>
      </c>
      <c r="AA13" s="1">
        <v>213458</v>
      </c>
      <c r="AB13" s="1">
        <f>+AB12*'CMG baseline'!$B$6</f>
        <v>257527.96339010837</v>
      </c>
      <c r="AC13" s="1">
        <f>+AC12*'CMG baseline'!$B$6</f>
        <v>352074.44131438772</v>
      </c>
      <c r="AD13" s="1">
        <f>+AD12*'CMG baseline'!$B$6</f>
        <v>474138.3918727744</v>
      </c>
      <c r="AE13" s="1">
        <f>+AE12*'CMG baseline'!$B$6</f>
        <v>630944.94500194036</v>
      </c>
      <c r="AF13" s="1">
        <f>+AF12*'CMG baseline'!$B$6</f>
        <v>831508.5837078616</v>
      </c>
      <c r="AG13" s="1">
        <f>+AG12*'CMG baseline'!$B$6</f>
        <v>1087059.8800960737</v>
      </c>
      <c r="AH13" s="1">
        <f>+AH12*'CMG baseline'!$B$6</f>
        <v>1411571.3516912563</v>
      </c>
      <c r="AI13" s="1">
        <f>+AI12*'CMG baseline'!$B$6</f>
        <v>1822405.0167206686</v>
      </c>
      <c r="AJ13" s="1">
        <f>+AJ12*'CMG baseline'!$B$6</f>
        <v>2341109.2936941963</v>
      </c>
      <c r="AK13" s="1">
        <f>+AK12*'CMG baseline'!$B$6</f>
        <v>2994399.0807883074</v>
      </c>
    </row>
    <row r="14" spans="1:227">
      <c r="B14" s="1" t="s">
        <v>28</v>
      </c>
      <c r="G14" s="1">
        <v>47022</v>
      </c>
      <c r="H14" s="1">
        <v>37731</v>
      </c>
      <c r="I14" s="1">
        <v>37193</v>
      </c>
      <c r="J14" s="8">
        <f t="shared" si="13"/>
        <v>35945</v>
      </c>
      <c r="K14" s="1">
        <v>52154</v>
      </c>
      <c r="L14" s="1">
        <v>42417</v>
      </c>
      <c r="M14" s="1">
        <v>43913</v>
      </c>
      <c r="N14" s="8">
        <f t="shared" si="10"/>
        <v>48842</v>
      </c>
      <c r="O14" s="8">
        <v>66513</v>
      </c>
      <c r="Y14" s="1">
        <v>143395</v>
      </c>
      <c r="Z14" s="1">
        <v>157891</v>
      </c>
      <c r="AA14" s="1">
        <v>187326</v>
      </c>
      <c r="AB14" s="1">
        <f>+AB12*'CMG baseline'!$B$7</f>
        <v>215830.83603722134</v>
      </c>
      <c r="AC14" s="1">
        <f>+AC12*'CMG baseline'!$B$7</f>
        <v>295069.0092675995</v>
      </c>
      <c r="AD14" s="1">
        <f>+AD12*'CMG baseline'!$B$7</f>
        <v>397369.21834864008</v>
      </c>
      <c r="AE14" s="1">
        <f>+AE12*'CMG baseline'!$B$7</f>
        <v>528786.75069139304</v>
      </c>
      <c r="AF14" s="1">
        <f>+AF12*'CMG baseline'!$B$7</f>
        <v>696876.52723730134</v>
      </c>
      <c r="AG14" s="1">
        <f>+AG12*'CMG baseline'!$B$7</f>
        <v>911050.74437391735</v>
      </c>
      <c r="AH14" s="1">
        <f>+AH12*'CMG baseline'!$B$7</f>
        <v>1183019.5872756878</v>
      </c>
      <c r="AI14" s="1">
        <f>+AI12*'CMG baseline'!$B$7</f>
        <v>1527333.9375632093</v>
      </c>
      <c r="AJ14" s="1">
        <f>+AJ12*'CMG baseline'!$B$7</f>
        <v>1962053.2444747125</v>
      </c>
      <c r="AK14" s="1">
        <f>+AK12*'CMG baseline'!$B$7</f>
        <v>2509566.9166482878</v>
      </c>
    </row>
    <row r="15" spans="1:227">
      <c r="B15" s="1" t="s">
        <v>29</v>
      </c>
      <c r="G15" s="1">
        <v>16740</v>
      </c>
      <c r="H15" s="1">
        <v>12214</v>
      </c>
      <c r="I15" s="1">
        <v>12302</v>
      </c>
      <c r="J15" s="8">
        <f t="shared" si="13"/>
        <v>12413</v>
      </c>
      <c r="K15" s="1">
        <v>16599</v>
      </c>
      <c r="L15" s="1">
        <v>13400</v>
      </c>
      <c r="M15" s="1">
        <v>13782</v>
      </c>
      <c r="N15" s="8">
        <f t="shared" si="10"/>
        <v>14538</v>
      </c>
      <c r="O15" s="8">
        <v>20422</v>
      </c>
      <c r="Y15" s="1">
        <v>49299</v>
      </c>
      <c r="Z15" s="1">
        <v>53669</v>
      </c>
      <c r="AA15" s="1">
        <v>58319</v>
      </c>
      <c r="AB15" s="1">
        <f>+AB12*'CMG baseline'!$B$8</f>
        <v>44498.43950813081</v>
      </c>
      <c r="AC15" s="1">
        <f>+AC12*'CMG baseline'!$B$8</f>
        <v>60835.19250860891</v>
      </c>
      <c r="AD15" s="1">
        <f>+AD12*'CMG baseline'!$B$8</f>
        <v>81926.709128953022</v>
      </c>
      <c r="AE15" s="1">
        <f>+AE12*'CMG baseline'!$B$8</f>
        <v>109021.42469709044</v>
      </c>
      <c r="AF15" s="1">
        <f>+AF12*'CMG baseline'!$B$8</f>
        <v>143676.95812732467</v>
      </c>
      <c r="AG15" s="1">
        <f>+AG12*'CMG baseline'!$B$8</f>
        <v>187833.847941769</v>
      </c>
      <c r="AH15" s="1">
        <f>+AH12*'CMG baseline'!$B$8</f>
        <v>243906.41535689804</v>
      </c>
      <c r="AI15" s="1">
        <f>+AI12*'CMG baseline'!$B$8</f>
        <v>314894.65582040796</v>
      </c>
      <c r="AJ15" s="1">
        <f>+AJ12*'CMG baseline'!$B$8</f>
        <v>404521.93585504591</v>
      </c>
      <c r="AK15" s="1">
        <f>+AK12*'CMG baseline'!$B$8</f>
        <v>517404.3416707227</v>
      </c>
    </row>
    <row r="16" spans="1:227">
      <c r="B16" s="1" t="s">
        <v>30</v>
      </c>
      <c r="G16" s="1">
        <v>22201</v>
      </c>
      <c r="H16" s="1">
        <v>16624</v>
      </c>
      <c r="I16" s="1">
        <v>18738</v>
      </c>
      <c r="J16" s="8">
        <f t="shared" si="13"/>
        <v>17024</v>
      </c>
      <c r="K16" s="1">
        <v>24648</v>
      </c>
      <c r="L16" s="1">
        <v>20646</v>
      </c>
      <c r="M16" s="1">
        <v>21553</v>
      </c>
      <c r="N16" s="8">
        <f t="shared" si="10"/>
        <v>22404</v>
      </c>
      <c r="O16" s="8">
        <v>32758</v>
      </c>
      <c r="Y16" s="1">
        <v>70453</v>
      </c>
      <c r="Z16" s="1">
        <v>74587</v>
      </c>
      <c r="AA16" s="1">
        <v>89251</v>
      </c>
      <c r="AB16" s="1">
        <f>+AB12*'CMG baseline'!$B$9</f>
        <v>126329.34593359225</v>
      </c>
      <c r="AC16" s="1">
        <f>+AC12*'CMG baseline'!$B$9</f>
        <v>172708.75483066036</v>
      </c>
      <c r="AD16" s="1">
        <f>+AD12*'CMG baseline'!$B$9</f>
        <v>232586.75344921203</v>
      </c>
      <c r="AE16" s="1">
        <f>+AE12*'CMG baseline'!$B$9</f>
        <v>309507.60132195801</v>
      </c>
      <c r="AF16" s="1">
        <f>+AF12*'CMG baseline'!$B$9</f>
        <v>407893.31820583384</v>
      </c>
      <c r="AG16" s="1">
        <f>+AG12*'CMG baseline'!$B$9</f>
        <v>533253.01779038168</v>
      </c>
      <c r="AH16" s="1">
        <f>+AH12*'CMG baseline'!$B$9</f>
        <v>692440.86448051524</v>
      </c>
      <c r="AI16" s="1">
        <f>+AI12*'CMG baseline'!$B$9</f>
        <v>893973.72913508699</v>
      </c>
      <c r="AJ16" s="1">
        <f>+AJ12*'CMG baseline'!$B$9</f>
        <v>1148422.1050722669</v>
      </c>
      <c r="AK16" s="1">
        <f>+AK12*'CMG baseline'!$B$9</f>
        <v>1468890.882218915</v>
      </c>
    </row>
    <row r="17" spans="2:227">
      <c r="B17" s="1" t="s">
        <v>31</v>
      </c>
      <c r="G17" s="1">
        <v>20937</v>
      </c>
      <c r="H17" s="1">
        <v>16284</v>
      </c>
      <c r="I17" s="1">
        <v>16547</v>
      </c>
      <c r="J17" s="8">
        <f t="shared" si="13"/>
        <v>16269</v>
      </c>
      <c r="K17" s="1">
        <v>29024</v>
      </c>
      <c r="L17" s="1">
        <v>23321</v>
      </c>
      <c r="M17" s="1">
        <v>24472</v>
      </c>
      <c r="N17" s="8">
        <f t="shared" si="10"/>
        <v>24674</v>
      </c>
      <c r="O17" s="8">
        <v>33840</v>
      </c>
      <c r="Y17" s="1">
        <v>64792</v>
      </c>
      <c r="Z17" s="1">
        <v>70037</v>
      </c>
      <c r="AA17" s="1">
        <v>101491</v>
      </c>
      <c r="AB17" s="1">
        <f>+AB12*'CMG baseline'!$B$10</f>
        <v>56021.291603054364</v>
      </c>
      <c r="AC17" s="1">
        <f>+AC12*'CMG baseline'!$B$10</f>
        <v>76588.439885178494</v>
      </c>
      <c r="AD17" s="1">
        <f>+AD12*'CMG baseline'!$B$10</f>
        <v>103141.59581603011</v>
      </c>
      <c r="AE17" s="1">
        <f>+AE12*'CMG baseline'!$B$10</f>
        <v>137252.47652381522</v>
      </c>
      <c r="AF17" s="1">
        <f>+AF12*'CMG baseline'!$B$10</f>
        <v>180882.04568207319</v>
      </c>
      <c r="AG17" s="1">
        <f>+AG12*'CMG baseline'!$B$10</f>
        <v>236473.34344268171</v>
      </c>
      <c r="AH17" s="1">
        <f>+AH12*'CMG baseline'!$B$10</f>
        <v>307065.87848025071</v>
      </c>
      <c r="AI17" s="1">
        <f>+AI12*'CMG baseline'!$B$10</f>
        <v>396436.49379514001</v>
      </c>
      <c r="AJ17" s="1">
        <f>+AJ12*'CMG baseline'!$B$10</f>
        <v>509272.7200967751</v>
      </c>
      <c r="AK17" s="1">
        <f>+AK12*'CMG baseline'!$B$10</f>
        <v>651385.9771672585</v>
      </c>
    </row>
    <row r="18" spans="2:227">
      <c r="B18" s="1" t="s">
        <v>32</v>
      </c>
      <c r="G18" s="1">
        <v>12819</v>
      </c>
      <c r="H18" s="1">
        <v>8946</v>
      </c>
      <c r="I18" s="1">
        <v>10018</v>
      </c>
      <c r="J18" s="8">
        <f t="shared" si="13"/>
        <v>10941</v>
      </c>
      <c r="K18" s="1">
        <v>12859</v>
      </c>
      <c r="L18" s="1">
        <v>10709</v>
      </c>
      <c r="M18" s="1">
        <v>11528</v>
      </c>
      <c r="N18" s="8">
        <f t="shared" si="10"/>
        <v>12337</v>
      </c>
      <c r="O18" s="8">
        <v>17322</v>
      </c>
      <c r="Y18" s="1">
        <v>44538</v>
      </c>
      <c r="Z18" s="1">
        <v>42724</v>
      </c>
      <c r="AA18" s="1">
        <v>47433</v>
      </c>
      <c r="AB18" s="1">
        <f>+AB12*'CMG baseline'!$B$11</f>
        <v>28240.713796854001</v>
      </c>
      <c r="AC18" s="1">
        <f>+AC12*'CMG baseline'!$B$11</f>
        <v>38608.753012523513</v>
      </c>
      <c r="AD18" s="1">
        <f>+AD12*'CMG baseline'!$B$11</f>
        <v>51994.379362586682</v>
      </c>
      <c r="AE18" s="1">
        <f>+AE12*'CMG baseline'!$B$11</f>
        <v>69189.906132174176</v>
      </c>
      <c r="AF18" s="1">
        <f>+AF12*'CMG baseline'!$B$11</f>
        <v>91183.868435093187</v>
      </c>
      <c r="AG18" s="1">
        <f>+AG12*'CMG baseline'!$B$11</f>
        <v>119207.81941389284</v>
      </c>
      <c r="AH18" s="1">
        <f>+AH12*'CMG baseline'!$B$11</f>
        <v>154793.99604680864</v>
      </c>
      <c r="AI18" s="1">
        <f>+AI12*'CMG baseline'!$B$11</f>
        <v>199846.33055633499</v>
      </c>
      <c r="AJ18" s="1">
        <f>+AJ12*'CMG baseline'!$B$11</f>
        <v>256727.83902779961</v>
      </c>
      <c r="AK18" s="1">
        <f>+AK12*'CMG baseline'!$B$11</f>
        <v>328368.09766559658</v>
      </c>
    </row>
    <row r="19" spans="2:227">
      <c r="B19" s="1" t="s">
        <v>33</v>
      </c>
      <c r="G19" s="1">
        <v>3566</v>
      </c>
      <c r="H19" s="1">
        <v>4484</v>
      </c>
      <c r="I19" s="1">
        <v>6175</v>
      </c>
      <c r="J19" s="8">
        <f t="shared" si="13"/>
        <v>5088</v>
      </c>
      <c r="K19" s="1">
        <v>5999</v>
      </c>
      <c r="L19" s="1">
        <v>3400</v>
      </c>
      <c r="M19" s="1">
        <v>3410</v>
      </c>
      <c r="N19" s="8">
        <f t="shared" si="10"/>
        <v>2909</v>
      </c>
      <c r="O19" s="8">
        <v>3379</v>
      </c>
      <c r="Y19" s="1">
        <v>8194</v>
      </c>
      <c r="Z19" s="1">
        <v>19313</v>
      </c>
      <c r="AA19" s="1">
        <v>15718</v>
      </c>
      <c r="AB19" s="1">
        <f t="shared" ref="AB14:AJ19" si="14">+AB$12*(AA19/AA$12)</f>
        <v>18827.260688898037</v>
      </c>
      <c r="AC19" s="1">
        <f t="shared" si="14"/>
        <v>25739.33021200879</v>
      </c>
      <c r="AD19" s="1">
        <f t="shared" si="14"/>
        <v>34663.137116807928</v>
      </c>
      <c r="AE19" s="1">
        <f t="shared" si="14"/>
        <v>46126.893575046364</v>
      </c>
      <c r="AF19" s="1">
        <f t="shared" si="14"/>
        <v>60789.627131907859</v>
      </c>
      <c r="AG19" s="1">
        <f t="shared" si="14"/>
        <v>79472.378368512102</v>
      </c>
      <c r="AH19" s="1">
        <f t="shared" si="14"/>
        <v>103196.64501448174</v>
      </c>
      <c r="AI19" s="1">
        <f t="shared" si="14"/>
        <v>133231.72318409869</v>
      </c>
      <c r="AJ19" s="1">
        <f t="shared" si="14"/>
        <v>171152.96682098322</v>
      </c>
      <c r="AK19" s="1">
        <f t="shared" ref="AK19" si="15">+AK$12*(AJ19/AJ$12)</f>
        <v>218913.43898525756</v>
      </c>
    </row>
    <row r="20" spans="2:227">
      <c r="B20" s="1" t="s">
        <v>34</v>
      </c>
      <c r="G20" s="1">
        <f>+SUM(G13:G19)</f>
        <v>174189</v>
      </c>
      <c r="H20" s="1">
        <f>+SUM(H13:H19)</f>
        <v>140024</v>
      </c>
      <c r="I20" s="1">
        <f>+SUM(I13:I19)</f>
        <v>145590</v>
      </c>
      <c r="J20" s="8">
        <f t="shared" si="13"/>
        <v>138406</v>
      </c>
      <c r="K20" s="1">
        <f>+SUM(K13:K19)</f>
        <v>200401</v>
      </c>
      <c r="L20" s="1">
        <f>+SUM(L13:L19)</f>
        <v>164893</v>
      </c>
      <c r="M20" s="1">
        <f>+SUM(M13:M19)</f>
        <v>170476</v>
      </c>
      <c r="N20" s="1">
        <f>+SUM(N13:N19)</f>
        <v>177226</v>
      </c>
      <c r="O20" s="1">
        <f>+SUM(O13:O19)</f>
        <v>248181</v>
      </c>
      <c r="Y20" s="1">
        <f>+SUM(Y13:Y19)</f>
        <v>535443</v>
      </c>
      <c r="Z20" s="1">
        <f>+SUM(Z13:Z19)</f>
        <v>598209</v>
      </c>
      <c r="AA20" s="1">
        <f>+SUM(AA13:AA19)</f>
        <v>712996</v>
      </c>
      <c r="AB20" s="1">
        <f>+SUM(AB13:AB19)</f>
        <v>747275.85095785919</v>
      </c>
      <c r="AC20" s="1">
        <f t="shared" ref="AC20:AK20" si="16">+SUM(AC13:AC19)</f>
        <v>1021623.9210309673</v>
      </c>
      <c r="AD20" s="1">
        <f t="shared" si="16"/>
        <v>1375820.1850950043</v>
      </c>
      <c r="AE20" s="1">
        <f t="shared" si="16"/>
        <v>1830829.9979434176</v>
      </c>
      <c r="AF20" s="1">
        <f t="shared" si="16"/>
        <v>2412810.9285273957</v>
      </c>
      <c r="AG20" s="1">
        <f t="shared" si="16"/>
        <v>3154351.0314272288</v>
      </c>
      <c r="AH20" s="1">
        <f t="shared" si="16"/>
        <v>4095994.7383458987</v>
      </c>
      <c r="AI20" s="1">
        <f t="shared" si="16"/>
        <v>5288121.886774946</v>
      </c>
      <c r="AJ20" s="1">
        <f t="shared" si="16"/>
        <v>6793260.1050417805</v>
      </c>
      <c r="AK20" s="1">
        <f t="shared" si="16"/>
        <v>8688928.735144347</v>
      </c>
    </row>
    <row r="21" spans="2:227">
      <c r="B21" s="1" t="s">
        <v>35</v>
      </c>
      <c r="G21" s="1">
        <f>+G12-G20</f>
        <v>-15178</v>
      </c>
      <c r="H21" s="1">
        <f>+H12-H20</f>
        <v>-4109</v>
      </c>
      <c r="I21" s="1">
        <f>+I12-I20</f>
        <v>-6332</v>
      </c>
      <c r="J21" s="8">
        <f t="shared" si="13"/>
        <v>-8471</v>
      </c>
      <c r="K21" s="1">
        <f>+K12-K20</f>
        <v>2682</v>
      </c>
      <c r="L21" s="1">
        <f>+L12-L20</f>
        <v>8001</v>
      </c>
      <c r="M21" s="1">
        <f>+M12-M20</f>
        <v>5077</v>
      </c>
      <c r="N21" s="1">
        <f>+N12-N20</f>
        <v>-56</v>
      </c>
      <c r="O21" s="1">
        <f>+O12-O20</f>
        <v>10825</v>
      </c>
      <c r="Y21" s="1">
        <f>+Y12-Y20</f>
        <v>-35371</v>
      </c>
      <c r="Z21" s="1">
        <f>+Z12-Z20</f>
        <v>-34090</v>
      </c>
      <c r="AA21" s="1">
        <f>+AA12-AA20</f>
        <v>15704</v>
      </c>
      <c r="AB21" s="1">
        <f>+AB12-AB20</f>
        <v>125572.14904214081</v>
      </c>
      <c r="AC21" s="1">
        <f t="shared" ref="AC21:AK21" si="17">+AC12-AC20</f>
        <v>171673.56754841981</v>
      </c>
      <c r="AD21" s="1">
        <f t="shared" si="17"/>
        <v>231192.66749552474</v>
      </c>
      <c r="AE21" s="1">
        <f t="shared" si="17"/>
        <v>307652.46471953485</v>
      </c>
      <c r="AF21" s="1">
        <f t="shared" si="17"/>
        <v>405448.47413332807</v>
      </c>
      <c r="AG21" s="1">
        <f t="shared" si="17"/>
        <v>530056.78872385668</v>
      </c>
      <c r="AH21" s="1">
        <f t="shared" si="17"/>
        <v>688290.4901852645</v>
      </c>
      <c r="AI21" s="1">
        <f t="shared" si="17"/>
        <v>888615.4006822817</v>
      </c>
      <c r="AJ21" s="1">
        <f t="shared" si="17"/>
        <v>1141538.655770692</v>
      </c>
      <c r="AK21" s="1">
        <f t="shared" si="17"/>
        <v>1460086.5968671776</v>
      </c>
    </row>
    <row r="22" spans="2:227">
      <c r="B22" s="1" t="s">
        <v>43</v>
      </c>
      <c r="G22" s="1">
        <v>343</v>
      </c>
      <c r="H22" s="1">
        <v>34</v>
      </c>
      <c r="I22" s="1">
        <v>-115</v>
      </c>
      <c r="J22" s="8">
        <f t="shared" si="13"/>
        <v>-215</v>
      </c>
      <c r="K22" s="1">
        <v>25</v>
      </c>
      <c r="L22" s="1">
        <v>-699</v>
      </c>
      <c r="M22" s="1">
        <v>-3956</v>
      </c>
      <c r="N22" s="8">
        <f>+AA22-SUM(K22:M22)</f>
        <v>-4222</v>
      </c>
      <c r="O22" s="8">
        <v>-4914</v>
      </c>
      <c r="Y22" s="1">
        <v>4810</v>
      </c>
      <c r="Z22" s="1">
        <v>47</v>
      </c>
      <c r="AA22" s="1">
        <v>-8852</v>
      </c>
      <c r="AB22" s="1">
        <f>+AB$21*(AA22/AA$21)</f>
        <v>-70782.26332915375</v>
      </c>
      <c r="AC22" s="1">
        <f t="shared" ref="AC22:AJ23" si="18">+AC$21*(AB22/AB$21)</f>
        <v>-96768.620729662012</v>
      </c>
      <c r="AD22" s="1">
        <f t="shared" si="18"/>
        <v>-130318.2305572074</v>
      </c>
      <c r="AE22" s="1">
        <f t="shared" si="18"/>
        <v>-173416.93948658448</v>
      </c>
      <c r="AF22" s="1">
        <f t="shared" si="18"/>
        <v>-228542.40276542411</v>
      </c>
      <c r="AG22" s="1">
        <f t="shared" si="18"/>
        <v>-298781.37377633591</v>
      </c>
      <c r="AH22" s="1">
        <f t="shared" si="18"/>
        <v>-387974.23708099598</v>
      </c>
      <c r="AI22" s="1">
        <f t="shared" si="18"/>
        <v>-500892.99075646698</v>
      </c>
      <c r="AJ22" s="1">
        <f t="shared" si="18"/>
        <v>-643460.27641888475</v>
      </c>
      <c r="AK22" s="1">
        <f t="shared" ref="AK22" si="19">+AK$21*(AJ22/AJ$21)</f>
        <v>-823018.75671601226</v>
      </c>
    </row>
    <row r="23" spans="2:227">
      <c r="B23" s="1" t="s">
        <v>36</v>
      </c>
      <c r="G23" s="1">
        <v>-258</v>
      </c>
      <c r="H23" s="1">
        <v>-198</v>
      </c>
      <c r="I23" s="1">
        <v>-188</v>
      </c>
      <c r="J23" s="8">
        <f t="shared" si="13"/>
        <v>-275</v>
      </c>
      <c r="K23" s="1">
        <v>-174</v>
      </c>
      <c r="L23" s="1">
        <v>-118</v>
      </c>
      <c r="M23" s="1">
        <v>-120</v>
      </c>
      <c r="N23" s="8">
        <f>+AA23-SUM(K23:M23)</f>
        <v>-59</v>
      </c>
      <c r="O23" s="8">
        <v>-78</v>
      </c>
      <c r="Y23" s="1">
        <v>-20288</v>
      </c>
      <c r="Z23" s="1">
        <v>-919</v>
      </c>
      <c r="AA23" s="1">
        <v>-471</v>
      </c>
      <c r="AB23" s="1">
        <f>+AB$21*(AA23/AA$21)</f>
        <v>-3766.2049286072543</v>
      </c>
      <c r="AC23" s="1">
        <f t="shared" si="18"/>
        <v>-5148.8952060179399</v>
      </c>
      <c r="AD23" s="1">
        <f t="shared" si="18"/>
        <v>-6934.0133972486083</v>
      </c>
      <c r="AE23" s="1">
        <f t="shared" si="18"/>
        <v>-9227.223056730827</v>
      </c>
      <c r="AF23" s="1">
        <f t="shared" si="18"/>
        <v>-12160.35604411599</v>
      </c>
      <c r="AG23" s="1">
        <f t="shared" si="18"/>
        <v>-15897.653304185969</v>
      </c>
      <c r="AH23" s="1">
        <f t="shared" si="18"/>
        <v>-20643.455226519331</v>
      </c>
      <c r="AI23" s="1">
        <f t="shared" si="18"/>
        <v>-26651.671785618611</v>
      </c>
      <c r="AJ23" s="1">
        <f t="shared" si="18"/>
        <v>-34237.436759296739</v>
      </c>
      <c r="AK23" s="1">
        <f t="shared" ref="AK23" si="20">+AK$21*(AJ23/AJ$21)</f>
        <v>-43791.440851021442</v>
      </c>
    </row>
    <row r="24" spans="2:227">
      <c r="B24" s="1" t="s">
        <v>37</v>
      </c>
      <c r="G24" s="1">
        <f>G21-SUM(G22:G23)</f>
        <v>-15263</v>
      </c>
      <c r="H24" s="1">
        <f>H21-SUM(H22:H23)</f>
        <v>-3945</v>
      </c>
      <c r="I24" s="1">
        <f>I21-SUM(I22:I23)</f>
        <v>-6029</v>
      </c>
      <c r="J24" s="8">
        <f t="shared" si="13"/>
        <v>-7981</v>
      </c>
      <c r="K24" s="1">
        <f>K21-SUM(K22:K23)</f>
        <v>2831</v>
      </c>
      <c r="L24" s="1">
        <f>L21-SUM(L22:L23)</f>
        <v>8818</v>
      </c>
      <c r="M24" s="1">
        <f>M21-SUM(M22:M23)</f>
        <v>9153</v>
      </c>
      <c r="N24" s="8">
        <f>+AA24-SUM(K24:M24)</f>
        <v>4225</v>
      </c>
      <c r="O24" s="1">
        <f>O21-SUM(O22:O23)</f>
        <v>15817</v>
      </c>
      <c r="Y24" s="1">
        <f>Y21-SUM(Y22:Y23)</f>
        <v>-19893</v>
      </c>
      <c r="Z24" s="1">
        <f>Z21-SUM(Z22:Z23)</f>
        <v>-33218</v>
      </c>
      <c r="AA24" s="1">
        <f>AA21-SUM(AA22:AA23)</f>
        <v>25027</v>
      </c>
      <c r="AB24" s="1">
        <f>AB21-SUM(AB22:AB23)</f>
        <v>200120.61729990182</v>
      </c>
      <c r="AC24" s="1">
        <f t="shared" ref="AC24:AK24" si="21">AC21-SUM(AC22:AC23)</f>
        <v>273591.08348409977</v>
      </c>
      <c r="AD24" s="1">
        <f t="shared" si="21"/>
        <v>368444.91144998075</v>
      </c>
      <c r="AE24" s="1">
        <f t="shared" si="21"/>
        <v>490296.62726285018</v>
      </c>
      <c r="AF24" s="1">
        <f t="shared" si="21"/>
        <v>646151.23294286814</v>
      </c>
      <c r="AG24" s="1">
        <f t="shared" si="21"/>
        <v>844735.8158043786</v>
      </c>
      <c r="AH24" s="1">
        <f t="shared" si="21"/>
        <v>1096908.1824927798</v>
      </c>
      <c r="AI24" s="1">
        <f t="shared" si="21"/>
        <v>1416160.0632243673</v>
      </c>
      <c r="AJ24" s="1">
        <f t="shared" si="21"/>
        <v>1819236.3689488736</v>
      </c>
      <c r="AK24" s="1">
        <f t="shared" si="21"/>
        <v>2326896.7944342112</v>
      </c>
    </row>
    <row r="25" spans="2:227">
      <c r="B25" s="1" t="s">
        <v>38</v>
      </c>
      <c r="G25" s="1">
        <v>40</v>
      </c>
      <c r="H25" s="1">
        <v>56</v>
      </c>
      <c r="I25" s="1">
        <v>-29</v>
      </c>
      <c r="J25" s="8">
        <f t="shared" si="13"/>
        <v>26</v>
      </c>
      <c r="K25" s="1">
        <v>38</v>
      </c>
      <c r="L25" s="1">
        <v>40</v>
      </c>
      <c r="M25" s="1">
        <v>38</v>
      </c>
      <c r="N25" s="8">
        <f>+AA25-SUM(K25:M25)</f>
        <v>652</v>
      </c>
      <c r="O25" s="8">
        <v>252</v>
      </c>
      <c r="Y25" s="1">
        <v>117</v>
      </c>
      <c r="Z25" s="1">
        <v>93</v>
      </c>
      <c r="AA25" s="1">
        <v>768</v>
      </c>
      <c r="AB25" s="1">
        <f>+AB24*(AA25/AA24)</f>
        <v>6141.0730046080071</v>
      </c>
      <c r="AC25" s="1">
        <f t="shared" ref="AC25:AK25" si="22">+AC24*(AB25/AB24)</f>
        <v>8395.6507817872152</v>
      </c>
      <c r="AD25" s="1">
        <f t="shared" si="22"/>
        <v>11306.416749653783</v>
      </c>
      <c r="AE25" s="1">
        <f t="shared" si="22"/>
        <v>15045.663073395492</v>
      </c>
      <c r="AF25" s="1">
        <f t="shared" si="22"/>
        <v>19828.351256647729</v>
      </c>
      <c r="AG25" s="1">
        <f t="shared" si="22"/>
        <v>25922.288190265022</v>
      </c>
      <c r="AH25" s="1">
        <f t="shared" si="22"/>
        <v>33660.665847063363</v>
      </c>
      <c r="AI25" s="1">
        <f t="shared" si="22"/>
        <v>43457.50303897047</v>
      </c>
      <c r="AJ25" s="1">
        <f t="shared" si="22"/>
        <v>55826.648473757727</v>
      </c>
      <c r="AK25" s="1">
        <f t="shared" si="22"/>
        <v>71405.151960901188</v>
      </c>
    </row>
    <row r="26" spans="2:227" s="4" customFormat="1">
      <c r="B26" s="4" t="s">
        <v>39</v>
      </c>
      <c r="G26" s="4">
        <f>+G24-G25</f>
        <v>-15303</v>
      </c>
      <c r="H26" s="4">
        <f>+H24-H25</f>
        <v>-4001</v>
      </c>
      <c r="I26" s="4">
        <f>+I24-I25</f>
        <v>-6000</v>
      </c>
      <c r="J26" s="4">
        <f t="shared" si="13"/>
        <v>-8007</v>
      </c>
      <c r="K26" s="4">
        <f>+K24-K25</f>
        <v>2793</v>
      </c>
      <c r="L26" s="4">
        <f>+L24-L25</f>
        <v>8778</v>
      </c>
      <c r="M26" s="4">
        <f>+M24-M25</f>
        <v>9115</v>
      </c>
      <c r="N26" s="4">
        <f>+AA26-SUM(K26:M26)</f>
        <v>3573</v>
      </c>
      <c r="O26" s="4">
        <f>+AB26-SUM(L26:N26)</f>
        <v>172513.5442952938</v>
      </c>
      <c r="Y26" s="4">
        <f>+Y24-Y25</f>
        <v>-20010</v>
      </c>
      <c r="Z26" s="4">
        <f>+Z24-Z25</f>
        <v>-33311</v>
      </c>
      <c r="AA26" s="4">
        <f>+AA24-AA25</f>
        <v>24259</v>
      </c>
      <c r="AB26" s="4">
        <f>+AB24-AB25</f>
        <v>193979.5442952938</v>
      </c>
      <c r="AC26" s="4">
        <f t="shared" ref="AC26:AK26" si="23">+AC24-AC25</f>
        <v>265195.43270231254</v>
      </c>
      <c r="AD26" s="4">
        <f t="shared" si="23"/>
        <v>357138.49470032699</v>
      </c>
      <c r="AE26" s="4">
        <f t="shared" si="23"/>
        <v>475250.96418945468</v>
      </c>
      <c r="AF26" s="4">
        <f t="shared" si="23"/>
        <v>626322.88168622041</v>
      </c>
      <c r="AG26" s="4">
        <f t="shared" si="23"/>
        <v>818813.52761411353</v>
      </c>
      <c r="AH26" s="4">
        <f t="shared" si="23"/>
        <v>1063247.5166457165</v>
      </c>
      <c r="AI26" s="4">
        <f t="shared" si="23"/>
        <v>1372702.5601853968</v>
      </c>
      <c r="AJ26" s="4">
        <f t="shared" si="23"/>
        <v>1763409.7204751158</v>
      </c>
      <c r="AK26" s="4">
        <f t="shared" si="23"/>
        <v>2255491.6424733102</v>
      </c>
      <c r="AL26" s="4">
        <f>+AK26*(1+$AO$31)</f>
        <v>2278046.5588980434</v>
      </c>
      <c r="AM26" s="4">
        <f>+AL26*(1+$AO$31)</f>
        <v>2300827.0244870237</v>
      </c>
      <c r="AN26" s="4">
        <f t="shared" ref="AL26:BQ26" si="24">+AM26*(1+$AO$31)</f>
        <v>2323835.294731894</v>
      </c>
      <c r="AO26" s="4">
        <f t="shared" si="24"/>
        <v>2347073.647679213</v>
      </c>
      <c r="AP26" s="4">
        <f t="shared" si="24"/>
        <v>2370544.384156005</v>
      </c>
      <c r="AQ26" s="4">
        <f t="shared" si="24"/>
        <v>2394249.8279975653</v>
      </c>
      <c r="AR26" s="4">
        <f t="shared" si="24"/>
        <v>2418192.326277541</v>
      </c>
      <c r="AS26" s="4">
        <f t="shared" si="24"/>
        <v>2442374.2495403164</v>
      </c>
      <c r="AT26" s="4">
        <f t="shared" si="24"/>
        <v>2466797.9920357196</v>
      </c>
      <c r="AU26" s="4">
        <f t="shared" si="24"/>
        <v>2491465.9719560766</v>
      </c>
      <c r="AV26" s="4">
        <f t="shared" si="24"/>
        <v>2516380.6316756373</v>
      </c>
      <c r="AW26" s="4">
        <f t="shared" si="24"/>
        <v>2541544.4379923935</v>
      </c>
      <c r="AX26" s="4">
        <f t="shared" si="24"/>
        <v>2566959.8823723174</v>
      </c>
      <c r="AY26" s="4">
        <f t="shared" si="24"/>
        <v>2592629.4811960408</v>
      </c>
      <c r="AZ26" s="4">
        <f t="shared" si="24"/>
        <v>2618555.7760080011</v>
      </c>
      <c r="BA26" s="4">
        <f t="shared" si="24"/>
        <v>2644741.3337680809</v>
      </c>
      <c r="BB26" s="4">
        <f t="shared" si="24"/>
        <v>2671188.7471057619</v>
      </c>
      <c r="BC26" s="4">
        <f t="shared" si="24"/>
        <v>2697900.6345768194</v>
      </c>
      <c r="BD26" s="4">
        <f t="shared" si="24"/>
        <v>2724879.6409225874</v>
      </c>
      <c r="BE26" s="4">
        <f t="shared" si="24"/>
        <v>2752128.4373318134</v>
      </c>
      <c r="BF26" s="4">
        <f t="shared" si="24"/>
        <v>2779649.7217051317</v>
      </c>
      <c r="BG26" s="4">
        <f t="shared" si="24"/>
        <v>2807446.2189221829</v>
      </c>
      <c r="BH26" s="4">
        <f t="shared" si="24"/>
        <v>2835520.6811114047</v>
      </c>
      <c r="BI26" s="4">
        <f t="shared" si="24"/>
        <v>2863875.8879225189</v>
      </c>
      <c r="BJ26" s="4">
        <f t="shared" si="24"/>
        <v>2892514.6468017441</v>
      </c>
      <c r="BK26" s="4">
        <f t="shared" si="24"/>
        <v>2921439.7932697614</v>
      </c>
      <c r="BL26" s="4">
        <f t="shared" si="24"/>
        <v>2950654.1912024589</v>
      </c>
      <c r="BM26" s="4">
        <f t="shared" si="24"/>
        <v>2980160.7331144838</v>
      </c>
      <c r="BN26" s="4">
        <f t="shared" si="24"/>
        <v>3009962.3404456289</v>
      </c>
      <c r="BO26" s="4">
        <f t="shared" si="24"/>
        <v>3040061.9638500852</v>
      </c>
      <c r="BP26" s="4">
        <f t="shared" si="24"/>
        <v>3070462.5834885859</v>
      </c>
      <c r="BQ26" s="4">
        <f t="shared" si="24"/>
        <v>3101167.2093234719</v>
      </c>
      <c r="BR26" s="4">
        <f t="shared" ref="BR26:CW26" si="25">+BQ26*(1+$AO$31)</f>
        <v>3132178.8814167068</v>
      </c>
      <c r="BS26" s="4">
        <f t="shared" si="25"/>
        <v>3163500.6702308739</v>
      </c>
      <c r="BT26" s="4">
        <f t="shared" si="25"/>
        <v>3195135.6769331824</v>
      </c>
      <c r="BU26" s="4">
        <f t="shared" si="25"/>
        <v>3227087.0337025141</v>
      </c>
      <c r="BV26" s="4">
        <f t="shared" si="25"/>
        <v>3259357.9040395394</v>
      </c>
      <c r="BW26" s="4">
        <f t="shared" si="25"/>
        <v>3291951.483079935</v>
      </c>
      <c r="BX26" s="4">
        <f t="shared" si="25"/>
        <v>3324870.9979107343</v>
      </c>
      <c r="BY26" s="4">
        <f t="shared" si="25"/>
        <v>3358119.7078898419</v>
      </c>
      <c r="BZ26" s="4">
        <f t="shared" si="25"/>
        <v>3391700.9049687404</v>
      </c>
      <c r="CA26" s="4">
        <f t="shared" si="25"/>
        <v>3425617.914018428</v>
      </c>
      <c r="CB26" s="4">
        <f t="shared" si="25"/>
        <v>3459874.0931586125</v>
      </c>
      <c r="CC26" s="4">
        <f t="shared" si="25"/>
        <v>3494472.8340901989</v>
      </c>
      <c r="CD26" s="4">
        <f t="shared" si="25"/>
        <v>3529417.5624311008</v>
      </c>
      <c r="CE26" s="4">
        <f t="shared" si="25"/>
        <v>3564711.7380554117</v>
      </c>
      <c r="CF26" s="4">
        <f t="shared" si="25"/>
        <v>3600358.855435966</v>
      </c>
      <c r="CG26" s="4">
        <f t="shared" si="25"/>
        <v>3636362.4439903256</v>
      </c>
      <c r="CH26" s="4">
        <f t="shared" si="25"/>
        <v>3672726.0684302286</v>
      </c>
      <c r="CI26" s="4">
        <f t="shared" si="25"/>
        <v>3709453.3291145312</v>
      </c>
      <c r="CJ26" s="4">
        <f t="shared" si="25"/>
        <v>3746547.8624056764</v>
      </c>
      <c r="CK26" s="4">
        <f t="shared" si="25"/>
        <v>3784013.3410297334</v>
      </c>
      <c r="CL26" s="4">
        <f t="shared" si="25"/>
        <v>3821853.4744400308</v>
      </c>
      <c r="CM26" s="4">
        <f t="shared" si="25"/>
        <v>3860072.0091844313</v>
      </c>
      <c r="CN26" s="4">
        <f t="shared" si="25"/>
        <v>3898672.7292762757</v>
      </c>
      <c r="CO26" s="4">
        <f t="shared" si="25"/>
        <v>3937659.4565690383</v>
      </c>
      <c r="CP26" s="4">
        <f t="shared" si="25"/>
        <v>3977036.0511347288</v>
      </c>
      <c r="CQ26" s="4">
        <f t="shared" si="25"/>
        <v>4016806.411646076</v>
      </c>
      <c r="CR26" s="4">
        <f t="shared" si="25"/>
        <v>4056974.4757625367</v>
      </c>
      <c r="CS26" s="4">
        <f t="shared" si="25"/>
        <v>4097544.220520162</v>
      </c>
      <c r="CT26" s="4">
        <f t="shared" si="25"/>
        <v>4138519.6627253639</v>
      </c>
      <c r="CU26" s="4">
        <f t="shared" si="25"/>
        <v>4179904.8593526175</v>
      </c>
      <c r="CV26" s="4">
        <f t="shared" si="25"/>
        <v>4221703.9079461433</v>
      </c>
      <c r="CW26" s="4">
        <f t="shared" si="25"/>
        <v>4263920.9470256045</v>
      </c>
      <c r="CX26" s="4">
        <f t="shared" ref="CX26:EC26" si="26">+CW26*(1+$AO$31)</f>
        <v>4306560.1564958608</v>
      </c>
      <c r="CY26" s="4">
        <f t="shared" si="26"/>
        <v>4349625.7580608195</v>
      </c>
      <c r="CZ26" s="4">
        <f t="shared" si="26"/>
        <v>4393122.0156414276</v>
      </c>
      <c r="DA26" s="4">
        <f t="shared" si="26"/>
        <v>4437053.235797842</v>
      </c>
      <c r="DB26" s="4">
        <f t="shared" si="26"/>
        <v>4481423.7681558207</v>
      </c>
      <c r="DC26" s="4">
        <f t="shared" si="26"/>
        <v>4526238.005837379</v>
      </c>
      <c r="DD26" s="4">
        <f t="shared" si="26"/>
        <v>4571500.3858957533</v>
      </c>
      <c r="DE26" s="4">
        <f t="shared" si="26"/>
        <v>4617215.3897547107</v>
      </c>
      <c r="DF26" s="4">
        <f t="shared" si="26"/>
        <v>4663387.5436522579</v>
      </c>
      <c r="DG26" s="4">
        <f t="shared" si="26"/>
        <v>4710021.4190887809</v>
      </c>
      <c r="DH26" s="4">
        <f t="shared" si="26"/>
        <v>4757121.6332796691</v>
      </c>
      <c r="DI26" s="4">
        <f t="shared" si="26"/>
        <v>4804692.8496124661</v>
      </c>
      <c r="DJ26" s="4">
        <f t="shared" si="26"/>
        <v>4852739.7781085912</v>
      </c>
      <c r="DK26" s="4">
        <f t="shared" si="26"/>
        <v>4901267.1758896774</v>
      </c>
      <c r="DL26" s="4">
        <f t="shared" si="26"/>
        <v>4950279.847648574</v>
      </c>
      <c r="DM26" s="4">
        <f t="shared" si="26"/>
        <v>4999782.6461250596</v>
      </c>
      <c r="DN26" s="4">
        <f t="shared" si="26"/>
        <v>5049780.4725863105</v>
      </c>
      <c r="DO26" s="4">
        <f t="shared" si="26"/>
        <v>5100278.2773121735</v>
      </c>
      <c r="DP26" s="4">
        <f t="shared" si="26"/>
        <v>5151281.0600852957</v>
      </c>
      <c r="DQ26" s="4">
        <f t="shared" si="26"/>
        <v>5202793.8706861483</v>
      </c>
      <c r="DR26" s="4">
        <f t="shared" si="26"/>
        <v>5254821.8093930101</v>
      </c>
      <c r="DS26" s="4">
        <f t="shared" si="26"/>
        <v>5307370.0274869399</v>
      </c>
      <c r="DT26" s="4">
        <f t="shared" si="26"/>
        <v>5360443.7277618097</v>
      </c>
      <c r="DU26" s="4">
        <f t="shared" si="26"/>
        <v>5414048.1650394276</v>
      </c>
      <c r="DV26" s="4">
        <f t="shared" si="26"/>
        <v>5468188.646689822</v>
      </c>
      <c r="DW26" s="4">
        <f t="shared" si="26"/>
        <v>5522870.53315672</v>
      </c>
      <c r="DX26" s="4">
        <f t="shared" si="26"/>
        <v>5578099.2384882877</v>
      </c>
      <c r="DY26" s="4">
        <f t="shared" si="26"/>
        <v>5633880.2308731703</v>
      </c>
      <c r="DZ26" s="4">
        <f t="shared" si="26"/>
        <v>5690219.033181902</v>
      </c>
      <c r="EA26" s="4">
        <f t="shared" si="26"/>
        <v>5747121.2235137215</v>
      </c>
      <c r="EB26" s="4">
        <f t="shared" si="26"/>
        <v>5804592.4357488584</v>
      </c>
      <c r="EC26" s="4">
        <f t="shared" si="26"/>
        <v>5862638.3601063471</v>
      </c>
      <c r="ED26" s="4">
        <f t="shared" ref="ED26:FI26" si="27">+EC26*(1+$AO$31)</f>
        <v>5921264.743707411</v>
      </c>
      <c r="EE26" s="4">
        <f t="shared" si="27"/>
        <v>5980477.3911444852</v>
      </c>
      <c r="EF26" s="4">
        <f t="shared" si="27"/>
        <v>6040282.1650559297</v>
      </c>
      <c r="EG26" s="4">
        <f t="shared" si="27"/>
        <v>6100684.9867064888</v>
      </c>
      <c r="EH26" s="4">
        <f t="shared" si="27"/>
        <v>6161691.8365735533</v>
      </c>
      <c r="EI26" s="4">
        <f t="shared" si="27"/>
        <v>6223308.7549392888</v>
      </c>
      <c r="EJ26" s="4">
        <f t="shared" si="27"/>
        <v>6285541.8424886819</v>
      </c>
      <c r="EK26" s="4">
        <f t="shared" si="27"/>
        <v>6348397.2609135685</v>
      </c>
      <c r="EL26" s="4">
        <f t="shared" si="27"/>
        <v>6411881.2335227039</v>
      </c>
      <c r="EM26" s="4">
        <f t="shared" si="27"/>
        <v>6476000.0458579306</v>
      </c>
      <c r="EN26" s="4">
        <f t="shared" si="27"/>
        <v>6540760.0463165101</v>
      </c>
      <c r="EO26" s="4">
        <f t="shared" si="27"/>
        <v>6606167.646779675</v>
      </c>
      <c r="EP26" s="4">
        <f t="shared" si="27"/>
        <v>6672229.3232474718</v>
      </c>
      <c r="EQ26" s="4">
        <f t="shared" si="27"/>
        <v>6738951.6164799463</v>
      </c>
      <c r="ER26" s="4">
        <f t="shared" si="27"/>
        <v>6806341.1326447455</v>
      </c>
      <c r="ES26" s="4">
        <f t="shared" si="27"/>
        <v>6874404.543971193</v>
      </c>
      <c r="ET26" s="4">
        <f t="shared" si="27"/>
        <v>6943148.5894109048</v>
      </c>
      <c r="EU26" s="4">
        <f t="shared" si="27"/>
        <v>7012580.0753050139</v>
      </c>
      <c r="EV26" s="4">
        <f t="shared" si="27"/>
        <v>7082705.8760580644</v>
      </c>
      <c r="EW26" s="4">
        <f t="shared" si="27"/>
        <v>7153532.934818645</v>
      </c>
      <c r="EX26" s="4">
        <f t="shared" si="27"/>
        <v>7225068.264166832</v>
      </c>
      <c r="EY26" s="4">
        <f t="shared" si="27"/>
        <v>7297318.9468085002</v>
      </c>
      <c r="EZ26" s="4">
        <f t="shared" si="27"/>
        <v>7370292.136276585</v>
      </c>
      <c r="FA26" s="4">
        <f t="shared" si="27"/>
        <v>7443995.0576393511</v>
      </c>
      <c r="FB26" s="4">
        <f t="shared" si="27"/>
        <v>7518435.008215745</v>
      </c>
      <c r="FC26" s="4">
        <f t="shared" si="27"/>
        <v>7593619.3582979022</v>
      </c>
      <c r="FD26" s="4">
        <f t="shared" si="27"/>
        <v>7669555.5518808812</v>
      </c>
      <c r="FE26" s="4">
        <f t="shared" si="27"/>
        <v>7746251.10739969</v>
      </c>
      <c r="FF26" s="4">
        <f t="shared" si="27"/>
        <v>7823713.6184736872</v>
      </c>
      <c r="FG26" s="4">
        <f t="shared" si="27"/>
        <v>7901950.7546584243</v>
      </c>
      <c r="FH26" s="4">
        <f t="shared" si="27"/>
        <v>7980970.2622050084</v>
      </c>
      <c r="FI26" s="4">
        <f t="shared" si="27"/>
        <v>8060779.9648270588</v>
      </c>
      <c r="FJ26" s="4">
        <f t="shared" ref="FJ26:GO26" si="28">+FI26*(1+$AO$31)</f>
        <v>8141387.7644753298</v>
      </c>
      <c r="FK26" s="4">
        <f t="shared" si="28"/>
        <v>8222801.6421200829</v>
      </c>
      <c r="FL26" s="4">
        <f t="shared" si="28"/>
        <v>8305029.6585412836</v>
      </c>
      <c r="FM26" s="4">
        <f t="shared" si="28"/>
        <v>8388079.9551266963</v>
      </c>
      <c r="FN26" s="4">
        <f t="shared" si="28"/>
        <v>8471960.7546779625</v>
      </c>
      <c r="FO26" s="4">
        <f t="shared" si="28"/>
        <v>8556680.3622247428</v>
      </c>
      <c r="FP26" s="4">
        <f t="shared" si="28"/>
        <v>8642247.1658469904</v>
      </c>
      <c r="FQ26" s="4">
        <f t="shared" si="28"/>
        <v>8728669.6375054605</v>
      </c>
      <c r="FR26" s="4">
        <f t="shared" si="28"/>
        <v>8815956.3338805158</v>
      </c>
      <c r="FS26" s="4">
        <f t="shared" si="28"/>
        <v>8904115.8972193208</v>
      </c>
      <c r="FT26" s="4">
        <f t="shared" si="28"/>
        <v>8993157.0561915133</v>
      </c>
      <c r="FU26" s="4">
        <f t="shared" si="28"/>
        <v>9083088.626753429</v>
      </c>
      <c r="FV26" s="4">
        <f t="shared" si="28"/>
        <v>9173919.5130209625</v>
      </c>
      <c r="FW26" s="4">
        <f t="shared" si="28"/>
        <v>9265658.7081511728</v>
      </c>
      <c r="FX26" s="4">
        <f t="shared" si="28"/>
        <v>9358315.2952326853</v>
      </c>
      <c r="FY26" s="4">
        <f t="shared" si="28"/>
        <v>9451898.4481850117</v>
      </c>
      <c r="FZ26" s="4">
        <f t="shared" si="28"/>
        <v>9546417.4326668624</v>
      </c>
      <c r="GA26" s="4">
        <f t="shared" si="28"/>
        <v>9641881.6069935318</v>
      </c>
      <c r="GB26" s="4">
        <f t="shared" si="28"/>
        <v>9738300.4230634663</v>
      </c>
      <c r="GC26" s="4">
        <f t="shared" si="28"/>
        <v>9835683.4272941016</v>
      </c>
      <c r="GD26" s="4">
        <f t="shared" si="28"/>
        <v>9934040.2615670431</v>
      </c>
      <c r="GE26" s="4">
        <f t="shared" si="28"/>
        <v>10033380.664182713</v>
      </c>
      <c r="GF26" s="4">
        <f t="shared" si="28"/>
        <v>10133714.47082454</v>
      </c>
      <c r="GG26" s="4">
        <f t="shared" si="28"/>
        <v>10235051.615532786</v>
      </c>
      <c r="GH26" s="4">
        <f t="shared" si="28"/>
        <v>10337402.131688114</v>
      </c>
      <c r="GI26" s="4">
        <f t="shared" si="28"/>
        <v>10440776.153004995</v>
      </c>
      <c r="GJ26" s="4">
        <f t="shared" si="28"/>
        <v>10545183.914535044</v>
      </c>
      <c r="GK26" s="4">
        <f t="shared" si="28"/>
        <v>10650635.753680395</v>
      </c>
      <c r="GL26" s="4">
        <f t="shared" si="28"/>
        <v>10757142.111217199</v>
      </c>
      <c r="GM26" s="4">
        <f t="shared" si="28"/>
        <v>10864713.532329371</v>
      </c>
      <c r="GN26" s="4">
        <f t="shared" si="28"/>
        <v>10973360.667652665</v>
      </c>
      <c r="GO26" s="4">
        <f t="shared" si="28"/>
        <v>11083094.274329191</v>
      </c>
      <c r="GP26" s="4">
        <f t="shared" ref="GP26:HS26" si="29">+GO26*(1+$AO$31)</f>
        <v>11193925.217072483</v>
      </c>
      <c r="GQ26" s="4">
        <f t="shared" si="29"/>
        <v>11305864.469243208</v>
      </c>
      <c r="GR26" s="4">
        <f t="shared" si="29"/>
        <v>11418923.11393564</v>
      </c>
      <c r="GS26" s="4">
        <f t="shared" si="29"/>
        <v>11533112.345074996</v>
      </c>
      <c r="GT26" s="4">
        <f t="shared" si="29"/>
        <v>11648443.468525747</v>
      </c>
      <c r="GU26" s="4">
        <f t="shared" si="29"/>
        <v>11764927.903211005</v>
      </c>
      <c r="GV26" s="4">
        <f t="shared" si="29"/>
        <v>11882577.182243114</v>
      </c>
      <c r="GW26" s="4">
        <f t="shared" si="29"/>
        <v>12001402.954065546</v>
      </c>
      <c r="GX26" s="4">
        <f t="shared" si="29"/>
        <v>12121416.983606203</v>
      </c>
      <c r="GY26" s="4">
        <f t="shared" si="29"/>
        <v>12242631.153442265</v>
      </c>
      <c r="GZ26" s="4">
        <f t="shared" si="29"/>
        <v>12365057.464976689</v>
      </c>
      <c r="HA26" s="4">
        <f t="shared" si="29"/>
        <v>12488708.039626455</v>
      </c>
      <c r="HB26" s="4">
        <f t="shared" si="29"/>
        <v>12613595.12002272</v>
      </c>
      <c r="HC26" s="4">
        <f t="shared" si="29"/>
        <v>12739731.071222948</v>
      </c>
      <c r="HD26" s="4">
        <f t="shared" si="29"/>
        <v>12867128.381935177</v>
      </c>
      <c r="HE26" s="4">
        <f t="shared" si="29"/>
        <v>12995799.665754529</v>
      </c>
      <c r="HF26" s="4">
        <f t="shared" si="29"/>
        <v>13125757.662412073</v>
      </c>
      <c r="HG26" s="4">
        <f t="shared" si="29"/>
        <v>13257015.239036195</v>
      </c>
      <c r="HH26" s="4">
        <f t="shared" si="29"/>
        <v>13389585.391426558</v>
      </c>
      <c r="HI26" s="4">
        <f t="shared" si="29"/>
        <v>13523481.245340824</v>
      </c>
      <c r="HJ26" s="4">
        <f t="shared" si="29"/>
        <v>13658716.057794232</v>
      </c>
      <c r="HK26" s="4">
        <f t="shared" si="29"/>
        <v>13795303.218372174</v>
      </c>
      <c r="HL26" s="4">
        <f t="shared" si="29"/>
        <v>13933256.250555895</v>
      </c>
      <c r="HM26" s="4">
        <f t="shared" si="29"/>
        <v>14072588.813061455</v>
      </c>
      <c r="HN26" s="4">
        <f t="shared" si="29"/>
        <v>14213314.70119207</v>
      </c>
      <c r="HO26" s="4">
        <f t="shared" si="29"/>
        <v>14355447.848203991</v>
      </c>
      <c r="HP26" s="4">
        <f t="shared" si="29"/>
        <v>14499002.32668603</v>
      </c>
      <c r="HQ26" s="4">
        <f t="shared" si="29"/>
        <v>14643992.349952891</v>
      </c>
      <c r="HR26" s="4">
        <f t="shared" si="29"/>
        <v>14790432.27345242</v>
      </c>
      <c r="HS26" s="4">
        <f t="shared" si="29"/>
        <v>14938336.596186943</v>
      </c>
    </row>
    <row r="27" spans="2:227">
      <c r="B27" s="1" t="s">
        <v>40</v>
      </c>
      <c r="H27" s="1">
        <v>1322</v>
      </c>
      <c r="I27" s="1">
        <v>1327</v>
      </c>
      <c r="L27" s="1">
        <v>31279</v>
      </c>
      <c r="M27" s="1">
        <v>117713</v>
      </c>
      <c r="N27" s="8">
        <f>+N26/N28</f>
        <v>147188.89738539897</v>
      </c>
      <c r="O27" s="8">
        <v>117936</v>
      </c>
      <c r="Y27" s="1">
        <v>732</v>
      </c>
      <c r="Z27" s="1">
        <v>1328</v>
      </c>
      <c r="AA27" s="1">
        <v>63448</v>
      </c>
      <c r="AB27" s="1">
        <f>+AA27</f>
        <v>63448</v>
      </c>
      <c r="AC27" s="1">
        <f t="shared" ref="AC27:AJ27" si="30">+AB27</f>
        <v>63448</v>
      </c>
      <c r="AD27" s="1">
        <f t="shared" si="30"/>
        <v>63448</v>
      </c>
      <c r="AE27" s="1">
        <f t="shared" si="30"/>
        <v>63448</v>
      </c>
      <c r="AF27" s="1">
        <f t="shared" si="30"/>
        <v>63448</v>
      </c>
      <c r="AG27" s="1">
        <f t="shared" si="30"/>
        <v>63448</v>
      </c>
      <c r="AH27" s="1">
        <f t="shared" si="30"/>
        <v>63448</v>
      </c>
      <c r="AI27" s="1">
        <f t="shared" si="30"/>
        <v>63448</v>
      </c>
      <c r="AJ27" s="1">
        <f t="shared" si="30"/>
        <v>63448</v>
      </c>
      <c r="AK27" s="1">
        <f t="shared" ref="AK27" si="31">+AJ27</f>
        <v>63448</v>
      </c>
    </row>
    <row r="28" spans="2:227" s="12" customFormat="1">
      <c r="B28" s="12" t="s">
        <v>41</v>
      </c>
      <c r="H28" s="12">
        <f>+H26/H27</f>
        <v>-3.0264750378214824</v>
      </c>
      <c r="I28" s="12">
        <f>+I26/I27</f>
        <v>-4.5214770158251696</v>
      </c>
      <c r="L28" s="12">
        <f>+L26/L27</f>
        <v>0.28063557019086288</v>
      </c>
      <c r="M28" s="12">
        <f>+M26/M27</f>
        <v>7.743409818796565E-2</v>
      </c>
      <c r="N28" s="13">
        <f>+AA28-SUM(K28:M28)</f>
        <v>2.4274928771593873E-2</v>
      </c>
      <c r="O28" s="13">
        <f>+AB28-SUM(L28:N28)</f>
        <v>2.6749549914149195</v>
      </c>
      <c r="Y28" s="12">
        <f>+Y26/Y27</f>
        <v>-27.33606557377049</v>
      </c>
      <c r="Z28" s="12">
        <f>+Z26/Z27</f>
        <v>-25.083584337349397</v>
      </c>
      <c r="AA28" s="12">
        <f>+AA26/AA27</f>
        <v>0.38234459715042241</v>
      </c>
      <c r="AB28" s="12">
        <f>+AB26/AB27</f>
        <v>3.0572995885653418</v>
      </c>
      <c r="AC28" s="12">
        <f t="shared" ref="AC28:AK28" si="32">+AC26/AC27</f>
        <v>4.1797287968464341</v>
      </c>
      <c r="AD28" s="12">
        <f t="shared" si="32"/>
        <v>5.6288377048973492</v>
      </c>
      <c r="AE28" s="12">
        <f t="shared" si="32"/>
        <v>7.4904010242947718</v>
      </c>
      <c r="AF28" s="12">
        <f t="shared" si="32"/>
        <v>9.8714361632552698</v>
      </c>
      <c r="AG28" s="12">
        <f t="shared" si="32"/>
        <v>12.905269316828166</v>
      </c>
      <c r="AH28" s="12">
        <f t="shared" si="32"/>
        <v>16.757778285300034</v>
      </c>
      <c r="AI28" s="12">
        <f t="shared" si="32"/>
        <v>21.635080068487529</v>
      </c>
      <c r="AJ28" s="12">
        <f t="shared" si="32"/>
        <v>27.792991433537949</v>
      </c>
      <c r="AK28" s="12">
        <f t="shared" si="32"/>
        <v>35.548664141869097</v>
      </c>
    </row>
    <row r="29" spans="2:227">
      <c r="Q29" s="1" t="s">
        <v>70</v>
      </c>
    </row>
    <row r="30" spans="2:227">
      <c r="B30" s="1" t="s">
        <v>84</v>
      </c>
    </row>
    <row r="31" spans="2:227">
      <c r="B31" s="7" t="s">
        <v>49</v>
      </c>
      <c r="AN31" s="1" t="s">
        <v>89</v>
      </c>
      <c r="AO31" s="5">
        <v>0.01</v>
      </c>
    </row>
    <row r="32" spans="2:227" s="5" customFormat="1">
      <c r="B32" s="1" t="s">
        <v>46</v>
      </c>
      <c r="L32" s="5">
        <f>+L9/H9-1</f>
        <v>0.62436032546260689</v>
      </c>
      <c r="M32" s="5">
        <f>+M9/I9-1</f>
        <v>0.49517695954841545</v>
      </c>
      <c r="AA32" s="5">
        <f>+AA9/Z9-1</f>
        <v>0.59843958983504231</v>
      </c>
      <c r="AN32" s="5" t="s">
        <v>90</v>
      </c>
      <c r="AO32" s="15">
        <v>0.1</v>
      </c>
    </row>
    <row r="33" spans="2:41" s="5" customFormat="1">
      <c r="B33" s="1" t="s">
        <v>44</v>
      </c>
      <c r="L33" s="5">
        <f t="shared" ref="L33:O35" si="33">+L10/H10-1</f>
        <v>-1</v>
      </c>
      <c r="M33" s="5">
        <f t="shared" si="33"/>
        <v>-1</v>
      </c>
      <c r="AN33" s="5" t="s">
        <v>91</v>
      </c>
      <c r="AO33" s="9">
        <f>+NPV(AO32,AB26:HM26)</f>
        <v>14401701.695027255</v>
      </c>
    </row>
    <row r="34" spans="2:41" s="5" customFormat="1">
      <c r="B34" s="1" t="s">
        <v>45</v>
      </c>
      <c r="L34" s="5">
        <f t="shared" si="33"/>
        <v>2.2662889518413554E-2</v>
      </c>
      <c r="M34" s="5">
        <f t="shared" si="33"/>
        <v>0.11221326720396774</v>
      </c>
      <c r="AN34" s="5" t="s">
        <v>17</v>
      </c>
      <c r="AO34" s="1">
        <f>+Main!K5*1000</f>
        <v>114028.23300000001</v>
      </c>
    </row>
    <row r="35" spans="2:41" s="5" customFormat="1">
      <c r="B35" s="4" t="s">
        <v>26</v>
      </c>
      <c r="K35" s="5">
        <f t="shared" ref="K35" si="34">+K12/G12-1</f>
        <v>0.27716321512348197</v>
      </c>
      <c r="L35" s="5">
        <f t="shared" si="33"/>
        <v>0.27207445830114407</v>
      </c>
      <c r="M35" s="5">
        <f t="shared" si="33"/>
        <v>0.26063134613451289</v>
      </c>
      <c r="N35" s="5">
        <f t="shared" si="33"/>
        <v>0.36352791780505633</v>
      </c>
      <c r="O35" s="5">
        <f t="shared" si="33"/>
        <v>0.2753701688472201</v>
      </c>
      <c r="Z35" s="5">
        <f t="shared" ref="Z35:AK35" si="35">+Z12/Y12-1</f>
        <v>0.1280755571197747</v>
      </c>
      <c r="AA35" s="5">
        <f t="shared" si="35"/>
        <v>0.29174872677573349</v>
      </c>
      <c r="AB35" s="5">
        <f t="shared" si="35"/>
        <v>0.19781528749828459</v>
      </c>
      <c r="AC35" s="5">
        <f t="shared" si="35"/>
        <v>0.36713091922005558</v>
      </c>
      <c r="AD35" s="5">
        <f t="shared" si="35"/>
        <v>0.34669926650366745</v>
      </c>
      <c r="AE35" s="5">
        <f t="shared" si="35"/>
        <v>0.33071895424836617</v>
      </c>
      <c r="AF35" s="5">
        <f t="shared" si="35"/>
        <v>0.31787819253438099</v>
      </c>
      <c r="AG35" s="5">
        <f t="shared" si="35"/>
        <v>0.30733452593917709</v>
      </c>
      <c r="AH35" s="5">
        <f t="shared" si="35"/>
        <v>0.29852216748768479</v>
      </c>
      <c r="AI35" s="5">
        <f t="shared" si="35"/>
        <v>0.29104704097116829</v>
      </c>
      <c r="AJ35" s="5">
        <f t="shared" si="35"/>
        <v>0.28462623413258115</v>
      </c>
      <c r="AK35" s="5">
        <f t="shared" si="35"/>
        <v>0.27905138339920921</v>
      </c>
      <c r="AN35" s="10" t="s">
        <v>92</v>
      </c>
      <c r="AO35" s="11">
        <f>+AO33/AO34</f>
        <v>126.29943757023099</v>
      </c>
    </row>
    <row r="36" spans="2:41">
      <c r="AN36" s="1" t="s">
        <v>94</v>
      </c>
      <c r="AO36" s="1">
        <f>+Main!K4</f>
        <v>99.08</v>
      </c>
    </row>
    <row r="37" spans="2:41">
      <c r="B37" s="1" t="s">
        <v>47</v>
      </c>
      <c r="AA37" s="5">
        <f>+AA21/AA12</f>
        <v>2.1550706738026622E-2</v>
      </c>
      <c r="AN37" s="1" t="s">
        <v>93</v>
      </c>
      <c r="AO37" s="5">
        <f>+AO35/AO36-1</f>
        <v>0.2747218164133125</v>
      </c>
    </row>
    <row r="38" spans="2:41">
      <c r="B38" s="1" t="s">
        <v>46</v>
      </c>
      <c r="H38" s="5">
        <f>(H9-23253)/H9</f>
        <v>0.77923039676436245</v>
      </c>
      <c r="I38" s="5">
        <f>(I9-90992)/I9</f>
        <v>0.21702391298735943</v>
      </c>
      <c r="L38" s="5">
        <f>(L9-44616)/L9</f>
        <v>0.73922344510751714</v>
      </c>
      <c r="M38" s="5">
        <f>(M9-130179)/M9</f>
        <v>0.25080715243526952</v>
      </c>
      <c r="N38" s="5">
        <f>(N9-130179)/N9</f>
        <v>0.65025576821811226</v>
      </c>
      <c r="O38" s="5">
        <f>(O9-130179)/O9</f>
        <v>0.49206367786491867</v>
      </c>
      <c r="P38" s="5" t="e">
        <f>(P9-130179)/P9</f>
        <v>#DIV/0!</v>
      </c>
    </row>
    <row r="40" spans="2:41">
      <c r="AN40" s="1" t="s">
        <v>21</v>
      </c>
      <c r="AO40" s="1">
        <f>+Main!K9*1000</f>
        <v>10968800.325639999</v>
      </c>
    </row>
    <row r="41" spans="2:41">
      <c r="B41" s="1" t="s">
        <v>19</v>
      </c>
      <c r="J41" s="1">
        <v>39125</v>
      </c>
      <c r="L41" s="1">
        <v>352845</v>
      </c>
      <c r="M41" s="1">
        <v>340399</v>
      </c>
      <c r="N41" s="1">
        <v>332428</v>
      </c>
      <c r="AN41" s="1" t="s">
        <v>107</v>
      </c>
      <c r="AO41" s="1">
        <f>+$AO$40/AB26</f>
        <v>56.546170192782107</v>
      </c>
    </row>
    <row r="42" spans="2:41">
      <c r="B42" s="1" t="s">
        <v>61</v>
      </c>
      <c r="J42" s="1">
        <v>2827</v>
      </c>
      <c r="L42" s="1">
        <v>4326</v>
      </c>
      <c r="M42" s="1">
        <v>5192</v>
      </c>
      <c r="N42" s="1">
        <v>3662</v>
      </c>
      <c r="AN42" s="1" t="s">
        <v>108</v>
      </c>
      <c r="AO42" s="1">
        <f>+$AO$40/AC26</f>
        <v>41.361196208656835</v>
      </c>
    </row>
    <row r="43" spans="2:41">
      <c r="B43" s="1" t="s">
        <v>62</v>
      </c>
      <c r="J43" s="1">
        <v>4908</v>
      </c>
      <c r="L43" s="1">
        <v>7552</v>
      </c>
      <c r="M43" s="1">
        <v>7500</v>
      </c>
      <c r="N43" s="1">
        <v>8223</v>
      </c>
    </row>
    <row r="44" spans="2:41">
      <c r="B44" s="1" t="s">
        <v>63</v>
      </c>
      <c r="J44" s="1">
        <v>5139</v>
      </c>
      <c r="L44" s="1">
        <v>5357</v>
      </c>
      <c r="M44" s="1">
        <v>5726</v>
      </c>
      <c r="N44" s="1">
        <v>5637</v>
      </c>
    </row>
    <row r="45" spans="2:41">
      <c r="B45" s="1" t="s">
        <v>64</v>
      </c>
      <c r="J45" s="1">
        <v>6151</v>
      </c>
      <c r="L45" s="1">
        <v>4534</v>
      </c>
      <c r="M45" s="1">
        <v>4832</v>
      </c>
      <c r="N45" s="1">
        <v>4962</v>
      </c>
    </row>
    <row r="46" spans="2:41">
      <c r="B46" s="1" t="s">
        <v>65</v>
      </c>
      <c r="J46" s="1">
        <v>242983</v>
      </c>
      <c r="L46" s="1">
        <v>298318</v>
      </c>
      <c r="M46" s="1">
        <v>316086</v>
      </c>
      <c r="N46" s="1">
        <v>330730</v>
      </c>
    </row>
    <row r="47" spans="2:41">
      <c r="B47" s="1" t="s">
        <v>57</v>
      </c>
      <c r="J47" s="1">
        <v>273876</v>
      </c>
      <c r="L47" s="1">
        <v>289126</v>
      </c>
      <c r="M47" s="1">
        <v>297031</v>
      </c>
      <c r="N47" s="1">
        <v>289451</v>
      </c>
    </row>
    <row r="48" spans="2:41">
      <c r="B48" s="1" t="s">
        <v>66</v>
      </c>
      <c r="J48" s="1">
        <v>1944</v>
      </c>
      <c r="L48" s="1">
        <v>1944</v>
      </c>
      <c r="M48" s="1">
        <v>1944</v>
      </c>
      <c r="N48" s="1">
        <v>1944</v>
      </c>
    </row>
    <row r="49" spans="2:14">
      <c r="B49" s="1" t="s">
        <v>67</v>
      </c>
      <c r="J49" s="1">
        <v>1382</v>
      </c>
      <c r="L49" s="1">
        <v>1355</v>
      </c>
      <c r="M49" s="1">
        <v>1355</v>
      </c>
      <c r="N49" s="1">
        <v>1355</v>
      </c>
    </row>
    <row r="50" spans="2:14">
      <c r="B50" s="1" t="s">
        <v>68</v>
      </c>
      <c r="J50" s="1">
        <v>5548</v>
      </c>
      <c r="L50" s="1">
        <v>5018</v>
      </c>
      <c r="M50" s="1">
        <v>4909</v>
      </c>
      <c r="N50" s="1">
        <v>5365</v>
      </c>
    </row>
    <row r="51" spans="2:14" s="4" customFormat="1">
      <c r="B51" s="4" t="s">
        <v>60</v>
      </c>
      <c r="J51" s="4">
        <f>+SUM(J41:J50)</f>
        <v>583883</v>
      </c>
      <c r="L51" s="4">
        <f>+SUM(L41:L50)</f>
        <v>970375</v>
      </c>
      <c r="M51" s="4">
        <f>+SUM(M41:M50)</f>
        <v>984974</v>
      </c>
      <c r="N51" s="4">
        <f>+SUM(N41:N50)</f>
        <v>983757</v>
      </c>
    </row>
    <row r="53" spans="2:14">
      <c r="B53" s="1" t="s">
        <v>53</v>
      </c>
      <c r="J53" s="1">
        <v>14311</v>
      </c>
      <c r="L53" s="1">
        <v>14204</v>
      </c>
      <c r="M53" s="1">
        <v>13568</v>
      </c>
      <c r="N53" s="1">
        <v>17234</v>
      </c>
    </row>
    <row r="54" spans="2:14">
      <c r="B54" s="1" t="s">
        <v>54</v>
      </c>
      <c r="J54" s="1">
        <v>40468</v>
      </c>
      <c r="L54" s="1">
        <v>66388</v>
      </c>
      <c r="M54" s="1">
        <v>62997</v>
      </c>
      <c r="N54" s="1">
        <v>59219</v>
      </c>
    </row>
    <row r="55" spans="2:14">
      <c r="B55" s="1" t="s">
        <v>55</v>
      </c>
      <c r="J55" s="1">
        <v>29539</v>
      </c>
      <c r="L55" s="1">
        <v>34106</v>
      </c>
      <c r="M55" s="1">
        <v>36366</v>
      </c>
      <c r="N55" s="1">
        <v>32583</v>
      </c>
    </row>
    <row r="56" spans="2:14">
      <c r="B56" s="1" t="s">
        <v>56</v>
      </c>
      <c r="J56" s="1">
        <v>28</v>
      </c>
      <c r="L56" s="1">
        <v>28</v>
      </c>
      <c r="M56" s="1">
        <v>28</v>
      </c>
      <c r="N56" s="1">
        <v>79</v>
      </c>
    </row>
    <row r="57" spans="2:14">
      <c r="B57" s="1" t="s">
        <v>57</v>
      </c>
      <c r="J57" s="1">
        <v>285194</v>
      </c>
      <c r="L57" s="1">
        <v>299473</v>
      </c>
      <c r="M57" s="1">
        <v>305993</v>
      </c>
      <c r="N57" s="1">
        <v>303615</v>
      </c>
    </row>
    <row r="58" spans="2:14">
      <c r="B58" s="1" t="s">
        <v>58</v>
      </c>
      <c r="J58" s="1">
        <v>538</v>
      </c>
      <c r="L58" s="1">
        <v>367</v>
      </c>
      <c r="M58" s="1">
        <v>299</v>
      </c>
      <c r="N58" s="1">
        <v>225</v>
      </c>
    </row>
    <row r="59" spans="2:14">
      <c r="B59" s="1" t="s">
        <v>69</v>
      </c>
      <c r="J59" s="1">
        <v>662308</v>
      </c>
    </row>
    <row r="60" spans="2:14">
      <c r="B60" s="1" t="s">
        <v>59</v>
      </c>
      <c r="J60" s="1">
        <v>-448503</v>
      </c>
      <c r="L60" s="1">
        <v>555809</v>
      </c>
      <c r="M60" s="1">
        <v>565723</v>
      </c>
      <c r="N60" s="1">
        <v>570802</v>
      </c>
    </row>
    <row r="61" spans="2:14" s="4" customFormat="1">
      <c r="B61" s="4" t="s">
        <v>52</v>
      </c>
      <c r="J61" s="4">
        <f>+SUM(J53:J60)</f>
        <v>583883</v>
      </c>
      <c r="L61" s="4">
        <f>+SUM(L53:L60)</f>
        <v>970375</v>
      </c>
      <c r="M61" s="4">
        <f>+SUM(M53:M60)</f>
        <v>984974</v>
      </c>
      <c r="N61" s="4">
        <f>+SUM(N53:N60)</f>
        <v>983757</v>
      </c>
    </row>
    <row r="64" spans="2:14">
      <c r="B64" s="1" t="s">
        <v>95</v>
      </c>
      <c r="J64" s="1">
        <f t="shared" ref="J64:M64" si="36">+J41</f>
        <v>39125</v>
      </c>
      <c r="K64" s="1">
        <f t="shared" si="36"/>
        <v>0</v>
      </c>
      <c r="L64" s="1">
        <f t="shared" si="36"/>
        <v>352845</v>
      </c>
      <c r="M64" s="1">
        <f t="shared" si="36"/>
        <v>340399</v>
      </c>
      <c r="N64" s="1">
        <f>+N41</f>
        <v>332428</v>
      </c>
    </row>
    <row r="65" spans="2:14">
      <c r="B65" s="1" t="s">
        <v>96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</row>
    <row r="66" spans="2:14">
      <c r="B66" s="1" t="s">
        <v>97</v>
      </c>
    </row>
  </sheetData>
  <mergeCells count="1">
    <mergeCell ref="AC10:AL10"/>
  </mergeCells>
  <pageMargins left="0.7" right="0.7" top="0.75" bottom="0.75" header="0.3" footer="0.3"/>
  <ignoredErrors>
    <ignoredError sqref="K20 X20:AA20 S20" formulaRange="1"/>
    <ignoredError sqref="G21:J26 H20:J20" formula="1"/>
    <ignoredError sqref="G20" formula="1" formulaRange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EAEC-97DD-2040-92F5-B829AE9E92B8}">
  <dimension ref="A2:B12"/>
  <sheetViews>
    <sheetView workbookViewId="0">
      <selection activeCell="B66" sqref="B66"/>
    </sheetView>
  </sheetViews>
  <sheetFormatPr baseColWidth="10" defaultRowHeight="13"/>
  <cols>
    <col min="1" max="1" width="23.33203125" bestFit="1" customWidth="1"/>
    <col min="2" max="2" width="5.6640625" bestFit="1" customWidth="1"/>
  </cols>
  <sheetData>
    <row r="2" spans="1:2">
      <c r="A2" t="s">
        <v>102</v>
      </c>
    </row>
    <row r="5" spans="1:2" ht="14">
      <c r="A5" t="s">
        <v>98</v>
      </c>
      <c r="B5" s="14">
        <v>2023</v>
      </c>
    </row>
    <row r="6" spans="1:2">
      <c r="A6" t="s">
        <v>99</v>
      </c>
      <c r="B6" s="5">
        <v>0.29504331039322812</v>
      </c>
    </row>
    <row r="7" spans="1:2">
      <c r="A7" t="s">
        <v>28</v>
      </c>
      <c r="B7" s="5">
        <v>0.247271960338136</v>
      </c>
    </row>
    <row r="8" spans="1:2">
      <c r="A8" t="s">
        <v>29</v>
      </c>
      <c r="B8" s="5">
        <v>5.09807429336274E-2</v>
      </c>
    </row>
    <row r="9" spans="1:2">
      <c r="A9" t="s">
        <v>100</v>
      </c>
      <c r="B9" s="5">
        <v>0.1447323542399046</v>
      </c>
    </row>
    <row r="10" spans="1:2">
      <c r="A10" t="s">
        <v>31</v>
      </c>
      <c r="B10" s="5">
        <v>6.4182184759608046E-2</v>
      </c>
    </row>
    <row r="11" spans="1:2">
      <c r="A11" t="s">
        <v>32</v>
      </c>
      <c r="B11" s="5">
        <v>3.2354675495451672E-2</v>
      </c>
    </row>
    <row r="12" spans="1:2">
      <c r="A12" t="s">
        <v>101</v>
      </c>
      <c r="B12" s="5">
        <v>3.7411176187483975E-3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A41E-F401-1044-A52C-60F6398FDDF4}">
  <dimension ref="B2:L37"/>
  <sheetViews>
    <sheetView zoomScale="140" zoomScaleNormal="140" workbookViewId="0">
      <selection activeCell="C26" sqref="C26"/>
    </sheetView>
  </sheetViews>
  <sheetFormatPr baseColWidth="10" defaultRowHeight="13"/>
  <cols>
    <col min="1" max="1" width="3.1640625" style="1" customWidth="1"/>
    <col min="2" max="2" width="12.33203125" style="1" customWidth="1"/>
    <col min="3" max="4" width="10.83203125" style="1"/>
    <col min="5" max="5" width="13.6640625" style="1" bestFit="1" customWidth="1"/>
    <col min="6" max="7" width="10.83203125" style="1"/>
    <col min="8" max="8" width="13.6640625" style="1" bestFit="1" customWidth="1"/>
    <col min="9" max="9" width="10.83203125" style="1"/>
    <col min="10" max="11" width="6.6640625" style="1" bestFit="1" customWidth="1"/>
    <col min="12" max="12" width="5.5" style="1" bestFit="1" customWidth="1"/>
    <col min="13" max="16384" width="10.83203125" style="1"/>
  </cols>
  <sheetData>
    <row r="2" spans="2:12">
      <c r="B2" s="1" t="s">
        <v>74</v>
      </c>
      <c r="C2" s="1" t="s">
        <v>75</v>
      </c>
    </row>
    <row r="3" spans="2:12">
      <c r="B3" s="1" t="s">
        <v>24</v>
      </c>
      <c r="C3" s="3">
        <v>2011</v>
      </c>
    </row>
    <row r="4" spans="2:12">
      <c r="B4" s="1" t="s">
        <v>82</v>
      </c>
      <c r="C4" s="3">
        <f ca="1">YEAR(TODAY())-C3</f>
        <v>13</v>
      </c>
      <c r="J4" s="1" t="s">
        <v>16</v>
      </c>
      <c r="K4" s="1">
        <v>99.08</v>
      </c>
    </row>
    <row r="5" spans="2:12">
      <c r="B5" s="1" t="s">
        <v>80</v>
      </c>
      <c r="C5" s="6">
        <v>45092</v>
      </c>
      <c r="J5" s="1" t="s">
        <v>17</v>
      </c>
      <c r="K5" s="1">
        <v>114.028233</v>
      </c>
      <c r="L5" s="1" t="s">
        <v>12</v>
      </c>
    </row>
    <row r="6" spans="2:12">
      <c r="B6" s="1" t="s">
        <v>81</v>
      </c>
      <c r="C6" s="1">
        <v>22</v>
      </c>
      <c r="J6" s="1" t="s">
        <v>18</v>
      </c>
      <c r="K6" s="1">
        <f>+K4*K5</f>
        <v>11297.917325639999</v>
      </c>
    </row>
    <row r="7" spans="2:12">
      <c r="B7" s="1" t="s">
        <v>83</v>
      </c>
      <c r="C7" s="1">
        <v>16611.099999999999</v>
      </c>
      <c r="H7" s="7" t="s">
        <v>23</v>
      </c>
      <c r="J7" s="1" t="s">
        <v>19</v>
      </c>
      <c r="K7" s="1">
        <v>329.11700000000002</v>
      </c>
      <c r="L7" s="1" t="str">
        <f>+L5</f>
        <v>Q124</v>
      </c>
    </row>
    <row r="8" spans="2:12">
      <c r="B8" s="1" t="s">
        <v>105</v>
      </c>
      <c r="C8" s="1" t="s">
        <v>106</v>
      </c>
      <c r="H8" s="2" t="s">
        <v>22</v>
      </c>
      <c r="J8" s="1" t="s">
        <v>20</v>
      </c>
      <c r="K8" s="1">
        <v>0</v>
      </c>
      <c r="L8" s="1" t="str">
        <f>+L7</f>
        <v>Q124</v>
      </c>
    </row>
    <row r="9" spans="2:12">
      <c r="H9" s="2" t="s">
        <v>71</v>
      </c>
      <c r="J9" s="1" t="s">
        <v>21</v>
      </c>
      <c r="K9" s="1">
        <f>+K6-K7+K8</f>
        <v>10968.800325639999</v>
      </c>
    </row>
    <row r="10" spans="2:12">
      <c r="H10" s="2" t="s">
        <v>72</v>
      </c>
    </row>
    <row r="11" spans="2:12">
      <c r="B11" s="7" t="s">
        <v>73</v>
      </c>
    </row>
    <row r="12" spans="2:12">
      <c r="B12" s="1" t="s">
        <v>85</v>
      </c>
    </row>
    <row r="13" spans="2:12">
      <c r="B13" s="1" t="s">
        <v>76</v>
      </c>
    </row>
    <row r="14" spans="2:12">
      <c r="B14" s="1" t="s">
        <v>77</v>
      </c>
    </row>
    <row r="15" spans="2:12">
      <c r="B15" s="1" t="s">
        <v>78</v>
      </c>
    </row>
    <row r="16" spans="2:12">
      <c r="B16" s="1" t="s">
        <v>79</v>
      </c>
    </row>
    <row r="20" spans="2:4">
      <c r="C20" s="1" t="s">
        <v>46</v>
      </c>
      <c r="D20" s="1" t="s">
        <v>86</v>
      </c>
    </row>
    <row r="21" spans="2:4">
      <c r="B21" s="1" t="s">
        <v>87</v>
      </c>
      <c r="C21" s="1">
        <v>38</v>
      </c>
      <c r="D21" s="1">
        <v>53</v>
      </c>
    </row>
    <row r="22" spans="2:4">
      <c r="B22" s="1" t="s">
        <v>88</v>
      </c>
      <c r="C22" s="1">
        <v>290</v>
      </c>
    </row>
    <row r="25" spans="2:4">
      <c r="C25" s="7" t="s">
        <v>104</v>
      </c>
    </row>
    <row r="26" spans="2:4">
      <c r="C26" s="17">
        <v>45505</v>
      </c>
    </row>
    <row r="27" spans="2:4">
      <c r="C27" s="6"/>
    </row>
    <row r="28" spans="2:4">
      <c r="C28" s="6"/>
    </row>
    <row r="29" spans="2:4">
      <c r="C29" s="6"/>
    </row>
    <row r="30" spans="2:4">
      <c r="C30" s="6"/>
    </row>
    <row r="31" spans="2:4">
      <c r="C31" s="6"/>
    </row>
    <row r="32" spans="2:4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</sheetData>
  <hyperlinks>
    <hyperlink ref="H8" r:id="rId1" xr:uid="{F5DF0E1D-6A7D-3E45-A8A5-664CCFF5A179}"/>
    <hyperlink ref="H9" r:id="rId2" xr:uid="{C4DFF86D-D34C-4041-ACB5-491EC9412C30}"/>
    <hyperlink ref="H10" r:id="rId3" xr:uid="{DEB17B4A-A8A6-F740-98D4-473836C6B60A}"/>
    <hyperlink ref="C26" r:id="rId4" display="https://investor.cava.com/news/news-details/2024/CAVA-Debuts-Mediterranean-Inspired-Grilled-Steak/default.aspx" xr:uid="{ED5AB232-31E1-7549-BA35-8E1CE810CE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CMG baseline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2024-02-16T06:05:09Z</dcterms:created>
  <dcterms:modified xsi:type="dcterms:W3CDTF">2024-08-19T01:05:00Z</dcterms:modified>
</cp:coreProperties>
</file>