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8_{1039C467-520B-1B49-A08E-094AF8322D0C}" xr6:coauthVersionLast="47" xr6:coauthVersionMax="47" xr10:uidLastSave="{00000000-0000-0000-0000-000000000000}"/>
  <bookViews>
    <workbookView xWindow="24780" yWindow="600" windowWidth="25880" windowHeight="28200" xr2:uid="{B7CFBDD7-C655-C147-804E-4A8E3CCF4F14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I50" i="1"/>
  <c r="H50" i="1"/>
  <c r="G50" i="1"/>
  <c r="F50" i="1"/>
  <c r="E50" i="1"/>
  <c r="D50" i="1"/>
  <c r="C50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S38" i="1"/>
  <c r="S37" i="1"/>
  <c r="S36" i="1"/>
  <c r="S35" i="1"/>
  <c r="F20" i="1"/>
  <c r="I38" i="1"/>
  <c r="H38" i="1"/>
  <c r="G38" i="1"/>
  <c r="E38" i="1"/>
  <c r="D38" i="1"/>
  <c r="C38" i="1"/>
  <c r="I37" i="1"/>
  <c r="H37" i="1"/>
  <c r="G37" i="1"/>
  <c r="E37" i="1"/>
  <c r="D37" i="1"/>
  <c r="I36" i="1"/>
  <c r="H36" i="1"/>
  <c r="G36" i="1"/>
  <c r="E36" i="1"/>
  <c r="D36" i="1"/>
  <c r="I35" i="1"/>
  <c r="H35" i="1"/>
  <c r="G35" i="1"/>
  <c r="E35" i="1"/>
  <c r="D35" i="1"/>
  <c r="C37" i="1"/>
  <c r="C36" i="1"/>
  <c r="C35" i="1"/>
  <c r="F86" i="1"/>
  <c r="F83" i="1"/>
  <c r="C107" i="1"/>
  <c r="D107" i="1" s="1"/>
  <c r="E107" i="1" s="1"/>
  <c r="C105" i="1"/>
  <c r="C98" i="1"/>
  <c r="C119" i="1" s="1"/>
  <c r="J111" i="1"/>
  <c r="J110" i="1"/>
  <c r="J86" i="1"/>
  <c r="J84" i="1"/>
  <c r="J83" i="1"/>
  <c r="G112" i="1"/>
  <c r="G105" i="1"/>
  <c r="G98" i="1"/>
  <c r="G119" i="1" s="1"/>
  <c r="D109" i="1"/>
  <c r="E109" i="1" s="1"/>
  <c r="F109" i="1" s="1"/>
  <c r="D102" i="1"/>
  <c r="E102" i="1" s="1"/>
  <c r="D101" i="1"/>
  <c r="E101" i="1" s="1"/>
  <c r="D100" i="1"/>
  <c r="E100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F91" i="1" s="1"/>
  <c r="D90" i="1"/>
  <c r="E90" i="1" s="1"/>
  <c r="D89" i="1"/>
  <c r="E89" i="1" s="1"/>
  <c r="D88" i="1"/>
  <c r="E88" i="1" s="1"/>
  <c r="D87" i="1"/>
  <c r="E87" i="1" s="1"/>
  <c r="D85" i="1"/>
  <c r="E85" i="1" s="1"/>
  <c r="D84" i="1"/>
  <c r="E84" i="1" s="1"/>
  <c r="D82" i="1"/>
  <c r="E82" i="1" s="1"/>
  <c r="D81" i="1"/>
  <c r="E81" i="1" s="1"/>
  <c r="D80" i="1"/>
  <c r="E80" i="1" s="1"/>
  <c r="H109" i="1"/>
  <c r="I109" i="1" s="1"/>
  <c r="H108" i="1"/>
  <c r="I108" i="1" s="1"/>
  <c r="H107" i="1"/>
  <c r="I107" i="1" s="1"/>
  <c r="H104" i="1"/>
  <c r="I104" i="1" s="1"/>
  <c r="H103" i="1"/>
  <c r="I103" i="1" s="1"/>
  <c r="J103" i="1" s="1"/>
  <c r="H102" i="1"/>
  <c r="I102" i="1" s="1"/>
  <c r="H101" i="1"/>
  <c r="I101" i="1" s="1"/>
  <c r="H100" i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5" i="1"/>
  <c r="I85" i="1" s="1"/>
  <c r="H82" i="1"/>
  <c r="H81" i="1"/>
  <c r="I81" i="1" s="1"/>
  <c r="H80" i="1"/>
  <c r="I80" i="1" s="1"/>
  <c r="E111" i="1"/>
  <c r="F111" i="1" s="1"/>
  <c r="E110" i="1"/>
  <c r="F110" i="1" s="1"/>
  <c r="E108" i="1"/>
  <c r="F108" i="1" s="1"/>
  <c r="E104" i="1"/>
  <c r="F104" i="1" s="1"/>
  <c r="E103" i="1"/>
  <c r="F103" i="1" s="1"/>
  <c r="X112" i="1"/>
  <c r="X105" i="1"/>
  <c r="X98" i="1"/>
  <c r="Y112" i="1"/>
  <c r="Y105" i="1"/>
  <c r="Y98" i="1"/>
  <c r="Z112" i="1"/>
  <c r="Z105" i="1"/>
  <c r="Z98" i="1"/>
  <c r="I77" i="1"/>
  <c r="H77" i="1"/>
  <c r="G77" i="1"/>
  <c r="F77" i="1"/>
  <c r="E77" i="1"/>
  <c r="D77" i="1"/>
  <c r="J77" i="1"/>
  <c r="E39" i="1"/>
  <c r="D39" i="1"/>
  <c r="C39" i="1"/>
  <c r="C71" i="1"/>
  <c r="C73" i="1" s="1"/>
  <c r="C75" i="1" s="1"/>
  <c r="C63" i="1"/>
  <c r="D71" i="1"/>
  <c r="D68" i="1"/>
  <c r="D63" i="1"/>
  <c r="E71" i="1"/>
  <c r="E68" i="1"/>
  <c r="E63" i="1"/>
  <c r="G71" i="1"/>
  <c r="G68" i="1"/>
  <c r="G63" i="1"/>
  <c r="H73" i="1"/>
  <c r="H75" i="1" s="1"/>
  <c r="H63" i="1"/>
  <c r="I73" i="1"/>
  <c r="I75" i="1" s="1"/>
  <c r="I63" i="1"/>
  <c r="F73" i="1"/>
  <c r="F75" i="1" s="1"/>
  <c r="F63" i="1"/>
  <c r="J73" i="1"/>
  <c r="J75" i="1" s="1"/>
  <c r="J63" i="1"/>
  <c r="Z29" i="1"/>
  <c r="Y29" i="1"/>
  <c r="X29" i="1"/>
  <c r="W29" i="1"/>
  <c r="V29" i="1"/>
  <c r="U39" i="1"/>
  <c r="T39" i="1"/>
  <c r="S39" i="1"/>
  <c r="Y7" i="1"/>
  <c r="F4" i="1"/>
  <c r="J4" i="1"/>
  <c r="C5" i="1"/>
  <c r="D3" i="1" s="1"/>
  <c r="D5" i="1" s="1"/>
  <c r="E3" i="1" s="1"/>
  <c r="E5" i="1" s="1"/>
  <c r="F3" i="1" s="1"/>
  <c r="V5" i="1"/>
  <c r="W3" i="1" s="1"/>
  <c r="W5" i="1" s="1"/>
  <c r="W7" i="1" s="1"/>
  <c r="X5" i="1"/>
  <c r="X7" i="1" s="1"/>
  <c r="Z3" i="1"/>
  <c r="Z5" i="1" s="1"/>
  <c r="Z7" i="1" s="1"/>
  <c r="T32" i="1"/>
  <c r="T31" i="1"/>
  <c r="T30" i="1"/>
  <c r="T29" i="1"/>
  <c r="U32" i="1"/>
  <c r="U31" i="1"/>
  <c r="U30" i="1"/>
  <c r="U29" i="1"/>
  <c r="S19" i="1"/>
  <c r="S22" i="1" s="1"/>
  <c r="S24" i="1" s="1"/>
  <c r="S26" i="1" s="1"/>
  <c r="T19" i="1"/>
  <c r="T22" i="1" s="1"/>
  <c r="T24" i="1" s="1"/>
  <c r="T26" i="1" s="1"/>
  <c r="V32" i="1"/>
  <c r="V31" i="1"/>
  <c r="V30" i="1"/>
  <c r="U19" i="1"/>
  <c r="U22" i="1" s="1"/>
  <c r="U24" i="1" s="1"/>
  <c r="U26" i="1" s="1"/>
  <c r="Y39" i="1"/>
  <c r="X39" i="1"/>
  <c r="W39" i="1"/>
  <c r="V39" i="1"/>
  <c r="Z39" i="1"/>
  <c r="W32" i="1"/>
  <c r="W31" i="1"/>
  <c r="W30" i="1"/>
  <c r="V19" i="1"/>
  <c r="V22" i="1" s="1"/>
  <c r="V24" i="1" s="1"/>
  <c r="V26" i="1" s="1"/>
  <c r="X32" i="1"/>
  <c r="X31" i="1"/>
  <c r="X30" i="1"/>
  <c r="W19" i="1"/>
  <c r="W22" i="1" s="1"/>
  <c r="W24" i="1" s="1"/>
  <c r="W26" i="1" s="1"/>
  <c r="G39" i="1"/>
  <c r="F23" i="1"/>
  <c r="F21" i="1"/>
  <c r="F18" i="1"/>
  <c r="F17" i="1"/>
  <c r="F46" i="1" s="1"/>
  <c r="F16" i="1"/>
  <c r="F15" i="1"/>
  <c r="F14" i="1"/>
  <c r="F13" i="1"/>
  <c r="F12" i="1"/>
  <c r="F11" i="1"/>
  <c r="J23" i="1"/>
  <c r="J21" i="1"/>
  <c r="J20" i="1"/>
  <c r="J18" i="1"/>
  <c r="J17" i="1"/>
  <c r="J16" i="1"/>
  <c r="J15" i="1"/>
  <c r="J14" i="1"/>
  <c r="J13" i="1"/>
  <c r="J12" i="1"/>
  <c r="J11" i="1"/>
  <c r="H39" i="1"/>
  <c r="G32" i="1"/>
  <c r="G31" i="1"/>
  <c r="G30" i="1"/>
  <c r="G29" i="1"/>
  <c r="C19" i="1"/>
  <c r="C22" i="1" s="1"/>
  <c r="C24" i="1" s="1"/>
  <c r="C26" i="1" s="1"/>
  <c r="G19" i="1"/>
  <c r="G22" i="1" s="1"/>
  <c r="G24" i="1" s="1"/>
  <c r="G26" i="1" s="1"/>
  <c r="H32" i="1"/>
  <c r="H31" i="1"/>
  <c r="H30" i="1"/>
  <c r="H29" i="1"/>
  <c r="D19" i="1"/>
  <c r="D22" i="1" s="1"/>
  <c r="D24" i="1" s="1"/>
  <c r="D26" i="1" s="1"/>
  <c r="H19" i="1"/>
  <c r="H22" i="1" s="1"/>
  <c r="H24" i="1" s="1"/>
  <c r="H26" i="1" s="1"/>
  <c r="I39" i="1"/>
  <c r="I32" i="1"/>
  <c r="I31" i="1"/>
  <c r="I30" i="1"/>
  <c r="I29" i="1"/>
  <c r="E19" i="1"/>
  <c r="E22" i="1" s="1"/>
  <c r="E24" i="1" s="1"/>
  <c r="E26" i="1" s="1"/>
  <c r="I19" i="1"/>
  <c r="I22" i="1" s="1"/>
  <c r="I24" i="1" s="1"/>
  <c r="I26" i="1" s="1"/>
  <c r="Y32" i="1"/>
  <c r="Y31" i="1"/>
  <c r="Y30" i="1"/>
  <c r="X19" i="1"/>
  <c r="X22" i="1" s="1"/>
  <c r="X24" i="1" s="1"/>
  <c r="X26" i="1" s="1"/>
  <c r="Z32" i="1"/>
  <c r="Z31" i="1"/>
  <c r="Z30" i="1"/>
  <c r="Y19" i="1"/>
  <c r="Y22" i="1" s="1"/>
  <c r="Y24" i="1" s="1"/>
  <c r="Y26" i="1" s="1"/>
  <c r="Z19" i="1"/>
  <c r="Z22" i="1" s="1"/>
  <c r="Z24" i="1" s="1"/>
  <c r="Z26" i="1" s="1"/>
  <c r="R2" i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K7" i="2"/>
  <c r="K6" i="2"/>
  <c r="L7" i="2"/>
  <c r="L8" i="2" s="1"/>
  <c r="J38" i="1" l="1"/>
  <c r="F37" i="1"/>
  <c r="F38" i="1"/>
  <c r="F84" i="1"/>
  <c r="J93" i="1"/>
  <c r="J36" i="1"/>
  <c r="J35" i="1"/>
  <c r="J37" i="1"/>
  <c r="G114" i="1"/>
  <c r="G116" i="1" s="1"/>
  <c r="H115" i="1" s="1"/>
  <c r="F35" i="1"/>
  <c r="F36" i="1"/>
  <c r="F92" i="1"/>
  <c r="F90" i="1"/>
  <c r="F102" i="1"/>
  <c r="J85" i="1"/>
  <c r="J107" i="1"/>
  <c r="F95" i="1"/>
  <c r="F85" i="1"/>
  <c r="F100" i="1"/>
  <c r="F81" i="1"/>
  <c r="F42" i="1" s="1"/>
  <c r="J87" i="1"/>
  <c r="F101" i="1"/>
  <c r="F87" i="1"/>
  <c r="J94" i="1"/>
  <c r="J102" i="1"/>
  <c r="F82" i="1"/>
  <c r="F43" i="1" s="1"/>
  <c r="F93" i="1"/>
  <c r="J95" i="1"/>
  <c r="I82" i="1"/>
  <c r="I98" i="1" s="1"/>
  <c r="F80" i="1"/>
  <c r="J104" i="1"/>
  <c r="F94" i="1"/>
  <c r="J81" i="1"/>
  <c r="J92" i="1"/>
  <c r="J101" i="1"/>
  <c r="F89" i="1"/>
  <c r="F97" i="1"/>
  <c r="F107" i="1"/>
  <c r="F112" i="1" s="1"/>
  <c r="J80" i="1"/>
  <c r="J96" i="1"/>
  <c r="J97" i="1"/>
  <c r="C112" i="1"/>
  <c r="C114" i="1" s="1"/>
  <c r="C116" i="1" s="1"/>
  <c r="D115" i="1" s="1"/>
  <c r="J88" i="1"/>
  <c r="J89" i="1"/>
  <c r="I100" i="1"/>
  <c r="J100" i="1" s="1"/>
  <c r="J90" i="1"/>
  <c r="J108" i="1"/>
  <c r="Z114" i="1"/>
  <c r="Z116" i="1" s="1"/>
  <c r="J91" i="1"/>
  <c r="J109" i="1"/>
  <c r="F88" i="1"/>
  <c r="F96" i="1"/>
  <c r="D98" i="1"/>
  <c r="D119" i="1" s="1"/>
  <c r="H105" i="1"/>
  <c r="F39" i="1"/>
  <c r="E7" i="1"/>
  <c r="D73" i="1"/>
  <c r="D75" i="1" s="1"/>
  <c r="D105" i="1"/>
  <c r="H112" i="1"/>
  <c r="D112" i="1"/>
  <c r="D7" i="1"/>
  <c r="H98" i="1"/>
  <c r="H119" i="1" s="1"/>
  <c r="E112" i="1"/>
  <c r="E105" i="1"/>
  <c r="E98" i="1"/>
  <c r="E119" i="1" s="1"/>
  <c r="I112" i="1"/>
  <c r="X114" i="1"/>
  <c r="X116" i="1" s="1"/>
  <c r="Y114" i="1"/>
  <c r="Y116" i="1" s="1"/>
  <c r="G73" i="1"/>
  <c r="G75" i="1" s="1"/>
  <c r="E73" i="1"/>
  <c r="E75" i="1" s="1"/>
  <c r="F5" i="1"/>
  <c r="G3" i="1" s="1"/>
  <c r="G5" i="1" s="1"/>
  <c r="V7" i="1"/>
  <c r="C7" i="1"/>
  <c r="J39" i="1"/>
  <c r="J32" i="1"/>
  <c r="J3" i="1"/>
  <c r="J5" i="1" s="1"/>
  <c r="J7" i="1" s="1"/>
  <c r="J31" i="1"/>
  <c r="F24" i="1"/>
  <c r="F26" i="1"/>
  <c r="J30" i="1"/>
  <c r="J26" i="1"/>
  <c r="J19" i="1"/>
  <c r="J24" i="1"/>
  <c r="J22" i="1"/>
  <c r="J29" i="1"/>
  <c r="F19" i="1"/>
  <c r="F41" i="1" s="1"/>
  <c r="F22" i="1"/>
  <c r="K9" i="2"/>
  <c r="I105" i="1" l="1"/>
  <c r="F48" i="1"/>
  <c r="F49" i="1" s="1"/>
  <c r="J105" i="1"/>
  <c r="I119" i="1"/>
  <c r="F98" i="1"/>
  <c r="F119" i="1" s="1"/>
  <c r="F105" i="1"/>
  <c r="J82" i="1"/>
  <c r="J98" i="1" s="1"/>
  <c r="F114" i="1"/>
  <c r="J112" i="1"/>
  <c r="D114" i="1"/>
  <c r="D116" i="1" s="1"/>
  <c r="E115" i="1" s="1"/>
  <c r="I114" i="1"/>
  <c r="H114" i="1"/>
  <c r="H116" i="1" s="1"/>
  <c r="I115" i="1" s="1"/>
  <c r="E114" i="1"/>
  <c r="H3" i="1"/>
  <c r="H5" i="1" s="1"/>
  <c r="G7" i="1"/>
  <c r="F7" i="1"/>
  <c r="J25" i="1"/>
  <c r="F25" i="1"/>
  <c r="E116" i="1" l="1"/>
  <c r="F115" i="1" s="1"/>
  <c r="I116" i="1"/>
  <c r="J115" i="1" s="1"/>
  <c r="J119" i="1"/>
  <c r="J114" i="1"/>
  <c r="J116" i="1" s="1"/>
  <c r="F116" i="1"/>
  <c r="I3" i="1"/>
  <c r="I5" i="1" s="1"/>
  <c r="I7" i="1" s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Z11" authorId="0" shapeId="0" xr:uid="{C7223685-E247-C247-873B-46244EFB6C01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Guidance: ($238M,$243M)</t>
        </r>
      </text>
    </comment>
    <comment ref="F14" authorId="0" shapeId="0" xr:uid="{7A08E036-98FB-9547-AC23-73B21F0B819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driven by 10 new units y/y</t>
        </r>
      </text>
    </comment>
    <comment ref="F16" authorId="0" shapeId="0" xr:uid="{4C365B72-A7A9-844A-9A9D-DB2DD78B1C8C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driven by inflationary pressures on ad costs, restaurant supplies, repairs and maintenance costs and travel costs</t>
        </r>
      </text>
    </comment>
    <comment ref="F17" authorId="0" shapeId="0" xr:uid="{7885744F-DD34-5D47-9296-71396799F36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comp costs, professional fees, travel costs</t>
        </r>
      </text>
    </comment>
    <comment ref="F19" authorId="0" shapeId="0" xr:uid="{7022688C-0AD3-3E41-9683-9F23BE2A449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$1.9m q422</t>
        </r>
      </text>
    </comment>
    <comment ref="F35" authorId="0" shapeId="0" xr:uid="{0F9730C2-C87E-FD4A-A7B9-EC73607A21F0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decrease driven by menu price increases</t>
        </r>
      </text>
    </comment>
  </commentList>
</comments>
</file>

<file path=xl/sharedStrings.xml><?xml version="1.0" encoding="utf-8"?>
<sst xmlns="http://schemas.openxmlformats.org/spreadsheetml/2006/main" count="127" uniqueCount="104">
  <si>
    <t>Q123</t>
  </si>
  <si>
    <t>Q223</t>
  </si>
  <si>
    <t>Q323</t>
  </si>
  <si>
    <t>Q424</t>
  </si>
  <si>
    <t>Q224</t>
  </si>
  <si>
    <t>Q324</t>
  </si>
  <si>
    <t>P</t>
  </si>
  <si>
    <t>S</t>
  </si>
  <si>
    <t>MC</t>
  </si>
  <si>
    <t>C</t>
  </si>
  <si>
    <t>D</t>
  </si>
  <si>
    <t>EV</t>
  </si>
  <si>
    <t xml:space="preserve">CEO </t>
  </si>
  <si>
    <t xml:space="preserve">CFO </t>
  </si>
  <si>
    <t>Hajime Uba</t>
  </si>
  <si>
    <t>Jeff Uttz</t>
  </si>
  <si>
    <t>Q124</t>
  </si>
  <si>
    <t>Q125</t>
  </si>
  <si>
    <t>Q225</t>
  </si>
  <si>
    <t>Q325</t>
  </si>
  <si>
    <t>Q425</t>
  </si>
  <si>
    <t xml:space="preserve">Food &amp; Beverage </t>
  </si>
  <si>
    <t>Labor and related</t>
  </si>
  <si>
    <t>Occupancy and related epxenses</t>
  </si>
  <si>
    <t>D&amp;A</t>
  </si>
  <si>
    <t>G&amp;A</t>
  </si>
  <si>
    <t>Operating Income</t>
  </si>
  <si>
    <t>Interest Expense</t>
  </si>
  <si>
    <t>Interest Income</t>
  </si>
  <si>
    <t>EBT</t>
  </si>
  <si>
    <t>Taxes</t>
  </si>
  <si>
    <t xml:space="preserve">Net Income </t>
  </si>
  <si>
    <t>Diluted</t>
  </si>
  <si>
    <t>EPS</t>
  </si>
  <si>
    <t>Growth Analysis Y/Y</t>
  </si>
  <si>
    <t xml:space="preserve">% S </t>
  </si>
  <si>
    <t>Other Costs</t>
  </si>
  <si>
    <t>AUV</t>
  </si>
  <si>
    <t>Beginning</t>
  </si>
  <si>
    <t>Net Openings</t>
  </si>
  <si>
    <t>Ending Units</t>
  </si>
  <si>
    <t xml:space="preserve">Average Revenue Per Unit </t>
  </si>
  <si>
    <t xml:space="preserve">Cash </t>
  </si>
  <si>
    <t>Investments</t>
  </si>
  <si>
    <t>A/R</t>
  </si>
  <si>
    <t>Inventories</t>
  </si>
  <si>
    <t>Due from affiliate</t>
  </si>
  <si>
    <t>Prepaid Expenses</t>
  </si>
  <si>
    <t>PPE</t>
  </si>
  <si>
    <t>Op Lease</t>
  </si>
  <si>
    <t xml:space="preserve">Deposits </t>
  </si>
  <si>
    <t xml:space="preserve">Total Assets </t>
  </si>
  <si>
    <t>A/P</t>
  </si>
  <si>
    <t>Accrued Expenses</t>
  </si>
  <si>
    <t>Salaries</t>
  </si>
  <si>
    <t>Due from Affiliate</t>
  </si>
  <si>
    <t>Sales Tax Payable</t>
  </si>
  <si>
    <t xml:space="preserve">Other Liabilities </t>
  </si>
  <si>
    <t xml:space="preserve">Total Liabilities </t>
  </si>
  <si>
    <t>Equity</t>
  </si>
  <si>
    <t>TL + E</t>
  </si>
  <si>
    <t>Changes Changes c/c</t>
  </si>
  <si>
    <t>SBC</t>
  </si>
  <si>
    <t>Loss on disposal PPE</t>
  </si>
  <si>
    <t>Noncash lease expense</t>
  </si>
  <si>
    <t>Impairments</t>
  </si>
  <si>
    <t>Prepaid Expenses &amp; OCA</t>
  </si>
  <si>
    <t>Salary and wages</t>
  </si>
  <si>
    <t>Due to affiliate</t>
  </si>
  <si>
    <t xml:space="preserve">Sales tax payable </t>
  </si>
  <si>
    <t>Accrued epxenses &amp; OCL</t>
  </si>
  <si>
    <t>Gain on investments</t>
  </si>
  <si>
    <t>Deposits and OA</t>
  </si>
  <si>
    <t>CFFO</t>
  </si>
  <si>
    <t>Capex</t>
  </si>
  <si>
    <t>Payments for iniitial direct costs</t>
  </si>
  <si>
    <t>Payments for purchases of liquor license</t>
  </si>
  <si>
    <t>Purchases of investments</t>
  </si>
  <si>
    <t>Redemption of short term investments</t>
  </si>
  <si>
    <t>CFFI</t>
  </si>
  <si>
    <t>Repayment  finance leases</t>
  </si>
  <si>
    <t>Taxes paid on vested Restricted stock</t>
  </si>
  <si>
    <t xml:space="preserve">Proceeds from stock option exercise </t>
  </si>
  <si>
    <t xml:space="preserve">Payments of costs related to follow on offering </t>
  </si>
  <si>
    <t>CFFF</t>
  </si>
  <si>
    <t xml:space="preserve">Proceeds from public offering </t>
  </si>
  <si>
    <t>Cash Increase/decrease</t>
  </si>
  <si>
    <t>Cash @ Beginning</t>
  </si>
  <si>
    <t>Cash @ End</t>
  </si>
  <si>
    <t>Q423</t>
  </si>
  <si>
    <t xml:space="preserve">Free Cash Flow </t>
  </si>
  <si>
    <t>% G&amp;A</t>
  </si>
  <si>
    <t>SSS</t>
  </si>
  <si>
    <t>Earnings</t>
  </si>
  <si>
    <t xml:space="preserve">Other Costs </t>
  </si>
  <si>
    <t>opened 4 new units, Framingham, MA; Carle Place, NY; San Jose, CA; Dorchester, MA</t>
  </si>
  <si>
    <t xml:space="preserve">Restaurant Operating Profit </t>
  </si>
  <si>
    <t xml:space="preserve">Operating Income </t>
  </si>
  <si>
    <t>Pre-opening costs</t>
  </si>
  <si>
    <t>Non-cash Lease</t>
  </si>
  <si>
    <t>Corp Level SBC</t>
  </si>
  <si>
    <t xml:space="preserve">CFFO / Net Income </t>
  </si>
  <si>
    <t>News</t>
  </si>
  <si>
    <t>Follow on offering ($64.6M) 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</si>
</sst>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x"/>
  </numFmts>
  <fonts count="8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2" borderId="0" xfId="0" applyNumberFormat="1" applyFill="1"/>
    <xf numFmtId="3" fontId="3" fillId="0" borderId="0" xfId="0" applyNumberFormat="1" applyFont="1"/>
    <xf numFmtId="164" fontId="0" fillId="0" borderId="0" xfId="0" applyNumberFormat="1"/>
    <xf numFmtId="3" fontId="4" fillId="0" borderId="0" xfId="1" applyNumberFormat="1"/>
    <xf numFmtId="3" fontId="0" fillId="3" borderId="0" xfId="0" applyNumberFormat="1" applyFill="1"/>
    <xf numFmtId="165" fontId="0" fillId="0" borderId="0" xfId="0" applyNumberFormat="1"/>
    <xf numFmtId="3" fontId="7" fillId="0" borderId="0" xfId="0" applyNumberFormat="1" applyFont="1"/>
    <xf numFmtId="14" fontId="0" fillId="0" borderId="0" xfId="0" applyNumberFormat="1"/>
    <xf numFmtId="14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26883</xdr:colOff>
      <xdr:row>0</xdr:row>
      <xdr:rowOff>0</xdr:rowOff>
    </xdr:from>
    <xdr:to>
      <xdr:col>10</xdr:col>
      <xdr:colOff>50800</xdr:colOff>
      <xdr:row>149</xdr:row>
      <xdr:rowOff>132080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C0C698-AD73-BCDF-52FA-B8473090A652}"/>
            </a:ext>
          </a:extLst>
        </xdr:cNvPr>
        <xdr:cNvCxnSpPr/>
      </xdr:nvCxnSpPr>
      <xdr:spPr>
        <a:xfrm>
          <a:off x="7006803" y="0"/>
          <a:ext cx="23917" cy="2191512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16934</xdr:colOff>
      <xdr:row>0</xdr:row>
      <xdr:rowOff>16934</xdr:rowOff>
    </xdr:from>
    <xdr:to>
      <xdr:col>26</xdr:col>
      <xdr:colOff>20320</xdr:colOff>
      <xdr:row>114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FCA25BF-C5E3-584F-9989-D383A1C04E84}"/>
            </a:ext>
          </a:extLst>
        </xdr:cNvPr>
        <xdr:cNvCxnSpPr/>
      </xdr:nvCxnSpPr>
      <xdr:spPr>
        <a:xfrm>
          <a:off x="14972454" y="16934"/>
          <a:ext cx="3386" cy="159139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r.kurausa.com/news-releases/news-release-details/kura-sushi-usa-announces-closing-680-million-public-offering" TargetMode="External"/><Relationship Id="rId1" Type="http://schemas.openxmlformats.org/officeDocument/2006/relationships/hyperlink" Target="https://ir.kurausa.com/news-releases/news-release-details/kura-sushi-usa-announces-fiscal-fourth-quarter-and-fiscal-year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AC22-85F0-BA4E-B12B-02D11E1E69FB}">
  <dimension ref="B2:AO119"/>
  <sheetViews>
    <sheetView tabSelected="1"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baseColWidth="10" defaultRowHeight="13"/>
  <cols>
    <col min="1" max="1" width="1" style="1" customWidth="1"/>
    <col min="2" max="2" width="38.1640625" style="1" bestFit="1" customWidth="1"/>
    <col min="3" max="3" width="10.1640625" style="1" bestFit="1" customWidth="1"/>
    <col min="4" max="10" width="7.6640625" style="1" bestFit="1" customWidth="1"/>
    <col min="11" max="14" width="5.5" style="1" bestFit="1" customWidth="1"/>
    <col min="15" max="16" width="10.83203125" style="1"/>
    <col min="17" max="17" width="5.6640625" style="1" bestFit="1" customWidth="1"/>
    <col min="18" max="18" width="5.1640625" style="1" bestFit="1" customWidth="1"/>
    <col min="19" max="20" width="6.6640625" style="1" bestFit="1" customWidth="1"/>
    <col min="21" max="21" width="7.6640625" style="1" bestFit="1" customWidth="1"/>
    <col min="22" max="23" width="7.1640625" style="1" bestFit="1" customWidth="1"/>
    <col min="24" max="26" width="7.6640625" style="1" bestFit="1" customWidth="1"/>
    <col min="27" max="41" width="5.1640625" style="1" bestFit="1" customWidth="1"/>
    <col min="42" max="16384" width="10.83203125" style="1"/>
  </cols>
  <sheetData>
    <row r="2" spans="2:41">
      <c r="C2" s="1" t="s">
        <v>0</v>
      </c>
      <c r="D2" s="1" t="s">
        <v>1</v>
      </c>
      <c r="E2" s="1" t="s">
        <v>2</v>
      </c>
      <c r="F2" s="1" t="s">
        <v>89</v>
      </c>
      <c r="G2" s="1" t="s">
        <v>16</v>
      </c>
      <c r="H2" s="1" t="s">
        <v>4</v>
      </c>
      <c r="I2" s="1" t="s">
        <v>5</v>
      </c>
      <c r="J2" s="1" t="s">
        <v>3</v>
      </c>
      <c r="K2" s="1" t="s">
        <v>17</v>
      </c>
      <c r="L2" s="1" t="s">
        <v>18</v>
      </c>
      <c r="M2" s="1" t="s">
        <v>19</v>
      </c>
      <c r="N2" s="1" t="s">
        <v>20</v>
      </c>
      <c r="Q2" s="2">
        <v>2015</v>
      </c>
      <c r="R2" s="2">
        <f>+Q2+1</f>
        <v>2016</v>
      </c>
      <c r="S2" s="2">
        <f t="shared" ref="S2:AO2" si="0">+R2+1</f>
        <v>2017</v>
      </c>
      <c r="T2" s="2">
        <f t="shared" si="0"/>
        <v>2018</v>
      </c>
      <c r="U2" s="2">
        <f t="shared" si="0"/>
        <v>2019</v>
      </c>
      <c r="V2" s="2">
        <f t="shared" si="0"/>
        <v>2020</v>
      </c>
      <c r="W2" s="2">
        <f t="shared" si="0"/>
        <v>2021</v>
      </c>
      <c r="X2" s="2">
        <f t="shared" si="0"/>
        <v>2022</v>
      </c>
      <c r="Y2" s="2">
        <f t="shared" si="0"/>
        <v>2023</v>
      </c>
      <c r="Z2" s="2">
        <f t="shared" si="0"/>
        <v>2024</v>
      </c>
      <c r="AA2" s="2">
        <f t="shared" si="0"/>
        <v>2025</v>
      </c>
      <c r="AB2" s="2">
        <f t="shared" si="0"/>
        <v>2026</v>
      </c>
      <c r="AC2" s="2">
        <f t="shared" si="0"/>
        <v>2027</v>
      </c>
      <c r="AD2" s="2">
        <f t="shared" si="0"/>
        <v>2028</v>
      </c>
      <c r="AE2" s="2">
        <f t="shared" si="0"/>
        <v>2029</v>
      </c>
      <c r="AF2" s="2">
        <f t="shared" si="0"/>
        <v>2030</v>
      </c>
      <c r="AG2" s="2">
        <f t="shared" si="0"/>
        <v>2031</v>
      </c>
      <c r="AH2" s="2">
        <f t="shared" si="0"/>
        <v>2032</v>
      </c>
      <c r="AI2" s="2">
        <f t="shared" si="0"/>
        <v>2033</v>
      </c>
      <c r="AJ2" s="2">
        <f t="shared" si="0"/>
        <v>2034</v>
      </c>
      <c r="AK2" s="2">
        <f t="shared" si="0"/>
        <v>2035</v>
      </c>
      <c r="AL2" s="2">
        <f t="shared" si="0"/>
        <v>2036</v>
      </c>
      <c r="AM2" s="2">
        <f t="shared" si="0"/>
        <v>2037</v>
      </c>
      <c r="AN2" s="2">
        <f t="shared" si="0"/>
        <v>2038</v>
      </c>
      <c r="AO2" s="2">
        <f t="shared" si="0"/>
        <v>2039</v>
      </c>
    </row>
    <row r="3" spans="2:41">
      <c r="B3" s="1" t="s">
        <v>38</v>
      </c>
      <c r="C3" s="9">
        <v>40</v>
      </c>
      <c r="D3" s="9">
        <f t="shared" ref="D3:I3" si="1">+C5</f>
        <v>42</v>
      </c>
      <c r="E3" s="9">
        <f t="shared" si="1"/>
        <v>45</v>
      </c>
      <c r="F3" s="9">
        <f t="shared" si="1"/>
        <v>46</v>
      </c>
      <c r="G3" s="9">
        <f t="shared" si="1"/>
        <v>56</v>
      </c>
      <c r="H3" s="9">
        <f t="shared" si="1"/>
        <v>60</v>
      </c>
      <c r="I3" s="9">
        <f t="shared" si="1"/>
        <v>65</v>
      </c>
      <c r="J3" s="9">
        <f>+Z3</f>
        <v>50</v>
      </c>
      <c r="R3" s="2"/>
      <c r="S3" s="2"/>
      <c r="T3" s="2"/>
      <c r="U3" s="2"/>
      <c r="V3" s="2">
        <v>23</v>
      </c>
      <c r="W3" s="2">
        <f>+V5</f>
        <v>25</v>
      </c>
      <c r="X3" s="2">
        <v>32</v>
      </c>
      <c r="Y3" s="2">
        <v>40</v>
      </c>
      <c r="Z3" s="2">
        <f>+Y5</f>
        <v>50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2:41">
      <c r="B4" s="1" t="s">
        <v>39</v>
      </c>
      <c r="C4" s="9">
        <v>2</v>
      </c>
      <c r="D4" s="9">
        <v>3</v>
      </c>
      <c r="E4" s="9">
        <v>1</v>
      </c>
      <c r="F4" s="9">
        <f>+Y4</f>
        <v>10</v>
      </c>
      <c r="G4" s="9">
        <v>4</v>
      </c>
      <c r="H4" s="9">
        <v>5</v>
      </c>
      <c r="I4" s="9">
        <v>4</v>
      </c>
      <c r="J4" s="9">
        <f>+Z4</f>
        <v>14</v>
      </c>
      <c r="R4" s="2"/>
      <c r="S4" s="2"/>
      <c r="T4" s="2"/>
      <c r="U4" s="2"/>
      <c r="V4" s="2">
        <v>2</v>
      </c>
      <c r="W4" s="2">
        <v>7</v>
      </c>
      <c r="X4" s="2">
        <v>8</v>
      </c>
      <c r="Y4" s="2">
        <v>10</v>
      </c>
      <c r="Z4" s="2">
        <v>14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s="4" customFormat="1">
      <c r="B5" s="4" t="s">
        <v>40</v>
      </c>
      <c r="C5" s="10">
        <f t="shared" ref="C5:H5" si="2">+SUM(C3:C4)</f>
        <v>42</v>
      </c>
      <c r="D5" s="10">
        <f t="shared" si="2"/>
        <v>45</v>
      </c>
      <c r="E5" s="10">
        <f>+SUM(E3:E4)</f>
        <v>46</v>
      </c>
      <c r="F5" s="10">
        <f t="shared" si="2"/>
        <v>56</v>
      </c>
      <c r="G5" s="10">
        <f t="shared" si="2"/>
        <v>60</v>
      </c>
      <c r="H5" s="10">
        <f t="shared" si="2"/>
        <v>65</v>
      </c>
      <c r="I5" s="10">
        <f>+SUM(I3:I4)</f>
        <v>69</v>
      </c>
      <c r="J5" s="10">
        <f>+SUM(J3:J4)</f>
        <v>64</v>
      </c>
      <c r="Q5" s="4">
        <v>8</v>
      </c>
      <c r="R5" s="8">
        <v>11</v>
      </c>
      <c r="S5" s="8">
        <v>14</v>
      </c>
      <c r="T5" s="8">
        <v>17</v>
      </c>
      <c r="U5" s="8">
        <v>23</v>
      </c>
      <c r="V5" s="8">
        <f>+SUM(V3:V4)</f>
        <v>25</v>
      </c>
      <c r="W5" s="8">
        <f>SUM(W3:W4)</f>
        <v>32</v>
      </c>
      <c r="X5" s="8">
        <f>SUM(X3:X4)</f>
        <v>40</v>
      </c>
      <c r="Y5" s="8">
        <v>50</v>
      </c>
      <c r="Z5" s="8">
        <f>+SUM(Z3:Z4)</f>
        <v>64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2:41"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2:41">
      <c r="B7" s="1" t="s">
        <v>41</v>
      </c>
      <c r="C7" s="1">
        <f t="shared" ref="C7:H7" si="3">+C11/C5</f>
        <v>936.14285714285711</v>
      </c>
      <c r="D7" s="1">
        <f t="shared" si="3"/>
        <v>976.5333333333333</v>
      </c>
      <c r="E7" s="1">
        <f t="shared" si="3"/>
        <v>1070.391304347826</v>
      </c>
      <c r="F7" s="1">
        <f t="shared" si="3"/>
        <v>980.875</v>
      </c>
      <c r="G7" s="1">
        <f t="shared" si="3"/>
        <v>857.91666666666663</v>
      </c>
      <c r="H7" s="1">
        <f t="shared" si="3"/>
        <v>881.4</v>
      </c>
      <c r="I7" s="1">
        <f t="shared" ref="I7" si="4">+I11/I5</f>
        <v>914.231884057971</v>
      </c>
      <c r="J7" s="1">
        <f>+J11/J5</f>
        <v>1031.4375</v>
      </c>
      <c r="R7" s="2"/>
      <c r="V7" s="1">
        <f t="shared" ref="V7:Y7" si="5">+V11/V5</f>
        <v>1806.72</v>
      </c>
      <c r="W7" s="1">
        <f>+W11/W5</f>
        <v>2027.84375</v>
      </c>
      <c r="X7" s="1">
        <f t="shared" si="5"/>
        <v>3527.2249999999999</v>
      </c>
      <c r="Y7" s="1">
        <f t="shared" si="5"/>
        <v>3748.58</v>
      </c>
      <c r="Z7" s="1">
        <f>+Z11/Z5</f>
        <v>3716.5625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2:41"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2:41">
      <c r="B9" s="1" t="s">
        <v>37</v>
      </c>
      <c r="V9" s="1">
        <v>1942</v>
      </c>
      <c r="W9" s="1">
        <v>2138</v>
      </c>
      <c r="X9" s="1">
        <v>3825</v>
      </c>
      <c r="Y9" s="1">
        <v>4281</v>
      </c>
      <c r="Z9" s="1">
        <v>4228</v>
      </c>
    </row>
    <row r="10" spans="2:41" s="13" customFormat="1">
      <c r="B10" s="13" t="s">
        <v>92</v>
      </c>
      <c r="F10" s="13">
        <v>6.5000000000000002E-2</v>
      </c>
    </row>
    <row r="11" spans="2:41" s="4" customFormat="1">
      <c r="B11" s="4" t="s">
        <v>7</v>
      </c>
      <c r="C11" s="4">
        <v>39318</v>
      </c>
      <c r="D11" s="4">
        <v>43944</v>
      </c>
      <c r="E11" s="4">
        <v>49238</v>
      </c>
      <c r="F11" s="4">
        <f>+Y11-SUM(C11:E11)</f>
        <v>54929</v>
      </c>
      <c r="G11" s="4">
        <v>51475</v>
      </c>
      <c r="H11" s="4">
        <v>57291</v>
      </c>
      <c r="I11" s="4">
        <v>63082</v>
      </c>
      <c r="J11" s="4">
        <f>+Z11-SUM(G11:I11)</f>
        <v>66012</v>
      </c>
      <c r="S11" s="4">
        <v>37251</v>
      </c>
      <c r="T11" s="4">
        <v>51744</v>
      </c>
      <c r="U11" s="4">
        <v>64245</v>
      </c>
      <c r="V11" s="4">
        <v>45168</v>
      </c>
      <c r="W11" s="4">
        <v>64891</v>
      </c>
      <c r="X11" s="4">
        <v>141089</v>
      </c>
      <c r="Y11" s="4">
        <v>187429</v>
      </c>
      <c r="Z11" s="4">
        <v>237860</v>
      </c>
    </row>
    <row r="12" spans="2:41">
      <c r="B12" s="1" t="s">
        <v>21</v>
      </c>
      <c r="C12" s="1">
        <v>12430</v>
      </c>
      <c r="D12" s="1">
        <v>13240</v>
      </c>
      <c r="E12" s="1">
        <v>14770</v>
      </c>
      <c r="F12" s="1">
        <f t="shared" ref="F12:F26" si="6">+Y12-SUM(C12:E12)</f>
        <v>16191</v>
      </c>
      <c r="G12" s="1">
        <v>15365</v>
      </c>
      <c r="H12" s="1">
        <v>16935</v>
      </c>
      <c r="I12" s="1">
        <v>18391</v>
      </c>
      <c r="J12" s="1">
        <f t="shared" ref="J12:J26" si="7">+Z12-SUM(G12:I12)</f>
        <v>18818</v>
      </c>
      <c r="S12" s="1">
        <v>13389</v>
      </c>
      <c r="T12" s="1">
        <v>17594</v>
      </c>
      <c r="U12" s="1">
        <v>21048</v>
      </c>
      <c r="V12" s="1">
        <v>14709</v>
      </c>
      <c r="W12" s="1">
        <v>20686</v>
      </c>
      <c r="X12" s="1">
        <v>42510</v>
      </c>
      <c r="Y12" s="1">
        <v>56631</v>
      </c>
      <c r="Z12" s="1">
        <v>69509</v>
      </c>
    </row>
    <row r="13" spans="2:41">
      <c r="B13" s="1" t="s">
        <v>22</v>
      </c>
      <c r="C13" s="1">
        <v>12535</v>
      </c>
      <c r="D13" s="1">
        <v>13854</v>
      </c>
      <c r="E13" s="1">
        <v>14362</v>
      </c>
      <c r="F13" s="1">
        <f t="shared" si="6"/>
        <v>15796</v>
      </c>
      <c r="G13" s="1">
        <v>16263</v>
      </c>
      <c r="H13" s="1">
        <v>18768</v>
      </c>
      <c r="I13" s="1">
        <v>20378</v>
      </c>
      <c r="J13" s="1">
        <f t="shared" si="7"/>
        <v>20517</v>
      </c>
      <c r="S13" s="1">
        <v>12117</v>
      </c>
      <c r="T13" s="1">
        <v>15994</v>
      </c>
      <c r="U13" s="1">
        <v>19942</v>
      </c>
      <c r="V13" s="1">
        <v>18669</v>
      </c>
      <c r="W13" s="1">
        <v>16430</v>
      </c>
      <c r="X13" s="1">
        <v>43997</v>
      </c>
      <c r="Y13" s="1">
        <v>56547</v>
      </c>
      <c r="Z13" s="1">
        <v>75926</v>
      </c>
    </row>
    <row r="14" spans="2:41">
      <c r="B14" s="1" t="s">
        <v>23</v>
      </c>
      <c r="C14" s="1">
        <v>2885</v>
      </c>
      <c r="D14" s="1">
        <v>3065</v>
      </c>
      <c r="E14" s="1">
        <v>3554</v>
      </c>
      <c r="F14" s="1">
        <f t="shared" si="6"/>
        <v>3637</v>
      </c>
      <c r="G14" s="1">
        <v>3908</v>
      </c>
      <c r="H14" s="1">
        <v>3953</v>
      </c>
      <c r="I14" s="1">
        <v>4318</v>
      </c>
      <c r="J14" s="1">
        <f t="shared" si="7"/>
        <v>4613</v>
      </c>
      <c r="S14" s="1">
        <v>2077</v>
      </c>
      <c r="T14" s="1">
        <v>3013</v>
      </c>
      <c r="U14" s="1">
        <v>4593</v>
      </c>
      <c r="V14" s="1">
        <v>6359</v>
      </c>
      <c r="W14" s="1">
        <v>7093</v>
      </c>
      <c r="X14" s="1">
        <v>9917</v>
      </c>
      <c r="Y14" s="1">
        <v>13141</v>
      </c>
      <c r="Z14" s="1">
        <v>16792</v>
      </c>
    </row>
    <row r="15" spans="2:41">
      <c r="B15" s="1" t="s">
        <v>24</v>
      </c>
      <c r="C15" s="1">
        <v>1576</v>
      </c>
      <c r="D15" s="1">
        <v>1758</v>
      </c>
      <c r="E15" s="1">
        <v>1975</v>
      </c>
      <c r="F15" s="1">
        <f t="shared" si="6"/>
        <v>2113</v>
      </c>
      <c r="G15" s="1">
        <v>2476</v>
      </c>
      <c r="H15" s="1">
        <v>2694</v>
      </c>
      <c r="I15" s="1">
        <v>3124</v>
      </c>
      <c r="J15" s="1">
        <f t="shared" si="7"/>
        <v>3068</v>
      </c>
      <c r="S15" s="1">
        <v>1345</v>
      </c>
      <c r="T15" s="1">
        <v>1624</v>
      </c>
      <c r="U15" s="1">
        <v>2055</v>
      </c>
      <c r="V15" s="1">
        <v>2980</v>
      </c>
      <c r="W15" s="1">
        <v>4126</v>
      </c>
      <c r="X15" s="1">
        <v>5258</v>
      </c>
      <c r="Y15" s="1">
        <v>7422</v>
      </c>
      <c r="Z15" s="1">
        <v>11362</v>
      </c>
    </row>
    <row r="16" spans="2:41">
      <c r="B16" s="1" t="s">
        <v>36</v>
      </c>
      <c r="C16" s="1">
        <v>5321</v>
      </c>
      <c r="D16" s="1">
        <v>5866</v>
      </c>
      <c r="E16" s="1">
        <v>6165</v>
      </c>
      <c r="F16" s="1">
        <f t="shared" si="6"/>
        <v>7559</v>
      </c>
      <c r="G16" s="1">
        <v>7591</v>
      </c>
      <c r="H16" s="1">
        <v>8356</v>
      </c>
      <c r="I16" s="1">
        <v>9076</v>
      </c>
      <c r="J16" s="1">
        <f t="shared" si="7"/>
        <v>9725</v>
      </c>
      <c r="S16" s="1">
        <v>3907</v>
      </c>
      <c r="T16" s="1">
        <v>5404</v>
      </c>
      <c r="U16" s="1">
        <v>7088</v>
      </c>
      <c r="V16" s="1">
        <v>6705</v>
      </c>
      <c r="W16" s="1">
        <v>10448</v>
      </c>
      <c r="X16" s="1">
        <v>17517</v>
      </c>
      <c r="Y16" s="1">
        <v>24911</v>
      </c>
      <c r="Z16" s="1">
        <v>34748</v>
      </c>
    </row>
    <row r="17" spans="2:26">
      <c r="B17" s="1" t="s">
        <v>25</v>
      </c>
      <c r="C17" s="1">
        <v>6642</v>
      </c>
      <c r="D17" s="1">
        <v>7122</v>
      </c>
      <c r="E17" s="1">
        <v>7012</v>
      </c>
      <c r="F17" s="1">
        <f t="shared" si="6"/>
        <v>7259</v>
      </c>
      <c r="G17" s="1">
        <v>8609</v>
      </c>
      <c r="H17" s="1">
        <v>8168</v>
      </c>
      <c r="I17" s="1">
        <v>8857</v>
      </c>
      <c r="J17" s="1">
        <f t="shared" si="7"/>
        <v>13416</v>
      </c>
      <c r="S17" s="1">
        <v>3364</v>
      </c>
      <c r="T17" s="1">
        <v>5965</v>
      </c>
      <c r="U17" s="1">
        <v>7748</v>
      </c>
      <c r="V17" s="1">
        <v>12064</v>
      </c>
      <c r="W17" s="1">
        <v>15701</v>
      </c>
      <c r="X17" s="1">
        <v>22289</v>
      </c>
      <c r="Y17" s="1">
        <v>28035</v>
      </c>
      <c r="Z17" s="1">
        <v>39050</v>
      </c>
    </row>
    <row r="18" spans="2:26">
      <c r="B18" s="1" t="s">
        <v>24</v>
      </c>
      <c r="C18" s="1">
        <v>85</v>
      </c>
      <c r="D18" s="1">
        <v>88</v>
      </c>
      <c r="E18" s="1">
        <v>92</v>
      </c>
      <c r="F18" s="1">
        <f t="shared" si="6"/>
        <v>145</v>
      </c>
      <c r="G18" s="1">
        <v>104</v>
      </c>
      <c r="H18" s="1">
        <v>107</v>
      </c>
      <c r="I18" s="1">
        <v>107</v>
      </c>
      <c r="J18" s="1">
        <f t="shared" si="7"/>
        <v>107</v>
      </c>
      <c r="S18" s="1">
        <v>25</v>
      </c>
      <c r="T18" s="1">
        <v>51</v>
      </c>
      <c r="U18" s="1">
        <v>110</v>
      </c>
      <c r="V18" s="1">
        <v>180</v>
      </c>
      <c r="W18" s="1">
        <v>396</v>
      </c>
      <c r="X18" s="1">
        <v>355</v>
      </c>
      <c r="Y18" s="1">
        <v>410</v>
      </c>
      <c r="Z18" s="1">
        <v>425</v>
      </c>
    </row>
    <row r="19" spans="2:26">
      <c r="B19" s="1" t="s">
        <v>26</v>
      </c>
      <c r="C19" s="1">
        <f>+C11-SUM(C12:C18)</f>
        <v>-2156</v>
      </c>
      <c r="D19" s="1">
        <f>+D11-SUM(D12:D18)</f>
        <v>-1049</v>
      </c>
      <c r="E19" s="1">
        <f>+E11-SUM(E12:E18)</f>
        <v>1308</v>
      </c>
      <c r="F19" s="1">
        <f t="shared" si="6"/>
        <v>2229</v>
      </c>
      <c r="G19" s="1">
        <f>+G11-SUM(G12:G18)</f>
        <v>-2841</v>
      </c>
      <c r="H19" s="1">
        <f>+H11-SUM(H12:H18)</f>
        <v>-1690</v>
      </c>
      <c r="I19" s="1">
        <f>+I11-SUM(I12:I18)</f>
        <v>-1169</v>
      </c>
      <c r="J19" s="1">
        <f t="shared" si="7"/>
        <v>-4252</v>
      </c>
      <c r="S19" s="1">
        <f t="shared" ref="S19:Z19" si="8">+S11-SUM(S12:S18)</f>
        <v>1027</v>
      </c>
      <c r="T19" s="1">
        <f t="shared" si="8"/>
        <v>2099</v>
      </c>
      <c r="U19" s="1">
        <f t="shared" si="8"/>
        <v>1661</v>
      </c>
      <c r="V19" s="1">
        <f t="shared" si="8"/>
        <v>-16498</v>
      </c>
      <c r="W19" s="1">
        <f t="shared" si="8"/>
        <v>-9989</v>
      </c>
      <c r="X19" s="1">
        <f t="shared" si="8"/>
        <v>-754</v>
      </c>
      <c r="Y19" s="1">
        <f t="shared" si="8"/>
        <v>332</v>
      </c>
      <c r="Z19" s="1">
        <f t="shared" si="8"/>
        <v>-9952</v>
      </c>
    </row>
    <row r="20" spans="2:26">
      <c r="B20" s="1" t="s">
        <v>27</v>
      </c>
      <c r="C20" s="1">
        <v>16</v>
      </c>
      <c r="D20" s="1">
        <v>14</v>
      </c>
      <c r="E20" s="1">
        <v>23</v>
      </c>
      <c r="F20" s="1">
        <f t="shared" si="6"/>
        <v>16</v>
      </c>
      <c r="G20" s="1">
        <v>8</v>
      </c>
      <c r="H20" s="1">
        <v>12</v>
      </c>
      <c r="I20" s="1">
        <v>15</v>
      </c>
      <c r="J20" s="1">
        <f t="shared" si="7"/>
        <v>12</v>
      </c>
      <c r="S20" s="1">
        <v>85</v>
      </c>
      <c r="T20" s="1">
        <v>128</v>
      </c>
      <c r="U20" s="1">
        <v>188</v>
      </c>
      <c r="V20" s="1">
        <v>136</v>
      </c>
      <c r="W20" s="1">
        <v>220</v>
      </c>
      <c r="X20" s="1">
        <v>87</v>
      </c>
      <c r="Y20" s="1">
        <v>69</v>
      </c>
      <c r="Z20" s="1">
        <v>47</v>
      </c>
    </row>
    <row r="21" spans="2:26">
      <c r="B21" s="1" t="s">
        <v>28</v>
      </c>
      <c r="C21" s="1">
        <v>-94</v>
      </c>
      <c r="D21" s="1">
        <v>-63</v>
      </c>
      <c r="E21" s="1">
        <v>-436</v>
      </c>
      <c r="F21" s="1">
        <f t="shared" si="6"/>
        <v>-879</v>
      </c>
      <c r="G21" s="1">
        <v>-840</v>
      </c>
      <c r="H21" s="1">
        <v>-754</v>
      </c>
      <c r="I21" s="1">
        <v>-686</v>
      </c>
      <c r="J21" s="1">
        <f t="shared" si="7"/>
        <v>-635</v>
      </c>
      <c r="S21" s="1">
        <v>-5</v>
      </c>
      <c r="T21" s="1">
        <v>-12</v>
      </c>
      <c r="U21" s="1">
        <v>-51</v>
      </c>
      <c r="V21" s="1">
        <v>-450</v>
      </c>
      <c r="W21" s="1">
        <v>-20</v>
      </c>
      <c r="X21" s="1">
        <v>-151</v>
      </c>
      <c r="Y21" s="1">
        <v>-1472</v>
      </c>
      <c r="Z21" s="1">
        <v>-2915</v>
      </c>
    </row>
    <row r="22" spans="2:26">
      <c r="B22" s="1" t="s">
        <v>29</v>
      </c>
      <c r="C22" s="1">
        <f>+C19-SUM(C20:C21)</f>
        <v>-2078</v>
      </c>
      <c r="D22" s="1">
        <f>+D19-SUM(D20:D21)</f>
        <v>-1000</v>
      </c>
      <c r="E22" s="1">
        <f>+E19-SUM(E20:E21)</f>
        <v>1721</v>
      </c>
      <c r="F22" s="1">
        <f t="shared" si="6"/>
        <v>3092</v>
      </c>
      <c r="G22" s="1">
        <f>+G19-SUM(G20:G21)</f>
        <v>-2009</v>
      </c>
      <c r="H22" s="1">
        <f>+H19-SUM(H20:H21)</f>
        <v>-948</v>
      </c>
      <c r="I22" s="1">
        <f>+I19-SUM(I20:I21)</f>
        <v>-498</v>
      </c>
      <c r="J22" s="1">
        <f t="shared" si="7"/>
        <v>-3629</v>
      </c>
      <c r="S22" s="1">
        <f t="shared" ref="S22:Z22" si="9">+S19-SUM(S20:S21)</f>
        <v>947</v>
      </c>
      <c r="T22" s="1">
        <f t="shared" si="9"/>
        <v>1983</v>
      </c>
      <c r="U22" s="1">
        <f t="shared" si="9"/>
        <v>1524</v>
      </c>
      <c r="V22" s="1">
        <f t="shared" si="9"/>
        <v>-16184</v>
      </c>
      <c r="W22" s="1">
        <f t="shared" si="9"/>
        <v>-10189</v>
      </c>
      <c r="X22" s="1">
        <f t="shared" si="9"/>
        <v>-690</v>
      </c>
      <c r="Y22" s="1">
        <f t="shared" si="9"/>
        <v>1735</v>
      </c>
      <c r="Z22" s="1">
        <f t="shared" si="9"/>
        <v>-7084</v>
      </c>
    </row>
    <row r="23" spans="2:26">
      <c r="B23" s="1" t="s">
        <v>30</v>
      </c>
      <c r="C23" s="1">
        <v>10</v>
      </c>
      <c r="D23" s="1">
        <v>15</v>
      </c>
      <c r="E23" s="1">
        <v>41</v>
      </c>
      <c r="F23" s="1">
        <f t="shared" si="6"/>
        <v>167</v>
      </c>
      <c r="G23" s="1">
        <v>38</v>
      </c>
      <c r="H23" s="1">
        <v>50</v>
      </c>
      <c r="I23" s="1">
        <v>60</v>
      </c>
      <c r="J23" s="1">
        <f t="shared" si="7"/>
        <v>19</v>
      </c>
      <c r="S23" s="1">
        <v>240</v>
      </c>
      <c r="T23" s="1">
        <v>5</v>
      </c>
      <c r="U23" s="1">
        <v>68</v>
      </c>
      <c r="V23" s="1">
        <v>1174</v>
      </c>
      <c r="W23" s="1">
        <v>106</v>
      </c>
      <c r="X23" s="1">
        <v>74</v>
      </c>
      <c r="Y23" s="1">
        <v>233</v>
      </c>
      <c r="Z23" s="1">
        <v>167</v>
      </c>
    </row>
    <row r="24" spans="2:26" s="4" customFormat="1">
      <c r="B24" s="4" t="s">
        <v>31</v>
      </c>
      <c r="C24" s="4">
        <f>+C22-C23</f>
        <v>-2088</v>
      </c>
      <c r="D24" s="4">
        <f>+D22-D23</f>
        <v>-1015</v>
      </c>
      <c r="E24" s="4">
        <f>+E22-E23</f>
        <v>1680</v>
      </c>
      <c r="F24" s="4">
        <f t="shared" si="6"/>
        <v>2925</v>
      </c>
      <c r="G24" s="4">
        <f>+G22-G23</f>
        <v>-2047</v>
      </c>
      <c r="H24" s="4">
        <f>+H22-H23</f>
        <v>-998</v>
      </c>
      <c r="I24" s="4">
        <f>+I22-I23</f>
        <v>-558</v>
      </c>
      <c r="J24" s="4">
        <f t="shared" si="7"/>
        <v>-3648</v>
      </c>
      <c r="S24" s="4">
        <f t="shared" ref="S24:Z24" si="10">+S22-S23</f>
        <v>707</v>
      </c>
      <c r="T24" s="4">
        <f t="shared" si="10"/>
        <v>1978</v>
      </c>
      <c r="U24" s="4">
        <f t="shared" si="10"/>
        <v>1456</v>
      </c>
      <c r="V24" s="4">
        <f t="shared" si="10"/>
        <v>-17358</v>
      </c>
      <c r="W24" s="4">
        <f t="shared" si="10"/>
        <v>-10295</v>
      </c>
      <c r="X24" s="4">
        <f t="shared" si="10"/>
        <v>-764</v>
      </c>
      <c r="Y24" s="4">
        <f t="shared" si="10"/>
        <v>1502</v>
      </c>
      <c r="Z24" s="4">
        <f t="shared" si="10"/>
        <v>-7251</v>
      </c>
    </row>
    <row r="25" spans="2:26">
      <c r="B25" s="1" t="s">
        <v>32</v>
      </c>
      <c r="C25" s="1">
        <v>9789</v>
      </c>
      <c r="D25" s="1">
        <v>9801</v>
      </c>
      <c r="E25" s="1">
        <v>10807</v>
      </c>
      <c r="F25" s="1">
        <f>+F24/F26</f>
        <v>9667.116705289558</v>
      </c>
      <c r="G25" s="1">
        <v>11150</v>
      </c>
      <c r="H25" s="1">
        <v>11179</v>
      </c>
      <c r="I25" s="1">
        <v>11188</v>
      </c>
      <c r="J25" s="1">
        <f>+J24/J26</f>
        <v>11243.894815624484</v>
      </c>
      <c r="S25" s="1">
        <v>5000</v>
      </c>
      <c r="T25" s="1">
        <v>5050</v>
      </c>
      <c r="U25" s="1">
        <v>5512</v>
      </c>
      <c r="V25" s="1">
        <v>8338</v>
      </c>
      <c r="W25" s="1">
        <v>8528</v>
      </c>
      <c r="X25" s="1">
        <v>9719</v>
      </c>
      <c r="Y25" s="1">
        <v>10640</v>
      </c>
      <c r="Z25" s="1">
        <v>11204</v>
      </c>
    </row>
    <row r="26" spans="2:26" s="7" customFormat="1">
      <c r="B26" s="7" t="s">
        <v>33</v>
      </c>
      <c r="C26" s="7">
        <f>+C24/C25</f>
        <v>-0.21330064357952805</v>
      </c>
      <c r="D26" s="7">
        <f>+D24/D25</f>
        <v>-0.10356086113661871</v>
      </c>
      <c r="E26" s="7">
        <f>+E24/E25</f>
        <v>0.15545479781623023</v>
      </c>
      <c r="F26" s="7">
        <f t="shared" si="6"/>
        <v>0.30257212043375115</v>
      </c>
      <c r="G26" s="7">
        <f>+G24/G25</f>
        <v>-0.18358744394618834</v>
      </c>
      <c r="H26" s="7">
        <f>+H24/H25</f>
        <v>-8.9274532605778695E-2</v>
      </c>
      <c r="I26" s="7">
        <f>+I24/I25</f>
        <v>-4.9874865927779767E-2</v>
      </c>
      <c r="J26" s="7">
        <f t="shared" si="7"/>
        <v>-0.32444273624213821</v>
      </c>
      <c r="S26" s="7">
        <f t="shared" ref="S26:Z26" si="11">+S24/S25</f>
        <v>0.1414</v>
      </c>
      <c r="T26" s="7">
        <f t="shared" si="11"/>
        <v>0.3916831683168317</v>
      </c>
      <c r="U26" s="7">
        <f t="shared" si="11"/>
        <v>0.26415094339622641</v>
      </c>
      <c r="V26" s="7">
        <f t="shared" si="11"/>
        <v>-2.0817941952506596</v>
      </c>
      <c r="W26" s="7">
        <f t="shared" si="11"/>
        <v>-1.2071998123827392</v>
      </c>
      <c r="X26" s="7">
        <f t="shared" si="11"/>
        <v>-7.8608910381726516E-2</v>
      </c>
      <c r="Y26" s="7">
        <f t="shared" si="11"/>
        <v>0.14116541353383458</v>
      </c>
      <c r="Z26" s="7">
        <f t="shared" si="11"/>
        <v>-0.64717957872188503</v>
      </c>
    </row>
    <row r="28" spans="2:26">
      <c r="B28" s="5" t="s">
        <v>34</v>
      </c>
    </row>
    <row r="29" spans="2:26" s="6" customFormat="1">
      <c r="B29" s="6" t="s">
        <v>7</v>
      </c>
      <c r="G29" s="6">
        <f t="shared" ref="G29:J32" si="12">+G11/C11-1</f>
        <v>0.3091968055343608</v>
      </c>
      <c r="H29" s="6">
        <f t="shared" si="12"/>
        <v>0.30372747132714362</v>
      </c>
      <c r="I29" s="6">
        <f t="shared" si="12"/>
        <v>0.28116495389739637</v>
      </c>
      <c r="J29" s="6">
        <f t="shared" si="12"/>
        <v>0.20176955706457433</v>
      </c>
      <c r="T29" s="6">
        <f t="shared" ref="T29:Z32" si="13">+T11/S11-1</f>
        <v>0.38906338084883618</v>
      </c>
      <c r="U29" s="6">
        <f t="shared" si="13"/>
        <v>0.24159322820037099</v>
      </c>
      <c r="V29" s="6">
        <f t="shared" si="13"/>
        <v>-0.29694139621760451</v>
      </c>
      <c r="W29" s="6">
        <f t="shared" si="13"/>
        <v>0.43665869642224586</v>
      </c>
      <c r="X29" s="6">
        <f t="shared" si="13"/>
        <v>1.1742460433650277</v>
      </c>
      <c r="Y29" s="6">
        <f t="shared" si="13"/>
        <v>0.32844516581732108</v>
      </c>
      <c r="Z29" s="6">
        <f t="shared" si="13"/>
        <v>0.26906722012068562</v>
      </c>
    </row>
    <row r="30" spans="2:26">
      <c r="B30" s="1" t="s">
        <v>21</v>
      </c>
      <c r="F30" s="3"/>
      <c r="G30" s="3">
        <f t="shared" si="12"/>
        <v>0.2361222847948512</v>
      </c>
      <c r="H30" s="3">
        <f t="shared" si="12"/>
        <v>0.27907854984894254</v>
      </c>
      <c r="I30" s="3">
        <f t="shared" si="12"/>
        <v>0.24515910629654702</v>
      </c>
      <c r="J30" s="3">
        <f t="shared" si="12"/>
        <v>0.16225063306775378</v>
      </c>
      <c r="N30" s="3"/>
      <c r="T30" s="3">
        <f t="shared" si="13"/>
        <v>0.31406378370303978</v>
      </c>
      <c r="U30" s="3">
        <f t="shared" si="13"/>
        <v>0.19631692622484942</v>
      </c>
      <c r="V30" s="3">
        <f t="shared" si="13"/>
        <v>-0.30116875712656788</v>
      </c>
      <c r="W30" s="3">
        <f t="shared" si="13"/>
        <v>0.40634985383098776</v>
      </c>
      <c r="X30" s="3">
        <f t="shared" si="13"/>
        <v>1.0550130523059074</v>
      </c>
      <c r="Y30" s="3">
        <f t="shared" si="13"/>
        <v>0.33218066337332397</v>
      </c>
      <c r="Z30" s="3">
        <f t="shared" si="13"/>
        <v>0.22740195299394328</v>
      </c>
    </row>
    <row r="31" spans="2:26">
      <c r="B31" s="1" t="s">
        <v>22</v>
      </c>
      <c r="F31" s="3"/>
      <c r="G31" s="3">
        <f t="shared" si="12"/>
        <v>0.29740725967291581</v>
      </c>
      <c r="H31" s="3">
        <f t="shared" si="12"/>
        <v>0.3546990038977913</v>
      </c>
      <c r="I31" s="3">
        <f t="shared" si="12"/>
        <v>0.41888316390474856</v>
      </c>
      <c r="J31" s="3">
        <f t="shared" si="12"/>
        <v>0.29887313243859204</v>
      </c>
      <c r="N31" s="3"/>
      <c r="T31" s="3">
        <f t="shared" si="13"/>
        <v>0.31996368738136494</v>
      </c>
      <c r="U31" s="3">
        <f t="shared" si="13"/>
        <v>0.24684256596223575</v>
      </c>
      <c r="V31" s="3">
        <f t="shared" si="13"/>
        <v>-6.383512185337481E-2</v>
      </c>
      <c r="W31" s="3">
        <f t="shared" si="13"/>
        <v>-0.11993143714178589</v>
      </c>
      <c r="X31" s="3">
        <f t="shared" si="13"/>
        <v>1.6778454047474134</v>
      </c>
      <c r="Y31" s="3">
        <f t="shared" si="13"/>
        <v>0.28524672136736595</v>
      </c>
      <c r="Z31" s="3">
        <f t="shared" si="13"/>
        <v>0.34270606751905497</v>
      </c>
    </row>
    <row r="32" spans="2:26">
      <c r="B32" s="1" t="s">
        <v>23</v>
      </c>
      <c r="F32" s="3"/>
      <c r="G32" s="3">
        <f t="shared" si="12"/>
        <v>0.35459272097053729</v>
      </c>
      <c r="H32" s="3">
        <f t="shared" si="12"/>
        <v>0.28972267536704721</v>
      </c>
      <c r="I32" s="3">
        <f t="shared" si="12"/>
        <v>0.21496904895891955</v>
      </c>
      <c r="J32" s="3">
        <f t="shared" si="12"/>
        <v>0.26835303821831169</v>
      </c>
      <c r="N32" s="3"/>
      <c r="T32" s="3">
        <f t="shared" si="13"/>
        <v>0.45064997592681744</v>
      </c>
      <c r="U32" s="3">
        <f t="shared" si="13"/>
        <v>0.52439429140391636</v>
      </c>
      <c r="V32" s="3">
        <f t="shared" si="13"/>
        <v>0.3844981493577182</v>
      </c>
      <c r="W32" s="3">
        <f t="shared" si="13"/>
        <v>0.11542695392357283</v>
      </c>
      <c r="X32" s="3">
        <f t="shared" si="13"/>
        <v>0.39813901029183696</v>
      </c>
      <c r="Y32" s="3">
        <f t="shared" si="13"/>
        <v>0.32509831602299077</v>
      </c>
      <c r="Z32" s="3">
        <f t="shared" si="13"/>
        <v>0.27783273723460922</v>
      </c>
    </row>
    <row r="33" spans="2:26">
      <c r="Y33" s="3"/>
      <c r="Z33" s="3"/>
    </row>
    <row r="34" spans="2:26">
      <c r="B34" s="5" t="s">
        <v>35</v>
      </c>
      <c r="Y34" s="3"/>
      <c r="Z34" s="3"/>
    </row>
    <row r="35" spans="2:26" s="3" customFormat="1">
      <c r="B35" s="3" t="s">
        <v>21</v>
      </c>
      <c r="C35" s="13">
        <f>+C12/C$11</f>
        <v>0.31614019024365431</v>
      </c>
      <c r="D35" s="13">
        <f t="shared" ref="D35:J35" si="14">+D12/D$11</f>
        <v>0.3012925541598398</v>
      </c>
      <c r="E35" s="13">
        <f t="shared" si="14"/>
        <v>0.29997156667614444</v>
      </c>
      <c r="F35" s="13">
        <f t="shared" si="14"/>
        <v>0.29476232955269532</v>
      </c>
      <c r="G35" s="13">
        <f t="shared" si="14"/>
        <v>0.29849441476444877</v>
      </c>
      <c r="H35" s="13">
        <f t="shared" si="14"/>
        <v>0.29559616693721524</v>
      </c>
      <c r="I35" s="13">
        <f t="shared" si="14"/>
        <v>0.29154116863764623</v>
      </c>
      <c r="J35" s="13">
        <f t="shared" si="14"/>
        <v>0.28506938132460763</v>
      </c>
      <c r="S35" s="13">
        <f t="shared" ref="S35:Z35" si="15">+S12/S$11</f>
        <v>0.359426592574696</v>
      </c>
      <c r="T35" s="13">
        <f t="shared" si="15"/>
        <v>0.34002009894867036</v>
      </c>
      <c r="U35" s="13">
        <f t="shared" si="15"/>
        <v>0.32762082652346486</v>
      </c>
      <c r="V35" s="13">
        <f t="shared" si="15"/>
        <v>0.32565090329436769</v>
      </c>
      <c r="W35" s="13">
        <f t="shared" si="15"/>
        <v>0.31878072459971335</v>
      </c>
      <c r="X35" s="13">
        <f t="shared" si="15"/>
        <v>0.30129917995024419</v>
      </c>
      <c r="Y35" s="13">
        <f t="shared" si="15"/>
        <v>0.30214641277497079</v>
      </c>
      <c r="Z35" s="13">
        <f t="shared" si="15"/>
        <v>0.29222651980156394</v>
      </c>
    </row>
    <row r="36" spans="2:26" s="3" customFormat="1">
      <c r="B36" s="3" t="s">
        <v>22</v>
      </c>
      <c r="C36" s="13">
        <f t="shared" ref="C36:J37" si="16">+C13/C$11</f>
        <v>0.31881072282415179</v>
      </c>
      <c r="D36" s="13">
        <f t="shared" si="16"/>
        <v>0.31526488257782631</v>
      </c>
      <c r="E36" s="13">
        <f t="shared" si="16"/>
        <v>0.29168528372395303</v>
      </c>
      <c r="F36" s="13">
        <f t="shared" si="16"/>
        <v>0.28757122831291304</v>
      </c>
      <c r="G36" s="13">
        <f t="shared" si="16"/>
        <v>0.31593977659057793</v>
      </c>
      <c r="H36" s="13">
        <f t="shared" si="16"/>
        <v>0.32759072105566317</v>
      </c>
      <c r="I36" s="13">
        <f t="shared" si="16"/>
        <v>0.32303985288988935</v>
      </c>
      <c r="J36" s="13">
        <f t="shared" si="16"/>
        <v>0.31080712597709509</v>
      </c>
      <c r="S36" s="13">
        <f t="shared" ref="S36:Z36" si="17">+S13/S$11</f>
        <v>0.32527985825883871</v>
      </c>
      <c r="T36" s="13">
        <f t="shared" si="17"/>
        <v>0.30909863945578231</v>
      </c>
      <c r="U36" s="13">
        <f t="shared" si="17"/>
        <v>0.31040547902560511</v>
      </c>
      <c r="V36" s="13">
        <f t="shared" si="17"/>
        <v>0.41332359192348567</v>
      </c>
      <c r="W36" s="13">
        <f t="shared" si="17"/>
        <v>0.25319381732443635</v>
      </c>
      <c r="X36" s="13">
        <f t="shared" si="17"/>
        <v>0.31183862668244866</v>
      </c>
      <c r="Y36" s="13">
        <f t="shared" si="17"/>
        <v>0.30169824306804177</v>
      </c>
      <c r="Z36" s="13">
        <f t="shared" si="17"/>
        <v>0.31920457411922981</v>
      </c>
    </row>
    <row r="37" spans="2:26" s="3" customFormat="1">
      <c r="B37" s="3" t="s">
        <v>23</v>
      </c>
      <c r="C37" s="13">
        <f t="shared" si="16"/>
        <v>7.3376061854621297E-2</v>
      </c>
      <c r="D37" s="13">
        <f t="shared" si="16"/>
        <v>6.9747860913890403E-2</v>
      </c>
      <c r="E37" s="13">
        <f t="shared" si="16"/>
        <v>7.2180023559039769E-2</v>
      </c>
      <c r="F37" s="13">
        <f t="shared" si="16"/>
        <v>6.6212747364779986E-2</v>
      </c>
      <c r="G37" s="13">
        <f t="shared" si="16"/>
        <v>7.5920349684312771E-2</v>
      </c>
      <c r="H37" s="13">
        <f t="shared" si="16"/>
        <v>6.8998621074863417E-2</v>
      </c>
      <c r="I37" s="13">
        <f t="shared" si="16"/>
        <v>6.845058812339494E-2</v>
      </c>
      <c r="J37" s="13">
        <f t="shared" si="16"/>
        <v>6.9881233715082106E-2</v>
      </c>
      <c r="S37" s="13">
        <f t="shared" ref="S37:Z37" si="18">+S14/S$11</f>
        <v>5.5756892432417923E-2</v>
      </c>
      <c r="T37" s="13">
        <f t="shared" si="18"/>
        <v>5.8228973407544835E-2</v>
      </c>
      <c r="U37" s="13">
        <f t="shared" si="18"/>
        <v>7.1491944898435675E-2</v>
      </c>
      <c r="V37" s="13">
        <f t="shared" si="18"/>
        <v>0.14078551186680835</v>
      </c>
      <c r="W37" s="13">
        <f t="shared" si="18"/>
        <v>0.10930637530628284</v>
      </c>
      <c r="X37" s="13">
        <f t="shared" si="18"/>
        <v>7.0288966538851361E-2</v>
      </c>
      <c r="Y37" s="13">
        <f t="shared" si="18"/>
        <v>7.0111882366122633E-2</v>
      </c>
      <c r="Z37" s="13">
        <f t="shared" si="18"/>
        <v>7.0596148995207261E-2</v>
      </c>
    </row>
    <row r="38" spans="2:26" s="3" customFormat="1">
      <c r="B38" s="3" t="s">
        <v>94</v>
      </c>
      <c r="C38" s="13">
        <f>+C16/C$11</f>
        <v>0.13533241772216287</v>
      </c>
      <c r="D38" s="13">
        <f t="shared" ref="D38:J38" si="19">+D16/D$11</f>
        <v>0.13348807573275076</v>
      </c>
      <c r="E38" s="13">
        <f t="shared" si="19"/>
        <v>0.12520817254965677</v>
      </c>
      <c r="F38" s="13">
        <f t="shared" si="19"/>
        <v>0.13761401081395985</v>
      </c>
      <c r="G38" s="13">
        <f t="shared" si="19"/>
        <v>0.14746964545896066</v>
      </c>
      <c r="H38" s="13">
        <f t="shared" si="19"/>
        <v>0.14585187900368296</v>
      </c>
      <c r="I38" s="13">
        <f t="shared" si="19"/>
        <v>0.14387622459655686</v>
      </c>
      <c r="J38" s="13">
        <f t="shared" si="19"/>
        <v>0.14732169908501486</v>
      </c>
      <c r="S38" s="13">
        <f t="shared" ref="S38:Z38" si="20">+S16/S$11</f>
        <v>0.10488309038683526</v>
      </c>
      <c r="T38" s="13">
        <f t="shared" si="20"/>
        <v>0.10443722943722944</v>
      </c>
      <c r="U38" s="13">
        <f t="shared" si="20"/>
        <v>0.11032765195735077</v>
      </c>
      <c r="V38" s="13">
        <f t="shared" si="20"/>
        <v>0.14844580233793836</v>
      </c>
      <c r="W38" s="13">
        <f t="shared" si="20"/>
        <v>0.16100846034118754</v>
      </c>
      <c r="X38" s="13">
        <f t="shared" si="20"/>
        <v>0.12415567478683667</v>
      </c>
      <c r="Y38" s="13">
        <f t="shared" si="20"/>
        <v>0.13290899487272514</v>
      </c>
      <c r="Z38" s="13">
        <f t="shared" si="20"/>
        <v>0.14608593290170688</v>
      </c>
    </row>
    <row r="39" spans="2:26" s="3" customFormat="1">
      <c r="B39" s="3" t="s">
        <v>91</v>
      </c>
      <c r="C39" s="13">
        <f>+C17/C$11</f>
        <v>0.16893026094918359</v>
      </c>
      <c r="D39" s="13">
        <f t="shared" ref="D39:J39" si="21">+D17/D$11</f>
        <v>0.16206990715456035</v>
      </c>
      <c r="E39" s="13">
        <f t="shared" si="21"/>
        <v>0.14241033348226978</v>
      </c>
      <c r="F39" s="13">
        <f t="shared" si="21"/>
        <v>0.1321524149356442</v>
      </c>
      <c r="G39" s="13">
        <f t="shared" si="21"/>
        <v>0.16724623603691113</v>
      </c>
      <c r="H39" s="13">
        <f t="shared" si="21"/>
        <v>0.14257038627358573</v>
      </c>
      <c r="I39" s="13">
        <f t="shared" si="21"/>
        <v>0.14040455280428649</v>
      </c>
      <c r="J39" s="13">
        <f t="shared" si="21"/>
        <v>0.20323577531357934</v>
      </c>
      <c r="S39" s="3">
        <f t="shared" ref="S39:Z39" si="22">+S17/S$11</f>
        <v>9.0306300501999948E-2</v>
      </c>
      <c r="T39" s="3">
        <f t="shared" si="22"/>
        <v>0.11527906617192331</v>
      </c>
      <c r="U39" s="3">
        <f t="shared" si="22"/>
        <v>0.12060082496692349</v>
      </c>
      <c r="V39" s="3">
        <f t="shared" si="22"/>
        <v>0.26709174636911087</v>
      </c>
      <c r="W39" s="3">
        <f t="shared" si="22"/>
        <v>0.24195959378033935</v>
      </c>
      <c r="X39" s="3">
        <f t="shared" si="22"/>
        <v>0.15797829738675587</v>
      </c>
      <c r="Y39" s="3">
        <f t="shared" si="22"/>
        <v>0.14957663968756169</v>
      </c>
      <c r="Z39" s="3">
        <f t="shared" si="22"/>
        <v>0.16417220213571007</v>
      </c>
    </row>
    <row r="40" spans="2:26" s="3" customFormat="1">
      <c r="C40" s="13"/>
      <c r="D40" s="13"/>
      <c r="E40" s="13"/>
      <c r="F40" s="13"/>
      <c r="G40" s="13"/>
      <c r="H40" s="13"/>
      <c r="I40" s="13"/>
      <c r="J40" s="13"/>
    </row>
    <row r="41" spans="2:26">
      <c r="B41" s="1" t="s">
        <v>97</v>
      </c>
      <c r="F41" s="1">
        <f>+F19</f>
        <v>2229</v>
      </c>
    </row>
    <row r="42" spans="2:26">
      <c r="B42" s="1" t="s">
        <v>24</v>
      </c>
      <c r="F42" s="1">
        <f>+F81</f>
        <v>2258</v>
      </c>
    </row>
    <row r="43" spans="2:26">
      <c r="B43" s="1" t="s">
        <v>62</v>
      </c>
      <c r="F43" s="1">
        <f>+F82</f>
        <v>980</v>
      </c>
    </row>
    <row r="44" spans="2:26">
      <c r="B44" s="1" t="s">
        <v>98</v>
      </c>
      <c r="F44" s="15">
        <v>719</v>
      </c>
    </row>
    <row r="45" spans="2:26">
      <c r="B45" s="1" t="s">
        <v>99</v>
      </c>
      <c r="F45" s="15">
        <v>810</v>
      </c>
    </row>
    <row r="46" spans="2:26">
      <c r="B46" s="1" t="s">
        <v>25</v>
      </c>
      <c r="F46" s="1">
        <f>+F17</f>
        <v>7259</v>
      </c>
    </row>
    <row r="47" spans="2:26">
      <c r="B47" s="1" t="s">
        <v>100</v>
      </c>
      <c r="F47" s="15">
        <v>-856</v>
      </c>
    </row>
    <row r="48" spans="2:26" s="4" customFormat="1">
      <c r="B48" s="4" t="s">
        <v>96</v>
      </c>
      <c r="F48" s="4">
        <f>+SUM(F41:F47)</f>
        <v>13399</v>
      </c>
    </row>
    <row r="49" spans="2:10" s="3" customFormat="1">
      <c r="C49" s="13"/>
      <c r="D49" s="13"/>
      <c r="E49" s="13"/>
      <c r="F49" s="13">
        <f>+F48/F11</f>
        <v>0.24393307724517105</v>
      </c>
      <c r="G49" s="13"/>
      <c r="H49" s="13"/>
      <c r="I49" s="13"/>
      <c r="J49" s="13"/>
    </row>
    <row r="50" spans="2:10">
      <c r="B50" s="1" t="s">
        <v>101</v>
      </c>
      <c r="C50" s="16">
        <f>+C98/C24</f>
        <v>-0.25335249042145591</v>
      </c>
      <c r="D50" s="16">
        <f t="shared" ref="D50:J50" si="23">+D98/D24</f>
        <v>-1.1310344827586207</v>
      </c>
      <c r="E50" s="16">
        <f t="shared" si="23"/>
        <v>3.2059523809523811</v>
      </c>
      <c r="F50" s="16">
        <f t="shared" si="23"/>
        <v>3.7610256410256411</v>
      </c>
      <c r="G50" s="16">
        <f t="shared" si="23"/>
        <v>-1.1861260381045433</v>
      </c>
      <c r="H50" s="16">
        <f t="shared" si="23"/>
        <v>-3.7975951903807617</v>
      </c>
      <c r="I50" s="16">
        <f t="shared" si="23"/>
        <v>-15.636200716845877</v>
      </c>
      <c r="J50" s="16">
        <f t="shared" si="23"/>
        <v>-0.18338815789473684</v>
      </c>
    </row>
    <row r="54" spans="2:10">
      <c r="B54" s="1" t="s">
        <v>42</v>
      </c>
      <c r="C54" s="1">
        <v>26934</v>
      </c>
      <c r="D54" s="1">
        <v>22294</v>
      </c>
      <c r="E54" s="11">
        <v>70474</v>
      </c>
      <c r="F54" s="1">
        <v>69697</v>
      </c>
      <c r="G54" s="1">
        <v>64161</v>
      </c>
      <c r="H54" s="1">
        <v>56768</v>
      </c>
      <c r="I54" s="1">
        <v>59405</v>
      </c>
      <c r="J54" s="1">
        <v>50986</v>
      </c>
    </row>
    <row r="55" spans="2:10">
      <c r="B55" s="1" t="s">
        <v>43</v>
      </c>
      <c r="C55" s="1">
        <v>0</v>
      </c>
      <c r="D55" s="1">
        <v>0</v>
      </c>
      <c r="E55" s="1">
        <v>8742</v>
      </c>
      <c r="F55" s="1">
        <v>8542</v>
      </c>
      <c r="G55" s="1">
        <v>7046</v>
      </c>
      <c r="H55" s="1">
        <v>6075</v>
      </c>
      <c r="I55" s="1">
        <v>1250</v>
      </c>
      <c r="J55" s="1">
        <v>0</v>
      </c>
    </row>
    <row r="56" spans="2:10">
      <c r="B56" s="1" t="s">
        <v>44</v>
      </c>
      <c r="C56" s="1">
        <v>2916</v>
      </c>
      <c r="D56" s="1">
        <v>3644</v>
      </c>
      <c r="E56" s="1">
        <v>3536</v>
      </c>
      <c r="F56" s="1">
        <v>5048</v>
      </c>
      <c r="G56" s="1">
        <v>4865</v>
      </c>
      <c r="H56" s="1">
        <v>5347</v>
      </c>
      <c r="I56" s="1">
        <v>5510</v>
      </c>
      <c r="J56" s="1">
        <v>4573</v>
      </c>
    </row>
    <row r="57" spans="2:10">
      <c r="B57" s="1" t="s">
        <v>45</v>
      </c>
      <c r="C57" s="1">
        <v>1278</v>
      </c>
      <c r="D57" s="1">
        <v>1436</v>
      </c>
      <c r="E57" s="1">
        <v>1387</v>
      </c>
      <c r="F57" s="1">
        <v>1747</v>
      </c>
      <c r="G57" s="1">
        <v>1771</v>
      </c>
      <c r="H57" s="1">
        <v>1874</v>
      </c>
      <c r="I57" s="1">
        <v>2132</v>
      </c>
      <c r="J57" s="1">
        <v>2219</v>
      </c>
    </row>
    <row r="58" spans="2:10">
      <c r="B58" s="1" t="s">
        <v>46</v>
      </c>
      <c r="C58" s="1">
        <v>34</v>
      </c>
      <c r="D58" s="1">
        <v>7</v>
      </c>
      <c r="E58" s="1">
        <v>0</v>
      </c>
      <c r="F58" s="1">
        <v>104</v>
      </c>
      <c r="G58" s="1">
        <v>1</v>
      </c>
      <c r="H58" s="1">
        <v>32</v>
      </c>
      <c r="I58" s="1">
        <v>0</v>
      </c>
      <c r="J58" s="1">
        <v>166</v>
      </c>
    </row>
    <row r="59" spans="2:10">
      <c r="B59" s="1" t="s">
        <v>47</v>
      </c>
      <c r="C59" s="1">
        <v>3877</v>
      </c>
      <c r="D59" s="1">
        <v>3450</v>
      </c>
      <c r="E59" s="1">
        <v>5123</v>
      </c>
      <c r="F59" s="1">
        <v>4233</v>
      </c>
      <c r="G59" s="1">
        <v>4204</v>
      </c>
      <c r="H59" s="1">
        <v>4120</v>
      </c>
      <c r="I59" s="1">
        <v>3988</v>
      </c>
      <c r="J59" s="1">
        <v>3391</v>
      </c>
    </row>
    <row r="60" spans="2:10">
      <c r="B60" s="1" t="s">
        <v>48</v>
      </c>
      <c r="C60" s="1">
        <v>81109</v>
      </c>
      <c r="D60" s="1">
        <v>87791</v>
      </c>
      <c r="E60" s="1">
        <v>96654</v>
      </c>
      <c r="F60" s="1">
        <v>106427</v>
      </c>
      <c r="G60" s="1">
        <v>114346</v>
      </c>
      <c r="H60" s="1">
        <v>124163</v>
      </c>
      <c r="I60" s="1">
        <v>130663</v>
      </c>
      <c r="J60" s="1">
        <v>138589</v>
      </c>
    </row>
    <row r="61" spans="2:10">
      <c r="B61" s="1" t="s">
        <v>49</v>
      </c>
      <c r="C61" s="1">
        <v>84154</v>
      </c>
      <c r="D61" s="1">
        <v>90129</v>
      </c>
      <c r="E61" s="1">
        <v>96126</v>
      </c>
      <c r="F61" s="1">
        <v>103884</v>
      </c>
      <c r="G61" s="1">
        <v>107853</v>
      </c>
      <c r="H61" s="1">
        <v>112084</v>
      </c>
      <c r="I61" s="1">
        <v>117030</v>
      </c>
      <c r="J61" s="1">
        <v>123682</v>
      </c>
    </row>
    <row r="62" spans="2:10">
      <c r="B62" s="1" t="s">
        <v>50</v>
      </c>
      <c r="C62" s="1">
        <v>4147</v>
      </c>
      <c r="D62" s="1">
        <v>3966</v>
      </c>
      <c r="E62" s="1">
        <v>4206</v>
      </c>
      <c r="F62" s="1">
        <v>4977</v>
      </c>
      <c r="G62" s="1">
        <v>5050</v>
      </c>
      <c r="H62" s="1">
        <v>5066</v>
      </c>
      <c r="I62" s="1">
        <v>4753</v>
      </c>
      <c r="J62" s="1">
        <v>4916</v>
      </c>
    </row>
    <row r="63" spans="2:10" s="4" customFormat="1">
      <c r="B63" s="4" t="s">
        <v>51</v>
      </c>
      <c r="C63" s="4">
        <f t="shared" ref="C63:J63" si="24">+SUM(C54:C62)</f>
        <v>204449</v>
      </c>
      <c r="D63" s="4">
        <f t="shared" si="24"/>
        <v>212717</v>
      </c>
      <c r="E63" s="4">
        <f t="shared" si="24"/>
        <v>286248</v>
      </c>
      <c r="F63" s="4">
        <f t="shared" si="24"/>
        <v>304659</v>
      </c>
      <c r="G63" s="4">
        <f t="shared" si="24"/>
        <v>309297</v>
      </c>
      <c r="H63" s="4">
        <f t="shared" si="24"/>
        <v>315529</v>
      </c>
      <c r="I63" s="4">
        <f t="shared" si="24"/>
        <v>324731</v>
      </c>
      <c r="J63" s="4">
        <f t="shared" si="24"/>
        <v>328522</v>
      </c>
    </row>
    <row r="65" spans="2:26">
      <c r="B65" s="1" t="s">
        <v>52</v>
      </c>
      <c r="C65" s="1">
        <v>5304</v>
      </c>
      <c r="D65" s="1">
        <v>6810</v>
      </c>
      <c r="E65" s="1">
        <v>5521</v>
      </c>
      <c r="F65" s="1">
        <v>7248</v>
      </c>
      <c r="G65" s="1">
        <v>8871</v>
      </c>
      <c r="H65" s="1">
        <v>7370</v>
      </c>
      <c r="I65" s="1">
        <v>8063</v>
      </c>
      <c r="J65" s="1">
        <v>8977</v>
      </c>
    </row>
    <row r="66" spans="2:26">
      <c r="B66" s="1" t="s">
        <v>53</v>
      </c>
      <c r="C66" s="1">
        <v>3518</v>
      </c>
      <c r="D66" s="1">
        <v>2356</v>
      </c>
      <c r="E66" s="1">
        <v>2084</v>
      </c>
      <c r="F66" s="1">
        <v>2821</v>
      </c>
      <c r="G66" s="1">
        <v>3429</v>
      </c>
      <c r="H66" s="1">
        <v>3340</v>
      </c>
      <c r="I66" s="1">
        <v>3412</v>
      </c>
      <c r="J66" s="1">
        <v>4261</v>
      </c>
    </row>
    <row r="67" spans="2:26">
      <c r="B67" s="1" t="s">
        <v>54</v>
      </c>
      <c r="C67" s="1">
        <v>5481</v>
      </c>
      <c r="D67" s="1">
        <v>5800</v>
      </c>
      <c r="E67" s="1">
        <v>6932</v>
      </c>
      <c r="F67" s="1">
        <v>7595</v>
      </c>
      <c r="G67" s="1">
        <v>6167</v>
      </c>
      <c r="H67" s="1">
        <v>7510</v>
      </c>
      <c r="I67" s="1">
        <v>8596</v>
      </c>
      <c r="J67" s="1">
        <v>8310</v>
      </c>
    </row>
    <row r="68" spans="2:26">
      <c r="B68" s="1" t="s">
        <v>49</v>
      </c>
      <c r="C68" s="1">
        <v>8041</v>
      </c>
      <c r="D68" s="1">
        <f>179+8538</f>
        <v>8717</v>
      </c>
      <c r="E68" s="1">
        <f>75+8593</f>
        <v>8668</v>
      </c>
      <c r="F68" s="1">
        <v>9225</v>
      </c>
      <c r="G68" s="1">
        <f>52+10457</f>
        <v>10509</v>
      </c>
      <c r="H68" s="1">
        <v>10376</v>
      </c>
      <c r="I68" s="1">
        <v>11734</v>
      </c>
      <c r="J68" s="1">
        <v>10674</v>
      </c>
    </row>
    <row r="69" spans="2:26">
      <c r="B69" s="1" t="s">
        <v>55</v>
      </c>
      <c r="C69" s="1">
        <v>648</v>
      </c>
      <c r="D69" s="1">
        <v>439</v>
      </c>
      <c r="E69" s="1">
        <v>466</v>
      </c>
      <c r="F69" s="1">
        <v>555</v>
      </c>
      <c r="G69" s="1">
        <v>359</v>
      </c>
      <c r="H69" s="1">
        <v>355</v>
      </c>
      <c r="I69" s="1">
        <v>12</v>
      </c>
      <c r="J69" s="1">
        <v>373</v>
      </c>
    </row>
    <row r="70" spans="2:26">
      <c r="B70" s="1" t="s">
        <v>56</v>
      </c>
      <c r="C70" s="1">
        <v>1162</v>
      </c>
      <c r="D70" s="1">
        <v>1341</v>
      </c>
      <c r="E70" s="1">
        <v>1445</v>
      </c>
      <c r="F70" s="1">
        <v>1694</v>
      </c>
      <c r="G70" s="1">
        <v>1774</v>
      </c>
      <c r="H70" s="1">
        <v>1634</v>
      </c>
      <c r="I70" s="1">
        <v>1766</v>
      </c>
      <c r="J70" s="1">
        <v>1904</v>
      </c>
    </row>
    <row r="71" spans="2:26">
      <c r="B71" s="1" t="s">
        <v>49</v>
      </c>
      <c r="C71" s="1">
        <f>22+87519</f>
        <v>87541</v>
      </c>
      <c r="D71" s="1">
        <f>16+94329</f>
        <v>94345</v>
      </c>
      <c r="E71" s="1">
        <f>16+100795</f>
        <v>100811</v>
      </c>
      <c r="F71" s="1">
        <v>110234</v>
      </c>
      <c r="G71" s="1">
        <f>22+113773</f>
        <v>113795</v>
      </c>
      <c r="H71" s="1">
        <v>118936</v>
      </c>
      <c r="I71" s="1">
        <v>123848</v>
      </c>
      <c r="J71" s="1">
        <v>130677</v>
      </c>
    </row>
    <row r="72" spans="2:26">
      <c r="B72" s="1" t="s">
        <v>57</v>
      </c>
      <c r="C72" s="1">
        <v>510</v>
      </c>
      <c r="D72" s="1">
        <v>539</v>
      </c>
      <c r="E72" s="1">
        <v>582</v>
      </c>
      <c r="F72" s="1">
        <v>646</v>
      </c>
      <c r="G72" s="1">
        <v>652</v>
      </c>
      <c r="H72" s="1">
        <v>728</v>
      </c>
      <c r="I72" s="1">
        <v>763</v>
      </c>
      <c r="J72" s="1">
        <v>808</v>
      </c>
    </row>
    <row r="73" spans="2:26" s="4" customFormat="1">
      <c r="B73" s="4" t="s">
        <v>58</v>
      </c>
      <c r="C73" s="4">
        <f t="shared" ref="C73:J73" si="25">+SUM(C65:C72)</f>
        <v>112205</v>
      </c>
      <c r="D73" s="4">
        <f t="shared" si="25"/>
        <v>120347</v>
      </c>
      <c r="E73" s="4">
        <f t="shared" si="25"/>
        <v>126509</v>
      </c>
      <c r="F73" s="4">
        <f t="shared" si="25"/>
        <v>140018</v>
      </c>
      <c r="G73" s="4">
        <f t="shared" si="25"/>
        <v>145556</v>
      </c>
      <c r="H73" s="4">
        <f t="shared" si="25"/>
        <v>150249</v>
      </c>
      <c r="I73" s="4">
        <f t="shared" si="25"/>
        <v>158194</v>
      </c>
      <c r="J73" s="4">
        <f t="shared" si="25"/>
        <v>165984</v>
      </c>
    </row>
    <row r="74" spans="2:26">
      <c r="B74" s="1" t="s">
        <v>59</v>
      </c>
      <c r="C74" s="1">
        <v>91907</v>
      </c>
      <c r="D74" s="1">
        <v>92370</v>
      </c>
      <c r="E74" s="1">
        <v>159740</v>
      </c>
      <c r="F74" s="1">
        <v>164641</v>
      </c>
      <c r="G74" s="1">
        <v>163741</v>
      </c>
      <c r="H74" s="1">
        <v>165280</v>
      </c>
      <c r="I74" s="1">
        <v>166426</v>
      </c>
      <c r="J74" s="1">
        <v>162538</v>
      </c>
    </row>
    <row r="75" spans="2:26" s="4" customFormat="1">
      <c r="B75" s="4" t="s">
        <v>60</v>
      </c>
      <c r="C75" s="4">
        <f t="shared" ref="C75:J75" si="26">+SUM(C73:C74)</f>
        <v>204112</v>
      </c>
      <c r="D75" s="4">
        <f t="shared" si="26"/>
        <v>212717</v>
      </c>
      <c r="E75" s="4">
        <f t="shared" si="26"/>
        <v>286249</v>
      </c>
      <c r="F75" s="4">
        <f t="shared" si="26"/>
        <v>304659</v>
      </c>
      <c r="G75" s="4">
        <f t="shared" si="26"/>
        <v>309297</v>
      </c>
      <c r="H75" s="4">
        <f t="shared" si="26"/>
        <v>315529</v>
      </c>
      <c r="I75" s="4">
        <f t="shared" si="26"/>
        <v>324620</v>
      </c>
      <c r="J75" s="4">
        <f t="shared" si="26"/>
        <v>328522</v>
      </c>
    </row>
    <row r="77" spans="2:26">
      <c r="B77" s="1" t="s">
        <v>61</v>
      </c>
      <c r="D77" s="1">
        <f t="shared" ref="D77:I77" si="27">+D54-C54</f>
        <v>-4640</v>
      </c>
      <c r="E77" s="1">
        <f t="shared" si="27"/>
        <v>48180</v>
      </c>
      <c r="F77" s="1">
        <f t="shared" si="27"/>
        <v>-777</v>
      </c>
      <c r="G77" s="1">
        <f t="shared" si="27"/>
        <v>-5536</v>
      </c>
      <c r="H77" s="1">
        <f t="shared" si="27"/>
        <v>-7393</v>
      </c>
      <c r="I77" s="1">
        <f t="shared" si="27"/>
        <v>2637</v>
      </c>
      <c r="J77" s="1">
        <f>+J54-I54</f>
        <v>-8419</v>
      </c>
    </row>
    <row r="80" spans="2:26">
      <c r="B80" s="1" t="s">
        <v>31</v>
      </c>
      <c r="C80" s="1">
        <v>-2088</v>
      </c>
      <c r="D80" s="1">
        <f>+-3103-C80</f>
        <v>-1015</v>
      </c>
      <c r="E80" s="1">
        <f>-1423-SUM(C80:D80)</f>
        <v>1680</v>
      </c>
      <c r="F80" s="1">
        <f>+Y80-SUM(C80:E80)</f>
        <v>2925</v>
      </c>
      <c r="G80" s="1">
        <v>-2047</v>
      </c>
      <c r="H80" s="1">
        <f>+-3045-G80</f>
        <v>-998</v>
      </c>
      <c r="I80" s="1">
        <f>-3603-SUM(G80:H80)</f>
        <v>-558</v>
      </c>
      <c r="J80" s="1">
        <f>+Z80-SUM(G80:I80)</f>
        <v>-5201</v>
      </c>
      <c r="X80" s="1">
        <v>-764</v>
      </c>
      <c r="Y80" s="1">
        <v>1502</v>
      </c>
      <c r="Z80" s="1">
        <v>-8804</v>
      </c>
    </row>
    <row r="81" spans="2:26">
      <c r="B81" s="1" t="s">
        <v>24</v>
      </c>
      <c r="C81" s="1">
        <v>1661</v>
      </c>
      <c r="D81" s="1">
        <f>3507-C81</f>
        <v>1846</v>
      </c>
      <c r="E81" s="1">
        <f>5574-SUM(C81:D81)</f>
        <v>2067</v>
      </c>
      <c r="F81" s="1">
        <f t="shared" ref="F81:F97" si="28">+Y81-SUM(C81:E81)</f>
        <v>2258</v>
      </c>
      <c r="G81" s="1">
        <v>2600</v>
      </c>
      <c r="H81" s="1">
        <f>5381-G81</f>
        <v>2781</v>
      </c>
      <c r="I81" s="1">
        <f>8612-SUM(G81:H81)</f>
        <v>3231</v>
      </c>
      <c r="J81" s="1">
        <f t="shared" ref="J81:J97" si="29">+Z81-SUM(G81:I81)</f>
        <v>3175</v>
      </c>
      <c r="X81" s="1">
        <v>5613</v>
      </c>
      <c r="Y81" s="1">
        <v>7832</v>
      </c>
      <c r="Z81" s="1">
        <v>11787</v>
      </c>
    </row>
    <row r="82" spans="2:26">
      <c r="B82" s="1" t="s">
        <v>62</v>
      </c>
      <c r="C82" s="1">
        <v>650</v>
      </c>
      <c r="D82" s="1">
        <f>1595-C82</f>
        <v>945</v>
      </c>
      <c r="E82" s="1">
        <f>2570-SUM(C82:D82)</f>
        <v>975</v>
      </c>
      <c r="F82" s="1">
        <f t="shared" si="28"/>
        <v>980</v>
      </c>
      <c r="G82" s="1">
        <v>1006</v>
      </c>
      <c r="H82" s="1">
        <f>1972-G82</f>
        <v>966</v>
      </c>
      <c r="I82" s="1">
        <f>3169-SUM(G82:H82)</f>
        <v>1197</v>
      </c>
      <c r="J82" s="1">
        <f t="shared" si="29"/>
        <v>1145</v>
      </c>
      <c r="X82" s="1">
        <v>2409</v>
      </c>
      <c r="Y82" s="1">
        <v>3550</v>
      </c>
      <c r="Z82" s="1">
        <v>4314</v>
      </c>
    </row>
    <row r="83" spans="2:26">
      <c r="B83" s="1" t="s">
        <v>71</v>
      </c>
      <c r="C83" s="1">
        <v>0</v>
      </c>
      <c r="D83" s="1">
        <v>0</v>
      </c>
      <c r="E83" s="1">
        <v>0</v>
      </c>
      <c r="F83" s="1">
        <f t="shared" si="28"/>
        <v>43</v>
      </c>
      <c r="G83" s="1">
        <v>0</v>
      </c>
      <c r="H83" s="1">
        <v>0</v>
      </c>
      <c r="I83" s="1">
        <v>0</v>
      </c>
      <c r="J83" s="1">
        <f t="shared" si="29"/>
        <v>0</v>
      </c>
      <c r="X83" s="1">
        <v>0</v>
      </c>
      <c r="Y83" s="1">
        <v>43</v>
      </c>
      <c r="Z83" s="1">
        <v>0</v>
      </c>
    </row>
    <row r="84" spans="2:26">
      <c r="B84" s="1" t="s">
        <v>63</v>
      </c>
      <c r="C84" s="1">
        <v>0</v>
      </c>
      <c r="D84" s="1">
        <f>50-C84</f>
        <v>50</v>
      </c>
      <c r="E84" s="1">
        <f>53-SUM(C84:D84)</f>
        <v>3</v>
      </c>
      <c r="F84" s="1">
        <f t="shared" si="28"/>
        <v>0</v>
      </c>
      <c r="G84" s="1">
        <v>0</v>
      </c>
      <c r="H84" s="1">
        <v>0</v>
      </c>
      <c r="I84" s="1">
        <v>0</v>
      </c>
      <c r="J84" s="1">
        <f t="shared" si="29"/>
        <v>22</v>
      </c>
      <c r="X84" s="1">
        <v>12</v>
      </c>
      <c r="Y84" s="1">
        <v>53</v>
      </c>
      <c r="Z84" s="1">
        <v>22</v>
      </c>
    </row>
    <row r="85" spans="2:26">
      <c r="B85" s="1" t="s">
        <v>64</v>
      </c>
      <c r="C85" s="1">
        <v>844</v>
      </c>
      <c r="D85" s="1">
        <f>1825-C85</f>
        <v>981</v>
      </c>
      <c r="E85" s="1">
        <f>2820-SUM(C85:D85)</f>
        <v>995</v>
      </c>
      <c r="F85" s="1">
        <f t="shared" si="28"/>
        <v>928</v>
      </c>
      <c r="G85" s="1">
        <v>1070</v>
      </c>
      <c r="H85" s="1">
        <f>2262-G85</f>
        <v>1192</v>
      </c>
      <c r="I85" s="1">
        <f>3407-SUM(G85:H85)</f>
        <v>1145</v>
      </c>
      <c r="J85" s="1">
        <f t="shared" si="29"/>
        <v>1184</v>
      </c>
      <c r="X85" s="1">
        <v>3192</v>
      </c>
      <c r="Y85" s="1">
        <v>3748</v>
      </c>
      <c r="Z85" s="1">
        <v>4591</v>
      </c>
    </row>
    <row r="86" spans="2:26">
      <c r="B86" s="1" t="s">
        <v>65</v>
      </c>
      <c r="C86" s="1">
        <v>0</v>
      </c>
      <c r="D86" s="1">
        <v>0</v>
      </c>
      <c r="E86" s="1">
        <v>0</v>
      </c>
      <c r="F86" s="1">
        <f t="shared" si="28"/>
        <v>0</v>
      </c>
      <c r="G86" s="1">
        <v>0</v>
      </c>
      <c r="H86" s="1">
        <v>0</v>
      </c>
      <c r="I86" s="1">
        <v>0</v>
      </c>
      <c r="J86" s="1">
        <f t="shared" si="29"/>
        <v>1553</v>
      </c>
      <c r="X86" s="1">
        <v>0</v>
      </c>
      <c r="Y86" s="1">
        <v>0</v>
      </c>
      <c r="Z86" s="1">
        <v>1553</v>
      </c>
    </row>
    <row r="87" spans="2:26">
      <c r="B87" s="1" t="s">
        <v>44</v>
      </c>
      <c r="C87" s="1">
        <v>108</v>
      </c>
      <c r="D87" s="1">
        <f>+-11-C87</f>
        <v>-119</v>
      </c>
      <c r="E87" s="1">
        <f>+-230-SUM(C87:D87)</f>
        <v>-219</v>
      </c>
      <c r="F87" s="1">
        <f t="shared" si="28"/>
        <v>-123</v>
      </c>
      <c r="G87" s="1">
        <v>93</v>
      </c>
      <c r="H87" s="1">
        <f>+-176-G87</f>
        <v>-269</v>
      </c>
      <c r="I87" s="1">
        <f>+-587-SUM(G87:H87)</f>
        <v>-411</v>
      </c>
      <c r="J87" s="1">
        <f t="shared" si="29"/>
        <v>-1211</v>
      </c>
      <c r="X87" s="1">
        <v>-131</v>
      </c>
      <c r="Y87" s="1">
        <v>-353</v>
      </c>
      <c r="Z87" s="1">
        <v>-1798</v>
      </c>
    </row>
    <row r="88" spans="2:26">
      <c r="B88" s="1" t="s">
        <v>45</v>
      </c>
      <c r="C88" s="1">
        <v>-158</v>
      </c>
      <c r="D88" s="1">
        <f>+-316-C88</f>
        <v>-158</v>
      </c>
      <c r="E88" s="1">
        <f>+-267-SUM(C88:D88)</f>
        <v>49</v>
      </c>
      <c r="F88" s="1">
        <f t="shared" si="28"/>
        <v>-360</v>
      </c>
      <c r="G88" s="1">
        <v>-24</v>
      </c>
      <c r="H88" s="1">
        <f>+-126-G88</f>
        <v>-102</v>
      </c>
      <c r="I88" s="1">
        <f>+-385-SUM(G88:H88)</f>
        <v>-259</v>
      </c>
      <c r="J88" s="1">
        <f t="shared" si="29"/>
        <v>-87</v>
      </c>
      <c r="X88" s="1">
        <v>-387</v>
      </c>
      <c r="Y88" s="1">
        <v>-627</v>
      </c>
      <c r="Z88" s="1">
        <v>-472</v>
      </c>
    </row>
    <row r="89" spans="2:26">
      <c r="B89" s="1" t="s">
        <v>55</v>
      </c>
      <c r="C89" s="1">
        <v>122</v>
      </c>
      <c r="D89" s="1">
        <f>149-C89</f>
        <v>27</v>
      </c>
      <c r="E89" s="1">
        <f>156-SUM(C89:D89)</f>
        <v>7</v>
      </c>
      <c r="F89" s="1">
        <f t="shared" si="28"/>
        <v>-104</v>
      </c>
      <c r="G89" s="1">
        <v>102</v>
      </c>
      <c r="H89" s="1">
        <f>72-G89</f>
        <v>-30</v>
      </c>
      <c r="I89" s="1">
        <f>104-SUM(G89:H89)</f>
        <v>32</v>
      </c>
      <c r="J89" s="1">
        <f t="shared" si="29"/>
        <v>-166</v>
      </c>
      <c r="X89" s="1">
        <v>173</v>
      </c>
      <c r="Y89" s="1">
        <v>52</v>
      </c>
      <c r="Z89" s="1">
        <v>-62</v>
      </c>
    </row>
    <row r="90" spans="2:26">
      <c r="B90" s="1" t="s">
        <v>66</v>
      </c>
      <c r="C90" s="1">
        <v>-568</v>
      </c>
      <c r="D90" s="1">
        <f>+-177-C90</f>
        <v>391</v>
      </c>
      <c r="E90" s="1">
        <f>-1876-SUM(C90:D90)</f>
        <v>-1699</v>
      </c>
      <c r="F90" s="1">
        <f t="shared" si="28"/>
        <v>725</v>
      </c>
      <c r="G90" s="1">
        <v>243</v>
      </c>
      <c r="H90" s="1">
        <f>834-G90</f>
        <v>591</v>
      </c>
      <c r="I90" s="1">
        <f>1326-SUM(G90:H90)</f>
        <v>492</v>
      </c>
      <c r="J90" s="1">
        <f t="shared" si="29"/>
        <v>-239</v>
      </c>
      <c r="X90" s="1">
        <v>11496</v>
      </c>
      <c r="Y90" s="1">
        <v>-1151</v>
      </c>
      <c r="Z90" s="1">
        <v>1087</v>
      </c>
    </row>
    <row r="91" spans="2:26">
      <c r="B91" s="1" t="s">
        <v>72</v>
      </c>
      <c r="C91" s="1">
        <v>43</v>
      </c>
      <c r="D91" s="1">
        <f>245-C91</f>
        <v>202</v>
      </c>
      <c r="E91" s="1">
        <f>122-SUM(C91:D91)</f>
        <v>-123</v>
      </c>
      <c r="F91" s="1">
        <f t="shared" si="28"/>
        <v>24</v>
      </c>
      <c r="G91" s="1">
        <v>5</v>
      </c>
      <c r="H91" s="1">
        <f>32-G91</f>
        <v>27</v>
      </c>
      <c r="I91" s="1">
        <f>443-SUM(G91:H91)</f>
        <v>411</v>
      </c>
      <c r="J91" s="1">
        <f t="shared" si="29"/>
        <v>-107</v>
      </c>
      <c r="X91" s="1">
        <v>-326</v>
      </c>
      <c r="Y91" s="1">
        <v>146</v>
      </c>
      <c r="Z91" s="1">
        <v>336</v>
      </c>
    </row>
    <row r="92" spans="2:26">
      <c r="B92" s="1" t="s">
        <v>52</v>
      </c>
      <c r="C92" s="1">
        <v>-896</v>
      </c>
      <c r="D92" s="1">
        <f>+-797-C92</f>
        <v>99</v>
      </c>
      <c r="E92" s="1">
        <f>-71-SUM(C92:D92)</f>
        <v>726</v>
      </c>
      <c r="F92" s="1">
        <f t="shared" si="28"/>
        <v>1749</v>
      </c>
      <c r="G92" s="1">
        <v>-411</v>
      </c>
      <c r="H92" s="1">
        <f>+-946-G92</f>
        <v>-535</v>
      </c>
      <c r="I92" s="1">
        <f>11-SUM(G92:H92)</f>
        <v>957</v>
      </c>
      <c r="J92" s="1">
        <f t="shared" si="29"/>
        <v>612</v>
      </c>
      <c r="X92" s="1">
        <v>-172</v>
      </c>
      <c r="Y92" s="1">
        <v>1678</v>
      </c>
      <c r="Z92" s="1">
        <v>623</v>
      </c>
    </row>
    <row r="93" spans="2:26">
      <c r="B93" s="1" t="s">
        <v>70</v>
      </c>
      <c r="C93" s="1">
        <v>1061</v>
      </c>
      <c r="D93" s="1">
        <f>+-598-C93</f>
        <v>-1659</v>
      </c>
      <c r="E93" s="1">
        <f>-1176-SUM(C93:D93)</f>
        <v>-578</v>
      </c>
      <c r="F93" s="1">
        <f t="shared" si="28"/>
        <v>840</v>
      </c>
      <c r="G93" s="1">
        <v>1380</v>
      </c>
      <c r="H93" s="1">
        <f>829-G93</f>
        <v>-551</v>
      </c>
      <c r="I93" s="1">
        <f>1485-SUM(G93:H93)</f>
        <v>656</v>
      </c>
      <c r="J93" s="1">
        <f t="shared" si="29"/>
        <v>-287</v>
      </c>
      <c r="X93" s="1">
        <v>912</v>
      </c>
      <c r="Y93" s="1">
        <v>-336</v>
      </c>
      <c r="Z93" s="1">
        <v>1198</v>
      </c>
    </row>
    <row r="94" spans="2:26">
      <c r="B94" s="1" t="s">
        <v>67</v>
      </c>
      <c r="C94" s="1">
        <v>-474</v>
      </c>
      <c r="D94" s="1">
        <f>+-155-C94</f>
        <v>319</v>
      </c>
      <c r="E94" s="1">
        <f>977-SUM(C94:D94)</f>
        <v>1132</v>
      </c>
      <c r="F94" s="1">
        <f t="shared" si="28"/>
        <v>663</v>
      </c>
      <c r="G94" s="1">
        <v>-1428</v>
      </c>
      <c r="H94" s="1">
        <f>+-85-G94</f>
        <v>1343</v>
      </c>
      <c r="I94" s="1">
        <f>1001-SUM(G94:H94)</f>
        <v>1086</v>
      </c>
      <c r="J94" s="1">
        <f t="shared" si="29"/>
        <v>-286</v>
      </c>
      <c r="X94" s="1">
        <v>1343</v>
      </c>
      <c r="Y94" s="1">
        <v>1640</v>
      </c>
      <c r="Z94" s="1">
        <v>715</v>
      </c>
    </row>
    <row r="95" spans="2:26">
      <c r="B95" s="1" t="s">
        <v>49</v>
      </c>
      <c r="C95" s="1">
        <v>-162</v>
      </c>
      <c r="D95" s="1">
        <f>+-242-C95</f>
        <v>-80</v>
      </c>
      <c r="E95" s="1">
        <f>-341-SUM(C95:D95)</f>
        <v>-99</v>
      </c>
      <c r="F95" s="1">
        <f t="shared" si="28"/>
        <v>228</v>
      </c>
      <c r="G95" s="1">
        <v>-135</v>
      </c>
      <c r="H95" s="1">
        <f>+-558-G95</f>
        <v>-423</v>
      </c>
      <c r="I95" s="1">
        <f>3-SUM(G95:H95)</f>
        <v>561</v>
      </c>
      <c r="J95" s="1">
        <f t="shared" si="29"/>
        <v>203</v>
      </c>
      <c r="X95" s="1">
        <v>-61</v>
      </c>
      <c r="Y95" s="1">
        <v>-113</v>
      </c>
      <c r="Z95" s="1">
        <v>206</v>
      </c>
    </row>
    <row r="96" spans="2:26">
      <c r="B96" s="1" t="s">
        <v>68</v>
      </c>
      <c r="C96" s="1">
        <v>567</v>
      </c>
      <c r="D96" s="1">
        <f>+-278-C96</f>
        <v>-845</v>
      </c>
      <c r="E96" s="1">
        <f>26-SUM(C96:D96)</f>
        <v>304</v>
      </c>
      <c r="F96" s="1">
        <f t="shared" si="28"/>
        <v>39</v>
      </c>
      <c r="G96" s="1">
        <v>-22</v>
      </c>
      <c r="H96" s="1">
        <f>+-12-G96</f>
        <v>10</v>
      </c>
      <c r="I96" s="1">
        <f>+-23-SUM(G96:H96)</f>
        <v>-11</v>
      </c>
      <c r="J96" s="1">
        <f t="shared" si="29"/>
        <v>25</v>
      </c>
      <c r="X96" s="1">
        <v>14</v>
      </c>
      <c r="Y96" s="1">
        <v>65</v>
      </c>
      <c r="Z96" s="1">
        <v>2</v>
      </c>
    </row>
    <row r="97" spans="2:26">
      <c r="B97" s="1" t="s">
        <v>69</v>
      </c>
      <c r="C97" s="1">
        <v>-181</v>
      </c>
      <c r="D97" s="1">
        <f>+-17-C97</f>
        <v>164</v>
      </c>
      <c r="E97" s="1">
        <f>149-SUM(C97:D97)</f>
        <v>166</v>
      </c>
      <c r="F97" s="1">
        <f t="shared" si="28"/>
        <v>186</v>
      </c>
      <c r="G97" s="1">
        <v>-4</v>
      </c>
      <c r="H97" s="1">
        <f>+-216-G97</f>
        <v>-212</v>
      </c>
      <c r="I97" s="1">
        <f>+-20-SUM(G97:H97)</f>
        <v>196</v>
      </c>
      <c r="J97" s="1">
        <f t="shared" si="29"/>
        <v>334</v>
      </c>
      <c r="X97" s="1">
        <v>371</v>
      </c>
      <c r="Y97" s="1">
        <v>335</v>
      </c>
      <c r="Z97" s="1">
        <v>314</v>
      </c>
    </row>
    <row r="98" spans="2:26" s="4" customFormat="1">
      <c r="B98" s="4" t="s">
        <v>73</v>
      </c>
      <c r="C98" s="4">
        <f t="shared" ref="C98:J98" si="30">SUM(C80:C97)</f>
        <v>529</v>
      </c>
      <c r="D98" s="4">
        <f t="shared" si="30"/>
        <v>1148</v>
      </c>
      <c r="E98" s="4">
        <f t="shared" si="30"/>
        <v>5386</v>
      </c>
      <c r="F98" s="4">
        <f t="shared" si="30"/>
        <v>11001</v>
      </c>
      <c r="G98" s="4">
        <f t="shared" si="30"/>
        <v>2428</v>
      </c>
      <c r="H98" s="4">
        <f t="shared" si="30"/>
        <v>3790</v>
      </c>
      <c r="I98" s="4">
        <f t="shared" si="30"/>
        <v>8725</v>
      </c>
      <c r="J98" s="4">
        <f t="shared" si="30"/>
        <v>669</v>
      </c>
      <c r="X98" s="4">
        <f>SUM(X80:X97)</f>
        <v>23694</v>
      </c>
      <c r="Y98" s="4">
        <f>SUM(Y80:Y97)</f>
        <v>18064</v>
      </c>
      <c r="Z98" s="4">
        <f>SUM(Z80:Z97)</f>
        <v>15612</v>
      </c>
    </row>
    <row r="100" spans="2:26">
      <c r="B100" s="1" t="s">
        <v>74</v>
      </c>
      <c r="C100" s="1">
        <v>-8344</v>
      </c>
      <c r="D100" s="1">
        <f>+-14302-C100</f>
        <v>-5958</v>
      </c>
      <c r="E100" s="1">
        <f>+-27215-SUM(C100:D100)</f>
        <v>-12913</v>
      </c>
      <c r="F100" s="1">
        <f t="shared" ref="F100:F104" si="31">+Y100-SUM(C100:E100)</f>
        <v>-11853</v>
      </c>
      <c r="G100" s="1">
        <v>-9395</v>
      </c>
      <c r="H100" s="1">
        <f>+-22845-G100</f>
        <v>-13450</v>
      </c>
      <c r="I100" s="1">
        <f>+-33977-SUM(G100:H100)</f>
        <v>-11132</v>
      </c>
      <c r="J100" s="1">
        <f t="shared" ref="J100:J104" si="32">+Z100-SUM(G100:I100)</f>
        <v>-10274</v>
      </c>
      <c r="X100" s="1">
        <v>-26766</v>
      </c>
      <c r="Y100" s="1">
        <v>-39068</v>
      </c>
      <c r="Z100" s="1">
        <v>-44251</v>
      </c>
    </row>
    <row r="101" spans="2:26">
      <c r="B101" s="1" t="s">
        <v>75</v>
      </c>
      <c r="C101" s="1">
        <v>-95</v>
      </c>
      <c r="D101" s="1">
        <f>+-275-C101</f>
        <v>-180</v>
      </c>
      <c r="E101" s="1">
        <f>+-320-SUM(C101:D101)</f>
        <v>-45</v>
      </c>
      <c r="F101" s="1">
        <f t="shared" si="31"/>
        <v>-230</v>
      </c>
      <c r="G101" s="1">
        <v>-45</v>
      </c>
      <c r="H101" s="1">
        <f>+-174-G101</f>
        <v>-129</v>
      </c>
      <c r="I101" s="1">
        <f>+-309-SUM(G101:H101)</f>
        <v>-135</v>
      </c>
      <c r="J101" s="1">
        <f t="shared" si="32"/>
        <v>-123</v>
      </c>
      <c r="X101" s="1">
        <v>-510</v>
      </c>
      <c r="Y101" s="1">
        <v>-550</v>
      </c>
      <c r="Z101" s="1">
        <v>-432</v>
      </c>
    </row>
    <row r="102" spans="2:26">
      <c r="B102" s="1" t="s">
        <v>76</v>
      </c>
      <c r="C102" s="1">
        <v>-811</v>
      </c>
      <c r="D102" s="1">
        <f>+-831-C102</f>
        <v>-20</v>
      </c>
      <c r="E102" s="1">
        <f>+-947-SUM(C102:D102)</f>
        <v>-116</v>
      </c>
      <c r="F102" s="1">
        <f t="shared" si="31"/>
        <v>-796</v>
      </c>
      <c r="G102" s="1">
        <v>-79</v>
      </c>
      <c r="H102" s="1">
        <f>+-120-G102</f>
        <v>-41</v>
      </c>
      <c r="I102" s="1">
        <f>+-219-SUM(G102:H102)</f>
        <v>-99</v>
      </c>
      <c r="J102" s="1">
        <f t="shared" si="32"/>
        <v>-56</v>
      </c>
      <c r="X102" s="1">
        <v>-896</v>
      </c>
      <c r="Y102" s="1">
        <v>-1743</v>
      </c>
      <c r="Z102" s="1">
        <v>-275</v>
      </c>
    </row>
    <row r="103" spans="2:26">
      <c r="B103" s="1" t="s">
        <v>77</v>
      </c>
      <c r="D103" s="1">
        <v>0</v>
      </c>
      <c r="E103" s="1">
        <f>+-8749-SUM(C103:D103)</f>
        <v>-8749</v>
      </c>
      <c r="F103" s="1">
        <f t="shared" si="31"/>
        <v>-543</v>
      </c>
      <c r="G103" s="1">
        <v>-3000</v>
      </c>
      <c r="H103" s="1">
        <f>+-3500-G103</f>
        <v>-500</v>
      </c>
      <c r="I103" s="1">
        <f>+-3251-SUM(G103:H103)</f>
        <v>249</v>
      </c>
      <c r="J103" s="1">
        <f t="shared" si="32"/>
        <v>-250</v>
      </c>
      <c r="X103" s="1">
        <v>0</v>
      </c>
      <c r="Y103" s="1">
        <v>-9292</v>
      </c>
      <c r="Z103" s="1">
        <v>-3501</v>
      </c>
    </row>
    <row r="104" spans="2:26">
      <c r="B104" s="1" t="s">
        <v>78</v>
      </c>
      <c r="D104" s="1">
        <v>0</v>
      </c>
      <c r="E104" s="1">
        <f>0-SUM(C104:D104)</f>
        <v>0</v>
      </c>
      <c r="F104" s="1">
        <f t="shared" si="31"/>
        <v>750</v>
      </c>
      <c r="G104" s="1">
        <v>4499</v>
      </c>
      <c r="H104" s="1">
        <f>5999-G104</f>
        <v>1500</v>
      </c>
      <c r="I104" s="1">
        <f>10499-SUM(G104:H104)</f>
        <v>4500</v>
      </c>
      <c r="J104" s="1">
        <f t="shared" si="32"/>
        <v>1500</v>
      </c>
      <c r="X104" s="1">
        <v>0</v>
      </c>
      <c r="Y104" s="1">
        <v>750</v>
      </c>
      <c r="Z104" s="1">
        <v>11999</v>
      </c>
    </row>
    <row r="105" spans="2:26" s="4" customFormat="1">
      <c r="B105" s="4" t="s">
        <v>79</v>
      </c>
      <c r="C105" s="4">
        <f t="shared" ref="C105:J105" si="33">+SUM(C100:C104)</f>
        <v>-9250</v>
      </c>
      <c r="D105" s="4">
        <f t="shared" si="33"/>
        <v>-6158</v>
      </c>
      <c r="E105" s="4">
        <f t="shared" si="33"/>
        <v>-21823</v>
      </c>
      <c r="F105" s="4">
        <f t="shared" si="33"/>
        <v>-12672</v>
      </c>
      <c r="G105" s="4">
        <f t="shared" si="33"/>
        <v>-8020</v>
      </c>
      <c r="H105" s="4">
        <f t="shared" si="33"/>
        <v>-12620</v>
      </c>
      <c r="I105" s="4">
        <f t="shared" si="33"/>
        <v>-6617</v>
      </c>
      <c r="J105" s="4">
        <f t="shared" si="33"/>
        <v>-9203</v>
      </c>
      <c r="X105" s="4">
        <f>SUM(X100:X104)</f>
        <v>-28172</v>
      </c>
      <c r="Y105" s="4">
        <f>SUM(Y100:Y104)</f>
        <v>-49903</v>
      </c>
      <c r="Z105" s="4">
        <f>SUM(Z100:Z104)</f>
        <v>-36460</v>
      </c>
    </row>
    <row r="107" spans="2:26">
      <c r="B107" s="1" t="s">
        <v>80</v>
      </c>
      <c r="C107" s="1">
        <f>+-178</f>
        <v>-178</v>
      </c>
      <c r="D107" s="1">
        <f>+-341-C107</f>
        <v>-163</v>
      </c>
      <c r="E107" s="1">
        <f>+-446-SUM(C107:D107)</f>
        <v>-105</v>
      </c>
      <c r="F107" s="1">
        <f t="shared" ref="F107:F111" si="34">+Y107-SUM(C107:E107)</f>
        <v>-52</v>
      </c>
      <c r="G107" s="1">
        <v>-54</v>
      </c>
      <c r="H107" s="1">
        <f>+-44-G107</f>
        <v>10</v>
      </c>
      <c r="I107" s="1">
        <f>+-60-SUM(G107:H107)</f>
        <v>-16</v>
      </c>
      <c r="J107" s="1">
        <f t="shared" ref="J107:J111" si="35">+Z107-SUM(G107:I107)</f>
        <v>-15</v>
      </c>
      <c r="X107" s="1">
        <v>-975</v>
      </c>
      <c r="Y107" s="1">
        <v>-498</v>
      </c>
      <c r="Z107" s="1">
        <v>-75</v>
      </c>
    </row>
    <row r="108" spans="2:26">
      <c r="B108" s="1" t="s">
        <v>81</v>
      </c>
      <c r="D108" s="1">
        <v>0</v>
      </c>
      <c r="E108" s="1">
        <f>0-SUM(C108:D108)</f>
        <v>0</v>
      </c>
      <c r="F108" s="1">
        <f t="shared" si="34"/>
        <v>0</v>
      </c>
      <c r="G108" s="1">
        <v>0</v>
      </c>
      <c r="H108" s="1">
        <f>+-368-G108</f>
        <v>-368</v>
      </c>
      <c r="I108" s="1">
        <f>+-217-SUM(G108:H108)</f>
        <v>151</v>
      </c>
      <c r="J108" s="1">
        <f t="shared" si="35"/>
        <v>-63</v>
      </c>
      <c r="X108" s="1">
        <v>-154</v>
      </c>
      <c r="Y108" s="1">
        <v>0</v>
      </c>
      <c r="Z108" s="1">
        <v>-280</v>
      </c>
    </row>
    <row r="109" spans="2:26">
      <c r="B109" s="1" t="s">
        <v>82</v>
      </c>
      <c r="C109" s="1">
        <v>51</v>
      </c>
      <c r="D109" s="1">
        <f>584-C109</f>
        <v>533</v>
      </c>
      <c r="E109" s="1">
        <f>1007-SUM(C109:D109)</f>
        <v>423</v>
      </c>
      <c r="F109" s="1">
        <f t="shared" si="34"/>
        <v>950</v>
      </c>
      <c r="G109" s="1">
        <v>110</v>
      </c>
      <c r="H109" s="1">
        <f>1905-G109</f>
        <v>1795</v>
      </c>
      <c r="I109" s="1">
        <f>2299-SUM(G109:H109)</f>
        <v>394</v>
      </c>
      <c r="J109" s="1">
        <f t="shared" si="35"/>
        <v>193</v>
      </c>
      <c r="X109" s="1">
        <v>959</v>
      </c>
      <c r="Y109" s="1">
        <v>1957</v>
      </c>
      <c r="Z109" s="1">
        <v>2492</v>
      </c>
    </row>
    <row r="110" spans="2:26">
      <c r="B110" s="1" t="s">
        <v>85</v>
      </c>
      <c r="D110" s="1">
        <v>0</v>
      </c>
      <c r="E110" s="11">
        <f>64895-SUM(C110:D110)</f>
        <v>64895</v>
      </c>
      <c r="F110" s="1">
        <f t="shared" si="34"/>
        <v>0</v>
      </c>
      <c r="H110" s="1">
        <v>0</v>
      </c>
      <c r="I110" s="1">
        <v>0</v>
      </c>
      <c r="J110" s="1">
        <f t="shared" si="35"/>
        <v>0</v>
      </c>
      <c r="X110" s="1">
        <v>0</v>
      </c>
      <c r="Y110" s="1">
        <v>64895</v>
      </c>
      <c r="Z110" s="1">
        <v>0</v>
      </c>
    </row>
    <row r="111" spans="2:26" s="12" customFormat="1">
      <c r="B111" s="12" t="s">
        <v>83</v>
      </c>
      <c r="D111" s="12">
        <v>0</v>
      </c>
      <c r="E111" s="12">
        <f>+-596-SUM(C111:D111)</f>
        <v>-596</v>
      </c>
      <c r="F111" s="1">
        <f t="shared" si="34"/>
        <v>-4</v>
      </c>
      <c r="H111" s="12">
        <v>0</v>
      </c>
      <c r="I111" s="12">
        <v>0</v>
      </c>
      <c r="J111" s="1">
        <f t="shared" si="35"/>
        <v>0</v>
      </c>
      <c r="X111" s="12">
        <v>0</v>
      </c>
      <c r="Y111" s="12">
        <v>-600</v>
      </c>
      <c r="Z111" s="12">
        <v>0</v>
      </c>
    </row>
    <row r="112" spans="2:26" s="4" customFormat="1">
      <c r="B112" s="4" t="s">
        <v>84</v>
      </c>
      <c r="C112" s="4">
        <f t="shared" ref="C112:J112" si="36">+SUM(C107:C111)</f>
        <v>-127</v>
      </c>
      <c r="D112" s="4">
        <f t="shared" si="36"/>
        <v>370</v>
      </c>
      <c r="E112" s="4">
        <f t="shared" si="36"/>
        <v>64617</v>
      </c>
      <c r="F112" s="4">
        <f t="shared" si="36"/>
        <v>894</v>
      </c>
      <c r="G112" s="4">
        <f t="shared" si="36"/>
        <v>56</v>
      </c>
      <c r="H112" s="4">
        <f t="shared" si="36"/>
        <v>1437</v>
      </c>
      <c r="I112" s="4">
        <f t="shared" si="36"/>
        <v>529</v>
      </c>
      <c r="J112" s="4">
        <f t="shared" si="36"/>
        <v>115</v>
      </c>
      <c r="X112" s="4">
        <f>+SUM(X107:X111)</f>
        <v>-170</v>
      </c>
      <c r="Y112" s="4">
        <f>+SUM(Y107:Y111)</f>
        <v>65754</v>
      </c>
      <c r="Z112" s="4">
        <f>+SUM(Z107:Z111)</f>
        <v>2137</v>
      </c>
    </row>
    <row r="114" spans="2:26">
      <c r="B114" s="1" t="s">
        <v>86</v>
      </c>
      <c r="C114" s="1">
        <f t="shared" ref="C114:J114" si="37">SUM(C98,C105,C112)</f>
        <v>-8848</v>
      </c>
      <c r="D114" s="1">
        <f t="shared" si="37"/>
        <v>-4640</v>
      </c>
      <c r="E114" s="1">
        <f t="shared" si="37"/>
        <v>48180</v>
      </c>
      <c r="F114" s="1">
        <f t="shared" si="37"/>
        <v>-777</v>
      </c>
      <c r="G114" s="1">
        <f t="shared" si="37"/>
        <v>-5536</v>
      </c>
      <c r="H114" s="1">
        <f t="shared" si="37"/>
        <v>-7393</v>
      </c>
      <c r="I114" s="1">
        <f t="shared" si="37"/>
        <v>2637</v>
      </c>
      <c r="J114" s="1">
        <f t="shared" si="37"/>
        <v>-8419</v>
      </c>
      <c r="X114" s="1">
        <f>+X98+X105+X112</f>
        <v>-4648</v>
      </c>
      <c r="Y114" s="1">
        <f>+Y98+Y105+Y112</f>
        <v>33915</v>
      </c>
      <c r="Z114" s="1">
        <f>+Z98+Z105+Z112</f>
        <v>-18711</v>
      </c>
    </row>
    <row r="115" spans="2:26">
      <c r="B115" s="1" t="s">
        <v>87</v>
      </c>
      <c r="C115" s="1">
        <v>35782</v>
      </c>
      <c r="D115" s="1">
        <f>+C116</f>
        <v>26934</v>
      </c>
      <c r="E115" s="1">
        <f>+D116</f>
        <v>22294</v>
      </c>
      <c r="F115" s="1">
        <f>+E116</f>
        <v>70474</v>
      </c>
      <c r="G115" s="1">
        <v>69697</v>
      </c>
      <c r="H115" s="1">
        <f>+G116</f>
        <v>64161</v>
      </c>
      <c r="I115" s="1">
        <f>+H116</f>
        <v>56768</v>
      </c>
      <c r="J115" s="1">
        <f>+I116</f>
        <v>59405</v>
      </c>
      <c r="X115" s="1">
        <v>40430</v>
      </c>
      <c r="Y115" s="1">
        <v>35782</v>
      </c>
      <c r="Z115" s="1">
        <v>69697</v>
      </c>
    </row>
    <row r="116" spans="2:26">
      <c r="B116" s="1" t="s">
        <v>88</v>
      </c>
      <c r="C116" s="1">
        <f t="shared" ref="C116:J116" si="38">+SUM(C114:C115)</f>
        <v>26934</v>
      </c>
      <c r="D116" s="1">
        <f t="shared" si="38"/>
        <v>22294</v>
      </c>
      <c r="E116" s="1">
        <f t="shared" si="38"/>
        <v>70474</v>
      </c>
      <c r="F116" s="1">
        <f t="shared" si="38"/>
        <v>69697</v>
      </c>
      <c r="G116" s="1">
        <f t="shared" si="38"/>
        <v>64161</v>
      </c>
      <c r="H116" s="1">
        <f t="shared" si="38"/>
        <v>56768</v>
      </c>
      <c r="I116" s="1">
        <f t="shared" si="38"/>
        <v>59405</v>
      </c>
      <c r="J116" s="1">
        <f t="shared" si="38"/>
        <v>50986</v>
      </c>
      <c r="X116" s="1">
        <f>+SUM(X114:X115)</f>
        <v>35782</v>
      </c>
      <c r="Y116" s="1">
        <f>+SUM(Y114:Y115)</f>
        <v>69697</v>
      </c>
      <c r="Z116" s="1">
        <f>+SUM(Z114:Z115)</f>
        <v>50986</v>
      </c>
    </row>
    <row r="119" spans="2:26">
      <c r="B119" s="1" t="s">
        <v>90</v>
      </c>
      <c r="C119" s="1">
        <f>+C98+C100</f>
        <v>-7815</v>
      </c>
      <c r="D119" s="1">
        <f t="shared" ref="D119:J119" si="39">+D98+D100</f>
        <v>-4810</v>
      </c>
      <c r="E119" s="1">
        <f t="shared" si="39"/>
        <v>-7527</v>
      </c>
      <c r="F119" s="1">
        <f t="shared" si="39"/>
        <v>-852</v>
      </c>
      <c r="G119" s="1">
        <f t="shared" si="39"/>
        <v>-6967</v>
      </c>
      <c r="H119" s="1">
        <f t="shared" si="39"/>
        <v>-9660</v>
      </c>
      <c r="I119" s="1">
        <f t="shared" si="39"/>
        <v>-2407</v>
      </c>
      <c r="J119" s="1">
        <f t="shared" si="39"/>
        <v>-9605</v>
      </c>
    </row>
  </sheetData>
  <pageMargins left="0.7" right="0.7" top="0.75" bottom="0.75" header="0.3" footer="0.3"/>
  <ignoredErrors>
    <ignoredError sqref="D18:F19 J25 D21:F26 D20:E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27C5-4DD7-AB48-8192-2C5FDC675338}">
  <dimension ref="B2:L29"/>
  <sheetViews>
    <sheetView zoomScale="263" workbookViewId="0">
      <selection activeCell="C12" sqref="C12"/>
    </sheetView>
  </sheetViews>
  <sheetFormatPr baseColWidth="10" defaultRowHeight="13"/>
  <cols>
    <col min="1" max="1" width="3.33203125" style="1" customWidth="1"/>
    <col min="2" max="2" width="5.33203125" style="1" bestFit="1" customWidth="1"/>
    <col min="3" max="4" width="10.83203125" style="1"/>
    <col min="5" max="5" width="3.6640625" style="1" bestFit="1" customWidth="1"/>
    <col min="6" max="6" width="5.6640625" style="1" bestFit="1" customWidth="1"/>
    <col min="7" max="7" width="5.5" style="1" bestFit="1" customWidth="1"/>
    <col min="8" max="16384" width="10.83203125" style="1"/>
  </cols>
  <sheetData>
    <row r="2" spans="2:12">
      <c r="B2" s="1" t="s">
        <v>12</v>
      </c>
      <c r="C2" s="1" t="s">
        <v>14</v>
      </c>
    </row>
    <row r="3" spans="2:12">
      <c r="B3" s="1" t="s">
        <v>13</v>
      </c>
      <c r="C3" s="1" t="s">
        <v>15</v>
      </c>
    </row>
    <row r="4" spans="2:12">
      <c r="J4" s="1" t="s">
        <v>6</v>
      </c>
      <c r="K4" s="1">
        <v>92.4</v>
      </c>
    </row>
    <row r="5" spans="2:12">
      <c r="J5" s="1" t="s">
        <v>7</v>
      </c>
      <c r="K5" s="1">
        <v>10.255998</v>
      </c>
      <c r="L5" s="1" t="s">
        <v>3</v>
      </c>
    </row>
    <row r="6" spans="2:12">
      <c r="J6" s="1" t="s">
        <v>8</v>
      </c>
      <c r="K6" s="1">
        <f>+K4*K5</f>
        <v>947.65421520000007</v>
      </c>
    </row>
    <row r="7" spans="2:12">
      <c r="J7" s="1" t="s">
        <v>9</v>
      </c>
      <c r="K7" s="1">
        <f>50.986+0</f>
        <v>50.985999999999997</v>
      </c>
      <c r="L7" s="1" t="str">
        <f>+L5</f>
        <v>Q424</v>
      </c>
    </row>
    <row r="8" spans="2:12">
      <c r="J8" s="1" t="s">
        <v>10</v>
      </c>
      <c r="K8" s="1">
        <v>0</v>
      </c>
      <c r="L8" s="1" t="str">
        <f>+L7</f>
        <v>Q424</v>
      </c>
    </row>
    <row r="9" spans="2:12">
      <c r="J9" s="1" t="s">
        <v>11</v>
      </c>
      <c r="K9" s="1">
        <f>+K6-K7+K8</f>
        <v>896.66821520000008</v>
      </c>
    </row>
    <row r="10" spans="2:12">
      <c r="C10" s="17" t="s">
        <v>102</v>
      </c>
      <c r="D10" s="17"/>
      <c r="E10" s="1" t="s">
        <v>93</v>
      </c>
    </row>
    <row r="11" spans="2:12">
      <c r="C11" s="19" t="s">
        <v>103</v>
      </c>
      <c r="E11" s="14" t="s">
        <v>89</v>
      </c>
      <c r="F11" s="1" t="s">
        <v>95</v>
      </c>
    </row>
    <row r="12" spans="2:12">
      <c r="C12" s="18"/>
    </row>
    <row r="13" spans="2:12">
      <c r="C13" s="18"/>
    </row>
    <row r="14" spans="2:12">
      <c r="C14" s="18"/>
    </row>
    <row r="15" spans="2:12">
      <c r="C15" s="18"/>
    </row>
    <row r="16" spans="2:12">
      <c r="C16" s="18"/>
    </row>
    <row r="17" spans="3:3">
      <c r="C17" s="18"/>
    </row>
    <row r="18" spans="3:3">
      <c r="C18" s="18"/>
    </row>
    <row r="19" spans="3:3">
      <c r="C19" s="18"/>
    </row>
    <row r="20" spans="3:3">
      <c r="C20" s="18"/>
    </row>
    <row r="21" spans="3:3">
      <c r="C21" s="18"/>
    </row>
    <row r="22" spans="3:3">
      <c r="C22" s="18"/>
    </row>
    <row r="23" spans="3:3">
      <c r="C23" s="18"/>
    </row>
    <row r="24" spans="3:3">
      <c r="C24" s="18"/>
    </row>
    <row r="25" spans="3:3">
      <c r="C25" s="18"/>
    </row>
    <row r="26" spans="3:3">
      <c r="C26" s="18"/>
    </row>
    <row r="27" spans="3:3">
      <c r="C27" s="18"/>
    </row>
    <row r="28" spans="3:3">
      <c r="C28" s="18"/>
    </row>
    <row r="29" spans="3:3">
      <c r="C29" s="18"/>
    </row>
  </sheetData>
  <hyperlinks>
    <hyperlink ref="E11" r:id="rId1" xr:uid="{57CF82E8-17B2-2D4F-9E63-D81DE0CA4EC3}"/>
    <hyperlink ref="C11" r:id="rId2" display="https://ir.kurausa.com/news-releases/news-release-details/kura-sushi-usa-announces-closing-680-million-public-offering" xr:uid="{3E7D57C2-EC5A-3D46-83F5-0B733723AB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2024-06-19T22:44:04Z</dcterms:created>
  <dcterms:modified xsi:type="dcterms:W3CDTF">2024-11-15T03:48:04Z</dcterms:modified>
</cp:coreProperties>
</file>