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5C416F1-0947-1441-A9C4-69E94C1AAE24}" xr6:coauthVersionLast="47" xr6:coauthVersionMax="47" xr10:uidLastSave="{00000000-0000-0000-0000-000000000000}"/>
  <bookViews>
    <workbookView xWindow="65240" yWindow="500" windowWidth="35320" windowHeight="28020" activeTab="2" xr2:uid="{C19AB2D7-219A-0F41-AFC1-A17790D06E24}"/>
  </bookViews>
  <sheets>
    <sheet name="main" sheetId="1" r:id="rId1"/>
    <sheet name="investors" sheetId="4" r:id="rId2"/>
    <sheet name="model" sheetId="2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AL58" i="2"/>
  <c r="AL57" i="2"/>
  <c r="AL56" i="2"/>
  <c r="N87" i="2"/>
  <c r="N85" i="2"/>
  <c r="N84" i="2"/>
  <c r="N82" i="2"/>
  <c r="N81" i="2"/>
  <c r="N69" i="2"/>
  <c r="N71" i="2" s="1"/>
  <c r="N56" i="2"/>
  <c r="N45" i="2"/>
  <c r="N38" i="2"/>
  <c r="N39" i="2"/>
  <c r="N36" i="2"/>
  <c r="N34" i="2"/>
  <c r="N32" i="2"/>
  <c r="N31" i="2"/>
  <c r="N30" i="2"/>
  <c r="N29" i="2"/>
  <c r="N28" i="2"/>
  <c r="N27" i="2"/>
  <c r="N26" i="2"/>
  <c r="N25" i="2"/>
  <c r="N24" i="2"/>
  <c r="N23" i="2"/>
  <c r="N22" i="2"/>
  <c r="N16" i="2" s="1"/>
  <c r="Z37" i="2"/>
  <c r="Z35" i="2"/>
  <c r="Z39" i="2"/>
  <c r="Z33" i="2"/>
  <c r="Z26" i="2"/>
  <c r="Z14" i="2"/>
  <c r="Z13" i="2"/>
  <c r="Z12" i="2"/>
  <c r="Z11" i="2"/>
  <c r="Z10" i="2"/>
  <c r="Z9" i="2"/>
  <c r="Z8" i="2"/>
  <c r="Z7" i="2"/>
  <c r="Z6" i="2"/>
  <c r="Z5" i="2"/>
  <c r="Z4" i="2"/>
  <c r="N19" i="2"/>
  <c r="N18" i="2"/>
  <c r="N17" i="2"/>
  <c r="N14" i="2"/>
  <c r="I15" i="1"/>
  <c r="Y25" i="2"/>
  <c r="Y24" i="2"/>
  <c r="Y23" i="2"/>
  <c r="Y22" i="2"/>
  <c r="M43" i="2"/>
  <c r="L43" i="2"/>
  <c r="K43" i="2"/>
  <c r="J43" i="2"/>
  <c r="I43" i="2"/>
  <c r="H43" i="2"/>
  <c r="G43" i="2"/>
  <c r="F43" i="2"/>
  <c r="E43" i="2"/>
  <c r="D43" i="2"/>
  <c r="J80" i="2"/>
  <c r="J79" i="2"/>
  <c r="J81" i="2" s="1"/>
  <c r="G81" i="2"/>
  <c r="H80" i="2"/>
  <c r="I80" i="2" s="1"/>
  <c r="H79" i="2"/>
  <c r="L80" i="2"/>
  <c r="M80" i="2" s="1"/>
  <c r="L79" i="2"/>
  <c r="L81" i="2" s="1"/>
  <c r="K81" i="2"/>
  <c r="I79" i="2"/>
  <c r="J45" i="2"/>
  <c r="K45" i="2"/>
  <c r="L45" i="2"/>
  <c r="AL48" i="2"/>
  <c r="M45" i="2"/>
  <c r="K69" i="2"/>
  <c r="K71" i="2" s="1"/>
  <c r="K56" i="2"/>
  <c r="L71" i="2"/>
  <c r="L69" i="2"/>
  <c r="L56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C26" i="2"/>
  <c r="C33" i="2" s="1"/>
  <c r="C35" i="2" s="1"/>
  <c r="C37" i="2" s="1"/>
  <c r="C39" i="2" s="1"/>
  <c r="D26" i="2"/>
  <c r="E26" i="2"/>
  <c r="F26" i="2"/>
  <c r="J26" i="2"/>
  <c r="G26" i="2"/>
  <c r="G33" i="2" s="1"/>
  <c r="G35" i="2" s="1"/>
  <c r="G37" i="2" s="1"/>
  <c r="H26" i="2"/>
  <c r="K26" i="2"/>
  <c r="L26" i="2"/>
  <c r="L33" i="2" s="1"/>
  <c r="L35" i="2" s="1"/>
  <c r="L37" i="2" s="1"/>
  <c r="L39" i="2" s="1"/>
  <c r="J69" i="2"/>
  <c r="J71" i="2" s="1"/>
  <c r="J56" i="2"/>
  <c r="M69" i="2"/>
  <c r="M71" i="2" s="1"/>
  <c r="M56" i="2"/>
  <c r="M18" i="2"/>
  <c r="M17" i="2"/>
  <c r="M16" i="2"/>
  <c r="I26" i="2"/>
  <c r="M26" i="2"/>
  <c r="M42" i="2" s="1"/>
  <c r="AL52" i="2"/>
  <c r="AL50" i="2"/>
  <c r="AK1" i="2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U14" i="2"/>
  <c r="U16" i="2" s="1"/>
  <c r="W42" i="2"/>
  <c r="V34" i="2"/>
  <c r="V33" i="2"/>
  <c r="V14" i="2"/>
  <c r="V16" i="2" s="1"/>
  <c r="W14" i="2"/>
  <c r="W16" i="2" s="1"/>
  <c r="X14" i="2"/>
  <c r="X16" i="2" s="1"/>
  <c r="Y13" i="2"/>
  <c r="Y12" i="2"/>
  <c r="Y11" i="2"/>
  <c r="Y10" i="2"/>
  <c r="Y9" i="2"/>
  <c r="Y8" i="2"/>
  <c r="Y7" i="2"/>
  <c r="Y6" i="2"/>
  <c r="Y5" i="2"/>
  <c r="Y4" i="2"/>
  <c r="K14" i="2"/>
  <c r="K16" i="2" s="1"/>
  <c r="H14" i="2"/>
  <c r="H16" i="2" s="1"/>
  <c r="L14" i="2"/>
  <c r="I14" i="2"/>
  <c r="I16" i="2" s="1"/>
  <c r="J14" i="2"/>
  <c r="M14" i="2"/>
  <c r="J2" i="2"/>
  <c r="F2" i="2"/>
  <c r="F36" i="2"/>
  <c r="F34" i="2"/>
  <c r="F32" i="2"/>
  <c r="F31" i="2"/>
  <c r="F30" i="2"/>
  <c r="F29" i="2"/>
  <c r="F28" i="2"/>
  <c r="F27" i="2"/>
  <c r="J36" i="2"/>
  <c r="J34" i="2"/>
  <c r="J32" i="2"/>
  <c r="J31" i="2"/>
  <c r="J30" i="2"/>
  <c r="J29" i="2"/>
  <c r="J28" i="2"/>
  <c r="J27" i="2"/>
  <c r="X42" i="2"/>
  <c r="Y42" i="2"/>
  <c r="Y33" i="2"/>
  <c r="Y35" i="2" s="1"/>
  <c r="Y37" i="2" s="1"/>
  <c r="X33" i="2"/>
  <c r="X35" i="2" s="1"/>
  <c r="X37" i="2" s="1"/>
  <c r="X39" i="2" s="1"/>
  <c r="W34" i="2"/>
  <c r="W33" i="2"/>
  <c r="H33" i="2"/>
  <c r="H35" i="2" s="1"/>
  <c r="H37" i="2" s="1"/>
  <c r="H39" i="2" s="1"/>
  <c r="I33" i="2"/>
  <c r="I35" i="2" s="1"/>
  <c r="I37" i="2" s="1"/>
  <c r="I39" i="2" s="1"/>
  <c r="M33" i="2"/>
  <c r="M35" i="2" s="1"/>
  <c r="M37" i="2" s="1"/>
  <c r="M39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J14" i="1"/>
  <c r="J15" i="1" s="1"/>
  <c r="I13" i="1"/>
  <c r="AA14" i="2" l="1"/>
  <c r="I16" i="1"/>
  <c r="G39" i="2"/>
  <c r="G82" i="2"/>
  <c r="M19" i="2"/>
  <c r="H82" i="2"/>
  <c r="I82" i="2"/>
  <c r="M82" i="2"/>
  <c r="C82" i="2"/>
  <c r="I42" i="2"/>
  <c r="K19" i="2"/>
  <c r="L82" i="2"/>
  <c r="L19" i="2"/>
  <c r="H42" i="2"/>
  <c r="M79" i="2"/>
  <c r="M81" i="2" s="1"/>
  <c r="M84" i="2" s="1"/>
  <c r="H81" i="2"/>
  <c r="K84" i="2" s="1"/>
  <c r="I81" i="2"/>
  <c r="L84" i="2" s="1"/>
  <c r="D33" i="2"/>
  <c r="D35" i="2" s="1"/>
  <c r="D37" i="2" s="1"/>
  <c r="E33" i="2"/>
  <c r="E35" i="2" s="1"/>
  <c r="E37" i="2" s="1"/>
  <c r="K42" i="2"/>
  <c r="K33" i="2"/>
  <c r="K35" i="2" s="1"/>
  <c r="K37" i="2" s="1"/>
  <c r="L16" i="2"/>
  <c r="L42" i="2"/>
  <c r="J16" i="2"/>
  <c r="Y14" i="2"/>
  <c r="Y16" i="2" s="1"/>
  <c r="V35" i="2"/>
  <c r="V37" i="2" s="1"/>
  <c r="V39" i="2" s="1"/>
  <c r="F33" i="2"/>
  <c r="F35" i="2" s="1"/>
  <c r="F37" i="2" s="1"/>
  <c r="F82" i="2" s="1"/>
  <c r="J33" i="2"/>
  <c r="J35" i="2" s="1"/>
  <c r="J37" i="2" s="1"/>
  <c r="J82" i="2" s="1"/>
  <c r="J42" i="2"/>
  <c r="Y39" i="2"/>
  <c r="J39" i="2" s="1"/>
  <c r="W35" i="2"/>
  <c r="K85" i="2" l="1"/>
  <c r="K87" i="2" s="1"/>
  <c r="D39" i="2"/>
  <c r="D82" i="2"/>
  <c r="J85" i="2"/>
  <c r="L85" i="2"/>
  <c r="L87" i="2" s="1"/>
  <c r="M85" i="2"/>
  <c r="M87" i="2" s="1"/>
  <c r="K39" i="2"/>
  <c r="K82" i="2"/>
  <c r="E39" i="2"/>
  <c r="E82" i="2"/>
  <c r="J84" i="2"/>
  <c r="AB14" i="2"/>
  <c r="AC14" i="2" s="1"/>
  <c r="AD14" i="2" s="1"/>
  <c r="AE14" i="2" s="1"/>
  <c r="AF14" i="2" s="1"/>
  <c r="AG14" i="2" s="1"/>
  <c r="AH14" i="2" s="1"/>
  <c r="AI14" i="2" s="1"/>
  <c r="N43" i="2"/>
  <c r="J38" i="2"/>
  <c r="W37" i="2"/>
  <c r="W39" i="2" s="1"/>
  <c r="J87" i="2" l="1"/>
  <c r="F39" i="2"/>
  <c r="F38" i="2" s="1"/>
  <c r="N42" i="2"/>
  <c r="N33" i="2" l="1"/>
  <c r="Z42" i="2"/>
  <c r="Z16" i="2"/>
  <c r="AA16" i="2" s="1"/>
  <c r="AB16" i="2" l="1"/>
  <c r="AC16" i="2" s="1"/>
  <c r="AD16" i="2" s="1"/>
  <c r="AE16" i="2" s="1"/>
  <c r="AF16" i="2" s="1"/>
  <c r="AG16" i="2" s="1"/>
  <c r="AH16" i="2" s="1"/>
  <c r="AI16" i="2" s="1"/>
  <c r="AA26" i="2"/>
  <c r="N35" i="2" l="1"/>
  <c r="AA28" i="2"/>
  <c r="AA29" i="2"/>
  <c r="AA30" i="2"/>
  <c r="AA42" i="2"/>
  <c r="AA31" i="2"/>
  <c r="AA27" i="2"/>
  <c r="AA32" i="2"/>
  <c r="AA33" i="2" l="1"/>
  <c r="N37" i="2" l="1"/>
  <c r="AA34" i="2"/>
  <c r="AA35" i="2" s="1"/>
  <c r="AA36" i="2" s="1"/>
  <c r="AA37" i="2" s="1"/>
  <c r="AA38" i="2" l="1"/>
  <c r="AI26" i="2"/>
  <c r="AH26" i="2"/>
  <c r="AG26" i="2"/>
  <c r="AF26" i="2"/>
  <c r="AE26" i="2"/>
  <c r="AD26" i="2"/>
  <c r="AC26" i="2"/>
  <c r="AB26" i="2"/>
  <c r="AB32" i="2" s="1"/>
  <c r="AB38" i="2" l="1"/>
  <c r="AC38" i="2" s="1"/>
  <c r="AD38" i="2" s="1"/>
  <c r="AE38" i="2" s="1"/>
  <c r="AF38" i="2" s="1"/>
  <c r="AG38" i="2" s="1"/>
  <c r="AH38" i="2" s="1"/>
  <c r="AI38" i="2" s="1"/>
  <c r="AA39" i="2"/>
  <c r="AB29" i="2"/>
  <c r="AC29" i="2" s="1"/>
  <c r="AD29" i="2" s="1"/>
  <c r="AE29" i="2" s="1"/>
  <c r="AF29" i="2" s="1"/>
  <c r="AG29" i="2" s="1"/>
  <c r="AH29" i="2" s="1"/>
  <c r="AI29" i="2" s="1"/>
  <c r="AC42" i="2"/>
  <c r="AI42" i="2"/>
  <c r="AB28" i="2"/>
  <c r="AC28" i="2" s="1"/>
  <c r="AD28" i="2" s="1"/>
  <c r="AE28" i="2" s="1"/>
  <c r="AF28" i="2" s="1"/>
  <c r="AG28" i="2" s="1"/>
  <c r="AH28" i="2" s="1"/>
  <c r="AI28" i="2" s="1"/>
  <c r="AB30" i="2"/>
  <c r="AC30" i="2" s="1"/>
  <c r="AD30" i="2" s="1"/>
  <c r="AB27" i="2"/>
  <c r="AC27" i="2" s="1"/>
  <c r="AD27" i="2" s="1"/>
  <c r="AE27" i="2" s="1"/>
  <c r="AF27" i="2" s="1"/>
  <c r="AG27" i="2" s="1"/>
  <c r="AB31" i="2"/>
  <c r="AC31" i="2" s="1"/>
  <c r="AD31" i="2" s="1"/>
  <c r="AE31" i="2" s="1"/>
  <c r="AF31" i="2" s="1"/>
  <c r="AG31" i="2" s="1"/>
  <c r="AH31" i="2" s="1"/>
  <c r="AI31" i="2" s="1"/>
  <c r="AB42" i="2"/>
  <c r="AC32" i="2"/>
  <c r="AD32" i="2" s="1"/>
  <c r="AE32" i="2" s="1"/>
  <c r="AF32" i="2" s="1"/>
  <c r="AG32" i="2" s="1"/>
  <c r="AH32" i="2" s="1"/>
  <c r="AI32" i="2" s="1"/>
  <c r="AH42" i="2"/>
  <c r="AF42" i="2"/>
  <c r="AG42" i="2"/>
  <c r="AD42" i="2"/>
  <c r="AE42" i="2"/>
  <c r="AB33" i="2" l="1"/>
  <c r="AB34" i="2" s="1"/>
  <c r="AB35" i="2" s="1"/>
  <c r="AB36" i="2" s="1"/>
  <c r="AB37" i="2" s="1"/>
  <c r="AD33" i="2"/>
  <c r="AC33" i="2"/>
  <c r="AC34" i="2" s="1"/>
  <c r="AE30" i="2"/>
  <c r="AF30" i="2" s="1"/>
  <c r="AG30" i="2" s="1"/>
  <c r="AH30" i="2" s="1"/>
  <c r="AI30" i="2" s="1"/>
  <c r="AH27" i="2"/>
  <c r="AF33" i="2"/>
  <c r="AG33" i="2" l="1"/>
  <c r="AE33" i="2"/>
  <c r="AC35" i="2"/>
  <c r="AD34" i="2"/>
  <c r="AD35" i="2" s="1"/>
  <c r="AB39" i="2"/>
  <c r="AH33" i="2"/>
  <c r="AI27" i="2"/>
  <c r="AI33" i="2" s="1"/>
  <c r="AE34" i="2" l="1"/>
  <c r="AE35" i="2" s="1"/>
  <c r="AC36" i="2"/>
  <c r="AD36" i="2" s="1"/>
  <c r="AF34" i="2"/>
  <c r="AC37" i="2" l="1"/>
  <c r="AC39" i="2" s="1"/>
  <c r="AD37" i="2"/>
  <c r="AD39" i="2" s="1"/>
  <c r="AE36" i="2"/>
  <c r="AE37" i="2" s="1"/>
  <c r="AE39" i="2" s="1"/>
  <c r="AG34" i="2"/>
  <c r="AF35" i="2"/>
  <c r="AF36" i="2" l="1"/>
  <c r="AF37" i="2" s="1"/>
  <c r="AG35" i="2"/>
  <c r="AH34" i="2"/>
  <c r="AF39" i="2" l="1"/>
  <c r="AG36" i="2"/>
  <c r="AG37" i="2" s="1"/>
  <c r="AG39" i="2" s="1"/>
  <c r="AI34" i="2"/>
  <c r="AI35" i="2" s="1"/>
  <c r="AH35" i="2"/>
  <c r="AH36" i="2" l="1"/>
  <c r="AI36" i="2" s="1"/>
  <c r="AI37" i="2" s="1"/>
  <c r="AI39" i="2" l="1"/>
  <c r="AJ37" i="2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DV37" i="2" s="1"/>
  <c r="DW37" i="2" s="1"/>
  <c r="DX37" i="2" s="1"/>
  <c r="DY37" i="2" s="1"/>
  <c r="DZ37" i="2" s="1"/>
  <c r="EA37" i="2" s="1"/>
  <c r="EB37" i="2" s="1"/>
  <c r="EC37" i="2" s="1"/>
  <c r="ED37" i="2" s="1"/>
  <c r="EE37" i="2" s="1"/>
  <c r="EF37" i="2" s="1"/>
  <c r="EG37" i="2" s="1"/>
  <c r="EH37" i="2" s="1"/>
  <c r="EI37" i="2" s="1"/>
  <c r="EJ37" i="2" s="1"/>
  <c r="EK37" i="2" s="1"/>
  <c r="EL37" i="2" s="1"/>
  <c r="EM37" i="2" s="1"/>
  <c r="EN37" i="2" s="1"/>
  <c r="EO37" i="2" s="1"/>
  <c r="EP37" i="2" s="1"/>
  <c r="EQ37" i="2" s="1"/>
  <c r="ER37" i="2" s="1"/>
  <c r="ES37" i="2" s="1"/>
  <c r="ET37" i="2" s="1"/>
  <c r="EU37" i="2" s="1"/>
  <c r="EV37" i="2" s="1"/>
  <c r="EW37" i="2" s="1"/>
  <c r="EX37" i="2" s="1"/>
  <c r="EY37" i="2" s="1"/>
  <c r="EZ37" i="2" s="1"/>
  <c r="FA37" i="2" s="1"/>
  <c r="FB37" i="2" s="1"/>
  <c r="FC37" i="2" s="1"/>
  <c r="FD37" i="2" s="1"/>
  <c r="FE37" i="2" s="1"/>
  <c r="FF37" i="2" s="1"/>
  <c r="FG37" i="2" s="1"/>
  <c r="FH37" i="2" s="1"/>
  <c r="FI37" i="2" s="1"/>
  <c r="FJ37" i="2" s="1"/>
  <c r="FK37" i="2" s="1"/>
  <c r="FL37" i="2" s="1"/>
  <c r="FM37" i="2" s="1"/>
  <c r="FN37" i="2" s="1"/>
  <c r="FO37" i="2" s="1"/>
  <c r="FP37" i="2" s="1"/>
  <c r="FQ37" i="2" s="1"/>
  <c r="FR37" i="2" s="1"/>
  <c r="FS37" i="2" s="1"/>
  <c r="FT37" i="2" s="1"/>
  <c r="FU37" i="2" s="1"/>
  <c r="FV37" i="2" s="1"/>
  <c r="FW37" i="2" s="1"/>
  <c r="FX37" i="2" s="1"/>
  <c r="FY37" i="2" s="1"/>
  <c r="FZ37" i="2" s="1"/>
  <c r="GA37" i="2" s="1"/>
  <c r="GB37" i="2" s="1"/>
  <c r="GC37" i="2" s="1"/>
  <c r="GD37" i="2" s="1"/>
  <c r="GE37" i="2" s="1"/>
  <c r="GF37" i="2" s="1"/>
  <c r="GG37" i="2" s="1"/>
  <c r="GH37" i="2" s="1"/>
  <c r="GI37" i="2" s="1"/>
  <c r="GJ37" i="2" s="1"/>
  <c r="GK37" i="2" s="1"/>
  <c r="GL37" i="2" s="1"/>
  <c r="GM37" i="2" s="1"/>
  <c r="GN37" i="2" s="1"/>
  <c r="GO37" i="2" s="1"/>
  <c r="GP37" i="2" s="1"/>
  <c r="GQ37" i="2" s="1"/>
  <c r="GR37" i="2" s="1"/>
  <c r="GS37" i="2" s="1"/>
  <c r="GT37" i="2" s="1"/>
  <c r="GU37" i="2" s="1"/>
  <c r="GV37" i="2" s="1"/>
  <c r="GW37" i="2" s="1"/>
  <c r="GX37" i="2" s="1"/>
  <c r="GY37" i="2" s="1"/>
  <c r="GZ37" i="2" s="1"/>
  <c r="HA37" i="2" s="1"/>
  <c r="HB37" i="2" s="1"/>
  <c r="HC37" i="2" s="1"/>
  <c r="HD37" i="2" s="1"/>
  <c r="HE37" i="2" s="1"/>
  <c r="HF37" i="2" s="1"/>
  <c r="HG37" i="2" s="1"/>
  <c r="HH37" i="2" s="1"/>
  <c r="HI37" i="2" s="1"/>
  <c r="HJ37" i="2" s="1"/>
  <c r="HK37" i="2" s="1"/>
  <c r="HL37" i="2" s="1"/>
  <c r="HM37" i="2" s="1"/>
  <c r="HN37" i="2" s="1"/>
  <c r="HO37" i="2" s="1"/>
  <c r="HP37" i="2" s="1"/>
  <c r="HQ37" i="2" s="1"/>
  <c r="AH37" i="2"/>
  <c r="AH39" i="2" l="1"/>
  <c r="AL47" i="2"/>
  <c r="AL49" i="2" s="1"/>
  <c r="AL51" i="2" s="1"/>
  <c r="AL5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C33" authorId="0" shapeId="0" xr:uid="{2B8D7096-5CFB-3447-A3F5-F79546C47539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$37.5/sh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tc={67290A03-ED6C-C846-8A93-FBD8AECE45FB}</author>
    <author>tc={057DE705-F7B2-554C-B833-9B265E3D9D13}</author>
    <author>tc={A36967A2-03EB-0B45-ACE2-F955B9B1D674}</author>
  </authors>
  <commentList>
    <comment ref="A9" authorId="0" shapeId="0" xr:uid="{67290A03-ED6C-C846-8A93-FBD8AECE45FB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 dining</t>
      </text>
    </comment>
    <comment ref="A12" authorId="1" shapeId="0" xr:uid="{057DE705-F7B2-554C-B833-9B265E3D9D13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 dining</t>
      </text>
    </comment>
    <comment ref="AA16" authorId="2" shapeId="0" xr:uid="{A36967A2-03EB-0B45-ACE2-F955B9B1D674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economic slowdown</t>
      </text>
    </comment>
  </commentList>
</comments>
</file>

<file path=xl/sharedStrings.xml><?xml version="1.0" encoding="utf-8"?>
<sst xmlns="http://schemas.openxmlformats.org/spreadsheetml/2006/main" count="178" uniqueCount="143">
  <si>
    <t>P</t>
  </si>
  <si>
    <t>S</t>
  </si>
  <si>
    <t>MC</t>
  </si>
  <si>
    <t>C</t>
  </si>
  <si>
    <t>D</t>
  </si>
  <si>
    <t>EV</t>
  </si>
  <si>
    <t>Q224</t>
  </si>
  <si>
    <t>Q122</t>
  </si>
  <si>
    <t>Q222</t>
  </si>
  <si>
    <t>Q322</t>
  </si>
  <si>
    <t>Q422</t>
  </si>
  <si>
    <t>Q123</t>
  </si>
  <si>
    <t>Q223</t>
  </si>
  <si>
    <t>Q323</t>
  </si>
  <si>
    <t>Q423</t>
  </si>
  <si>
    <t>Sales</t>
  </si>
  <si>
    <t>Food &amp; bev</t>
  </si>
  <si>
    <t>Labor</t>
  </si>
  <si>
    <t>Marketing</t>
  </si>
  <si>
    <t>G&amp;A</t>
  </si>
  <si>
    <t>D&amp;A</t>
  </si>
  <si>
    <t xml:space="preserve">Operating Income </t>
  </si>
  <si>
    <t xml:space="preserve">Interest </t>
  </si>
  <si>
    <t>EBT</t>
  </si>
  <si>
    <t>T</t>
  </si>
  <si>
    <t xml:space="preserve">Net Icome </t>
  </si>
  <si>
    <t>Restaurant</t>
  </si>
  <si>
    <t>Shares</t>
  </si>
  <si>
    <t>EPS</t>
  </si>
  <si>
    <t>Sales y/y</t>
  </si>
  <si>
    <t>Q124</t>
  </si>
  <si>
    <t>Q324</t>
  </si>
  <si>
    <t>Q424</t>
  </si>
  <si>
    <t xml:space="preserve">Olive garden </t>
  </si>
  <si>
    <t>LongHorn Steakhouse</t>
  </si>
  <si>
    <t>Cheddar</t>
  </si>
  <si>
    <t xml:space="preserve">Yard House </t>
  </si>
  <si>
    <t>Capital Grille</t>
  </si>
  <si>
    <t>Seasons 52</t>
  </si>
  <si>
    <t>Bahama Breeze</t>
  </si>
  <si>
    <t>Eddie V</t>
  </si>
  <si>
    <t xml:space="preserve">Ruth Chris </t>
  </si>
  <si>
    <t>Net Units (Exact)</t>
  </si>
  <si>
    <t>$M</t>
  </si>
  <si>
    <t>Capital Burger</t>
  </si>
  <si>
    <t xml:space="preserve">Terminal </t>
  </si>
  <si>
    <t>Discount</t>
  </si>
  <si>
    <t>NPV</t>
  </si>
  <si>
    <t>Estimate</t>
  </si>
  <si>
    <t>NC</t>
  </si>
  <si>
    <t xml:space="preserve">Total Value </t>
  </si>
  <si>
    <t>Current</t>
  </si>
  <si>
    <t>Upside</t>
  </si>
  <si>
    <t xml:space="preserve">Cash </t>
  </si>
  <si>
    <t>Olive Garden</t>
  </si>
  <si>
    <t>Longhorn Steakhouse</t>
  </si>
  <si>
    <t xml:space="preserve">Fine Dining </t>
  </si>
  <si>
    <t xml:space="preserve">Other </t>
  </si>
  <si>
    <t>FD</t>
  </si>
  <si>
    <t>Olive Garden RPU</t>
  </si>
  <si>
    <t>Longhorn RPU</t>
  </si>
  <si>
    <t>Fine Dining RPU</t>
  </si>
  <si>
    <t>Other RPU</t>
  </si>
  <si>
    <t>Other</t>
  </si>
  <si>
    <t xml:space="preserve"> </t>
  </si>
  <si>
    <t xml:space="preserve">Total Assets </t>
  </si>
  <si>
    <t>A/R</t>
  </si>
  <si>
    <t>Inventories</t>
  </si>
  <si>
    <t>Prepaid I/T</t>
  </si>
  <si>
    <t>Prepaid E</t>
  </si>
  <si>
    <t>PPE</t>
  </si>
  <si>
    <t>Op Lease</t>
  </si>
  <si>
    <t>Goodwill</t>
  </si>
  <si>
    <t>Trademarks</t>
  </si>
  <si>
    <t>OA</t>
  </si>
  <si>
    <t>Total Liabilities</t>
  </si>
  <si>
    <t>A/P</t>
  </si>
  <si>
    <t>Current debt</t>
  </si>
  <si>
    <t>Payroll</t>
  </si>
  <si>
    <t>Income Tax</t>
  </si>
  <si>
    <t>Other accrued</t>
  </si>
  <si>
    <t>Unearned revenues</t>
  </si>
  <si>
    <t>OCL</t>
  </si>
  <si>
    <t>Long Term Debt</t>
  </si>
  <si>
    <t>Deferred i/t</t>
  </si>
  <si>
    <t>OL</t>
  </si>
  <si>
    <t>Equity</t>
  </si>
  <si>
    <t>Total Liabilities + Equity</t>
  </si>
  <si>
    <t xml:space="preserve">Net Cash </t>
  </si>
  <si>
    <t>CFFO</t>
  </si>
  <si>
    <t>Capex</t>
  </si>
  <si>
    <t xml:space="preserve">Free Cash Flow </t>
  </si>
  <si>
    <t xml:space="preserve">Net Income </t>
  </si>
  <si>
    <t>4Q FCF</t>
  </si>
  <si>
    <t>4Q NI</t>
  </si>
  <si>
    <t>Sales q/q</t>
  </si>
  <si>
    <t xml:space="preserve">Transcript </t>
  </si>
  <si>
    <t>Earnings Release</t>
  </si>
  <si>
    <t>Webcast</t>
  </si>
  <si>
    <t>SSS</t>
  </si>
  <si>
    <t>Transactions from households with incomes below $75,000 were lower than last year, most pronounced in Fine Dining.</t>
  </si>
  <si>
    <t>We have levers to pull but will not shift to heavy promotional strategies. We will continue pricing below inflation.</t>
  </si>
  <si>
    <t>The challenges are broader market issues rather than internal missteps. The entire industry saw negative traffic in the quarter</t>
  </si>
  <si>
    <t>Marketing spend remains prudent, focusing on long-term brand equity. Construction costs and timelines are impacting new openings</t>
  </si>
  <si>
    <t>Capacity remains constrained with net closures outpacing openings. New restaurant growth will come primarily from Olive Garden and LongHorn</t>
  </si>
  <si>
    <t>The focus remains on core equities and everyday value without deep discounting. We are seeing some trade-down within brands.</t>
  </si>
  <si>
    <t xml:space="preserve"> Texas and California remain soft, with weather impacts. Marketing spend is assessed based on effectiveness and long-term brand building.</t>
  </si>
  <si>
    <t>Q4 commodity inflation is expected around 3%, with most categories inflationary except seafood. Coverage remains consistent with historical levels.</t>
  </si>
  <si>
    <t>Olive Garden exceeded industry benchmarks despite less media spend. Traffic and share gains were maintained.</t>
  </si>
  <si>
    <t>Holders</t>
  </si>
  <si>
    <t>Capital World Investors</t>
  </si>
  <si>
    <t>Vanguard</t>
  </si>
  <si>
    <t>Capital international Investors</t>
  </si>
  <si>
    <t>BlackRock</t>
  </si>
  <si>
    <t xml:space="preserve">Geode Capital </t>
  </si>
  <si>
    <t>Morgan Stanley</t>
  </si>
  <si>
    <t>Bank of America</t>
  </si>
  <si>
    <t>Newport Trust</t>
  </si>
  <si>
    <t>Invesco</t>
  </si>
  <si>
    <t>JPMorgan</t>
  </si>
  <si>
    <t>Wellington Mgt</t>
  </si>
  <si>
    <t>Earnest Partners</t>
  </si>
  <si>
    <t>Congress Asset Management</t>
  </si>
  <si>
    <t xml:space="preserve">Northern Trust Corp </t>
  </si>
  <si>
    <t>Ameriprice</t>
  </si>
  <si>
    <t>10K</t>
  </si>
  <si>
    <t>Press Release</t>
  </si>
  <si>
    <t>About</t>
  </si>
  <si>
    <t>Acquire Chuy's</t>
  </si>
  <si>
    <t>Brands</t>
  </si>
  <si>
    <t>Founded</t>
  </si>
  <si>
    <t>Chuy's</t>
  </si>
  <si>
    <t>Year</t>
  </si>
  <si>
    <t>Orlando, Fl</t>
  </si>
  <si>
    <t>Atlanta, GA</t>
  </si>
  <si>
    <t>Long Beach, CA</t>
  </si>
  <si>
    <t>Irving, TX</t>
  </si>
  <si>
    <t>New Orleans LA</t>
  </si>
  <si>
    <t>Providence, RI</t>
  </si>
  <si>
    <t>Austin, TX</t>
  </si>
  <si>
    <t>EV/24E</t>
  </si>
  <si>
    <t>EV/25E</t>
  </si>
  <si>
    <t>FCF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</si>
</sst>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&quot;M&quot;"/>
    <numFmt numFmtId="165" formatCode="0.0%"/>
    <numFmt numFmtId="166" formatCode="0.0"/>
    <numFmt numFmtId="173" formatCode="0\x"/>
  </numFmts>
  <fonts count="8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0"/>
      <name val="ArialMT"/>
      <family val="2"/>
    </font>
    <font>
      <b/>
      <u/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MT"/>
    </font>
    <font>
      <sz val="10"/>
      <color rgb="FF00000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9" fontId="0" fillId="2" borderId="0" xfId="0" applyNumberFormat="1" applyFill="1"/>
    <xf numFmtId="14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9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2" fillId="0" borderId="0" xfId="1" applyNumberFormat="1"/>
    <xf numFmtId="0" fontId="1" fillId="0" borderId="0" xfId="0" applyFont="1"/>
    <xf numFmtId="166" fontId="0" fillId="0" borderId="0" xfId="0" applyNumberFormat="1"/>
    <xf numFmtId="3" fontId="3" fillId="0" borderId="0" xfId="0" applyNumberFormat="1" applyFont="1"/>
    <xf numFmtId="14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2" fillId="0" borderId="0" xfId="1" applyNumberForma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14" fontId="7" fillId="0" borderId="0" xfId="0" applyNumberFormat="1" applyFont="1"/>
    <xf numFmtId="0" fontId="3" fillId="0" borderId="0" xfId="0" applyNumberFormat="1" applyFont="1"/>
    <xf numFmtId="14" fontId="2" fillId="0" borderId="0" xfId="1" applyNumberFormat="1" applyAlignment="1">
      <alignment horizontal="left"/>
    </xf>
    <xf numFmtId="17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60960</xdr:colOff>
      <xdr:row>0</xdr:row>
      <xdr:rowOff>0</xdr:rowOff>
    </xdr:from>
    <xdr:to>
      <xdr:col>26</xdr:col>
      <xdr:colOff>60960</xdr:colOff>
      <xdr:row>90</xdr:row>
      <xdr:rowOff>67734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CC93D5D-FD73-DD35-BFA8-DEAD79321A36}"/>
            </a:ext>
          </a:extLst>
        </xdr:cNvPr>
        <xdr:cNvCxnSpPr/>
      </xdr:nvCxnSpPr>
      <xdr:spPr>
        <a:xfrm>
          <a:off x="15057120" y="0"/>
          <a:ext cx="0" cy="146981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21590</xdr:colOff>
      <xdr:row>0</xdr:row>
      <xdr:rowOff>0</xdr:rowOff>
    </xdr:from>
    <xdr:to>
      <xdr:col>14</xdr:col>
      <xdr:colOff>41064</xdr:colOff>
      <xdr:row>96</xdr:row>
      <xdr:rowOff>52917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A51E69E-CD04-7E44-976D-B92C1AE4AEAA}"/>
            </a:ext>
          </a:extLst>
        </xdr:cNvPr>
        <xdr:cNvCxnSpPr/>
      </xdr:nvCxnSpPr>
      <xdr:spPr>
        <a:xfrm>
          <a:off x="8576310" y="0"/>
          <a:ext cx="19474" cy="156586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AB5B5C72-862B-364A-A152-F89D869BCE10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4-05-27T02:55:46.50" personId="{AB5B5C72-862B-364A-A152-F89D869BCE10}" id="{67290A03-ED6C-C846-8A93-FBD8AECE45FB}">
    <text>Fine dining</text>
  </threadedComment>
  <threadedComment ref="A12" dT="2024-05-27T02:55:46.50" personId="{AB5B5C72-862B-364A-A152-F89D869BCE10}" id="{057DE705-F7B2-554C-B833-9B265E3D9D13}">
    <text>Fine dining</text>
  </threadedComment>
  <threadedComment ref="AA16" dT="2024-04-09T20:55:05.83" personId="{AB5B5C72-862B-364A-A152-F89D869BCE10}" id="{A36967A2-03EB-0B45-ACE2-F955B9B1D674}">
    <text>Assume economic slowdown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darden.com/news/news-details/2023/Darden-Restaurants-Reports-Fiscal-2024-Second-Quarter-Results-Declares-Quarterly-Dividend-And-Updates-Fiscal-2024-Financial-Outlook/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s27.q4cdn.com/308865545/files/doc_financials/2024/q1/corrected-transcript-darden-restaurants-inc-dri-us-q1-2024-earnings-call-21-september-2023-8-30-am-et.pdf" TargetMode="External"/><Relationship Id="rId7" Type="http://schemas.openxmlformats.org/officeDocument/2006/relationships/hyperlink" Target="https://investor.darden.com/news/news-details/2024/Darden-Restaurants-Reports-Fiscal-2024-Third-Quarter-Results-Declares-Quarterly-Dividend-Authorizes-New-1-Billion-Share-Repurchase-Program-And-Updates-Fiscal-2024-Financial-Outlook/default.asp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s27.q4cdn.com/308865545/files/doc_financials/2024/q2/corrected-transcript-darden-restaurants-inc-dri-us-q2-2024-earnings-call-15-december-2023-8-30-am-et.pdf" TargetMode="External"/><Relationship Id="rId1" Type="http://schemas.openxmlformats.org/officeDocument/2006/relationships/hyperlink" Target="https://s27.q4cdn.com/308865545/files/doc_earnings/2024/q3/transcript/CORRECTED-TRANSCRIPT-Darden-Restaurants-Inc-DRI-US-Q3-2024-Earnings-Call.pdf" TargetMode="External"/><Relationship Id="rId6" Type="http://schemas.openxmlformats.org/officeDocument/2006/relationships/hyperlink" Target="https://investor.darden.com/news/news-details/2023/Darden-Restaurants-Reports-Fiscal-2024-First-Quarter-Results-Declares-Quarterly-Dividend-Reiterates-Fiscal-2024-Outlook-And-Announces-Election-of-New-Board-Chair/default.aspx" TargetMode="External"/><Relationship Id="rId11" Type="http://schemas.openxmlformats.org/officeDocument/2006/relationships/hyperlink" Target="https://s27.q4cdn.com/308865545/files/doc_presentations/2024/Darden-Conference-Call-Presentation-Chuy-s-Acquisition.pdf" TargetMode="External"/><Relationship Id="rId5" Type="http://schemas.openxmlformats.org/officeDocument/2006/relationships/hyperlink" Target="https://investor.darden.com/news/news-details/2023/Darden-Restaurants-Reports-Fiscal-2024-Second-Quarter-Results-Declares-Quarterly-Dividend-And-Updates-Fiscal-2024-Financial-Outlook/" TargetMode="External"/><Relationship Id="rId10" Type="http://schemas.openxmlformats.org/officeDocument/2006/relationships/hyperlink" Target="https://investor.darden.com/news/news-details/2024/Darden-Restaurants-to-Acquire-Chuys-Holdings-Inc.-in-Approximately-605-Million-Transaction/default.aspx" TargetMode="External"/><Relationship Id="rId4" Type="http://schemas.openxmlformats.org/officeDocument/2006/relationships/hyperlink" Target="https://investor.darden.com/news/news-details/2024/Darden-Restaurants-Reports-Fiscal-2024-Third-Quarter-Results-Declares-Quarterly-Dividend-Authorizes-New-1-Billion-Share-Repurchase-Program-And-Updates-Fiscal-2024-Financial-Outlook/default.aspx" TargetMode="External"/><Relationship Id="rId9" Type="http://schemas.openxmlformats.org/officeDocument/2006/relationships/hyperlink" Target="https://investor.darden.com/news/news-details/2023/Darden-Restaurants-Reports-Fiscal-2024-First-Quarter-Results-Declares-Quarterly-Dividend-Reiterates-Fiscal-2024-Outlook-And-Announces-Election-of-New-Board-Chair/default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C3BE-F2A6-434A-B991-194289D8B1A3}">
  <dimension ref="B2:J39"/>
  <sheetViews>
    <sheetView zoomScale="212" workbookViewId="0">
      <selection activeCell="G15" sqref="G15"/>
    </sheetView>
  </sheetViews>
  <sheetFormatPr baseColWidth="10" defaultRowHeight="13"/>
  <cols>
    <col min="1" max="1" width="3.33203125" style="1" customWidth="1"/>
    <col min="2" max="2" width="18.83203125" style="1" bestFit="1" customWidth="1"/>
    <col min="3" max="3" width="15.6640625" style="1" bestFit="1" customWidth="1"/>
    <col min="4" max="4" width="5.1640625" style="16" bestFit="1" customWidth="1"/>
    <col min="5" max="5" width="13.1640625" style="5" bestFit="1" customWidth="1"/>
    <col min="6" max="6" width="3.6640625" style="1" bestFit="1" customWidth="1"/>
    <col min="7" max="7" width="11.1640625" style="1" bestFit="1" customWidth="1"/>
    <col min="8" max="8" width="10" style="1" bestFit="1" customWidth="1"/>
    <col min="9" max="9" width="6.6640625" style="1" bestFit="1" customWidth="1"/>
    <col min="10" max="10" width="4.33203125" style="1" bestFit="1" customWidth="1"/>
    <col min="11" max="16384" width="10.83203125" style="1"/>
  </cols>
  <sheetData>
    <row r="2" spans="2:10">
      <c r="B2" s="14" t="s">
        <v>129</v>
      </c>
      <c r="C2" s="14" t="s">
        <v>130</v>
      </c>
      <c r="D2" s="23" t="s">
        <v>132</v>
      </c>
    </row>
    <row r="3" spans="2:10">
      <c r="B3" s="1" t="s">
        <v>33</v>
      </c>
      <c r="C3" s="1" t="s">
        <v>133</v>
      </c>
      <c r="D3" s="16">
        <v>1982</v>
      </c>
    </row>
    <row r="4" spans="2:10">
      <c r="B4" s="1" t="s">
        <v>34</v>
      </c>
      <c r="C4" s="1" t="s">
        <v>134</v>
      </c>
      <c r="D4" s="16">
        <v>1981</v>
      </c>
    </row>
    <row r="5" spans="2:10">
      <c r="B5" s="1" t="s">
        <v>35</v>
      </c>
      <c r="C5" s="1" t="s">
        <v>136</v>
      </c>
      <c r="D5" s="16">
        <v>1979</v>
      </c>
    </row>
    <row r="6" spans="2:10">
      <c r="B6" s="1" t="s">
        <v>36</v>
      </c>
      <c r="C6" s="1" t="s">
        <v>135</v>
      </c>
      <c r="D6" s="16">
        <v>1996</v>
      </c>
    </row>
    <row r="7" spans="2:10">
      <c r="B7" s="1" t="s">
        <v>41</v>
      </c>
      <c r="C7" s="1" t="s">
        <v>137</v>
      </c>
      <c r="D7" s="16">
        <v>1965</v>
      </c>
    </row>
    <row r="8" spans="2:10">
      <c r="B8" s="1" t="s">
        <v>37</v>
      </c>
      <c r="C8" s="1" t="s">
        <v>138</v>
      </c>
      <c r="D8" s="16">
        <v>1990</v>
      </c>
    </row>
    <row r="9" spans="2:10">
      <c r="B9" s="1" t="s">
        <v>38</v>
      </c>
      <c r="C9" s="1" t="s">
        <v>133</v>
      </c>
      <c r="D9" s="16">
        <v>2003</v>
      </c>
    </row>
    <row r="10" spans="2:10">
      <c r="B10" s="1" t="s">
        <v>39</v>
      </c>
      <c r="C10" s="1" t="s">
        <v>133</v>
      </c>
      <c r="D10" s="16">
        <v>1996</v>
      </c>
    </row>
    <row r="11" spans="2:10">
      <c r="B11" s="1" t="s">
        <v>40</v>
      </c>
      <c r="C11" s="1" t="s">
        <v>139</v>
      </c>
      <c r="D11" s="16">
        <v>2000</v>
      </c>
      <c r="H11" s="1" t="s">
        <v>0</v>
      </c>
      <c r="I11" s="1">
        <v>143.36000000000001</v>
      </c>
    </row>
    <row r="12" spans="2:10">
      <c r="B12" s="1" t="s">
        <v>44</v>
      </c>
      <c r="C12" s="1" t="s">
        <v>138</v>
      </c>
      <c r="D12" s="16">
        <v>1990</v>
      </c>
      <c r="H12" s="1" t="s">
        <v>1</v>
      </c>
      <c r="I12" s="1">
        <v>118.86295</v>
      </c>
      <c r="J12" s="1" t="s">
        <v>125</v>
      </c>
    </row>
    <row r="13" spans="2:10">
      <c r="B13" s="11" t="s">
        <v>131</v>
      </c>
      <c r="C13" s="1" t="s">
        <v>139</v>
      </c>
      <c r="D13" s="16">
        <v>1986</v>
      </c>
      <c r="H13" s="1" t="s">
        <v>2</v>
      </c>
      <c r="I13" s="1">
        <f>+I11*I12</f>
        <v>17040.192512000001</v>
      </c>
    </row>
    <row r="14" spans="2:10">
      <c r="H14" s="1" t="s">
        <v>3</v>
      </c>
      <c r="I14" s="1">
        <v>194.8</v>
      </c>
      <c r="J14" s="1" t="str">
        <f>+J12</f>
        <v>10K</v>
      </c>
    </row>
    <row r="15" spans="2:10">
      <c r="H15" s="1" t="s">
        <v>4</v>
      </c>
      <c r="I15" s="1">
        <f>86.8+1370.4</f>
        <v>1457.2</v>
      </c>
      <c r="J15" s="1" t="str">
        <f>+J14</f>
        <v>10K</v>
      </c>
    </row>
    <row r="16" spans="2:10">
      <c r="B16" s="6" t="s">
        <v>96</v>
      </c>
      <c r="H16" s="1" t="s">
        <v>5</v>
      </c>
      <c r="I16" s="1">
        <f>+I13-I14+I15</f>
        <v>18302.592512000003</v>
      </c>
    </row>
    <row r="17" spans="2:9">
      <c r="B17" s="11" t="s">
        <v>31</v>
      </c>
    </row>
    <row r="18" spans="2:9">
      <c r="B18" s="11" t="s">
        <v>6</v>
      </c>
      <c r="H18" s="1" t="s">
        <v>93</v>
      </c>
      <c r="I18" s="1">
        <f>+model!N84</f>
        <v>1755.4</v>
      </c>
    </row>
    <row r="19" spans="2:9">
      <c r="B19" s="11" t="s">
        <v>30</v>
      </c>
      <c r="H19" s="1" t="s">
        <v>142</v>
      </c>
      <c r="I19" s="3">
        <f>+I18/I16</f>
        <v>9.59099099676224E-2</v>
      </c>
    </row>
    <row r="21" spans="2:9">
      <c r="B21" s="17" t="s">
        <v>98</v>
      </c>
    </row>
    <row r="22" spans="2:9">
      <c r="B22" s="18" t="s">
        <v>31</v>
      </c>
    </row>
    <row r="23" spans="2:9">
      <c r="B23" s="18" t="s">
        <v>6</v>
      </c>
    </row>
    <row r="24" spans="2:9">
      <c r="B24" s="18" t="s">
        <v>30</v>
      </c>
    </row>
    <row r="27" spans="2:9">
      <c r="B27" s="6" t="s">
        <v>97</v>
      </c>
    </row>
    <row r="28" spans="2:9">
      <c r="B28" s="11" t="s">
        <v>31</v>
      </c>
    </row>
    <row r="29" spans="2:9">
      <c r="B29" s="11" t="s">
        <v>6</v>
      </c>
    </row>
    <row r="30" spans="2:9">
      <c r="B30" s="11" t="s">
        <v>30</v>
      </c>
    </row>
    <row r="32" spans="2:9">
      <c r="B32" s="15" t="s">
        <v>126</v>
      </c>
      <c r="C32" s="14" t="s">
        <v>127</v>
      </c>
    </row>
    <row r="33" spans="2:3">
      <c r="B33" s="24">
        <v>45490</v>
      </c>
      <c r="C33" s="1" t="s">
        <v>128</v>
      </c>
    </row>
    <row r="39" spans="2:3">
      <c r="B39" s="6"/>
    </row>
  </sheetData>
  <hyperlinks>
    <hyperlink ref="B17" r:id="rId1" xr:uid="{4CC35D22-E789-3348-8D51-83EBBEC0D946}"/>
    <hyperlink ref="B18" r:id="rId2" xr:uid="{3145E475-44EE-8847-9D77-08C6D0FA5EBE}"/>
    <hyperlink ref="B19" r:id="rId3" xr:uid="{9F62F6A0-940D-AC43-B814-A7D810533BEA}"/>
    <hyperlink ref="B28" r:id="rId4" xr:uid="{9D0836E1-CD30-6A42-8745-47DE789EA926}"/>
    <hyperlink ref="B29" r:id="rId5" xr:uid="{8CF61334-AF10-1946-B827-C797CD00560F}"/>
    <hyperlink ref="B30" r:id="rId6" xr:uid="{FAFE20FE-4AC9-6441-AACD-EBD350D9BA71}"/>
    <hyperlink ref="B22" r:id="rId7" xr:uid="{DAB64CBA-8CFC-6248-84EB-6C9C1200AD0E}"/>
    <hyperlink ref="B23" r:id="rId8" xr:uid="{4DA7392B-E077-1E4A-BA43-038E11298D90}"/>
    <hyperlink ref="B24" r:id="rId9" xr:uid="{9446C067-496A-684D-9833-B01D9F779850}"/>
    <hyperlink ref="B33" r:id="rId10" display="https://investor.darden.com/news/news-details/2024/Darden-Restaurants-to-Acquire-Chuys-Holdings-Inc.-in-Approximately-605-Million-Transaction/default.aspx" xr:uid="{457F4D29-7F9B-9A49-A935-82BBB0C34CAB}"/>
    <hyperlink ref="B13" r:id="rId11" xr:uid="{CBACFE32-A328-A245-9059-9052B3BFE8FC}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F036-689B-F14E-939F-9E99AB4C97EA}">
  <dimension ref="B3:G18"/>
  <sheetViews>
    <sheetView workbookViewId="0">
      <selection activeCell="B3" sqref="B3:G18"/>
    </sheetView>
  </sheetViews>
  <sheetFormatPr baseColWidth="10" defaultRowHeight="13"/>
  <sheetData>
    <row r="3" spans="2:7">
      <c r="B3" s="19" t="s">
        <v>109</v>
      </c>
      <c r="C3" s="21"/>
      <c r="D3" s="20"/>
      <c r="E3" s="22"/>
      <c r="F3" s="21"/>
      <c r="G3" s="21"/>
    </row>
    <row r="4" spans="2:7">
      <c r="B4" s="21" t="s">
        <v>110</v>
      </c>
      <c r="C4" s="21">
        <v>16434064</v>
      </c>
      <c r="D4" s="20">
        <v>0.13826061000000001</v>
      </c>
      <c r="E4" s="22"/>
      <c r="F4" s="21"/>
      <c r="G4" s="21">
        <v>118862950</v>
      </c>
    </row>
    <row r="5" spans="2:7">
      <c r="B5" s="21" t="s">
        <v>111</v>
      </c>
      <c r="C5" s="21">
        <v>13775425</v>
      </c>
      <c r="D5" s="20">
        <v>0.11589334599999999</v>
      </c>
      <c r="E5" s="22"/>
      <c r="F5" s="21"/>
      <c r="G5" s="21"/>
    </row>
    <row r="6" spans="2:7">
      <c r="B6" s="21" t="s">
        <v>112</v>
      </c>
      <c r="C6" s="21">
        <v>9089235</v>
      </c>
      <c r="D6" s="20">
        <v>7.6468193000000004E-2</v>
      </c>
      <c r="E6" s="22"/>
      <c r="F6" s="21"/>
      <c r="G6" s="21"/>
    </row>
    <row r="7" spans="2:7">
      <c r="B7" s="21" t="s">
        <v>113</v>
      </c>
      <c r="C7" s="21">
        <v>8238495</v>
      </c>
      <c r="D7" s="20">
        <v>6.9310873999999995E-2</v>
      </c>
      <c r="E7" s="22"/>
      <c r="F7" s="21"/>
      <c r="G7" s="21"/>
    </row>
    <row r="8" spans="2:7">
      <c r="B8" s="21" t="s">
        <v>114</v>
      </c>
      <c r="C8" s="21">
        <v>2711737</v>
      </c>
      <c r="D8" s="20">
        <v>2.2813980000000001E-2</v>
      </c>
      <c r="E8" s="22"/>
      <c r="F8" s="21"/>
      <c r="G8" s="21"/>
    </row>
    <row r="9" spans="2:7">
      <c r="B9" s="21" t="s">
        <v>115</v>
      </c>
      <c r="C9" s="21">
        <v>2069705</v>
      </c>
      <c r="D9" s="20">
        <v>1.7412533000000001E-2</v>
      </c>
      <c r="E9" s="22"/>
      <c r="F9" s="21"/>
      <c r="G9" s="21"/>
    </row>
    <row r="10" spans="2:7">
      <c r="B10" s="21" t="s">
        <v>116</v>
      </c>
      <c r="C10" s="21">
        <v>2060302</v>
      </c>
      <c r="D10" s="20">
        <v>1.7333425E-2</v>
      </c>
      <c r="E10" s="22"/>
      <c r="F10" s="21"/>
      <c r="G10" s="21"/>
    </row>
    <row r="11" spans="2:7">
      <c r="B11" s="21" t="s">
        <v>117</v>
      </c>
      <c r="C11" s="21">
        <v>2016016</v>
      </c>
      <c r="D11" s="20">
        <v>1.6960843999999999E-2</v>
      </c>
      <c r="E11" s="22"/>
      <c r="F11" s="21"/>
      <c r="G11" s="21"/>
    </row>
    <row r="12" spans="2:7">
      <c r="B12" s="21" t="s">
        <v>118</v>
      </c>
      <c r="C12" s="21">
        <v>1818708</v>
      </c>
      <c r="D12" s="20">
        <v>1.5300882E-2</v>
      </c>
      <c r="E12" s="22"/>
      <c r="F12" s="21"/>
      <c r="G12" s="21"/>
    </row>
    <row r="13" spans="2:7">
      <c r="B13" s="21" t="s">
        <v>119</v>
      </c>
      <c r="C13" s="21">
        <v>1710046</v>
      </c>
      <c r="D13" s="20">
        <v>1.4386703000000001E-2</v>
      </c>
      <c r="E13" s="22"/>
      <c r="F13" s="21"/>
      <c r="G13" s="21"/>
    </row>
    <row r="14" spans="2:7">
      <c r="B14" s="21" t="s">
        <v>120</v>
      </c>
      <c r="C14" s="21">
        <v>1646240</v>
      </c>
      <c r="D14" s="20">
        <v>1.38499E-2</v>
      </c>
      <c r="E14" s="22"/>
      <c r="F14" s="21"/>
      <c r="G14" s="21"/>
    </row>
    <row r="15" spans="2:7">
      <c r="B15" s="21" t="s">
        <v>121</v>
      </c>
      <c r="C15" s="21">
        <v>1572642</v>
      </c>
      <c r="D15" s="20">
        <v>1.3230716999999999E-2</v>
      </c>
      <c r="E15" s="22"/>
      <c r="F15" s="21"/>
      <c r="G15" s="21"/>
    </row>
    <row r="16" spans="2:7">
      <c r="B16" s="21" t="s">
        <v>122</v>
      </c>
      <c r="C16" s="21"/>
      <c r="D16" s="20"/>
      <c r="E16" s="22"/>
      <c r="F16" s="21"/>
      <c r="G16" s="21"/>
    </row>
    <row r="17" spans="2:7">
      <c r="B17" s="21" t="s">
        <v>123</v>
      </c>
      <c r="C17" s="21"/>
      <c r="D17" s="20"/>
      <c r="E17" s="22"/>
      <c r="F17" s="21"/>
      <c r="G17" s="21"/>
    </row>
    <row r="18" spans="2:7">
      <c r="B18" s="21" t="s">
        <v>124</v>
      </c>
      <c r="C18" s="21"/>
      <c r="D18" s="20"/>
      <c r="E18" s="22"/>
      <c r="F18" s="21"/>
      <c r="G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CBF8-56BA-CD4D-A18B-F1C877FD3E92}">
  <dimension ref="A1:HQ87"/>
  <sheetViews>
    <sheetView tabSelected="1" zoomScale="125" zoomScaleNormal="125" workbookViewId="0">
      <pane xSplit="2" ySplit="3" topLeftCell="M4" activePane="bottomRight" state="frozen"/>
      <selection pane="topRight" activeCell="C1" sqref="C1"/>
      <selection pane="bottomLeft" activeCell="A3" sqref="A3"/>
      <selection pane="bottomRight" activeCell="M21" sqref="M21"/>
    </sheetView>
  </sheetViews>
  <sheetFormatPr baseColWidth="10" defaultRowHeight="13"/>
  <cols>
    <col min="1" max="1" width="3.5" style="1" bestFit="1" customWidth="1"/>
    <col min="2" max="2" width="21" style="1" bestFit="1" customWidth="1"/>
    <col min="3" max="3" width="7.1640625" style="1" bestFit="1" customWidth="1"/>
    <col min="4" max="4" width="8.1640625" style="1" bestFit="1" customWidth="1"/>
    <col min="5" max="7" width="7.1640625" style="1" bestFit="1" customWidth="1"/>
    <col min="8" max="8" width="8.1640625" style="1" bestFit="1" customWidth="1"/>
    <col min="9" max="11" width="7.1640625" style="1" bestFit="1" customWidth="1"/>
    <col min="12" max="12" width="8.1640625" style="1" bestFit="1" customWidth="1"/>
    <col min="13" max="13" width="7.1640625" style="1" bestFit="1" customWidth="1"/>
    <col min="14" max="14" width="6.6640625" style="1" bestFit="1" customWidth="1"/>
    <col min="15" max="15" width="12.6640625" style="1" bestFit="1" customWidth="1"/>
    <col min="16" max="16" width="10.83203125" style="1"/>
    <col min="17" max="19" width="5.1640625" style="1" bestFit="1" customWidth="1"/>
    <col min="20" max="22" width="5.6640625" style="1" bestFit="1" customWidth="1"/>
    <col min="23" max="25" width="7.1640625" style="1" bestFit="1" customWidth="1"/>
    <col min="26" max="35" width="6.6640625" style="1" bestFit="1" customWidth="1"/>
    <col min="36" max="36" width="5.6640625" style="1" bestFit="1" customWidth="1"/>
    <col min="37" max="37" width="10.5" style="1" bestFit="1" customWidth="1"/>
    <col min="38" max="38" width="6.6640625" style="1" bestFit="1" customWidth="1"/>
    <col min="39" max="225" width="5.6640625" style="1" bestFit="1" customWidth="1"/>
    <col min="226" max="16384" width="10.83203125" style="1"/>
  </cols>
  <sheetData>
    <row r="1" spans="1:225">
      <c r="A1" s="1" t="s">
        <v>43</v>
      </c>
      <c r="AJ1" s="1">
        <v>11</v>
      </c>
      <c r="AK1" s="1">
        <f>+AJ1+1</f>
        <v>12</v>
      </c>
      <c r="AL1" s="1">
        <f t="shared" ref="AL1:CW1" si="0">+AK1+1</f>
        <v>13</v>
      </c>
      <c r="AM1" s="1">
        <f t="shared" si="0"/>
        <v>14</v>
      </c>
      <c r="AN1" s="1">
        <f t="shared" si="0"/>
        <v>15</v>
      </c>
      <c r="AO1" s="1">
        <f t="shared" si="0"/>
        <v>16</v>
      </c>
      <c r="AP1" s="1">
        <f t="shared" si="0"/>
        <v>17</v>
      </c>
      <c r="AQ1" s="1">
        <f t="shared" si="0"/>
        <v>18</v>
      </c>
      <c r="AR1" s="1">
        <f t="shared" si="0"/>
        <v>19</v>
      </c>
      <c r="AS1" s="1">
        <f t="shared" si="0"/>
        <v>20</v>
      </c>
      <c r="AT1" s="1">
        <f t="shared" si="0"/>
        <v>21</v>
      </c>
      <c r="AU1" s="1">
        <f t="shared" si="0"/>
        <v>22</v>
      </c>
      <c r="AV1" s="1">
        <f t="shared" si="0"/>
        <v>23</v>
      </c>
      <c r="AW1" s="1">
        <f t="shared" si="0"/>
        <v>24</v>
      </c>
      <c r="AX1" s="1">
        <f t="shared" si="0"/>
        <v>25</v>
      </c>
      <c r="AY1" s="1">
        <f t="shared" si="0"/>
        <v>26</v>
      </c>
      <c r="AZ1" s="1">
        <f t="shared" si="0"/>
        <v>27</v>
      </c>
      <c r="BA1" s="1">
        <f t="shared" si="0"/>
        <v>28</v>
      </c>
      <c r="BB1" s="1">
        <f t="shared" si="0"/>
        <v>29</v>
      </c>
      <c r="BC1" s="1">
        <f t="shared" si="0"/>
        <v>30</v>
      </c>
      <c r="BD1" s="1">
        <f t="shared" si="0"/>
        <v>31</v>
      </c>
      <c r="BE1" s="1">
        <f t="shared" si="0"/>
        <v>32</v>
      </c>
      <c r="BF1" s="1">
        <f t="shared" si="0"/>
        <v>33</v>
      </c>
      <c r="BG1" s="1">
        <f t="shared" si="0"/>
        <v>34</v>
      </c>
      <c r="BH1" s="1">
        <f t="shared" si="0"/>
        <v>35</v>
      </c>
      <c r="BI1" s="1">
        <f t="shared" si="0"/>
        <v>36</v>
      </c>
      <c r="BJ1" s="1">
        <f t="shared" si="0"/>
        <v>37</v>
      </c>
      <c r="BK1" s="1">
        <f t="shared" si="0"/>
        <v>38</v>
      </c>
      <c r="BL1" s="1">
        <f t="shared" si="0"/>
        <v>39</v>
      </c>
      <c r="BM1" s="1">
        <f t="shared" si="0"/>
        <v>40</v>
      </c>
      <c r="BN1" s="1">
        <f t="shared" si="0"/>
        <v>41</v>
      </c>
      <c r="BO1" s="1">
        <f t="shared" si="0"/>
        <v>42</v>
      </c>
      <c r="BP1" s="1">
        <f t="shared" si="0"/>
        <v>43</v>
      </c>
      <c r="BQ1" s="1">
        <f t="shared" si="0"/>
        <v>44</v>
      </c>
      <c r="BR1" s="1">
        <f t="shared" si="0"/>
        <v>45</v>
      </c>
      <c r="BS1" s="1">
        <f t="shared" si="0"/>
        <v>46</v>
      </c>
      <c r="BT1" s="1">
        <f t="shared" si="0"/>
        <v>47</v>
      </c>
      <c r="BU1" s="1">
        <f t="shared" si="0"/>
        <v>48</v>
      </c>
      <c r="BV1" s="1">
        <f t="shared" si="0"/>
        <v>49</v>
      </c>
      <c r="BW1" s="1">
        <f t="shared" si="0"/>
        <v>50</v>
      </c>
      <c r="BX1" s="1">
        <f t="shared" si="0"/>
        <v>51</v>
      </c>
      <c r="BY1" s="1">
        <f t="shared" si="0"/>
        <v>52</v>
      </c>
      <c r="BZ1" s="1">
        <f t="shared" si="0"/>
        <v>53</v>
      </c>
      <c r="CA1" s="1">
        <f t="shared" si="0"/>
        <v>54</v>
      </c>
      <c r="CB1" s="1">
        <f t="shared" si="0"/>
        <v>55</v>
      </c>
      <c r="CC1" s="1">
        <f t="shared" si="0"/>
        <v>56</v>
      </c>
      <c r="CD1" s="1">
        <f t="shared" si="0"/>
        <v>57</v>
      </c>
      <c r="CE1" s="1">
        <f t="shared" si="0"/>
        <v>58</v>
      </c>
      <c r="CF1" s="1">
        <f t="shared" si="0"/>
        <v>59</v>
      </c>
      <c r="CG1" s="1">
        <f t="shared" si="0"/>
        <v>60</v>
      </c>
      <c r="CH1" s="1">
        <f t="shared" si="0"/>
        <v>61</v>
      </c>
      <c r="CI1" s="1">
        <f t="shared" si="0"/>
        <v>62</v>
      </c>
      <c r="CJ1" s="1">
        <f t="shared" si="0"/>
        <v>63</v>
      </c>
      <c r="CK1" s="1">
        <f t="shared" si="0"/>
        <v>64</v>
      </c>
      <c r="CL1" s="1">
        <f t="shared" si="0"/>
        <v>65</v>
      </c>
      <c r="CM1" s="1">
        <f t="shared" si="0"/>
        <v>66</v>
      </c>
      <c r="CN1" s="1">
        <f t="shared" si="0"/>
        <v>67</v>
      </c>
      <c r="CO1" s="1">
        <f t="shared" si="0"/>
        <v>68</v>
      </c>
      <c r="CP1" s="1">
        <f t="shared" si="0"/>
        <v>69</v>
      </c>
      <c r="CQ1" s="1">
        <f t="shared" si="0"/>
        <v>70</v>
      </c>
      <c r="CR1" s="1">
        <f t="shared" si="0"/>
        <v>71</v>
      </c>
      <c r="CS1" s="1">
        <f t="shared" si="0"/>
        <v>72</v>
      </c>
      <c r="CT1" s="1">
        <f t="shared" si="0"/>
        <v>73</v>
      </c>
      <c r="CU1" s="1">
        <f t="shared" si="0"/>
        <v>74</v>
      </c>
      <c r="CV1" s="1">
        <f t="shared" si="0"/>
        <v>75</v>
      </c>
      <c r="CW1" s="1">
        <f t="shared" si="0"/>
        <v>76</v>
      </c>
      <c r="CX1" s="1">
        <f t="shared" ref="CX1:FI1" si="1">+CW1+1</f>
        <v>77</v>
      </c>
      <c r="CY1" s="1">
        <f t="shared" si="1"/>
        <v>78</v>
      </c>
      <c r="CZ1" s="1">
        <f t="shared" si="1"/>
        <v>79</v>
      </c>
      <c r="DA1" s="1">
        <f t="shared" si="1"/>
        <v>80</v>
      </c>
      <c r="DB1" s="1">
        <f t="shared" si="1"/>
        <v>81</v>
      </c>
      <c r="DC1" s="1">
        <f t="shared" si="1"/>
        <v>82</v>
      </c>
      <c r="DD1" s="1">
        <f t="shared" si="1"/>
        <v>83</v>
      </c>
      <c r="DE1" s="1">
        <f t="shared" si="1"/>
        <v>84</v>
      </c>
      <c r="DF1" s="1">
        <f t="shared" si="1"/>
        <v>85</v>
      </c>
      <c r="DG1" s="1">
        <f t="shared" si="1"/>
        <v>86</v>
      </c>
      <c r="DH1" s="1">
        <f t="shared" si="1"/>
        <v>87</v>
      </c>
      <c r="DI1" s="1">
        <f t="shared" si="1"/>
        <v>88</v>
      </c>
      <c r="DJ1" s="1">
        <f t="shared" si="1"/>
        <v>89</v>
      </c>
      <c r="DK1" s="1">
        <f t="shared" si="1"/>
        <v>90</v>
      </c>
      <c r="DL1" s="1">
        <f t="shared" si="1"/>
        <v>91</v>
      </c>
      <c r="DM1" s="1">
        <f t="shared" si="1"/>
        <v>92</v>
      </c>
      <c r="DN1" s="1">
        <f t="shared" si="1"/>
        <v>93</v>
      </c>
      <c r="DO1" s="1">
        <f t="shared" si="1"/>
        <v>94</v>
      </c>
      <c r="DP1" s="1">
        <f t="shared" si="1"/>
        <v>95</v>
      </c>
      <c r="DQ1" s="1">
        <f t="shared" si="1"/>
        <v>96</v>
      </c>
      <c r="DR1" s="1">
        <f t="shared" si="1"/>
        <v>97</v>
      </c>
      <c r="DS1" s="1">
        <f t="shared" si="1"/>
        <v>98</v>
      </c>
      <c r="DT1" s="1">
        <f t="shared" si="1"/>
        <v>99</v>
      </c>
      <c r="DU1" s="1">
        <f t="shared" si="1"/>
        <v>100</v>
      </c>
      <c r="DV1" s="1">
        <f t="shared" si="1"/>
        <v>101</v>
      </c>
      <c r="DW1" s="1">
        <f t="shared" si="1"/>
        <v>102</v>
      </c>
      <c r="DX1" s="1">
        <f t="shared" si="1"/>
        <v>103</v>
      </c>
      <c r="DY1" s="1">
        <f t="shared" si="1"/>
        <v>104</v>
      </c>
      <c r="DZ1" s="1">
        <f t="shared" si="1"/>
        <v>105</v>
      </c>
      <c r="EA1" s="1">
        <f t="shared" si="1"/>
        <v>106</v>
      </c>
      <c r="EB1" s="1">
        <f t="shared" si="1"/>
        <v>107</v>
      </c>
      <c r="EC1" s="1">
        <f t="shared" si="1"/>
        <v>108</v>
      </c>
      <c r="ED1" s="1">
        <f t="shared" si="1"/>
        <v>109</v>
      </c>
      <c r="EE1" s="1">
        <f t="shared" si="1"/>
        <v>110</v>
      </c>
      <c r="EF1" s="1">
        <f t="shared" si="1"/>
        <v>111</v>
      </c>
      <c r="EG1" s="1">
        <f t="shared" si="1"/>
        <v>112</v>
      </c>
      <c r="EH1" s="1">
        <f t="shared" si="1"/>
        <v>113</v>
      </c>
      <c r="EI1" s="1">
        <f t="shared" si="1"/>
        <v>114</v>
      </c>
      <c r="EJ1" s="1">
        <f t="shared" si="1"/>
        <v>115</v>
      </c>
      <c r="EK1" s="1">
        <f t="shared" si="1"/>
        <v>116</v>
      </c>
      <c r="EL1" s="1">
        <f t="shared" si="1"/>
        <v>117</v>
      </c>
      <c r="EM1" s="1">
        <f t="shared" si="1"/>
        <v>118</v>
      </c>
      <c r="EN1" s="1">
        <f t="shared" si="1"/>
        <v>119</v>
      </c>
      <c r="EO1" s="1">
        <f t="shared" si="1"/>
        <v>120</v>
      </c>
      <c r="EP1" s="1">
        <f t="shared" si="1"/>
        <v>121</v>
      </c>
      <c r="EQ1" s="1">
        <f t="shared" si="1"/>
        <v>122</v>
      </c>
      <c r="ER1" s="1">
        <f t="shared" si="1"/>
        <v>123</v>
      </c>
      <c r="ES1" s="1">
        <f t="shared" si="1"/>
        <v>124</v>
      </c>
      <c r="ET1" s="1">
        <f t="shared" si="1"/>
        <v>125</v>
      </c>
      <c r="EU1" s="1">
        <f t="shared" si="1"/>
        <v>126</v>
      </c>
      <c r="EV1" s="1">
        <f t="shared" si="1"/>
        <v>127</v>
      </c>
      <c r="EW1" s="1">
        <f t="shared" si="1"/>
        <v>128</v>
      </c>
      <c r="EX1" s="1">
        <f t="shared" si="1"/>
        <v>129</v>
      </c>
      <c r="EY1" s="1">
        <f t="shared" si="1"/>
        <v>130</v>
      </c>
      <c r="EZ1" s="1">
        <f t="shared" si="1"/>
        <v>131</v>
      </c>
      <c r="FA1" s="1">
        <f t="shared" si="1"/>
        <v>132</v>
      </c>
      <c r="FB1" s="1">
        <f t="shared" si="1"/>
        <v>133</v>
      </c>
      <c r="FC1" s="1">
        <f t="shared" si="1"/>
        <v>134</v>
      </c>
      <c r="FD1" s="1">
        <f t="shared" si="1"/>
        <v>135</v>
      </c>
      <c r="FE1" s="1">
        <f t="shared" si="1"/>
        <v>136</v>
      </c>
      <c r="FF1" s="1">
        <f t="shared" si="1"/>
        <v>137</v>
      </c>
      <c r="FG1" s="1">
        <f t="shared" si="1"/>
        <v>138</v>
      </c>
      <c r="FH1" s="1">
        <f t="shared" si="1"/>
        <v>139</v>
      </c>
      <c r="FI1" s="1">
        <f t="shared" si="1"/>
        <v>140</v>
      </c>
      <c r="FJ1" s="1">
        <f t="shared" ref="FJ1:HI1" si="2">+FI1+1</f>
        <v>141</v>
      </c>
      <c r="FK1" s="1">
        <f t="shared" si="2"/>
        <v>142</v>
      </c>
      <c r="FL1" s="1">
        <f t="shared" si="2"/>
        <v>143</v>
      </c>
      <c r="FM1" s="1">
        <f t="shared" si="2"/>
        <v>144</v>
      </c>
      <c r="FN1" s="1">
        <f t="shared" si="2"/>
        <v>145</v>
      </c>
      <c r="FO1" s="1">
        <f t="shared" si="2"/>
        <v>146</v>
      </c>
      <c r="FP1" s="1">
        <f t="shared" si="2"/>
        <v>147</v>
      </c>
      <c r="FQ1" s="1">
        <f t="shared" si="2"/>
        <v>148</v>
      </c>
      <c r="FR1" s="1">
        <f t="shared" si="2"/>
        <v>149</v>
      </c>
      <c r="FS1" s="1">
        <f t="shared" si="2"/>
        <v>150</v>
      </c>
      <c r="FT1" s="1">
        <f t="shared" si="2"/>
        <v>151</v>
      </c>
      <c r="FU1" s="1">
        <f t="shared" si="2"/>
        <v>152</v>
      </c>
      <c r="FV1" s="1">
        <f t="shared" si="2"/>
        <v>153</v>
      </c>
      <c r="FW1" s="1">
        <f t="shared" si="2"/>
        <v>154</v>
      </c>
      <c r="FX1" s="1">
        <f t="shared" si="2"/>
        <v>155</v>
      </c>
      <c r="FY1" s="1">
        <f t="shared" si="2"/>
        <v>156</v>
      </c>
      <c r="FZ1" s="1">
        <f t="shared" si="2"/>
        <v>157</v>
      </c>
      <c r="GA1" s="1">
        <f t="shared" si="2"/>
        <v>158</v>
      </c>
      <c r="GB1" s="1">
        <f t="shared" si="2"/>
        <v>159</v>
      </c>
      <c r="GC1" s="1">
        <f t="shared" si="2"/>
        <v>160</v>
      </c>
      <c r="GD1" s="1">
        <f t="shared" si="2"/>
        <v>161</v>
      </c>
      <c r="GE1" s="1">
        <f t="shared" si="2"/>
        <v>162</v>
      </c>
      <c r="GF1" s="1">
        <f t="shared" si="2"/>
        <v>163</v>
      </c>
      <c r="GG1" s="1">
        <f t="shared" si="2"/>
        <v>164</v>
      </c>
      <c r="GH1" s="1">
        <f t="shared" si="2"/>
        <v>165</v>
      </c>
      <c r="GI1" s="1">
        <f t="shared" si="2"/>
        <v>166</v>
      </c>
      <c r="GJ1" s="1">
        <f t="shared" si="2"/>
        <v>167</v>
      </c>
      <c r="GK1" s="1">
        <f t="shared" si="2"/>
        <v>168</v>
      </c>
      <c r="GL1" s="1">
        <f t="shared" si="2"/>
        <v>169</v>
      </c>
      <c r="GM1" s="1">
        <f t="shared" si="2"/>
        <v>170</v>
      </c>
      <c r="GN1" s="1">
        <f t="shared" si="2"/>
        <v>171</v>
      </c>
      <c r="GO1" s="1">
        <f t="shared" si="2"/>
        <v>172</v>
      </c>
      <c r="GP1" s="1">
        <f t="shared" si="2"/>
        <v>173</v>
      </c>
      <c r="GQ1" s="1">
        <f t="shared" si="2"/>
        <v>174</v>
      </c>
      <c r="GR1" s="1">
        <f t="shared" si="2"/>
        <v>175</v>
      </c>
      <c r="GS1" s="1">
        <f t="shared" si="2"/>
        <v>176</v>
      </c>
      <c r="GT1" s="1">
        <f t="shared" si="2"/>
        <v>177</v>
      </c>
      <c r="GU1" s="1">
        <f t="shared" si="2"/>
        <v>178</v>
      </c>
      <c r="GV1" s="1">
        <f t="shared" si="2"/>
        <v>179</v>
      </c>
      <c r="GW1" s="1">
        <f t="shared" si="2"/>
        <v>180</v>
      </c>
      <c r="GX1" s="1">
        <f t="shared" si="2"/>
        <v>181</v>
      </c>
      <c r="GY1" s="1">
        <f t="shared" si="2"/>
        <v>182</v>
      </c>
      <c r="GZ1" s="1">
        <f t="shared" si="2"/>
        <v>183</v>
      </c>
      <c r="HA1" s="1">
        <f t="shared" si="2"/>
        <v>184</v>
      </c>
      <c r="HB1" s="1">
        <f t="shared" si="2"/>
        <v>185</v>
      </c>
      <c r="HC1" s="1">
        <f t="shared" si="2"/>
        <v>186</v>
      </c>
      <c r="HD1" s="1">
        <f t="shared" si="2"/>
        <v>187</v>
      </c>
      <c r="HE1" s="1">
        <f t="shared" si="2"/>
        <v>188</v>
      </c>
      <c r="HF1" s="1">
        <f t="shared" si="2"/>
        <v>189</v>
      </c>
      <c r="HG1" s="1">
        <f t="shared" si="2"/>
        <v>190</v>
      </c>
      <c r="HH1" s="1">
        <f t="shared" si="2"/>
        <v>191</v>
      </c>
      <c r="HI1" s="1">
        <f t="shared" si="2"/>
        <v>192</v>
      </c>
      <c r="HJ1" s="1">
        <f t="shared" ref="HJ1:HN1" si="3">+HI1+1</f>
        <v>193</v>
      </c>
      <c r="HK1" s="1">
        <f t="shared" si="3"/>
        <v>194</v>
      </c>
      <c r="HL1" s="1">
        <f t="shared" si="3"/>
        <v>195</v>
      </c>
      <c r="HM1" s="1">
        <f t="shared" si="3"/>
        <v>196</v>
      </c>
      <c r="HN1" s="1">
        <f t="shared" si="3"/>
        <v>197</v>
      </c>
      <c r="HO1" s="1">
        <f t="shared" ref="HO1:HQ1" si="4">+HN1+1</f>
        <v>198</v>
      </c>
      <c r="HP1" s="1">
        <f t="shared" si="4"/>
        <v>199</v>
      </c>
      <c r="HQ1" s="1">
        <f t="shared" si="4"/>
        <v>200</v>
      </c>
    </row>
    <row r="2" spans="1:225" s="5" customFormat="1">
      <c r="C2" s="5">
        <v>44437</v>
      </c>
      <c r="D2" s="5">
        <v>44528</v>
      </c>
      <c r="E2" s="5">
        <v>44619</v>
      </c>
      <c r="F2" s="5">
        <f>+X2</f>
        <v>44710</v>
      </c>
      <c r="G2" s="5">
        <v>44801</v>
      </c>
      <c r="H2" s="5">
        <v>44892</v>
      </c>
      <c r="I2" s="5">
        <v>44983</v>
      </c>
      <c r="J2" s="5">
        <f>+Y2</f>
        <v>44346</v>
      </c>
      <c r="K2" s="5">
        <v>45165</v>
      </c>
      <c r="L2" s="5">
        <v>45256</v>
      </c>
      <c r="M2" s="5">
        <v>45347</v>
      </c>
      <c r="W2" s="5">
        <v>45074</v>
      </c>
      <c r="X2" s="5">
        <v>44710</v>
      </c>
      <c r="Y2" s="5">
        <v>44346</v>
      </c>
    </row>
    <row r="3" spans="1:225"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30</v>
      </c>
      <c r="L3" s="1" t="s">
        <v>6</v>
      </c>
      <c r="M3" s="1" t="s">
        <v>31</v>
      </c>
      <c r="N3" s="1" t="s">
        <v>32</v>
      </c>
      <c r="Q3" s="2">
        <v>2015</v>
      </c>
      <c r="R3" s="2">
        <f>+Q3+1</f>
        <v>2016</v>
      </c>
      <c r="S3" s="2">
        <f t="shared" ref="S3:AI3" si="5">+R3+1</f>
        <v>2017</v>
      </c>
      <c r="T3" s="2">
        <f t="shared" si="5"/>
        <v>2018</v>
      </c>
      <c r="U3" s="2">
        <f t="shared" si="5"/>
        <v>2019</v>
      </c>
      <c r="V3" s="2">
        <f t="shared" si="5"/>
        <v>2020</v>
      </c>
      <c r="W3" s="2">
        <f t="shared" si="5"/>
        <v>2021</v>
      </c>
      <c r="X3" s="2">
        <f t="shared" si="5"/>
        <v>2022</v>
      </c>
      <c r="Y3" s="2">
        <f t="shared" si="5"/>
        <v>2023</v>
      </c>
      <c r="Z3" s="2">
        <f t="shared" si="5"/>
        <v>2024</v>
      </c>
      <c r="AA3" s="2">
        <f t="shared" si="5"/>
        <v>2025</v>
      </c>
      <c r="AB3" s="2">
        <f t="shared" si="5"/>
        <v>2026</v>
      </c>
      <c r="AC3" s="2">
        <f t="shared" si="5"/>
        <v>2027</v>
      </c>
      <c r="AD3" s="2">
        <f t="shared" si="5"/>
        <v>2028</v>
      </c>
      <c r="AE3" s="2">
        <f t="shared" si="5"/>
        <v>2029</v>
      </c>
      <c r="AF3" s="2">
        <f t="shared" si="5"/>
        <v>2030</v>
      </c>
      <c r="AG3" s="2">
        <f t="shared" si="5"/>
        <v>2031</v>
      </c>
      <c r="AH3" s="2">
        <f t="shared" si="5"/>
        <v>2032</v>
      </c>
      <c r="AI3" s="2">
        <f t="shared" si="5"/>
        <v>2033</v>
      </c>
      <c r="AJ3" s="1">
        <f>+AI3+1</f>
        <v>2034</v>
      </c>
      <c r="AK3" s="1">
        <f t="shared" ref="AK3:CV3" si="6">+AJ3+1</f>
        <v>2035</v>
      </c>
      <c r="AL3" s="1">
        <f t="shared" si="6"/>
        <v>2036</v>
      </c>
      <c r="AM3" s="1">
        <f t="shared" si="6"/>
        <v>2037</v>
      </c>
      <c r="AN3" s="1">
        <f t="shared" si="6"/>
        <v>2038</v>
      </c>
      <c r="AO3" s="1">
        <f t="shared" si="6"/>
        <v>2039</v>
      </c>
      <c r="AP3" s="1">
        <f t="shared" si="6"/>
        <v>2040</v>
      </c>
      <c r="AQ3" s="1">
        <f t="shared" si="6"/>
        <v>2041</v>
      </c>
      <c r="AR3" s="1">
        <f t="shared" si="6"/>
        <v>2042</v>
      </c>
      <c r="AS3" s="1">
        <f t="shared" si="6"/>
        <v>2043</v>
      </c>
      <c r="AT3" s="1">
        <f t="shared" si="6"/>
        <v>2044</v>
      </c>
      <c r="AU3" s="1">
        <f t="shared" si="6"/>
        <v>2045</v>
      </c>
      <c r="AV3" s="1">
        <f t="shared" si="6"/>
        <v>2046</v>
      </c>
      <c r="AW3" s="1">
        <f t="shared" si="6"/>
        <v>2047</v>
      </c>
      <c r="AX3" s="1">
        <f t="shared" si="6"/>
        <v>2048</v>
      </c>
      <c r="AY3" s="1">
        <f t="shared" si="6"/>
        <v>2049</v>
      </c>
      <c r="AZ3" s="1">
        <f t="shared" si="6"/>
        <v>2050</v>
      </c>
      <c r="BA3" s="1">
        <f t="shared" si="6"/>
        <v>2051</v>
      </c>
      <c r="BB3" s="1">
        <f t="shared" si="6"/>
        <v>2052</v>
      </c>
      <c r="BC3" s="1">
        <f t="shared" si="6"/>
        <v>2053</v>
      </c>
      <c r="BD3" s="1">
        <f t="shared" si="6"/>
        <v>2054</v>
      </c>
      <c r="BE3" s="1">
        <f t="shared" si="6"/>
        <v>2055</v>
      </c>
      <c r="BF3" s="1">
        <f t="shared" si="6"/>
        <v>2056</v>
      </c>
      <c r="BG3" s="1">
        <f t="shared" si="6"/>
        <v>2057</v>
      </c>
      <c r="BH3" s="1">
        <f t="shared" si="6"/>
        <v>2058</v>
      </c>
      <c r="BI3" s="1">
        <f t="shared" si="6"/>
        <v>2059</v>
      </c>
      <c r="BJ3" s="1">
        <f t="shared" si="6"/>
        <v>2060</v>
      </c>
      <c r="BK3" s="1">
        <f t="shared" si="6"/>
        <v>2061</v>
      </c>
      <c r="BL3" s="1">
        <f t="shared" si="6"/>
        <v>2062</v>
      </c>
      <c r="BM3" s="1">
        <f t="shared" si="6"/>
        <v>2063</v>
      </c>
      <c r="BN3" s="1">
        <f t="shared" si="6"/>
        <v>2064</v>
      </c>
      <c r="BO3" s="1">
        <f t="shared" si="6"/>
        <v>2065</v>
      </c>
      <c r="BP3" s="1">
        <f t="shared" si="6"/>
        <v>2066</v>
      </c>
      <c r="BQ3" s="1">
        <f t="shared" si="6"/>
        <v>2067</v>
      </c>
      <c r="BR3" s="1">
        <f t="shared" si="6"/>
        <v>2068</v>
      </c>
      <c r="BS3" s="1">
        <f t="shared" si="6"/>
        <v>2069</v>
      </c>
      <c r="BT3" s="1">
        <f t="shared" si="6"/>
        <v>2070</v>
      </c>
      <c r="BU3" s="1">
        <f t="shared" si="6"/>
        <v>2071</v>
      </c>
      <c r="BV3" s="1">
        <f t="shared" si="6"/>
        <v>2072</v>
      </c>
      <c r="BW3" s="1">
        <f t="shared" si="6"/>
        <v>2073</v>
      </c>
      <c r="BX3" s="1">
        <f t="shared" si="6"/>
        <v>2074</v>
      </c>
      <c r="BY3" s="1">
        <f t="shared" si="6"/>
        <v>2075</v>
      </c>
      <c r="BZ3" s="1">
        <f t="shared" si="6"/>
        <v>2076</v>
      </c>
      <c r="CA3" s="1">
        <f t="shared" si="6"/>
        <v>2077</v>
      </c>
      <c r="CB3" s="1">
        <f t="shared" si="6"/>
        <v>2078</v>
      </c>
      <c r="CC3" s="1">
        <f t="shared" si="6"/>
        <v>2079</v>
      </c>
      <c r="CD3" s="1">
        <f t="shared" si="6"/>
        <v>2080</v>
      </c>
      <c r="CE3" s="1">
        <f t="shared" si="6"/>
        <v>2081</v>
      </c>
      <c r="CF3" s="1">
        <f t="shared" si="6"/>
        <v>2082</v>
      </c>
      <c r="CG3" s="1">
        <f t="shared" si="6"/>
        <v>2083</v>
      </c>
      <c r="CH3" s="1">
        <f t="shared" si="6"/>
        <v>2084</v>
      </c>
      <c r="CI3" s="1">
        <f t="shared" si="6"/>
        <v>2085</v>
      </c>
      <c r="CJ3" s="1">
        <f t="shared" si="6"/>
        <v>2086</v>
      </c>
      <c r="CK3" s="1">
        <f t="shared" si="6"/>
        <v>2087</v>
      </c>
      <c r="CL3" s="1">
        <f t="shared" si="6"/>
        <v>2088</v>
      </c>
      <c r="CM3" s="1">
        <f t="shared" si="6"/>
        <v>2089</v>
      </c>
      <c r="CN3" s="1">
        <f t="shared" si="6"/>
        <v>2090</v>
      </c>
      <c r="CO3" s="1">
        <f t="shared" si="6"/>
        <v>2091</v>
      </c>
      <c r="CP3" s="1">
        <f t="shared" si="6"/>
        <v>2092</v>
      </c>
      <c r="CQ3" s="1">
        <f t="shared" si="6"/>
        <v>2093</v>
      </c>
      <c r="CR3" s="1">
        <f t="shared" si="6"/>
        <v>2094</v>
      </c>
      <c r="CS3" s="1">
        <f t="shared" si="6"/>
        <v>2095</v>
      </c>
      <c r="CT3" s="1">
        <f t="shared" si="6"/>
        <v>2096</v>
      </c>
      <c r="CU3" s="1">
        <f t="shared" si="6"/>
        <v>2097</v>
      </c>
      <c r="CV3" s="1">
        <f t="shared" si="6"/>
        <v>2098</v>
      </c>
      <c r="CW3" s="1">
        <f t="shared" ref="CW3:FH3" si="7">+CV3+1</f>
        <v>2099</v>
      </c>
      <c r="CX3" s="1">
        <f t="shared" si="7"/>
        <v>2100</v>
      </c>
      <c r="CY3" s="1">
        <f t="shared" si="7"/>
        <v>2101</v>
      </c>
      <c r="CZ3" s="1">
        <f t="shared" si="7"/>
        <v>2102</v>
      </c>
      <c r="DA3" s="1">
        <f t="shared" si="7"/>
        <v>2103</v>
      </c>
      <c r="DB3" s="1">
        <f t="shared" si="7"/>
        <v>2104</v>
      </c>
      <c r="DC3" s="1">
        <f t="shared" si="7"/>
        <v>2105</v>
      </c>
      <c r="DD3" s="1">
        <f t="shared" si="7"/>
        <v>2106</v>
      </c>
      <c r="DE3" s="1">
        <f t="shared" si="7"/>
        <v>2107</v>
      </c>
      <c r="DF3" s="1">
        <f t="shared" si="7"/>
        <v>2108</v>
      </c>
      <c r="DG3" s="1">
        <f t="shared" si="7"/>
        <v>2109</v>
      </c>
      <c r="DH3" s="1">
        <f t="shared" si="7"/>
        <v>2110</v>
      </c>
      <c r="DI3" s="1">
        <f t="shared" si="7"/>
        <v>2111</v>
      </c>
      <c r="DJ3" s="1">
        <f t="shared" si="7"/>
        <v>2112</v>
      </c>
      <c r="DK3" s="1">
        <f t="shared" si="7"/>
        <v>2113</v>
      </c>
      <c r="DL3" s="1">
        <f t="shared" si="7"/>
        <v>2114</v>
      </c>
      <c r="DM3" s="1">
        <f t="shared" si="7"/>
        <v>2115</v>
      </c>
      <c r="DN3" s="1">
        <f t="shared" si="7"/>
        <v>2116</v>
      </c>
      <c r="DO3" s="1">
        <f t="shared" si="7"/>
        <v>2117</v>
      </c>
      <c r="DP3" s="1">
        <f t="shared" si="7"/>
        <v>2118</v>
      </c>
      <c r="DQ3" s="1">
        <f t="shared" si="7"/>
        <v>2119</v>
      </c>
      <c r="DR3" s="1">
        <f t="shared" si="7"/>
        <v>2120</v>
      </c>
      <c r="DS3" s="1">
        <f t="shared" si="7"/>
        <v>2121</v>
      </c>
      <c r="DT3" s="1">
        <f t="shared" si="7"/>
        <v>2122</v>
      </c>
      <c r="DU3" s="1">
        <f t="shared" si="7"/>
        <v>2123</v>
      </c>
      <c r="DV3" s="1">
        <f t="shared" si="7"/>
        <v>2124</v>
      </c>
      <c r="DW3" s="1">
        <f t="shared" si="7"/>
        <v>2125</v>
      </c>
      <c r="DX3" s="1">
        <f t="shared" si="7"/>
        <v>2126</v>
      </c>
      <c r="DY3" s="1">
        <f t="shared" si="7"/>
        <v>2127</v>
      </c>
      <c r="DZ3" s="1">
        <f t="shared" si="7"/>
        <v>2128</v>
      </c>
      <c r="EA3" s="1">
        <f t="shared" si="7"/>
        <v>2129</v>
      </c>
      <c r="EB3" s="1">
        <f t="shared" si="7"/>
        <v>2130</v>
      </c>
      <c r="EC3" s="1">
        <f t="shared" si="7"/>
        <v>2131</v>
      </c>
      <c r="ED3" s="1">
        <f t="shared" si="7"/>
        <v>2132</v>
      </c>
      <c r="EE3" s="1">
        <f t="shared" si="7"/>
        <v>2133</v>
      </c>
      <c r="EF3" s="1">
        <f t="shared" si="7"/>
        <v>2134</v>
      </c>
      <c r="EG3" s="1">
        <f t="shared" si="7"/>
        <v>2135</v>
      </c>
      <c r="EH3" s="1">
        <f t="shared" si="7"/>
        <v>2136</v>
      </c>
      <c r="EI3" s="1">
        <f t="shared" si="7"/>
        <v>2137</v>
      </c>
      <c r="EJ3" s="1">
        <f t="shared" si="7"/>
        <v>2138</v>
      </c>
      <c r="EK3" s="1">
        <f t="shared" si="7"/>
        <v>2139</v>
      </c>
      <c r="EL3" s="1">
        <f t="shared" si="7"/>
        <v>2140</v>
      </c>
      <c r="EM3" s="1">
        <f t="shared" si="7"/>
        <v>2141</v>
      </c>
      <c r="EN3" s="1">
        <f t="shared" si="7"/>
        <v>2142</v>
      </c>
      <c r="EO3" s="1">
        <f t="shared" si="7"/>
        <v>2143</v>
      </c>
      <c r="EP3" s="1">
        <f t="shared" si="7"/>
        <v>2144</v>
      </c>
      <c r="EQ3" s="1">
        <f t="shared" si="7"/>
        <v>2145</v>
      </c>
      <c r="ER3" s="1">
        <f t="shared" si="7"/>
        <v>2146</v>
      </c>
      <c r="ES3" s="1">
        <f t="shared" si="7"/>
        <v>2147</v>
      </c>
      <c r="ET3" s="1">
        <f t="shared" si="7"/>
        <v>2148</v>
      </c>
      <c r="EU3" s="1">
        <f t="shared" si="7"/>
        <v>2149</v>
      </c>
      <c r="EV3" s="1">
        <f t="shared" si="7"/>
        <v>2150</v>
      </c>
      <c r="EW3" s="1">
        <f t="shared" si="7"/>
        <v>2151</v>
      </c>
      <c r="EX3" s="1">
        <f t="shared" si="7"/>
        <v>2152</v>
      </c>
      <c r="EY3" s="1">
        <f t="shared" si="7"/>
        <v>2153</v>
      </c>
      <c r="EZ3" s="1">
        <f t="shared" si="7"/>
        <v>2154</v>
      </c>
      <c r="FA3" s="1">
        <f t="shared" si="7"/>
        <v>2155</v>
      </c>
      <c r="FB3" s="1">
        <f t="shared" si="7"/>
        <v>2156</v>
      </c>
      <c r="FC3" s="1">
        <f t="shared" si="7"/>
        <v>2157</v>
      </c>
      <c r="FD3" s="1">
        <f t="shared" si="7"/>
        <v>2158</v>
      </c>
      <c r="FE3" s="1">
        <f t="shared" si="7"/>
        <v>2159</v>
      </c>
      <c r="FF3" s="1">
        <f t="shared" si="7"/>
        <v>2160</v>
      </c>
      <c r="FG3" s="1">
        <f t="shared" si="7"/>
        <v>2161</v>
      </c>
      <c r="FH3" s="1">
        <f t="shared" si="7"/>
        <v>2162</v>
      </c>
      <c r="FI3" s="1">
        <f t="shared" ref="FI3:HQ3" si="8">+FH3+1</f>
        <v>2163</v>
      </c>
      <c r="FJ3" s="1">
        <f t="shared" si="8"/>
        <v>2164</v>
      </c>
      <c r="FK3" s="1">
        <f t="shared" si="8"/>
        <v>2165</v>
      </c>
      <c r="FL3" s="1">
        <f t="shared" si="8"/>
        <v>2166</v>
      </c>
      <c r="FM3" s="1">
        <f t="shared" si="8"/>
        <v>2167</v>
      </c>
      <c r="FN3" s="1">
        <f t="shared" si="8"/>
        <v>2168</v>
      </c>
      <c r="FO3" s="1">
        <f t="shared" si="8"/>
        <v>2169</v>
      </c>
      <c r="FP3" s="1">
        <f t="shared" si="8"/>
        <v>2170</v>
      </c>
      <c r="FQ3" s="1">
        <f t="shared" si="8"/>
        <v>2171</v>
      </c>
      <c r="FR3" s="1">
        <f t="shared" si="8"/>
        <v>2172</v>
      </c>
      <c r="FS3" s="1">
        <f t="shared" si="8"/>
        <v>2173</v>
      </c>
      <c r="FT3" s="1">
        <f t="shared" si="8"/>
        <v>2174</v>
      </c>
      <c r="FU3" s="1">
        <f t="shared" si="8"/>
        <v>2175</v>
      </c>
      <c r="FV3" s="1">
        <f t="shared" si="8"/>
        <v>2176</v>
      </c>
      <c r="FW3" s="1">
        <f t="shared" si="8"/>
        <v>2177</v>
      </c>
      <c r="FX3" s="1">
        <f t="shared" si="8"/>
        <v>2178</v>
      </c>
      <c r="FY3" s="1">
        <f t="shared" si="8"/>
        <v>2179</v>
      </c>
      <c r="FZ3" s="1">
        <f t="shared" si="8"/>
        <v>2180</v>
      </c>
      <c r="GA3" s="1">
        <f t="shared" si="8"/>
        <v>2181</v>
      </c>
      <c r="GB3" s="1">
        <f t="shared" si="8"/>
        <v>2182</v>
      </c>
      <c r="GC3" s="1">
        <f t="shared" si="8"/>
        <v>2183</v>
      </c>
      <c r="GD3" s="1">
        <f t="shared" si="8"/>
        <v>2184</v>
      </c>
      <c r="GE3" s="1">
        <f t="shared" si="8"/>
        <v>2185</v>
      </c>
      <c r="GF3" s="1">
        <f t="shared" si="8"/>
        <v>2186</v>
      </c>
      <c r="GG3" s="1">
        <f t="shared" si="8"/>
        <v>2187</v>
      </c>
      <c r="GH3" s="1">
        <f t="shared" si="8"/>
        <v>2188</v>
      </c>
      <c r="GI3" s="1">
        <f t="shared" si="8"/>
        <v>2189</v>
      </c>
      <c r="GJ3" s="1">
        <f t="shared" si="8"/>
        <v>2190</v>
      </c>
      <c r="GK3" s="1">
        <f t="shared" si="8"/>
        <v>2191</v>
      </c>
      <c r="GL3" s="1">
        <f t="shared" si="8"/>
        <v>2192</v>
      </c>
      <c r="GM3" s="1">
        <f t="shared" si="8"/>
        <v>2193</v>
      </c>
      <c r="GN3" s="1">
        <f t="shared" si="8"/>
        <v>2194</v>
      </c>
      <c r="GO3" s="1">
        <f t="shared" si="8"/>
        <v>2195</v>
      </c>
      <c r="GP3" s="1">
        <f t="shared" si="8"/>
        <v>2196</v>
      </c>
      <c r="GQ3" s="1">
        <f t="shared" si="8"/>
        <v>2197</v>
      </c>
      <c r="GR3" s="1">
        <f t="shared" si="8"/>
        <v>2198</v>
      </c>
      <c r="GS3" s="1">
        <f t="shared" si="8"/>
        <v>2199</v>
      </c>
      <c r="GT3" s="1">
        <f t="shared" si="8"/>
        <v>2200</v>
      </c>
      <c r="GU3" s="1">
        <f t="shared" si="8"/>
        <v>2201</v>
      </c>
      <c r="GV3" s="1">
        <f t="shared" si="8"/>
        <v>2202</v>
      </c>
      <c r="GW3" s="1">
        <f t="shared" si="8"/>
        <v>2203</v>
      </c>
      <c r="GX3" s="1">
        <f t="shared" si="8"/>
        <v>2204</v>
      </c>
      <c r="GY3" s="1">
        <f t="shared" si="8"/>
        <v>2205</v>
      </c>
      <c r="GZ3" s="1">
        <f t="shared" si="8"/>
        <v>2206</v>
      </c>
      <c r="HA3" s="1">
        <f t="shared" si="8"/>
        <v>2207</v>
      </c>
      <c r="HB3" s="1">
        <f t="shared" si="8"/>
        <v>2208</v>
      </c>
      <c r="HC3" s="1">
        <f t="shared" si="8"/>
        <v>2209</v>
      </c>
      <c r="HD3" s="1">
        <f t="shared" si="8"/>
        <v>2210</v>
      </c>
      <c r="HE3" s="1">
        <f t="shared" si="8"/>
        <v>2211</v>
      </c>
      <c r="HF3" s="1">
        <f t="shared" si="8"/>
        <v>2212</v>
      </c>
      <c r="HG3" s="1">
        <f t="shared" si="8"/>
        <v>2213</v>
      </c>
      <c r="HH3" s="1">
        <f t="shared" si="8"/>
        <v>2214</v>
      </c>
      <c r="HI3" s="1">
        <f t="shared" si="8"/>
        <v>2215</v>
      </c>
      <c r="HJ3" s="1">
        <f t="shared" si="8"/>
        <v>2216</v>
      </c>
      <c r="HK3" s="1">
        <f t="shared" si="8"/>
        <v>2217</v>
      </c>
      <c r="HL3" s="1">
        <f t="shared" si="8"/>
        <v>2218</v>
      </c>
      <c r="HM3" s="1">
        <f t="shared" si="8"/>
        <v>2219</v>
      </c>
      <c r="HN3" s="1">
        <f t="shared" si="8"/>
        <v>2220</v>
      </c>
      <c r="HO3" s="1">
        <f t="shared" si="8"/>
        <v>2221</v>
      </c>
      <c r="HP3" s="1">
        <f t="shared" si="8"/>
        <v>2222</v>
      </c>
      <c r="HQ3" s="1">
        <f t="shared" si="8"/>
        <v>2223</v>
      </c>
    </row>
    <row r="4" spans="1:225">
      <c r="B4" s="1" t="s">
        <v>33</v>
      </c>
      <c r="H4" s="1">
        <v>890</v>
      </c>
      <c r="I4" s="1">
        <v>893</v>
      </c>
      <c r="J4" s="1">
        <v>905</v>
      </c>
      <c r="K4" s="1">
        <v>906</v>
      </c>
      <c r="L4" s="1">
        <v>912</v>
      </c>
      <c r="M4" s="1">
        <v>917</v>
      </c>
      <c r="N4" s="1">
        <v>920</v>
      </c>
      <c r="Q4" s="2"/>
      <c r="R4" s="2"/>
      <c r="S4" s="2"/>
      <c r="T4" s="2"/>
      <c r="U4" s="2">
        <v>866</v>
      </c>
      <c r="V4" s="2">
        <v>868</v>
      </c>
      <c r="W4" s="2">
        <v>875</v>
      </c>
      <c r="X4" s="2">
        <v>884</v>
      </c>
      <c r="Y4" s="2">
        <f>+J4</f>
        <v>905</v>
      </c>
      <c r="Z4" s="2">
        <f>+N4</f>
        <v>920</v>
      </c>
      <c r="AA4" s="2"/>
      <c r="AB4" s="2"/>
      <c r="AC4" s="2"/>
      <c r="AD4" s="2"/>
      <c r="AE4" s="2"/>
      <c r="AF4" s="2"/>
      <c r="AG4" s="2"/>
      <c r="AH4" s="2"/>
    </row>
    <row r="5" spans="1:225">
      <c r="B5" s="1" t="s">
        <v>34</v>
      </c>
      <c r="H5" s="1">
        <v>553</v>
      </c>
      <c r="I5" s="1">
        <v>554</v>
      </c>
      <c r="J5" s="1">
        <v>562</v>
      </c>
      <c r="K5" s="1">
        <v>562</v>
      </c>
      <c r="L5" s="1">
        <v>566</v>
      </c>
      <c r="M5" s="1">
        <v>572</v>
      </c>
      <c r="N5" s="1">
        <v>575</v>
      </c>
      <c r="Q5" s="2"/>
      <c r="R5" s="2"/>
      <c r="S5" s="2"/>
      <c r="T5" s="2"/>
      <c r="U5" s="2">
        <v>514</v>
      </c>
      <c r="V5" s="2">
        <v>522</v>
      </c>
      <c r="W5" s="2">
        <v>533</v>
      </c>
      <c r="X5" s="2">
        <v>546</v>
      </c>
      <c r="Y5" s="2">
        <f t="shared" ref="Y5:Y13" si="9">+J5</f>
        <v>562</v>
      </c>
      <c r="Z5" s="2">
        <f t="shared" ref="Z5:Z13" si="10">+N5</f>
        <v>575</v>
      </c>
      <c r="AA5" s="2"/>
      <c r="AB5" s="2"/>
      <c r="AC5" s="2"/>
      <c r="AD5" s="2"/>
      <c r="AE5" s="2"/>
      <c r="AF5" s="2"/>
      <c r="AG5" s="2"/>
      <c r="AH5" s="2"/>
    </row>
    <row r="6" spans="1:225">
      <c r="A6" s="1" t="s">
        <v>63</v>
      </c>
      <c r="B6" s="1" t="s">
        <v>35</v>
      </c>
      <c r="H6" s="1">
        <v>179</v>
      </c>
      <c r="I6" s="1">
        <v>179</v>
      </c>
      <c r="J6" s="1">
        <v>180</v>
      </c>
      <c r="K6" s="1">
        <v>183</v>
      </c>
      <c r="L6" s="1">
        <v>182</v>
      </c>
      <c r="M6" s="1">
        <v>181</v>
      </c>
      <c r="N6" s="1">
        <v>181</v>
      </c>
      <c r="Q6" s="2"/>
      <c r="R6" s="2"/>
      <c r="S6" s="2"/>
      <c r="T6" s="2"/>
      <c r="U6" s="2">
        <v>161</v>
      </c>
      <c r="V6" s="2">
        <v>165</v>
      </c>
      <c r="W6" s="2">
        <v>170</v>
      </c>
      <c r="X6" s="2">
        <v>172</v>
      </c>
      <c r="Y6" s="2">
        <f t="shared" si="9"/>
        <v>180</v>
      </c>
      <c r="Z6" s="2">
        <f t="shared" si="10"/>
        <v>181</v>
      </c>
      <c r="AA6" s="2"/>
      <c r="AB6" s="2"/>
      <c r="AC6" s="2"/>
      <c r="AD6" s="2"/>
      <c r="AE6" s="2"/>
      <c r="AF6" s="2"/>
      <c r="AG6" s="2"/>
      <c r="AH6" s="2"/>
    </row>
    <row r="7" spans="1:225">
      <c r="A7" s="1" t="s">
        <v>63</v>
      </c>
      <c r="B7" s="1" t="s">
        <v>36</v>
      </c>
      <c r="H7" s="1">
        <v>85</v>
      </c>
      <c r="I7" s="1">
        <v>86</v>
      </c>
      <c r="J7" s="1">
        <v>86</v>
      </c>
      <c r="K7" s="1">
        <v>86</v>
      </c>
      <c r="L7" s="1">
        <v>87</v>
      </c>
      <c r="M7" s="1">
        <v>88</v>
      </c>
      <c r="N7" s="1">
        <v>88</v>
      </c>
      <c r="Q7" s="2"/>
      <c r="R7" s="2"/>
      <c r="S7" s="2"/>
      <c r="T7" s="2"/>
      <c r="U7" s="2">
        <v>79</v>
      </c>
      <c r="V7" s="2">
        <v>81</v>
      </c>
      <c r="W7" s="2">
        <v>81</v>
      </c>
      <c r="X7" s="2">
        <v>85</v>
      </c>
      <c r="Y7" s="2">
        <f t="shared" si="9"/>
        <v>86</v>
      </c>
      <c r="Z7" s="2">
        <f t="shared" si="10"/>
        <v>88</v>
      </c>
      <c r="AA7" s="2"/>
      <c r="AB7" s="2"/>
      <c r="AC7" s="2"/>
      <c r="AD7" s="2"/>
      <c r="AE7" s="2"/>
      <c r="AF7" s="2"/>
      <c r="AG7" s="2"/>
      <c r="AH7" s="2"/>
    </row>
    <row r="8" spans="1:225">
      <c r="A8" s="1" t="s">
        <v>58</v>
      </c>
      <c r="B8" s="1" t="s">
        <v>41</v>
      </c>
      <c r="H8" s="1">
        <v>0</v>
      </c>
      <c r="I8" s="1">
        <v>0</v>
      </c>
      <c r="J8" s="1">
        <v>0</v>
      </c>
      <c r="K8" s="1">
        <v>77</v>
      </c>
      <c r="L8" s="1">
        <v>78</v>
      </c>
      <c r="M8" s="1">
        <v>79</v>
      </c>
      <c r="N8" s="1">
        <v>80</v>
      </c>
      <c r="Q8" s="2"/>
      <c r="R8" s="2"/>
      <c r="S8" s="2"/>
      <c r="T8" s="2"/>
      <c r="U8" s="2"/>
      <c r="Y8" s="2">
        <f t="shared" si="9"/>
        <v>0</v>
      </c>
      <c r="Z8" s="2">
        <f t="shared" si="10"/>
        <v>80</v>
      </c>
      <c r="AA8" s="2"/>
      <c r="AB8" s="2"/>
      <c r="AC8" s="2"/>
      <c r="AD8" s="2"/>
      <c r="AE8" s="2"/>
      <c r="AF8" s="2"/>
      <c r="AG8" s="2"/>
      <c r="AH8" s="2"/>
    </row>
    <row r="9" spans="1:225">
      <c r="A9" s="1" t="s">
        <v>58</v>
      </c>
      <c r="B9" s="1" t="s">
        <v>37</v>
      </c>
      <c r="H9" s="1">
        <v>61</v>
      </c>
      <c r="I9" s="1">
        <v>61</v>
      </c>
      <c r="J9" s="1">
        <v>62</v>
      </c>
      <c r="K9" s="1">
        <v>64</v>
      </c>
      <c r="L9" s="1">
        <v>64</v>
      </c>
      <c r="M9" s="1">
        <v>64</v>
      </c>
      <c r="N9" s="1">
        <v>66</v>
      </c>
      <c r="Q9" s="2"/>
      <c r="R9" s="2"/>
      <c r="S9" s="2"/>
      <c r="T9" s="2"/>
      <c r="U9" s="2">
        <v>58</v>
      </c>
      <c r="V9" s="2">
        <v>60</v>
      </c>
      <c r="W9" s="2">
        <v>60</v>
      </c>
      <c r="X9" s="2">
        <v>62</v>
      </c>
      <c r="Y9" s="2">
        <f t="shared" si="9"/>
        <v>62</v>
      </c>
      <c r="Z9" s="2">
        <f t="shared" si="10"/>
        <v>66</v>
      </c>
      <c r="AA9" s="2"/>
      <c r="AB9" s="2"/>
      <c r="AC9" s="2"/>
      <c r="AD9" s="2"/>
      <c r="AE9" s="2"/>
      <c r="AF9" s="2"/>
      <c r="AG9" s="2"/>
      <c r="AH9" s="2"/>
    </row>
    <row r="10" spans="1:225">
      <c r="A10" s="1" t="s">
        <v>63</v>
      </c>
      <c r="B10" s="1" t="s">
        <v>38</v>
      </c>
      <c r="H10" s="1">
        <v>45</v>
      </c>
      <c r="I10" s="1">
        <v>43</v>
      </c>
      <c r="J10" s="1">
        <v>44</v>
      </c>
      <c r="K10" s="1">
        <v>44</v>
      </c>
      <c r="L10" s="1">
        <v>44</v>
      </c>
      <c r="M10" s="1">
        <v>44</v>
      </c>
      <c r="N10" s="1">
        <v>44</v>
      </c>
      <c r="Q10" s="2"/>
      <c r="R10" s="2"/>
      <c r="S10" s="2"/>
      <c r="T10" s="2"/>
      <c r="U10" s="2">
        <v>44</v>
      </c>
      <c r="V10" s="2">
        <v>44</v>
      </c>
      <c r="W10" s="2">
        <v>44</v>
      </c>
      <c r="X10" s="2">
        <v>45</v>
      </c>
      <c r="Y10" s="2">
        <f t="shared" si="9"/>
        <v>44</v>
      </c>
      <c r="Z10" s="2">
        <f t="shared" si="10"/>
        <v>44</v>
      </c>
      <c r="AA10" s="2"/>
      <c r="AB10" s="2"/>
      <c r="AC10" s="2"/>
      <c r="AD10" s="2"/>
      <c r="AE10" s="2"/>
      <c r="AF10" s="2"/>
      <c r="AG10" s="2"/>
      <c r="AH10" s="2"/>
    </row>
    <row r="11" spans="1:225">
      <c r="A11" s="1" t="s">
        <v>63</v>
      </c>
      <c r="B11" s="1" t="s">
        <v>39</v>
      </c>
      <c r="H11" s="1">
        <v>42</v>
      </c>
      <c r="I11" s="1">
        <v>42</v>
      </c>
      <c r="J11" s="1">
        <v>42</v>
      </c>
      <c r="K11" s="1">
        <v>42</v>
      </c>
      <c r="L11" s="1">
        <v>42</v>
      </c>
      <c r="M11" s="1">
        <v>43</v>
      </c>
      <c r="N11" s="1">
        <v>43</v>
      </c>
      <c r="Q11" s="2"/>
      <c r="R11" s="2"/>
      <c r="S11" s="2"/>
      <c r="T11" s="2"/>
      <c r="U11" s="2">
        <v>42</v>
      </c>
      <c r="V11" s="2">
        <v>41</v>
      </c>
      <c r="W11" s="2">
        <v>42</v>
      </c>
      <c r="X11" s="2">
        <v>42</v>
      </c>
      <c r="Y11" s="2">
        <f t="shared" si="9"/>
        <v>42</v>
      </c>
      <c r="Z11" s="2">
        <f t="shared" si="10"/>
        <v>43</v>
      </c>
      <c r="AA11" s="2"/>
      <c r="AB11" s="2"/>
      <c r="AC11" s="2"/>
      <c r="AD11" s="2"/>
      <c r="AE11" s="2"/>
      <c r="AF11" s="2"/>
      <c r="AG11" s="2"/>
      <c r="AH11" s="2"/>
    </row>
    <row r="12" spans="1:225">
      <c r="A12" s="1" t="s">
        <v>58</v>
      </c>
      <c r="B12" s="1" t="s">
        <v>40</v>
      </c>
      <c r="H12" s="1">
        <v>29</v>
      </c>
      <c r="I12" s="1">
        <v>29</v>
      </c>
      <c r="J12" s="1">
        <v>29</v>
      </c>
      <c r="K12" s="1">
        <v>30</v>
      </c>
      <c r="L12" s="1">
        <v>31</v>
      </c>
      <c r="M12" s="1">
        <v>30</v>
      </c>
      <c r="N12" s="1">
        <v>30</v>
      </c>
      <c r="Q12" s="2"/>
      <c r="R12" s="2"/>
      <c r="S12" s="2"/>
      <c r="T12" s="2"/>
      <c r="U12" s="2">
        <v>21</v>
      </c>
      <c r="V12" s="2">
        <v>23</v>
      </c>
      <c r="W12" s="2">
        <v>26</v>
      </c>
      <c r="X12" s="2">
        <v>28</v>
      </c>
      <c r="Y12" s="2">
        <f t="shared" si="9"/>
        <v>29</v>
      </c>
      <c r="Z12" s="2">
        <f t="shared" si="10"/>
        <v>30</v>
      </c>
      <c r="AA12" s="2"/>
      <c r="AB12" s="2"/>
      <c r="AC12" s="2"/>
      <c r="AD12" s="2"/>
      <c r="AE12" s="2"/>
      <c r="AF12" s="2"/>
      <c r="AG12" s="2"/>
      <c r="AH12" s="2"/>
    </row>
    <row r="13" spans="1:225">
      <c r="A13" s="1" t="s">
        <v>63</v>
      </c>
      <c r="B13" s="1" t="s">
        <v>44</v>
      </c>
      <c r="H13" s="1">
        <v>3</v>
      </c>
      <c r="I13" s="1">
        <v>3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Q13" s="2"/>
      <c r="R13" s="2"/>
      <c r="S13" s="2"/>
      <c r="T13" s="2"/>
      <c r="U13" s="2">
        <v>0</v>
      </c>
      <c r="V13" s="2">
        <v>0</v>
      </c>
      <c r="W13" s="2">
        <v>3</v>
      </c>
      <c r="X13" s="2">
        <v>3</v>
      </c>
      <c r="Y13" s="2">
        <f t="shared" si="9"/>
        <v>4</v>
      </c>
      <c r="Z13" s="2">
        <f t="shared" si="10"/>
        <v>4</v>
      </c>
      <c r="AA13" s="2"/>
      <c r="AB13" s="2"/>
      <c r="AC13" s="2"/>
      <c r="AD13" s="2"/>
      <c r="AE13" s="2"/>
      <c r="AF13" s="2"/>
      <c r="AG13" s="2"/>
      <c r="AH13" s="2"/>
    </row>
    <row r="14" spans="1:225" s="6" customFormat="1">
      <c r="B14" s="6" t="s">
        <v>42</v>
      </c>
      <c r="H14" s="6">
        <f t="shared" ref="H14:N14" si="11">+SUM(H4:H13)</f>
        <v>1887</v>
      </c>
      <c r="I14" s="6">
        <f t="shared" si="11"/>
        <v>1890</v>
      </c>
      <c r="J14" s="6">
        <f t="shared" si="11"/>
        <v>1914</v>
      </c>
      <c r="K14" s="6">
        <f t="shared" si="11"/>
        <v>1998</v>
      </c>
      <c r="L14" s="6">
        <f t="shared" si="11"/>
        <v>2010</v>
      </c>
      <c r="M14" s="6">
        <f t="shared" si="11"/>
        <v>2022</v>
      </c>
      <c r="N14" s="6">
        <f t="shared" si="11"/>
        <v>2031</v>
      </c>
      <c r="U14" s="6">
        <f>+SUM(U4:U13)</f>
        <v>1785</v>
      </c>
      <c r="V14" s="6">
        <f>+SUM(V4:V13)</f>
        <v>1804</v>
      </c>
      <c r="W14" s="6">
        <f>+SUM(W4:W13)</f>
        <v>1834</v>
      </c>
      <c r="X14" s="6">
        <f>+SUM(X4:X13)</f>
        <v>1867</v>
      </c>
      <c r="Y14" s="6">
        <f>+SUM(Y4:Y13)</f>
        <v>1914</v>
      </c>
      <c r="Z14" s="6">
        <f>+SUM(Z4:Z13)</f>
        <v>2031</v>
      </c>
      <c r="AA14" s="6">
        <f>+Z14+100</f>
        <v>2131</v>
      </c>
      <c r="AB14" s="6">
        <f t="shared" ref="AB14:AI14" si="12">+AA14+100</f>
        <v>2231</v>
      </c>
      <c r="AC14" s="6">
        <f t="shared" si="12"/>
        <v>2331</v>
      </c>
      <c r="AD14" s="6">
        <f t="shared" si="12"/>
        <v>2431</v>
      </c>
      <c r="AE14" s="6">
        <f t="shared" si="12"/>
        <v>2531</v>
      </c>
      <c r="AF14" s="6">
        <f t="shared" si="12"/>
        <v>2631</v>
      </c>
      <c r="AG14" s="6">
        <f t="shared" si="12"/>
        <v>2731</v>
      </c>
      <c r="AH14" s="6">
        <f t="shared" si="12"/>
        <v>2831</v>
      </c>
      <c r="AI14" s="6">
        <f t="shared" si="12"/>
        <v>2931</v>
      </c>
    </row>
    <row r="15" spans="1:225"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225" s="7" customFormat="1">
      <c r="B16" s="7" t="s">
        <v>59</v>
      </c>
      <c r="H16" s="7">
        <f>+H26/H14</f>
        <v>1.3177000529941707</v>
      </c>
      <c r="I16" s="7">
        <f>+I26/I14</f>
        <v>1.4741798941798943</v>
      </c>
      <c r="J16" s="7">
        <f>+J26/J14</f>
        <v>1.4467084639498433</v>
      </c>
      <c r="K16" s="7">
        <f>+K26/K14</f>
        <v>1.3666666666666667</v>
      </c>
      <c r="L16" s="7">
        <f>+L26/L14</f>
        <v>1.3568656716417911</v>
      </c>
      <c r="M16" s="7">
        <f>+M22/M4</f>
        <v>1.4287895310796075</v>
      </c>
      <c r="N16" s="7">
        <f>+N22/N4</f>
        <v>1.388586956521739</v>
      </c>
      <c r="U16" s="7">
        <f t="shared" ref="U16:Z16" si="13">+U26/U14</f>
        <v>4.7677310924369749</v>
      </c>
      <c r="V16" s="7">
        <f t="shared" si="13"/>
        <v>4.3270509977827052</v>
      </c>
      <c r="W16" s="7">
        <f t="shared" si="13"/>
        <v>3.9237186477644497</v>
      </c>
      <c r="X16" s="7">
        <f t="shared" si="13"/>
        <v>5.158007498660953</v>
      </c>
      <c r="Y16" s="7">
        <f t="shared" si="13"/>
        <v>5.4795193312434689</v>
      </c>
      <c r="Z16" s="7">
        <f t="shared" si="13"/>
        <v>5.6080748399803051</v>
      </c>
      <c r="AA16" s="7">
        <f>+Z16*0.98</f>
        <v>5.4959133431806988</v>
      </c>
      <c r="AB16" s="7">
        <f t="shared" ref="AB16:AI16" si="14">+AA16*1.01</f>
        <v>5.5508724766125059</v>
      </c>
      <c r="AC16" s="7">
        <f t="shared" si="14"/>
        <v>5.6063812013786309</v>
      </c>
      <c r="AD16" s="7">
        <f t="shared" si="14"/>
        <v>5.6624450133924169</v>
      </c>
      <c r="AE16" s="7">
        <f t="shared" si="14"/>
        <v>5.719069463526341</v>
      </c>
      <c r="AF16" s="7">
        <f t="shared" si="14"/>
        <v>5.7762601581616044</v>
      </c>
      <c r="AG16" s="7">
        <f t="shared" si="14"/>
        <v>5.8340227597432204</v>
      </c>
      <c r="AH16" s="7">
        <f t="shared" si="14"/>
        <v>5.8923629873406522</v>
      </c>
      <c r="AI16" s="7">
        <f t="shared" si="14"/>
        <v>5.951286617214059</v>
      </c>
    </row>
    <row r="17" spans="2:35" s="7" customFormat="1">
      <c r="B17" s="7" t="s">
        <v>60</v>
      </c>
      <c r="H17" s="7">
        <f t="shared" ref="H17:L17" si="15">+H23/H5</f>
        <v>1.0858951175406872</v>
      </c>
      <c r="I17" s="7">
        <f t="shared" si="15"/>
        <v>1.2554151624548737</v>
      </c>
      <c r="J17" s="7">
        <f t="shared" si="15"/>
        <v>1.266370106761566</v>
      </c>
      <c r="K17" s="7">
        <f t="shared" si="15"/>
        <v>1.1918149466192169</v>
      </c>
      <c r="L17" s="7">
        <f t="shared" si="15"/>
        <v>1.1360424028268552</v>
      </c>
      <c r="M17" s="7">
        <f>+M23/M5</f>
        <v>1.2774475524475526</v>
      </c>
      <c r="N17" s="7">
        <f>+N23/N5</f>
        <v>1.3264347826086953</v>
      </c>
    </row>
    <row r="18" spans="2:35" s="7" customFormat="1">
      <c r="B18" s="7" t="s">
        <v>61</v>
      </c>
      <c r="C18" s="7" t="s">
        <v>64</v>
      </c>
      <c r="E18" s="7" t="s">
        <v>64</v>
      </c>
      <c r="H18" s="7">
        <f t="shared" ref="H18:L18" si="16">H24/SUMIF($A$4:$A$13,"FD",$M4:$M13)</f>
        <v>1.1676300578034682</v>
      </c>
      <c r="I18" s="7">
        <f t="shared" si="16"/>
        <v>1.3618497109826588</v>
      </c>
      <c r="J18" s="7">
        <f t="shared" si="16"/>
        <v>1.2127167630057805</v>
      </c>
      <c r="K18" s="7">
        <f t="shared" si="16"/>
        <v>1.5809248554913296</v>
      </c>
      <c r="L18" s="7">
        <f t="shared" si="16"/>
        <v>1.8381502890173411</v>
      </c>
      <c r="M18" s="7">
        <f>M24/SUMIF($A$4:$A$13,"FD",$M4:$M13)</f>
        <v>2.1554913294797688</v>
      </c>
      <c r="N18" s="7">
        <f>N24/SUMIF($A$4:$A$13,"FD",$M4:$M13)</f>
        <v>1.8907514450867053</v>
      </c>
    </row>
    <row r="19" spans="2:35" s="7" customFormat="1">
      <c r="B19" s="7" t="s">
        <v>62</v>
      </c>
      <c r="H19" s="7">
        <f t="shared" ref="H19:L19" si="17">H25/SUMIF($A$4:$A$13,"Other",$M5:$M14)</f>
        <v>0.22427055702917773</v>
      </c>
      <c r="I19" s="7">
        <f t="shared" si="17"/>
        <v>0.24487179487179486</v>
      </c>
      <c r="J19" s="7">
        <f t="shared" si="17"/>
        <v>0.25565870910698496</v>
      </c>
      <c r="K19" s="7">
        <f t="shared" si="17"/>
        <v>0.24730327144120245</v>
      </c>
      <c r="L19" s="7">
        <f t="shared" si="17"/>
        <v>0.22763041556145003</v>
      </c>
      <c r="M19" s="7">
        <f>M25/SUMIF($A$4:$A$13,"Other",$M5:$M14)</f>
        <v>0.24801061007957559</v>
      </c>
      <c r="N19" s="7">
        <f>N25/SUMIF($A$4:$A$13,"Other",$M5:$M14)</f>
        <v>0.26083112290008853</v>
      </c>
    </row>
    <row r="20" spans="2:35"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2:35" s="8" customFormat="1">
      <c r="B21" s="8" t="s">
        <v>99</v>
      </c>
      <c r="K21" s="8">
        <v>0.05</v>
      </c>
      <c r="L21" s="8">
        <v>2.8000000000000001E-2</v>
      </c>
      <c r="M21" s="8">
        <v>-0.01</v>
      </c>
    </row>
    <row r="22" spans="2:35">
      <c r="B22" s="1" t="s">
        <v>54</v>
      </c>
      <c r="C22" s="1">
        <v>1090.4000000000001</v>
      </c>
      <c r="D22" s="1">
        <v>1077.2</v>
      </c>
      <c r="E22" s="1">
        <v>1142.5999999999999</v>
      </c>
      <c r="F22" s="1">
        <v>1193.7</v>
      </c>
      <c r="G22" s="1">
        <v>1130.7</v>
      </c>
      <c r="H22" s="1">
        <v>1176.7</v>
      </c>
      <c r="I22" s="1">
        <v>1301.2</v>
      </c>
      <c r="J22" s="1">
        <v>1269.2</v>
      </c>
      <c r="K22" s="1">
        <v>1227.9000000000001</v>
      </c>
      <c r="L22" s="1">
        <v>1251.4000000000001</v>
      </c>
      <c r="M22" s="1">
        <v>1310.2</v>
      </c>
      <c r="N22" s="1">
        <f>+Z22-SUM(K22:M22)</f>
        <v>1277.5</v>
      </c>
      <c r="Y22" s="1">
        <f>SUM(G22:J22)</f>
        <v>4877.8</v>
      </c>
      <c r="Z22" s="1">
        <v>5067</v>
      </c>
    </row>
    <row r="23" spans="2:35">
      <c r="B23" s="1" t="s">
        <v>55</v>
      </c>
      <c r="C23" s="1">
        <v>567.1</v>
      </c>
      <c r="D23" s="1">
        <v>547.20000000000005</v>
      </c>
      <c r="E23" s="1">
        <v>612.70000000000005</v>
      </c>
      <c r="F23" s="1">
        <v>647.29999999999995</v>
      </c>
      <c r="G23" s="1">
        <v>604.6</v>
      </c>
      <c r="H23" s="1">
        <v>600.5</v>
      </c>
      <c r="I23" s="1">
        <v>695.5</v>
      </c>
      <c r="J23" s="1">
        <v>711.7</v>
      </c>
      <c r="K23" s="1">
        <v>669.8</v>
      </c>
      <c r="L23" s="1">
        <v>643</v>
      </c>
      <c r="M23" s="1">
        <v>730.7</v>
      </c>
      <c r="N23" s="1">
        <f t="shared" ref="N23:N36" si="18">+Z23-SUM(K23:M23)</f>
        <v>762.69999999999982</v>
      </c>
      <c r="Y23" s="1">
        <f t="shared" ref="Y23:Y25" si="19">SUM(G23:J23)</f>
        <v>2612.3000000000002</v>
      </c>
      <c r="Z23" s="1">
        <v>2806.2</v>
      </c>
    </row>
    <row r="24" spans="2:35">
      <c r="B24" s="1" t="s">
        <v>56</v>
      </c>
      <c r="C24" s="1">
        <v>168.8</v>
      </c>
      <c r="D24" s="1">
        <v>188.7</v>
      </c>
      <c r="E24" s="1">
        <v>208.2</v>
      </c>
      <c r="F24" s="1">
        <v>210.5</v>
      </c>
      <c r="G24" s="1">
        <v>183.4</v>
      </c>
      <c r="H24" s="1">
        <v>202</v>
      </c>
      <c r="I24" s="1">
        <v>235.6</v>
      </c>
      <c r="J24" s="1">
        <v>209.8</v>
      </c>
      <c r="K24" s="1">
        <v>273.5</v>
      </c>
      <c r="L24" s="1">
        <v>318</v>
      </c>
      <c r="M24" s="1">
        <v>372.9</v>
      </c>
      <c r="N24" s="1">
        <f t="shared" si="18"/>
        <v>327.10000000000002</v>
      </c>
      <c r="Y24" s="1">
        <f t="shared" si="19"/>
        <v>830.8</v>
      </c>
      <c r="Z24" s="1">
        <v>1291.5</v>
      </c>
    </row>
    <row r="25" spans="2:35">
      <c r="B25" s="1" t="s">
        <v>57</v>
      </c>
      <c r="C25" s="1">
        <v>479.7</v>
      </c>
      <c r="D25" s="1">
        <v>459.1</v>
      </c>
      <c r="E25" s="1">
        <v>485.4</v>
      </c>
      <c r="F25" s="1">
        <v>551.4</v>
      </c>
      <c r="G25" s="1">
        <v>527.4</v>
      </c>
      <c r="H25" s="1">
        <v>507.3</v>
      </c>
      <c r="I25" s="1">
        <v>553.9</v>
      </c>
      <c r="J25" s="1">
        <v>578.29999999999995</v>
      </c>
      <c r="K25" s="1">
        <v>559.4</v>
      </c>
      <c r="L25" s="1">
        <v>514.9</v>
      </c>
      <c r="M25" s="1">
        <v>561</v>
      </c>
      <c r="N25" s="1">
        <f t="shared" si="18"/>
        <v>590.00000000000023</v>
      </c>
      <c r="Y25" s="1">
        <f t="shared" si="19"/>
        <v>2166.8999999999996</v>
      </c>
      <c r="Z25" s="1">
        <v>2225.3000000000002</v>
      </c>
    </row>
    <row r="26" spans="2:35" s="6" customFormat="1">
      <c r="B26" s="6" t="s">
        <v>15</v>
      </c>
      <c r="C26" s="6">
        <f t="shared" ref="C26:M26" si="20">SUM(C22:C25)</f>
        <v>2306</v>
      </c>
      <c r="D26" s="6">
        <f t="shared" si="20"/>
        <v>2272.2000000000003</v>
      </c>
      <c r="E26" s="6">
        <f t="shared" si="20"/>
        <v>2448.9</v>
      </c>
      <c r="F26" s="6">
        <f t="shared" si="20"/>
        <v>2602.9</v>
      </c>
      <c r="G26" s="6">
        <f t="shared" si="20"/>
        <v>2446.1000000000004</v>
      </c>
      <c r="H26" s="6">
        <f t="shared" si="20"/>
        <v>2486.5</v>
      </c>
      <c r="I26" s="6">
        <f t="shared" si="20"/>
        <v>2786.2000000000003</v>
      </c>
      <c r="J26" s="6">
        <f t="shared" si="20"/>
        <v>2769</v>
      </c>
      <c r="K26" s="6">
        <f t="shared" si="20"/>
        <v>2730.6</v>
      </c>
      <c r="L26" s="6">
        <f t="shared" si="20"/>
        <v>2727.3</v>
      </c>
      <c r="M26" s="6">
        <f t="shared" si="20"/>
        <v>2974.8</v>
      </c>
      <c r="N26" s="6">
        <f t="shared" si="18"/>
        <v>2957.2999999999993</v>
      </c>
      <c r="T26" s="6">
        <v>8080.1</v>
      </c>
      <c r="U26" s="6">
        <v>8510.4</v>
      </c>
      <c r="V26" s="6">
        <v>7806</v>
      </c>
      <c r="W26" s="6">
        <v>7196.1</v>
      </c>
      <c r="X26" s="6">
        <v>9630</v>
      </c>
      <c r="Y26" s="6">
        <v>10487.8</v>
      </c>
      <c r="Z26" s="6">
        <f>SUM(Z22:Z25)</f>
        <v>11390</v>
      </c>
      <c r="AA26" s="6">
        <f t="shared" ref="AA26:AI26" si="21">+AA14*AA16</f>
        <v>11711.79133431807</v>
      </c>
      <c r="AB26" s="6">
        <f t="shared" si="21"/>
        <v>12383.996495322501</v>
      </c>
      <c r="AC26" s="6">
        <f t="shared" si="21"/>
        <v>13068.474580413589</v>
      </c>
      <c r="AD26" s="6">
        <f t="shared" si="21"/>
        <v>13765.403827556966</v>
      </c>
      <c r="AE26" s="6">
        <f t="shared" si="21"/>
        <v>14474.96481218517</v>
      </c>
      <c r="AF26" s="6">
        <f t="shared" si="21"/>
        <v>15197.340476123181</v>
      </c>
      <c r="AG26" s="6">
        <f t="shared" si="21"/>
        <v>15932.716156858734</v>
      </c>
      <c r="AH26" s="6">
        <f t="shared" si="21"/>
        <v>16681.279617161388</v>
      </c>
      <c r="AI26" s="6">
        <f t="shared" si="21"/>
        <v>17443.221075054407</v>
      </c>
    </row>
    <row r="27" spans="2:35">
      <c r="B27" s="1" t="s">
        <v>16</v>
      </c>
      <c r="C27" s="1">
        <v>685.4</v>
      </c>
      <c r="D27" s="1">
        <v>694.1</v>
      </c>
      <c r="E27" s="1">
        <v>752.7</v>
      </c>
      <c r="F27" s="1">
        <f t="shared" ref="F27:F36" si="22">+X27-SUM(C27:E27)</f>
        <v>811.40000000000009</v>
      </c>
      <c r="G27" s="1">
        <v>795.3</v>
      </c>
      <c r="H27" s="1">
        <v>818.3</v>
      </c>
      <c r="I27" s="1">
        <v>887</v>
      </c>
      <c r="J27" s="1">
        <f t="shared" ref="J27:J36" si="23">+Y27-SUM(G27:I27)</f>
        <v>855.30000000000018</v>
      </c>
      <c r="K27" s="1">
        <v>851</v>
      </c>
      <c r="L27" s="1">
        <v>845.8</v>
      </c>
      <c r="M27" s="1">
        <v>920.2</v>
      </c>
      <c r="N27" s="1">
        <f t="shared" si="18"/>
        <v>906.90000000000009</v>
      </c>
      <c r="V27" s="1">
        <v>2240.8000000000002</v>
      </c>
      <c r="W27" s="1">
        <v>2072.1</v>
      </c>
      <c r="X27" s="1">
        <v>2943.6</v>
      </c>
      <c r="Y27" s="1">
        <v>3355.9</v>
      </c>
      <c r="Z27" s="1">
        <v>3523.9</v>
      </c>
      <c r="AA27" s="1">
        <f>+AA$26*(Z27/Z$26)</f>
        <v>3623.4575489906451</v>
      </c>
      <c r="AB27" s="1">
        <f t="shared" ref="AB27:AH27" si="24">+AB$26*(AA27/AA$26)</f>
        <v>3831.4280289611033</v>
      </c>
      <c r="AC27" s="1">
        <f t="shared" si="24"/>
        <v>4043.1955727760715</v>
      </c>
      <c r="AD27" s="1">
        <f t="shared" si="24"/>
        <v>4258.8153246644424</v>
      </c>
      <c r="AE27" s="1">
        <f t="shared" si="24"/>
        <v>4478.3431520333033</v>
      </c>
      <c r="AF27" s="1">
        <f t="shared" si="24"/>
        <v>4701.8356544170747</v>
      </c>
      <c r="AG27" s="1">
        <f t="shared" si="24"/>
        <v>4929.350172533319</v>
      </c>
      <c r="AH27" s="1">
        <f t="shared" si="24"/>
        <v>5160.9447974464465</v>
      </c>
      <c r="AI27" s="1">
        <f t="shared" ref="AI27" si="25">+AI$26*(AH27/AH$26)</f>
        <v>5396.6783798405822</v>
      </c>
    </row>
    <row r="28" spans="2:35">
      <c r="B28" s="1" t="s">
        <v>17</v>
      </c>
      <c r="C28" s="1">
        <v>736</v>
      </c>
      <c r="D28" s="1">
        <v>744.8</v>
      </c>
      <c r="E28" s="1">
        <v>798.7</v>
      </c>
      <c r="F28" s="1">
        <f t="shared" si="22"/>
        <v>829.30000000000018</v>
      </c>
      <c r="G28" s="1">
        <v>793.8</v>
      </c>
      <c r="H28" s="1">
        <v>808.5</v>
      </c>
      <c r="I28" s="1">
        <v>874.2</v>
      </c>
      <c r="J28" s="1">
        <f t="shared" si="23"/>
        <v>869.80000000000018</v>
      </c>
      <c r="K28" s="1">
        <v>875.3</v>
      </c>
      <c r="L28" s="1">
        <v>880.9</v>
      </c>
      <c r="M28" s="1">
        <v>937.1</v>
      </c>
      <c r="N28" s="1">
        <f t="shared" si="18"/>
        <v>926.00000000000045</v>
      </c>
      <c r="V28" s="1">
        <v>2682.6</v>
      </c>
      <c r="W28" s="1">
        <v>2286.3000000000002</v>
      </c>
      <c r="X28" s="1">
        <v>3108.8</v>
      </c>
      <c r="Y28" s="1">
        <v>3346.3</v>
      </c>
      <c r="Z28" s="1">
        <v>3619.3</v>
      </c>
      <c r="AA28" s="1">
        <f t="shared" ref="AA28:AH32" si="26">+AA$26*(Z28/Z$26)</f>
        <v>3721.5527986213688</v>
      </c>
      <c r="AB28" s="1">
        <f t="shared" si="26"/>
        <v>3935.1535132151648</v>
      </c>
      <c r="AC28" s="1">
        <f t="shared" si="26"/>
        <v>4152.654086820975</v>
      </c>
      <c r="AD28" s="1">
        <f t="shared" si="26"/>
        <v>4374.1111565475794</v>
      </c>
      <c r="AE28" s="1">
        <f t="shared" si="26"/>
        <v>4599.5821022600339</v>
      </c>
      <c r="AF28" s="1">
        <f t="shared" si="26"/>
        <v>4829.1250557710828</v>
      </c>
      <c r="AG28" s="1">
        <f t="shared" si="26"/>
        <v>5062.7989101421263</v>
      </c>
      <c r="AH28" s="1">
        <f t="shared" si="26"/>
        <v>5300.663329095014</v>
      </c>
      <c r="AI28" s="1">
        <f t="shared" ref="AI28" si="27">+AI$26*(AH28/AH$26)</f>
        <v>5542.7787565359458</v>
      </c>
    </row>
    <row r="29" spans="2:35">
      <c r="B29" s="1" t="s">
        <v>26</v>
      </c>
      <c r="C29" s="1">
        <v>378.1</v>
      </c>
      <c r="D29" s="1">
        <v>385</v>
      </c>
      <c r="E29" s="1">
        <v>395.7</v>
      </c>
      <c r="F29" s="1">
        <f t="shared" si="22"/>
        <v>423.79999999999995</v>
      </c>
      <c r="G29" s="1">
        <v>403.5</v>
      </c>
      <c r="H29" s="1">
        <v>417</v>
      </c>
      <c r="I29" s="1">
        <v>440.3</v>
      </c>
      <c r="J29" s="1">
        <f t="shared" si="23"/>
        <v>441.40000000000009</v>
      </c>
      <c r="K29" s="1">
        <v>446.6</v>
      </c>
      <c r="L29" s="1">
        <v>450.4</v>
      </c>
      <c r="M29" s="1">
        <v>471.9</v>
      </c>
      <c r="N29" s="1">
        <f t="shared" si="18"/>
        <v>467.69999999999982</v>
      </c>
      <c r="V29" s="1">
        <v>1475.1</v>
      </c>
      <c r="W29" s="1">
        <v>1344.2</v>
      </c>
      <c r="X29" s="1">
        <v>1582.6</v>
      </c>
      <c r="Y29" s="1">
        <v>1702.2</v>
      </c>
      <c r="Z29" s="1">
        <v>1836.6</v>
      </c>
      <c r="AA29" s="1">
        <f t="shared" si="26"/>
        <v>1888.4877932053175</v>
      </c>
      <c r="AB29" s="1">
        <f t="shared" si="26"/>
        <v>1996.8786622747414</v>
      </c>
      <c r="AC29" s="1">
        <f t="shared" si="26"/>
        <v>2107.2484999462336</v>
      </c>
      <c r="AD29" s="1">
        <f t="shared" si="26"/>
        <v>2219.6260465049272</v>
      </c>
      <c r="AE29" s="1">
        <f t="shared" si="26"/>
        <v>2334.0404191448006</v>
      </c>
      <c r="AF29" s="1">
        <f t="shared" si="26"/>
        <v>2450.5211166328208</v>
      </c>
      <c r="AG29" s="1">
        <f t="shared" si="26"/>
        <v>2569.0980240286872</v>
      </c>
      <c r="AH29" s="1">
        <f t="shared" si="26"/>
        <v>2689.8014174608079</v>
      </c>
      <c r="AI29" s="1">
        <f t="shared" ref="AI29" si="28">+AI$26*(AH29/AH$26)</f>
        <v>2812.6619689591676</v>
      </c>
    </row>
    <row r="30" spans="2:35">
      <c r="B30" s="1" t="s">
        <v>18</v>
      </c>
      <c r="C30" s="1">
        <v>23.9</v>
      </c>
      <c r="D30" s="1">
        <v>21.9</v>
      </c>
      <c r="E30" s="1">
        <v>27.2</v>
      </c>
      <c r="F30" s="1">
        <f t="shared" si="22"/>
        <v>20.200000000000003</v>
      </c>
      <c r="G30" s="1">
        <v>30.3</v>
      </c>
      <c r="H30" s="1">
        <v>31.1</v>
      </c>
      <c r="I30" s="1">
        <v>28.2</v>
      </c>
      <c r="J30" s="1">
        <f t="shared" si="23"/>
        <v>28.699999999999989</v>
      </c>
      <c r="K30" s="1">
        <v>38.6</v>
      </c>
      <c r="L30" s="1">
        <v>36.9</v>
      </c>
      <c r="M30" s="1">
        <v>31.7</v>
      </c>
      <c r="N30" s="1">
        <f t="shared" si="18"/>
        <v>37.299999999999997</v>
      </c>
      <c r="V30" s="1">
        <v>238</v>
      </c>
      <c r="W30" s="1">
        <v>91.1</v>
      </c>
      <c r="X30" s="1">
        <v>93.2</v>
      </c>
      <c r="Y30" s="1">
        <v>118.3</v>
      </c>
      <c r="Z30" s="1">
        <v>144.5</v>
      </c>
      <c r="AA30" s="1">
        <f t="shared" si="26"/>
        <v>148.58242737567699</v>
      </c>
      <c r="AB30" s="1">
        <f t="shared" si="26"/>
        <v>157.11040329886751</v>
      </c>
      <c r="AC30" s="1">
        <f t="shared" si="26"/>
        <v>165.79408049778431</v>
      </c>
      <c r="AD30" s="1">
        <f t="shared" si="26"/>
        <v>174.63572020034954</v>
      </c>
      <c r="AE30" s="1">
        <f t="shared" si="26"/>
        <v>183.6376132889163</v>
      </c>
      <c r="AF30" s="1">
        <f t="shared" si="26"/>
        <v>192.80208066723435</v>
      </c>
      <c r="AG30" s="1">
        <f t="shared" si="26"/>
        <v>202.13147363178987</v>
      </c>
      <c r="AH30" s="1">
        <f t="shared" si="26"/>
        <v>211.6281742475698</v>
      </c>
      <c r="AI30" s="1">
        <f t="shared" ref="AI30" si="29">+AI$26*(AH30/AH$26)</f>
        <v>221.29459572830214</v>
      </c>
    </row>
    <row r="31" spans="2:35">
      <c r="B31" s="1" t="s">
        <v>19</v>
      </c>
      <c r="C31" s="1">
        <v>113</v>
      </c>
      <c r="D31" s="1">
        <v>91.7</v>
      </c>
      <c r="E31" s="1">
        <v>83.3</v>
      </c>
      <c r="F31" s="1">
        <f t="shared" si="22"/>
        <v>85.199999999999989</v>
      </c>
      <c r="G31" s="1">
        <v>88.3</v>
      </c>
      <c r="H31" s="1">
        <v>90.4</v>
      </c>
      <c r="I31" s="1">
        <v>107</v>
      </c>
      <c r="J31" s="1">
        <f t="shared" si="23"/>
        <v>100.40000000000003</v>
      </c>
      <c r="K31" s="1">
        <v>153.30000000000001</v>
      </c>
      <c r="L31" s="1">
        <v>114.8</v>
      </c>
      <c r="M31" s="1">
        <v>108.2</v>
      </c>
      <c r="N31" s="1">
        <f t="shared" si="18"/>
        <v>102.89999999999998</v>
      </c>
      <c r="V31" s="1">
        <v>376.4</v>
      </c>
      <c r="W31" s="1">
        <v>396.2</v>
      </c>
      <c r="X31" s="1">
        <v>373.2</v>
      </c>
      <c r="Y31" s="1">
        <v>386.1</v>
      </c>
      <c r="Z31" s="1">
        <v>479.2</v>
      </c>
      <c r="AA31" s="1">
        <f t="shared" si="26"/>
        <v>492.73840275726241</v>
      </c>
      <c r="AB31" s="1">
        <f t="shared" si="26"/>
        <v>521.01941356967006</v>
      </c>
      <c r="AC31" s="1">
        <f t="shared" si="26"/>
        <v>549.81677075805021</v>
      </c>
      <c r="AD31" s="1">
        <f t="shared" si="26"/>
        <v>579.13797314884096</v>
      </c>
      <c r="AE31" s="1">
        <f t="shared" si="26"/>
        <v>608.99061791037172</v>
      </c>
      <c r="AF31" s="1">
        <f t="shared" si="26"/>
        <v>639.38240176981822</v>
      </c>
      <c r="AG31" s="1">
        <f t="shared" si="26"/>
        <v>670.32112224466255</v>
      </c>
      <c r="AH31" s="1">
        <f t="shared" si="26"/>
        <v>701.81467888882685</v>
      </c>
      <c r="AI31" s="1">
        <f t="shared" ref="AI31" si="30">+AI$26*(AH31/AH$26)</f>
        <v>733.87107455364992</v>
      </c>
    </row>
    <row r="32" spans="2:35">
      <c r="B32" s="1" t="s">
        <v>20</v>
      </c>
      <c r="C32" s="1">
        <v>89</v>
      </c>
      <c r="D32" s="1">
        <v>92.1</v>
      </c>
      <c r="E32" s="1">
        <v>94.3</v>
      </c>
      <c r="F32" s="1">
        <f t="shared" si="22"/>
        <v>93</v>
      </c>
      <c r="G32" s="1">
        <v>95.6</v>
      </c>
      <c r="H32" s="1">
        <v>96.8</v>
      </c>
      <c r="I32" s="1">
        <v>98.3</v>
      </c>
      <c r="J32" s="1">
        <f t="shared" si="23"/>
        <v>97.100000000000023</v>
      </c>
      <c r="K32" s="1">
        <v>109.8</v>
      </c>
      <c r="L32" s="1">
        <v>112.5</v>
      </c>
      <c r="M32" s="1">
        <v>117.9</v>
      </c>
      <c r="N32" s="1">
        <f t="shared" si="18"/>
        <v>119.69999999999993</v>
      </c>
      <c r="V32" s="1">
        <v>355.9</v>
      </c>
      <c r="W32" s="1">
        <v>350.9</v>
      </c>
      <c r="X32" s="1">
        <v>368.4</v>
      </c>
      <c r="Y32" s="1">
        <v>387.8</v>
      </c>
      <c r="Z32" s="1">
        <v>459.9</v>
      </c>
      <c r="AA32" s="1">
        <f t="shared" si="26"/>
        <v>472.89313737075332</v>
      </c>
      <c r="AB32" s="1">
        <f t="shared" si="26"/>
        <v>500.03511748892168</v>
      </c>
      <c r="AC32" s="1">
        <f t="shared" si="26"/>
        <v>527.67264789571641</v>
      </c>
      <c r="AD32" s="1">
        <f t="shared" si="26"/>
        <v>555.81292539889807</v>
      </c>
      <c r="AE32" s="1">
        <f t="shared" si="26"/>
        <v>584.46324118735379</v>
      </c>
      <c r="AF32" s="1">
        <f t="shared" si="26"/>
        <v>613.63098199903868</v>
      </c>
      <c r="AG32" s="1">
        <f t="shared" si="26"/>
        <v>643.32363130283852</v>
      </c>
      <c r="AH32" s="1">
        <f t="shared" si="26"/>
        <v>673.54877049451454</v>
      </c>
      <c r="AI32" s="1">
        <f t="shared" ref="AI32" si="31">+AI$26*(AH32/AH$26)</f>
        <v>704.31408010689381</v>
      </c>
    </row>
    <row r="33" spans="2:225" s="6" customFormat="1">
      <c r="B33" s="6" t="s">
        <v>21</v>
      </c>
      <c r="C33" s="6">
        <f t="shared" ref="C33:N33" si="32">+C26-SUM(C27:C32)</f>
        <v>280.59999999999991</v>
      </c>
      <c r="D33" s="6">
        <f t="shared" si="32"/>
        <v>242.60000000000014</v>
      </c>
      <c r="E33" s="6">
        <f t="shared" si="32"/>
        <v>296.99999999999955</v>
      </c>
      <c r="F33" s="6">
        <f t="shared" si="32"/>
        <v>340.00000000000045</v>
      </c>
      <c r="G33" s="6">
        <f t="shared" si="32"/>
        <v>239.30000000000064</v>
      </c>
      <c r="H33" s="6">
        <f t="shared" si="32"/>
        <v>224.39999999999964</v>
      </c>
      <c r="I33" s="6">
        <f t="shared" si="32"/>
        <v>351.20000000000027</v>
      </c>
      <c r="J33" s="6">
        <f t="shared" si="32"/>
        <v>376.29999999999973</v>
      </c>
      <c r="K33" s="6">
        <f t="shared" si="32"/>
        <v>255.99999999999955</v>
      </c>
      <c r="L33" s="6">
        <f t="shared" si="32"/>
        <v>286</v>
      </c>
      <c r="M33" s="6">
        <f t="shared" si="32"/>
        <v>387.80000000000018</v>
      </c>
      <c r="N33" s="6">
        <f t="shared" si="32"/>
        <v>396.79999999999882</v>
      </c>
      <c r="V33" s="6">
        <f>+V26-SUM(V27:V32)</f>
        <v>437.20000000000073</v>
      </c>
      <c r="W33" s="6">
        <f>+W26-SUM(W27:W32)</f>
        <v>655.30000000000109</v>
      </c>
      <c r="X33" s="6">
        <f>+X26-SUM(X27:X32)</f>
        <v>1160.2000000000007</v>
      </c>
      <c r="Y33" s="6">
        <f>+Y26-SUM(Y27:Y32)</f>
        <v>1191.1999999999989</v>
      </c>
      <c r="Z33" s="6">
        <f>+Z26-SUM(Z27:Z32)</f>
        <v>1326.5999999999985</v>
      </c>
      <c r="AA33" s="6">
        <f>+AA26-SUM(AA27:AA32)</f>
        <v>1364.0792259970458</v>
      </c>
      <c r="AB33" s="6">
        <f t="shared" ref="AB33:AI33" si="33">+AB26-SUM(AB27:AB32)</f>
        <v>1442.3713565140315</v>
      </c>
      <c r="AC33" s="6">
        <f t="shared" si="33"/>
        <v>1522.0929217187568</v>
      </c>
      <c r="AD33" s="6">
        <f t="shared" si="33"/>
        <v>1603.2646810919287</v>
      </c>
      <c r="AE33" s="6">
        <f t="shared" si="33"/>
        <v>1685.9076663603901</v>
      </c>
      <c r="AF33" s="6">
        <f t="shared" si="33"/>
        <v>1770.0431848661119</v>
      </c>
      <c r="AG33" s="6">
        <f t="shared" si="33"/>
        <v>1855.6928229753103</v>
      </c>
      <c r="AH33" s="6">
        <f t="shared" si="33"/>
        <v>1942.8784495282089</v>
      </c>
      <c r="AI33" s="6">
        <f t="shared" si="33"/>
        <v>2031.6222193298654</v>
      </c>
    </row>
    <row r="34" spans="2:225">
      <c r="B34" s="1" t="s">
        <v>22</v>
      </c>
      <c r="C34" s="1">
        <v>15.6</v>
      </c>
      <c r="D34" s="1">
        <v>16.7</v>
      </c>
      <c r="E34" s="1">
        <v>17.5</v>
      </c>
      <c r="F34" s="1">
        <f t="shared" si="22"/>
        <v>18.900000000000006</v>
      </c>
      <c r="G34" s="1">
        <v>19.8</v>
      </c>
      <c r="H34" s="1">
        <v>19.8</v>
      </c>
      <c r="I34" s="1">
        <v>19.600000000000001</v>
      </c>
      <c r="J34" s="1">
        <f t="shared" si="23"/>
        <v>22.099999999999994</v>
      </c>
      <c r="K34" s="1">
        <v>29.7</v>
      </c>
      <c r="L34" s="1">
        <v>37.1</v>
      </c>
      <c r="M34" s="1">
        <v>36.5</v>
      </c>
      <c r="N34" s="1">
        <f t="shared" si="18"/>
        <v>35.399999999999991</v>
      </c>
      <c r="V34" s="1">
        <f>57.3+151.6</f>
        <v>208.89999999999998</v>
      </c>
      <c r="W34" s="1">
        <f>63.5+8.7</f>
        <v>72.2</v>
      </c>
      <c r="X34" s="1">
        <v>68.7</v>
      </c>
      <c r="Y34" s="1">
        <v>81.3</v>
      </c>
      <c r="Z34" s="1">
        <v>138.69999999999999</v>
      </c>
      <c r="AA34" s="1">
        <f>+AA33*(Z34/Z33)</f>
        <v>142.61856523879877</v>
      </c>
      <c r="AB34" s="1">
        <f t="shared" ref="AB34:AI34" si="34">+AB33*(AA34/AA33)</f>
        <v>150.80424178237325</v>
      </c>
      <c r="AC34" s="1">
        <f t="shared" si="34"/>
        <v>159.13937000029532</v>
      </c>
      <c r="AD34" s="1">
        <f t="shared" si="34"/>
        <v>167.62612035839794</v>
      </c>
      <c r="AE34" s="1">
        <f t="shared" si="34"/>
        <v>176.26669178666239</v>
      </c>
      <c r="AF34" s="1">
        <f t="shared" si="34"/>
        <v>185.06331203145635</v>
      </c>
      <c r="AG34" s="1">
        <f t="shared" si="34"/>
        <v>194.0182380119673</v>
      </c>
      <c r="AH34" s="1">
        <f t="shared" si="34"/>
        <v>203.13375618088563</v>
      </c>
      <c r="AI34" s="1">
        <f t="shared" si="34"/>
        <v>212.41218288938086</v>
      </c>
    </row>
    <row r="35" spans="2:225">
      <c r="B35" s="1" t="s">
        <v>23</v>
      </c>
      <c r="C35" s="1">
        <f t="shared" ref="C35:N35" si="35">+C33-C34</f>
        <v>264.99999999999989</v>
      </c>
      <c r="D35" s="1">
        <f t="shared" si="35"/>
        <v>225.90000000000015</v>
      </c>
      <c r="E35" s="1">
        <f t="shared" si="35"/>
        <v>279.49999999999955</v>
      </c>
      <c r="F35" s="1">
        <f t="shared" si="35"/>
        <v>321.10000000000048</v>
      </c>
      <c r="G35" s="1">
        <f t="shared" si="35"/>
        <v>219.50000000000063</v>
      </c>
      <c r="H35" s="1">
        <f t="shared" si="35"/>
        <v>204.59999999999962</v>
      </c>
      <c r="I35" s="1">
        <f t="shared" si="35"/>
        <v>331.60000000000025</v>
      </c>
      <c r="J35" s="1">
        <f t="shared" si="35"/>
        <v>354.1999999999997</v>
      </c>
      <c r="K35" s="1">
        <f t="shared" si="35"/>
        <v>226.29999999999956</v>
      </c>
      <c r="L35" s="1">
        <f t="shared" si="35"/>
        <v>248.9</v>
      </c>
      <c r="M35" s="1">
        <f t="shared" si="35"/>
        <v>351.30000000000018</v>
      </c>
      <c r="N35" s="1">
        <f t="shared" si="35"/>
        <v>361.39999999999884</v>
      </c>
      <c r="V35" s="1">
        <f>+V33-V34</f>
        <v>228.30000000000075</v>
      </c>
      <c r="W35" s="1">
        <f>+W33-W34</f>
        <v>583.10000000000105</v>
      </c>
      <c r="X35" s="1">
        <f>+X33-X34</f>
        <v>1091.5000000000007</v>
      </c>
      <c r="Y35" s="1">
        <f>+Y33-Y34</f>
        <v>1109.899999999999</v>
      </c>
      <c r="Z35" s="1">
        <f>+Z33-Z34</f>
        <v>1187.8999999999985</v>
      </c>
      <c r="AA35" s="1">
        <f>+AA33-AA34</f>
        <v>1221.4606607582471</v>
      </c>
      <c r="AB35" s="1">
        <f t="shared" ref="AB35:AI35" si="36">+AB33-AB34</f>
        <v>1291.5671147316582</v>
      </c>
      <c r="AC35" s="1">
        <f t="shared" si="36"/>
        <v>1362.9535517184615</v>
      </c>
      <c r="AD35" s="1">
        <f t="shared" si="36"/>
        <v>1435.6385607335308</v>
      </c>
      <c r="AE35" s="1">
        <f t="shared" si="36"/>
        <v>1509.6409745737276</v>
      </c>
      <c r="AF35" s="1">
        <f t="shared" si="36"/>
        <v>1584.9798728346555</v>
      </c>
      <c r="AG35" s="1">
        <f t="shared" si="36"/>
        <v>1661.674584963343</v>
      </c>
      <c r="AH35" s="1">
        <f t="shared" si="36"/>
        <v>1739.7446933473232</v>
      </c>
      <c r="AI35" s="1">
        <f t="shared" si="36"/>
        <v>1819.2100364404846</v>
      </c>
    </row>
    <row r="36" spans="2:225">
      <c r="B36" s="1" t="s">
        <v>24</v>
      </c>
      <c r="C36" s="1">
        <v>33.299999999999997</v>
      </c>
      <c r="D36" s="1">
        <v>32.5</v>
      </c>
      <c r="E36" s="1">
        <v>35.4</v>
      </c>
      <c r="F36" s="1">
        <f t="shared" si="22"/>
        <v>37.600000000000023</v>
      </c>
      <c r="G36" s="1">
        <v>30.8</v>
      </c>
      <c r="H36" s="1">
        <v>25.9</v>
      </c>
      <c r="I36" s="1">
        <v>43.5</v>
      </c>
      <c r="J36" s="1">
        <f t="shared" si="23"/>
        <v>36.799999999999997</v>
      </c>
      <c r="K36" s="1">
        <v>28.4</v>
      </c>
      <c r="L36" s="1">
        <v>29.1</v>
      </c>
      <c r="M36" s="1">
        <v>37.5</v>
      </c>
      <c r="N36" s="1">
        <f t="shared" si="18"/>
        <v>50</v>
      </c>
      <c r="V36" s="1">
        <v>-3.2</v>
      </c>
      <c r="W36" s="1">
        <v>-55.9</v>
      </c>
      <c r="X36" s="1">
        <v>138.80000000000001</v>
      </c>
      <c r="Y36" s="1">
        <v>137</v>
      </c>
      <c r="Z36" s="1">
        <v>145</v>
      </c>
      <c r="AA36" s="1">
        <f>+AA35*(Z36/Z35)</f>
        <v>149.09655342195981</v>
      </c>
      <c r="AB36" s="1">
        <f t="shared" ref="AB36:AI36" si="37">+AB35*(AA36/AA35)</f>
        <v>157.65403791235852</v>
      </c>
      <c r="AC36" s="1">
        <f t="shared" si="37"/>
        <v>166.36776243722298</v>
      </c>
      <c r="AD36" s="1">
        <f t="shared" si="37"/>
        <v>175.23999604879387</v>
      </c>
      <c r="AE36" s="1">
        <f t="shared" si="37"/>
        <v>184.27303755635222</v>
      </c>
      <c r="AF36" s="1">
        <f t="shared" si="37"/>
        <v>193.46921589445691</v>
      </c>
      <c r="AG36" s="1">
        <f t="shared" si="37"/>
        <v>202.83089049556787</v>
      </c>
      <c r="AH36" s="1">
        <f t="shared" si="37"/>
        <v>212.3604516671119</v>
      </c>
      <c r="AI36" s="1">
        <f t="shared" si="37"/>
        <v>222.06032097303699</v>
      </c>
    </row>
    <row r="37" spans="2:225">
      <c r="B37" s="1" t="s">
        <v>25</v>
      </c>
      <c r="C37" s="1">
        <f t="shared" ref="C37:N37" si="38">+C35-C36</f>
        <v>231.69999999999987</v>
      </c>
      <c r="D37" s="1">
        <f t="shared" si="38"/>
        <v>193.40000000000015</v>
      </c>
      <c r="E37" s="1">
        <f t="shared" si="38"/>
        <v>244.09999999999954</v>
      </c>
      <c r="F37" s="1">
        <f t="shared" si="38"/>
        <v>283.50000000000045</v>
      </c>
      <c r="G37" s="1">
        <f t="shared" si="38"/>
        <v>188.70000000000061</v>
      </c>
      <c r="H37" s="1">
        <f t="shared" si="38"/>
        <v>178.69999999999962</v>
      </c>
      <c r="I37" s="1">
        <f t="shared" si="38"/>
        <v>288.10000000000025</v>
      </c>
      <c r="J37" s="1">
        <f t="shared" si="38"/>
        <v>317.39999999999969</v>
      </c>
      <c r="K37" s="1">
        <f t="shared" si="38"/>
        <v>197.89999999999955</v>
      </c>
      <c r="L37" s="1">
        <f t="shared" si="38"/>
        <v>219.8</v>
      </c>
      <c r="M37" s="1">
        <f t="shared" si="38"/>
        <v>313.80000000000018</v>
      </c>
      <c r="N37" s="1">
        <f t="shared" si="38"/>
        <v>311.39999999999884</v>
      </c>
      <c r="V37" s="1">
        <f>+V35-V36-3.1</f>
        <v>228.40000000000074</v>
      </c>
      <c r="W37" s="1">
        <f>+W35-W36-3.1</f>
        <v>635.900000000001</v>
      </c>
      <c r="X37" s="1">
        <f>+X35-X36-3.1</f>
        <v>949.6000000000007</v>
      </c>
      <c r="Y37" s="1">
        <f>+Y35-Y36-1.6</f>
        <v>971.29999999999893</v>
      </c>
      <c r="Z37" s="1">
        <f>+Z35-Z36</f>
        <v>1042.8999999999985</v>
      </c>
      <c r="AA37" s="1">
        <f>+AA35-AA36-1.6</f>
        <v>1070.7641073362875</v>
      </c>
      <c r="AB37" s="1">
        <f t="shared" ref="AB37:AI37" si="39">+AB35-AB36-1.6</f>
        <v>1132.3130768192998</v>
      </c>
      <c r="AC37" s="1">
        <f t="shared" si="39"/>
        <v>1194.9857892812386</v>
      </c>
      <c r="AD37" s="1">
        <f t="shared" si="39"/>
        <v>1258.7985646847369</v>
      </c>
      <c r="AE37" s="1">
        <f t="shared" si="39"/>
        <v>1323.7679370173755</v>
      </c>
      <c r="AF37" s="1">
        <f t="shared" si="39"/>
        <v>1389.9106569401986</v>
      </c>
      <c r="AG37" s="1">
        <f t="shared" si="39"/>
        <v>1457.2436944677752</v>
      </c>
      <c r="AH37" s="1">
        <f t="shared" si="39"/>
        <v>1525.7842416802114</v>
      </c>
      <c r="AI37" s="1">
        <f t="shared" si="39"/>
        <v>1595.5497154674476</v>
      </c>
      <c r="AJ37" s="1">
        <f>+AI37*(1+$AL$45)</f>
        <v>1611.5052126221221</v>
      </c>
      <c r="AK37" s="1">
        <f t="shared" ref="AK37" si="40">+AJ37*(1+$AL$45)</f>
        <v>1627.6202647483433</v>
      </c>
      <c r="AL37" s="1">
        <f t="shared" ref="AL37:CW37" si="41">+AK37*(1+$AL$45)</f>
        <v>1643.8964673958267</v>
      </c>
      <c r="AM37" s="1">
        <f t="shared" si="41"/>
        <v>1660.3354320697849</v>
      </c>
      <c r="AN37" s="1">
        <f t="shared" si="41"/>
        <v>1676.9387863904828</v>
      </c>
      <c r="AO37" s="1">
        <f t="shared" si="41"/>
        <v>1693.7081742543876</v>
      </c>
      <c r="AP37" s="1">
        <f t="shared" si="41"/>
        <v>1710.6452559969314</v>
      </c>
      <c r="AQ37" s="1">
        <f t="shared" si="41"/>
        <v>1727.7517085569007</v>
      </c>
      <c r="AR37" s="1">
        <f t="shared" si="41"/>
        <v>1745.0292256424698</v>
      </c>
      <c r="AS37" s="1">
        <f t="shared" si="41"/>
        <v>1762.4795178988945</v>
      </c>
      <c r="AT37" s="1">
        <f t="shared" si="41"/>
        <v>1780.1043130778835</v>
      </c>
      <c r="AU37" s="1">
        <f t="shared" si="41"/>
        <v>1797.9053562086624</v>
      </c>
      <c r="AV37" s="1">
        <f t="shared" si="41"/>
        <v>1815.884409770749</v>
      </c>
      <c r="AW37" s="1">
        <f t="shared" si="41"/>
        <v>1834.0432538684565</v>
      </c>
      <c r="AX37" s="1">
        <f t="shared" si="41"/>
        <v>1852.3836864071411</v>
      </c>
      <c r="AY37" s="1">
        <f t="shared" si="41"/>
        <v>1870.9075232712125</v>
      </c>
      <c r="AZ37" s="1">
        <f t="shared" si="41"/>
        <v>1889.6165985039247</v>
      </c>
      <c r="BA37" s="1">
        <f t="shared" si="41"/>
        <v>1908.512764488964</v>
      </c>
      <c r="BB37" s="1">
        <f t="shared" si="41"/>
        <v>1927.5978921338535</v>
      </c>
      <c r="BC37" s="1">
        <f t="shared" si="41"/>
        <v>1946.873871055192</v>
      </c>
      <c r="BD37" s="1">
        <f t="shared" si="41"/>
        <v>1966.3426097657439</v>
      </c>
      <c r="BE37" s="1">
        <f t="shared" si="41"/>
        <v>1986.0060358634014</v>
      </c>
      <c r="BF37" s="1">
        <f t="shared" si="41"/>
        <v>2005.8660962220354</v>
      </c>
      <c r="BG37" s="1">
        <f t="shared" si="41"/>
        <v>2025.9247571842557</v>
      </c>
      <c r="BH37" s="1">
        <f t="shared" si="41"/>
        <v>2046.1840047560981</v>
      </c>
      <c r="BI37" s="1">
        <f t="shared" si="41"/>
        <v>2066.6458448036592</v>
      </c>
      <c r="BJ37" s="1">
        <f t="shared" si="41"/>
        <v>2087.312303251696</v>
      </c>
      <c r="BK37" s="1">
        <f t="shared" si="41"/>
        <v>2108.185426284213</v>
      </c>
      <c r="BL37" s="1">
        <f t="shared" si="41"/>
        <v>2129.2672805470552</v>
      </c>
      <c r="BM37" s="1">
        <f t="shared" si="41"/>
        <v>2150.5599533525256</v>
      </c>
      <c r="BN37" s="1">
        <f t="shared" si="41"/>
        <v>2172.0655528860507</v>
      </c>
      <c r="BO37" s="1">
        <f t="shared" si="41"/>
        <v>2193.786208414911</v>
      </c>
      <c r="BP37" s="1">
        <f t="shared" si="41"/>
        <v>2215.72407049906</v>
      </c>
      <c r="BQ37" s="1">
        <f t="shared" si="41"/>
        <v>2237.8813112040507</v>
      </c>
      <c r="BR37" s="1">
        <f t="shared" si="41"/>
        <v>2260.2601243160912</v>
      </c>
      <c r="BS37" s="1">
        <f t="shared" si="41"/>
        <v>2282.8627255592519</v>
      </c>
      <c r="BT37" s="1">
        <f t="shared" si="41"/>
        <v>2305.6913528148443</v>
      </c>
      <c r="BU37" s="1">
        <f t="shared" si="41"/>
        <v>2328.7482663429928</v>
      </c>
      <c r="BV37" s="1">
        <f t="shared" si="41"/>
        <v>2352.0357490064225</v>
      </c>
      <c r="BW37" s="1">
        <f t="shared" si="41"/>
        <v>2375.5561064964868</v>
      </c>
      <c r="BX37" s="1">
        <f t="shared" si="41"/>
        <v>2399.3116675614515</v>
      </c>
      <c r="BY37" s="1">
        <f t="shared" si="41"/>
        <v>2423.3047842370661</v>
      </c>
      <c r="BZ37" s="1">
        <f t="shared" si="41"/>
        <v>2447.5378320794366</v>
      </c>
      <c r="CA37" s="1">
        <f t="shared" si="41"/>
        <v>2472.0132104002309</v>
      </c>
      <c r="CB37" s="1">
        <f t="shared" si="41"/>
        <v>2496.7333425042334</v>
      </c>
      <c r="CC37" s="1">
        <f t="shared" si="41"/>
        <v>2521.7006759292758</v>
      </c>
      <c r="CD37" s="1">
        <f t="shared" si="41"/>
        <v>2546.9176826885687</v>
      </c>
      <c r="CE37" s="1">
        <f t="shared" si="41"/>
        <v>2572.3868595154545</v>
      </c>
      <c r="CF37" s="1">
        <f t="shared" si="41"/>
        <v>2598.1107281106092</v>
      </c>
      <c r="CG37" s="1">
        <f t="shared" si="41"/>
        <v>2624.0918353917154</v>
      </c>
      <c r="CH37" s="1">
        <f t="shared" si="41"/>
        <v>2650.3327537456325</v>
      </c>
      <c r="CI37" s="1">
        <f t="shared" si="41"/>
        <v>2676.8360812830888</v>
      </c>
      <c r="CJ37" s="1">
        <f t="shared" si="41"/>
        <v>2703.6044420959197</v>
      </c>
      <c r="CK37" s="1">
        <f t="shared" si="41"/>
        <v>2730.6404865168788</v>
      </c>
      <c r="CL37" s="1">
        <f t="shared" si="41"/>
        <v>2757.9468913820474</v>
      </c>
      <c r="CM37" s="1">
        <f t="shared" si="41"/>
        <v>2785.526360295868</v>
      </c>
      <c r="CN37" s="1">
        <f t="shared" si="41"/>
        <v>2813.3816238988265</v>
      </c>
      <c r="CO37" s="1">
        <f t="shared" si="41"/>
        <v>2841.5154401378149</v>
      </c>
      <c r="CP37" s="1">
        <f t="shared" si="41"/>
        <v>2869.930594539193</v>
      </c>
      <c r="CQ37" s="1">
        <f t="shared" si="41"/>
        <v>2898.6299004845851</v>
      </c>
      <c r="CR37" s="1">
        <f t="shared" si="41"/>
        <v>2927.616199489431</v>
      </c>
      <c r="CS37" s="1">
        <f t="shared" si="41"/>
        <v>2956.8923614843252</v>
      </c>
      <c r="CT37" s="1">
        <f t="shared" si="41"/>
        <v>2986.4612850991684</v>
      </c>
      <c r="CU37" s="1">
        <f t="shared" si="41"/>
        <v>3016.3258979501602</v>
      </c>
      <c r="CV37" s="1">
        <f t="shared" si="41"/>
        <v>3046.4891569296619</v>
      </c>
      <c r="CW37" s="1">
        <f t="shared" si="41"/>
        <v>3076.9540484989584</v>
      </c>
      <c r="CX37" s="1">
        <f t="shared" ref="CX37:FI37" si="42">+CW37*(1+$AL$45)</f>
        <v>3107.723588983948</v>
      </c>
      <c r="CY37" s="1">
        <f t="shared" si="42"/>
        <v>3138.8008248737874</v>
      </c>
      <c r="CZ37" s="1">
        <f t="shared" si="42"/>
        <v>3170.1888331225255</v>
      </c>
      <c r="DA37" s="1">
        <f t="shared" si="42"/>
        <v>3201.8907214537508</v>
      </c>
      <c r="DB37" s="1">
        <f t="shared" si="42"/>
        <v>3233.9096286682884</v>
      </c>
      <c r="DC37" s="1">
        <f t="shared" si="42"/>
        <v>3266.2487249549713</v>
      </c>
      <c r="DD37" s="1">
        <f t="shared" si="42"/>
        <v>3298.9112122045212</v>
      </c>
      <c r="DE37" s="1">
        <f t="shared" si="42"/>
        <v>3331.9003243265665</v>
      </c>
      <c r="DF37" s="1">
        <f t="shared" si="42"/>
        <v>3365.2193275698323</v>
      </c>
      <c r="DG37" s="1">
        <f t="shared" si="42"/>
        <v>3398.8715208455305</v>
      </c>
      <c r="DH37" s="1">
        <f t="shared" si="42"/>
        <v>3432.8602360539858</v>
      </c>
      <c r="DI37" s="1">
        <f t="shared" si="42"/>
        <v>3467.1888384145254</v>
      </c>
      <c r="DJ37" s="1">
        <f t="shared" si="42"/>
        <v>3501.8607267986708</v>
      </c>
      <c r="DK37" s="1">
        <f t="shared" si="42"/>
        <v>3536.8793340666575</v>
      </c>
      <c r="DL37" s="1">
        <f t="shared" si="42"/>
        <v>3572.2481274073243</v>
      </c>
      <c r="DM37" s="1">
        <f t="shared" si="42"/>
        <v>3607.9706086813976</v>
      </c>
      <c r="DN37" s="1">
        <f t="shared" si="42"/>
        <v>3644.0503147682116</v>
      </c>
      <c r="DO37" s="1">
        <f t="shared" si="42"/>
        <v>3680.4908179158938</v>
      </c>
      <c r="DP37" s="1">
        <f t="shared" si="42"/>
        <v>3717.2957260950529</v>
      </c>
      <c r="DQ37" s="1">
        <f t="shared" si="42"/>
        <v>3754.4686833560036</v>
      </c>
      <c r="DR37" s="1">
        <f t="shared" si="42"/>
        <v>3792.0133701895638</v>
      </c>
      <c r="DS37" s="1">
        <f t="shared" si="42"/>
        <v>3829.9335038914596</v>
      </c>
      <c r="DT37" s="1">
        <f t="shared" si="42"/>
        <v>3868.2328389303743</v>
      </c>
      <c r="DU37" s="1">
        <f t="shared" si="42"/>
        <v>3906.9151673196779</v>
      </c>
      <c r="DV37" s="1">
        <f t="shared" si="42"/>
        <v>3945.9843189928747</v>
      </c>
      <c r="DW37" s="1">
        <f t="shared" si="42"/>
        <v>3985.4441621828037</v>
      </c>
      <c r="DX37" s="1">
        <f t="shared" si="42"/>
        <v>4025.2986038046315</v>
      </c>
      <c r="DY37" s="1">
        <f t="shared" si="42"/>
        <v>4065.5515898426779</v>
      </c>
      <c r="DZ37" s="1">
        <f t="shared" si="42"/>
        <v>4106.2071057411049</v>
      </c>
      <c r="EA37" s="1">
        <f t="shared" si="42"/>
        <v>4147.2691767985161</v>
      </c>
      <c r="EB37" s="1">
        <f t="shared" si="42"/>
        <v>4188.7418685665016</v>
      </c>
      <c r="EC37" s="1">
        <f t="shared" si="42"/>
        <v>4230.6292872521663</v>
      </c>
      <c r="ED37" s="1">
        <f t="shared" si="42"/>
        <v>4272.9355801246884</v>
      </c>
      <c r="EE37" s="1">
        <f t="shared" si="42"/>
        <v>4315.6649359259354</v>
      </c>
      <c r="EF37" s="1">
        <f t="shared" si="42"/>
        <v>4358.8215852851945</v>
      </c>
      <c r="EG37" s="1">
        <f t="shared" si="42"/>
        <v>4402.4098011380465</v>
      </c>
      <c r="EH37" s="1">
        <f t="shared" si="42"/>
        <v>4446.4338991494269</v>
      </c>
      <c r="EI37" s="1">
        <f t="shared" si="42"/>
        <v>4490.8982381409214</v>
      </c>
      <c r="EJ37" s="1">
        <f t="shared" si="42"/>
        <v>4535.8072205223307</v>
      </c>
      <c r="EK37" s="1">
        <f t="shared" si="42"/>
        <v>4581.1652927275536</v>
      </c>
      <c r="EL37" s="1">
        <f t="shared" si="42"/>
        <v>4626.9769456548293</v>
      </c>
      <c r="EM37" s="1">
        <f t="shared" si="42"/>
        <v>4673.2467151113779</v>
      </c>
      <c r="EN37" s="1">
        <f t="shared" si="42"/>
        <v>4719.979182262492</v>
      </c>
      <c r="EO37" s="1">
        <f t="shared" si="42"/>
        <v>4767.1789740851173</v>
      </c>
      <c r="EP37" s="1">
        <f t="shared" si="42"/>
        <v>4814.8507638259689</v>
      </c>
      <c r="EQ37" s="1">
        <f t="shared" si="42"/>
        <v>4862.9992714642285</v>
      </c>
      <c r="ER37" s="1">
        <f t="shared" si="42"/>
        <v>4911.6292641788705</v>
      </c>
      <c r="ES37" s="1">
        <f t="shared" si="42"/>
        <v>4960.7455568206597</v>
      </c>
      <c r="ET37" s="1">
        <f t="shared" si="42"/>
        <v>5010.3530123888659</v>
      </c>
      <c r="EU37" s="1">
        <f t="shared" si="42"/>
        <v>5060.4565425127548</v>
      </c>
      <c r="EV37" s="1">
        <f t="shared" si="42"/>
        <v>5111.0611079378823</v>
      </c>
      <c r="EW37" s="1">
        <f t="shared" si="42"/>
        <v>5162.1717190172612</v>
      </c>
      <c r="EX37" s="1">
        <f t="shared" si="42"/>
        <v>5213.7934362074338</v>
      </c>
      <c r="EY37" s="1">
        <f t="shared" si="42"/>
        <v>5265.9313705695085</v>
      </c>
      <c r="EZ37" s="1">
        <f t="shared" si="42"/>
        <v>5318.5906842752038</v>
      </c>
      <c r="FA37" s="1">
        <f t="shared" si="42"/>
        <v>5371.7765911179558</v>
      </c>
      <c r="FB37" s="1">
        <f t="shared" si="42"/>
        <v>5425.4943570291352</v>
      </c>
      <c r="FC37" s="1">
        <f t="shared" si="42"/>
        <v>5479.7493005994265</v>
      </c>
      <c r="FD37" s="1">
        <f t="shared" si="42"/>
        <v>5534.546793605421</v>
      </c>
      <c r="FE37" s="1">
        <f t="shared" si="42"/>
        <v>5589.8922615414749</v>
      </c>
      <c r="FF37" s="1">
        <f t="shared" si="42"/>
        <v>5645.7911841568894</v>
      </c>
      <c r="FG37" s="1">
        <f t="shared" si="42"/>
        <v>5702.249095998458</v>
      </c>
      <c r="FH37" s="1">
        <f t="shared" si="42"/>
        <v>5759.2715869584426</v>
      </c>
      <c r="FI37" s="1">
        <f t="shared" si="42"/>
        <v>5816.8643028280267</v>
      </c>
      <c r="FJ37" s="1">
        <f t="shared" ref="FJ37:HI37" si="43">+FI37*(1+$AL$45)</f>
        <v>5875.0329458563074</v>
      </c>
      <c r="FK37" s="1">
        <f t="shared" si="43"/>
        <v>5933.7832753148705</v>
      </c>
      <c r="FL37" s="1">
        <f t="shared" si="43"/>
        <v>5993.1211080680196</v>
      </c>
      <c r="FM37" s="1">
        <f t="shared" si="43"/>
        <v>6053.0523191487</v>
      </c>
      <c r="FN37" s="1">
        <f t="shared" si="43"/>
        <v>6113.5828423401872</v>
      </c>
      <c r="FO37" s="1">
        <f t="shared" si="43"/>
        <v>6174.7186707635892</v>
      </c>
      <c r="FP37" s="1">
        <f t="shared" si="43"/>
        <v>6236.4658574712248</v>
      </c>
      <c r="FQ37" s="1">
        <f t="shared" si="43"/>
        <v>6298.8305160459367</v>
      </c>
      <c r="FR37" s="1">
        <f t="shared" si="43"/>
        <v>6361.818821206396</v>
      </c>
      <c r="FS37" s="1">
        <f t="shared" si="43"/>
        <v>6425.4370094184596</v>
      </c>
      <c r="FT37" s="1">
        <f t="shared" si="43"/>
        <v>6489.6913795126447</v>
      </c>
      <c r="FU37" s="1">
        <f t="shared" si="43"/>
        <v>6554.588293307771</v>
      </c>
      <c r="FV37" s="1">
        <f t="shared" si="43"/>
        <v>6620.1341762408483</v>
      </c>
      <c r="FW37" s="1">
        <f t="shared" si="43"/>
        <v>6686.3355180032568</v>
      </c>
      <c r="FX37" s="1">
        <f t="shared" si="43"/>
        <v>6753.1988731832898</v>
      </c>
      <c r="FY37" s="1">
        <f t="shared" si="43"/>
        <v>6820.7308619151227</v>
      </c>
      <c r="FZ37" s="1">
        <f t="shared" si="43"/>
        <v>6888.9381705342739</v>
      </c>
      <c r="GA37" s="1">
        <f t="shared" si="43"/>
        <v>6957.827552239617</v>
      </c>
      <c r="GB37" s="1">
        <f t="shared" si="43"/>
        <v>7027.4058277620134</v>
      </c>
      <c r="GC37" s="1">
        <f t="shared" si="43"/>
        <v>7097.6798860396339</v>
      </c>
      <c r="GD37" s="1">
        <f t="shared" si="43"/>
        <v>7168.6566849000301</v>
      </c>
      <c r="GE37" s="1">
        <f t="shared" si="43"/>
        <v>7240.3432517490301</v>
      </c>
      <c r="GF37" s="1">
        <f t="shared" si="43"/>
        <v>7312.7466842665208</v>
      </c>
      <c r="GG37" s="1">
        <f t="shared" si="43"/>
        <v>7385.8741511091857</v>
      </c>
      <c r="GH37" s="1">
        <f t="shared" si="43"/>
        <v>7459.7328926202781</v>
      </c>
      <c r="GI37" s="1">
        <f t="shared" si="43"/>
        <v>7534.330221546481</v>
      </c>
      <c r="GJ37" s="1">
        <f t="shared" si="43"/>
        <v>7609.6735237619459</v>
      </c>
      <c r="GK37" s="1">
        <f t="shared" si="43"/>
        <v>7685.7702589995652</v>
      </c>
      <c r="GL37" s="1">
        <f t="shared" si="43"/>
        <v>7762.627961589561</v>
      </c>
      <c r="GM37" s="1">
        <f t="shared" si="43"/>
        <v>7840.2542412054563</v>
      </c>
      <c r="GN37" s="1">
        <f t="shared" si="43"/>
        <v>7918.6567836175109</v>
      </c>
      <c r="GO37" s="1">
        <f t="shared" si="43"/>
        <v>7997.8433514536864</v>
      </c>
      <c r="GP37" s="1">
        <f t="shared" si="43"/>
        <v>8077.8217849682233</v>
      </c>
      <c r="GQ37" s="1">
        <f t="shared" si="43"/>
        <v>8158.600002817906</v>
      </c>
      <c r="GR37" s="1">
        <f t="shared" si="43"/>
        <v>8240.1860028460851</v>
      </c>
      <c r="GS37" s="1">
        <f t="shared" si="43"/>
        <v>8322.5878628745468</v>
      </c>
      <c r="GT37" s="1">
        <f t="shared" si="43"/>
        <v>8405.8137415032925</v>
      </c>
      <c r="GU37" s="1">
        <f t="shared" si="43"/>
        <v>8489.8718789183258</v>
      </c>
      <c r="GV37" s="1">
        <f t="shared" si="43"/>
        <v>8574.7705977075093</v>
      </c>
      <c r="GW37" s="1">
        <f t="shared" si="43"/>
        <v>8660.5183036845847</v>
      </c>
      <c r="GX37" s="1">
        <f t="shared" si="43"/>
        <v>8747.1234867214298</v>
      </c>
      <c r="GY37" s="1">
        <f t="shared" si="43"/>
        <v>8834.5947215886445</v>
      </c>
      <c r="GZ37" s="1">
        <f t="shared" si="43"/>
        <v>8922.940668804531</v>
      </c>
      <c r="HA37" s="1">
        <f t="shared" si="43"/>
        <v>9012.1700754925769</v>
      </c>
      <c r="HB37" s="1">
        <f t="shared" si="43"/>
        <v>9102.2917762475026</v>
      </c>
      <c r="HC37" s="1">
        <f t="shared" si="43"/>
        <v>9193.3146940099778</v>
      </c>
      <c r="HD37" s="1">
        <f t="shared" si="43"/>
        <v>9285.2478409500782</v>
      </c>
      <c r="HE37" s="1">
        <f t="shared" si="43"/>
        <v>9378.1003193595789</v>
      </c>
      <c r="HF37" s="1">
        <f t="shared" si="43"/>
        <v>9471.881322553174</v>
      </c>
      <c r="HG37" s="1">
        <f t="shared" si="43"/>
        <v>9566.6001357787063</v>
      </c>
      <c r="HH37" s="1">
        <f t="shared" si="43"/>
        <v>9662.2661371364939</v>
      </c>
      <c r="HI37" s="1">
        <f t="shared" si="43"/>
        <v>9758.8887985078582</v>
      </c>
      <c r="HJ37" s="1">
        <f t="shared" ref="HJ37:HN37" si="44">+HI37*(1+$AL$45)</f>
        <v>9856.4776864929372</v>
      </c>
      <c r="HK37" s="1">
        <f t="shared" si="44"/>
        <v>9955.0424633578659</v>
      </c>
      <c r="HL37" s="1">
        <f t="shared" si="44"/>
        <v>10054.592887991445</v>
      </c>
      <c r="HM37" s="1">
        <f t="shared" si="44"/>
        <v>10155.138816871358</v>
      </c>
      <c r="HN37" s="1">
        <f t="shared" si="44"/>
        <v>10256.690205040071</v>
      </c>
      <c r="HO37" s="1">
        <f t="shared" ref="HO37:HQ37" si="45">+HN37*(1+$AL$45)</f>
        <v>10359.257107090472</v>
      </c>
      <c r="HP37" s="1">
        <f t="shared" si="45"/>
        <v>10462.849678161378</v>
      </c>
      <c r="HQ37" s="1">
        <f t="shared" si="45"/>
        <v>10567.478174942991</v>
      </c>
    </row>
    <row r="38" spans="2:225">
      <c r="B38" s="1" t="s">
        <v>27</v>
      </c>
      <c r="C38" s="1">
        <v>131.69999999999999</v>
      </c>
      <c r="D38" s="1">
        <v>130.5</v>
      </c>
      <c r="E38" s="1">
        <v>128.19999999999999</v>
      </c>
      <c r="F38" s="1">
        <f>+F37/F39</f>
        <v>127.93954254005138</v>
      </c>
      <c r="G38" s="1">
        <v>123.9</v>
      </c>
      <c r="H38" s="1">
        <v>123.1</v>
      </c>
      <c r="I38" s="1">
        <v>122.5</v>
      </c>
      <c r="J38" s="1">
        <f>+J37/J39</f>
        <v>123.18230217167041</v>
      </c>
      <c r="K38" s="1">
        <v>122</v>
      </c>
      <c r="L38" s="1">
        <v>120.8</v>
      </c>
      <c r="M38" s="1">
        <v>120.4</v>
      </c>
      <c r="N38" s="1">
        <f>+N37/N39</f>
        <v>120.45031792794833</v>
      </c>
      <c r="V38" s="1">
        <v>122.7</v>
      </c>
      <c r="W38" s="1">
        <v>131.80000000000001</v>
      </c>
      <c r="X38" s="1">
        <v>129</v>
      </c>
      <c r="Y38" s="1">
        <v>122.9</v>
      </c>
      <c r="Z38" s="1">
        <v>120.8</v>
      </c>
      <c r="AA38" s="1">
        <f>+Z38</f>
        <v>120.8</v>
      </c>
      <c r="AB38" s="1">
        <f t="shared" ref="AB38:AH38" si="46">+AA38</f>
        <v>120.8</v>
      </c>
      <c r="AC38" s="1">
        <f t="shared" si="46"/>
        <v>120.8</v>
      </c>
      <c r="AD38" s="1">
        <f t="shared" si="46"/>
        <v>120.8</v>
      </c>
      <c r="AE38" s="1">
        <f t="shared" si="46"/>
        <v>120.8</v>
      </c>
      <c r="AF38" s="1">
        <f t="shared" si="46"/>
        <v>120.8</v>
      </c>
      <c r="AG38" s="1">
        <f t="shared" si="46"/>
        <v>120.8</v>
      </c>
      <c r="AH38" s="1">
        <f t="shared" si="46"/>
        <v>120.8</v>
      </c>
      <c r="AI38" s="1">
        <f t="shared" ref="AI38" si="47">+AH38</f>
        <v>120.8</v>
      </c>
    </row>
    <row r="39" spans="2:225" s="13" customFormat="1">
      <c r="B39" s="13" t="s">
        <v>28</v>
      </c>
      <c r="C39" s="13">
        <f>+C37/C38</f>
        <v>1.7593014426727402</v>
      </c>
      <c r="D39" s="13">
        <f>+D37/D38</f>
        <v>1.4819923371647521</v>
      </c>
      <c r="E39" s="13">
        <f>+E37/E38</f>
        <v>1.9040561622464864</v>
      </c>
      <c r="F39" s="13">
        <f t="shared" ref="F39" si="48">+X39-SUM(C39:E39)</f>
        <v>2.2158903679935467</v>
      </c>
      <c r="G39" s="13">
        <f>+G37/G38</f>
        <v>1.5230024213075108</v>
      </c>
      <c r="H39" s="13">
        <f>+H37/H38</f>
        <v>1.4516653127538557</v>
      </c>
      <c r="I39" s="13">
        <f>+I37/I38</f>
        <v>2.3518367346938795</v>
      </c>
      <c r="J39" s="13">
        <f t="shared" ref="J39" si="49">+Y39-SUM(G39:I39)</f>
        <v>2.5766688428802205</v>
      </c>
      <c r="K39" s="13">
        <f>+K37/K38</f>
        <v>1.6221311475409799</v>
      </c>
      <c r="L39" s="13">
        <f>+L37/L38</f>
        <v>1.8195364238410598</v>
      </c>
      <c r="M39" s="13">
        <f>+M37/M38</f>
        <v>2.6063122923588056</v>
      </c>
      <c r="N39" s="13">
        <f t="shared" ref="N39" si="50">+Z39-SUM(K39:M39)</f>
        <v>2.5852982819545058</v>
      </c>
      <c r="V39" s="13">
        <f>+V37/V38</f>
        <v>1.8614506927465424</v>
      </c>
      <c r="W39" s="13">
        <f>+W37/W38</f>
        <v>4.8247344461305079</v>
      </c>
      <c r="X39" s="13">
        <f>+X37/X38</f>
        <v>7.361240310077525</v>
      </c>
      <c r="Y39" s="13">
        <f>+Y37/Y38</f>
        <v>7.9031733116354665</v>
      </c>
      <c r="Z39" s="13">
        <f>+Z37/Z38</f>
        <v>8.6332781456953516</v>
      </c>
      <c r="AA39" s="13">
        <f>+AA37/AA38</f>
        <v>8.8639412858964199</v>
      </c>
      <c r="AB39" s="13">
        <f t="shared" ref="AB39:AI39" si="51">+AB37/AB38</f>
        <v>9.3734526226763233</v>
      </c>
      <c r="AC39" s="13">
        <f t="shared" si="51"/>
        <v>9.8922664675599226</v>
      </c>
      <c r="AD39" s="13">
        <f t="shared" si="51"/>
        <v>10.420517919575637</v>
      </c>
      <c r="AE39" s="13">
        <f t="shared" si="51"/>
        <v>10.958343849481585</v>
      </c>
      <c r="AF39" s="13">
        <f t="shared" si="51"/>
        <v>11.505882921690386</v>
      </c>
      <c r="AG39" s="13">
        <f t="shared" si="51"/>
        <v>12.063275616455092</v>
      </c>
      <c r="AH39" s="13">
        <f t="shared" si="51"/>
        <v>12.630664252319631</v>
      </c>
      <c r="AI39" s="13">
        <f t="shared" si="51"/>
        <v>13.208193008836487</v>
      </c>
    </row>
    <row r="42" spans="2:225" s="3" customFormat="1">
      <c r="B42" s="3" t="s">
        <v>29</v>
      </c>
      <c r="H42" s="3">
        <f t="shared" ref="H42:J42" si="52">+H26/D26-1</f>
        <v>9.4313880820350082E-2</v>
      </c>
      <c r="I42" s="3">
        <f t="shared" si="52"/>
        <v>0.13773530973089976</v>
      </c>
      <c r="J42" s="3">
        <f t="shared" si="52"/>
        <v>6.3813438856659799E-2</v>
      </c>
      <c r="K42" s="3">
        <f>+K26/G26-1</f>
        <v>0.11630759167654614</v>
      </c>
      <c r="L42" s="3">
        <f>+L26/H26-1</f>
        <v>9.6842951940478761E-2</v>
      </c>
      <c r="M42" s="3">
        <f>+M26/I26-1</f>
        <v>6.7690761610796013E-2</v>
      </c>
      <c r="N42" s="3">
        <f>+N26/J26-1</f>
        <v>6.8002889129649358E-2</v>
      </c>
      <c r="W42" s="3">
        <f>+W26/V26-1</f>
        <v>-7.8132205995388171E-2</v>
      </c>
      <c r="X42" s="4">
        <f>+X26/W26-1</f>
        <v>0.33822487180556138</v>
      </c>
      <c r="Y42" s="3">
        <f>+Y26/X26-1</f>
        <v>8.9075804776739265E-2</v>
      </c>
      <c r="Z42" s="3">
        <f>+Z26/Y26-1</f>
        <v>8.6023760941284166E-2</v>
      </c>
      <c r="AA42" s="3">
        <f t="shared" ref="AA42:AI42" si="53">+AA26/Z26-1</f>
        <v>2.8252092565238751E-2</v>
      </c>
      <c r="AB42" s="3">
        <f t="shared" si="53"/>
        <v>5.7395588925387209E-2</v>
      </c>
      <c r="AC42" s="3">
        <f t="shared" si="53"/>
        <v>5.5271178843568025E-2</v>
      </c>
      <c r="AD42" s="3">
        <f t="shared" si="53"/>
        <v>5.3329043329043202E-2</v>
      </c>
      <c r="AE42" s="3">
        <f t="shared" si="53"/>
        <v>5.1546688605512259E-2</v>
      </c>
      <c r="AF42" s="3">
        <f t="shared" si="53"/>
        <v>4.9905175819834113E-2</v>
      </c>
      <c r="AG42" s="3">
        <f t="shared" si="53"/>
        <v>4.8388445458000806E-2</v>
      </c>
      <c r="AH42" s="3">
        <f t="shared" si="53"/>
        <v>4.6982790186744783E-2</v>
      </c>
      <c r="AI42" s="3">
        <f t="shared" si="53"/>
        <v>4.5676439420699433E-2</v>
      </c>
    </row>
    <row r="43" spans="2:225" s="3" customFormat="1">
      <c r="B43" s="3" t="s">
        <v>95</v>
      </c>
      <c r="D43" s="3">
        <f t="shared" ref="D43:M43" si="54">+D26/C26-1</f>
        <v>-1.4657415437987709E-2</v>
      </c>
      <c r="E43" s="3">
        <f t="shared" si="54"/>
        <v>7.7766041721679446E-2</v>
      </c>
      <c r="F43" s="3">
        <f t="shared" si="54"/>
        <v>6.288537710808928E-2</v>
      </c>
      <c r="G43" s="3">
        <f t="shared" si="54"/>
        <v>-6.024050097967637E-2</v>
      </c>
      <c r="H43" s="3">
        <f t="shared" si="54"/>
        <v>1.651608683209993E-2</v>
      </c>
      <c r="I43" s="3">
        <f t="shared" si="54"/>
        <v>0.1205308666800724</v>
      </c>
      <c r="J43" s="3">
        <f t="shared" si="54"/>
        <v>-6.1732826071352331E-3</v>
      </c>
      <c r="K43" s="3">
        <f t="shared" si="54"/>
        <v>-1.3867822318526568E-2</v>
      </c>
      <c r="L43" s="3">
        <f t="shared" si="54"/>
        <v>-1.2085255987693833E-3</v>
      </c>
      <c r="M43" s="3">
        <f t="shared" si="54"/>
        <v>9.0749092509074814E-2</v>
      </c>
      <c r="N43" s="3">
        <f>+N26/M26-1</f>
        <v>-5.8827484200622004E-3</v>
      </c>
    </row>
    <row r="45" spans="2:225" s="6" customFormat="1">
      <c r="B45" s="6" t="s">
        <v>88</v>
      </c>
      <c r="J45" s="6">
        <f>+J46-J59-J65</f>
        <v>-517.09999999999991</v>
      </c>
      <c r="K45" s="6">
        <f>+K46-K59-K65</f>
        <v>-1380.3999999999999</v>
      </c>
      <c r="L45" s="6">
        <f>+L46-L59-L65</f>
        <v>-1522.7</v>
      </c>
      <c r="M45" s="6">
        <f>+M46-M59-M65</f>
        <v>-1287.5999999999999</v>
      </c>
      <c r="N45" s="6">
        <f>+N46-N59-N65</f>
        <v>-1262.4000000000001</v>
      </c>
      <c r="AK45" s="6" t="s">
        <v>45</v>
      </c>
      <c r="AL45" s="10">
        <v>0.01</v>
      </c>
    </row>
    <row r="46" spans="2:225">
      <c r="B46" s="1" t="s">
        <v>53</v>
      </c>
      <c r="J46" s="1">
        <v>367.8</v>
      </c>
      <c r="K46" s="1">
        <v>192.1</v>
      </c>
      <c r="L46" s="1">
        <v>195.7</v>
      </c>
      <c r="M46" s="1">
        <v>243.9</v>
      </c>
      <c r="N46" s="1">
        <v>194.8</v>
      </c>
      <c r="AK46" s="1" t="s">
        <v>46</v>
      </c>
      <c r="AL46" s="9">
        <v>0.08</v>
      </c>
    </row>
    <row r="47" spans="2:225">
      <c r="B47" s="1" t="s">
        <v>66</v>
      </c>
      <c r="J47" s="1">
        <v>80.2</v>
      </c>
      <c r="K47" s="1">
        <v>59.2</v>
      </c>
      <c r="L47" s="1">
        <v>80.3</v>
      </c>
      <c r="M47" s="1">
        <v>72.2</v>
      </c>
      <c r="N47" s="1">
        <v>79.099999999999994</v>
      </c>
      <c r="AK47" s="1" t="s">
        <v>47</v>
      </c>
      <c r="AL47" s="1">
        <f>NPV(AL46,Z37:HQ37)</f>
        <v>19115.790095537297</v>
      </c>
    </row>
    <row r="48" spans="2:225">
      <c r="B48" s="1" t="s">
        <v>67</v>
      </c>
      <c r="J48" s="1">
        <v>287.89999999999998</v>
      </c>
      <c r="K48" s="1">
        <v>287</v>
      </c>
      <c r="L48" s="1">
        <v>310.60000000000002</v>
      </c>
      <c r="M48" s="1">
        <v>298.2</v>
      </c>
      <c r="N48" s="1">
        <v>290.5</v>
      </c>
      <c r="AK48" s="1" t="s">
        <v>49</v>
      </c>
      <c r="AL48" s="1">
        <f>+M45</f>
        <v>-1287.5999999999999</v>
      </c>
    </row>
    <row r="49" spans="2:38">
      <c r="B49" s="1" t="s">
        <v>68</v>
      </c>
      <c r="J49" s="1">
        <v>107.3</v>
      </c>
      <c r="K49" s="1">
        <v>98.8</v>
      </c>
      <c r="L49" s="1">
        <v>138.9</v>
      </c>
      <c r="M49" s="1">
        <v>122.6</v>
      </c>
      <c r="N49" s="1">
        <v>121.7</v>
      </c>
      <c r="AK49" s="1" t="s">
        <v>50</v>
      </c>
      <c r="AL49" s="1">
        <f>+SUM(AL47:AL48)</f>
        <v>17828.190095537298</v>
      </c>
    </row>
    <row r="50" spans="2:38">
      <c r="B50" s="1" t="s">
        <v>69</v>
      </c>
      <c r="J50" s="1">
        <v>154.5</v>
      </c>
      <c r="K50" s="1">
        <v>198.6</v>
      </c>
      <c r="L50" s="1">
        <v>142.19999999999999</v>
      </c>
      <c r="M50" s="1">
        <v>139.5</v>
      </c>
      <c r="N50" s="1">
        <v>136.69999999999999</v>
      </c>
      <c r="AK50" s="1" t="s">
        <v>27</v>
      </c>
      <c r="AL50" s="1">
        <f>+main!I12</f>
        <v>118.86295</v>
      </c>
    </row>
    <row r="51" spans="2:38">
      <c r="B51" s="1" t="s">
        <v>70</v>
      </c>
      <c r="J51" s="1">
        <v>3725.1</v>
      </c>
      <c r="K51" s="1">
        <v>3991.7</v>
      </c>
      <c r="L51" s="1">
        <v>4043.5</v>
      </c>
      <c r="M51" s="1">
        <v>4101.8999999999996</v>
      </c>
      <c r="N51" s="1">
        <v>4184.3</v>
      </c>
      <c r="AK51" s="1" t="s">
        <v>48</v>
      </c>
      <c r="AL51" s="1">
        <f>+AL49/AL50</f>
        <v>149.98946345801866</v>
      </c>
    </row>
    <row r="52" spans="2:38">
      <c r="B52" s="1" t="s">
        <v>71</v>
      </c>
      <c r="J52" s="1">
        <v>3373.9</v>
      </c>
      <c r="K52" s="1">
        <v>3600.3</v>
      </c>
      <c r="L52" s="1">
        <v>3539.7</v>
      </c>
      <c r="M52" s="1">
        <v>3494.3</v>
      </c>
      <c r="N52" s="1">
        <v>3429.3</v>
      </c>
      <c r="AK52" s="1" t="s">
        <v>51</v>
      </c>
      <c r="AL52" s="1">
        <f>+main!I11</f>
        <v>143.36000000000001</v>
      </c>
    </row>
    <row r="53" spans="2:38">
      <c r="B53" s="1" t="s">
        <v>72</v>
      </c>
      <c r="J53" s="1">
        <v>1037.4000000000001</v>
      </c>
      <c r="K53" s="1">
        <v>1376.9</v>
      </c>
      <c r="L53" s="1">
        <v>1392.9</v>
      </c>
      <c r="M53" s="1">
        <v>1397.8</v>
      </c>
      <c r="N53" s="1">
        <v>1391</v>
      </c>
      <c r="AK53" s="6" t="s">
        <v>52</v>
      </c>
      <c r="AL53" s="8">
        <f>+AL51/AL52-1</f>
        <v>4.6243467201581012E-2</v>
      </c>
    </row>
    <row r="54" spans="2:38">
      <c r="B54" s="1" t="s">
        <v>73</v>
      </c>
      <c r="J54" s="1">
        <v>806.3</v>
      </c>
      <c r="K54" s="1">
        <v>1148</v>
      </c>
      <c r="L54" s="1">
        <v>1148</v>
      </c>
      <c r="M54" s="1">
        <v>1148</v>
      </c>
      <c r="N54" s="1">
        <v>1148</v>
      </c>
    </row>
    <row r="55" spans="2:38">
      <c r="B55" s="1" t="s">
        <v>74</v>
      </c>
      <c r="J55" s="1">
        <v>301.10000000000002</v>
      </c>
      <c r="K55" s="1">
        <v>316.60000000000002</v>
      </c>
      <c r="L55" s="1">
        <v>330.3</v>
      </c>
      <c r="M55" s="1">
        <v>339.8</v>
      </c>
      <c r="N55" s="1">
        <v>347.6</v>
      </c>
    </row>
    <row r="56" spans="2:38" s="6" customFormat="1">
      <c r="B56" s="6" t="s">
        <v>65</v>
      </c>
      <c r="J56" s="6">
        <f>+SUM(J46:J55)</f>
        <v>10241.5</v>
      </c>
      <c r="K56" s="6">
        <f>+SUM(K46:K55)</f>
        <v>11269.2</v>
      </c>
      <c r="L56" s="6">
        <f>+SUM(L46:L55)</f>
        <v>11322.099999999999</v>
      </c>
      <c r="M56" s="6">
        <f>+SUM(M46:M55)</f>
        <v>11358.199999999997</v>
      </c>
      <c r="N56" s="6">
        <f>+SUM(N46:N55)</f>
        <v>11323.000000000002</v>
      </c>
      <c r="AK56" s="6" t="s">
        <v>5</v>
      </c>
      <c r="AL56" s="6">
        <f>+main!I16</f>
        <v>18302.592512000003</v>
      </c>
    </row>
    <row r="57" spans="2:38">
      <c r="AK57" s="1" t="s">
        <v>140</v>
      </c>
      <c r="AL57" s="25">
        <f>+AL56/AA37</f>
        <v>17.093020196139086</v>
      </c>
    </row>
    <row r="58" spans="2:38">
      <c r="B58" s="1" t="s">
        <v>76</v>
      </c>
      <c r="J58" s="1">
        <v>426.2</v>
      </c>
      <c r="K58" s="1">
        <v>419.6</v>
      </c>
      <c r="L58" s="1">
        <v>423.9</v>
      </c>
      <c r="M58" s="1">
        <v>406</v>
      </c>
      <c r="N58" s="1">
        <v>399.5</v>
      </c>
      <c r="AK58" s="1" t="s">
        <v>141</v>
      </c>
      <c r="AL58" s="25">
        <f>+AL56/AB37</f>
        <v>16.163897500338436</v>
      </c>
    </row>
    <row r="59" spans="2:38">
      <c r="B59" s="1" t="s">
        <v>77</v>
      </c>
      <c r="J59" s="1">
        <v>0</v>
      </c>
      <c r="K59" s="1">
        <v>95.4</v>
      </c>
      <c r="L59" s="1">
        <v>350</v>
      </c>
      <c r="M59" s="1">
        <v>158.69999999999999</v>
      </c>
      <c r="N59" s="1">
        <v>86.8</v>
      </c>
    </row>
    <row r="60" spans="2:38">
      <c r="B60" s="1" t="s">
        <v>78</v>
      </c>
      <c r="J60" s="1">
        <v>173</v>
      </c>
      <c r="K60" s="1">
        <v>168.6</v>
      </c>
      <c r="L60" s="1">
        <v>177.1</v>
      </c>
      <c r="M60" s="1">
        <v>195.6</v>
      </c>
      <c r="N60" s="1">
        <v>190.1</v>
      </c>
    </row>
    <row r="61" spans="2:38">
      <c r="B61" s="1" t="s">
        <v>79</v>
      </c>
      <c r="J61" s="1">
        <v>7.8</v>
      </c>
      <c r="K61" s="1">
        <v>8.4</v>
      </c>
      <c r="L61" s="1">
        <v>8.4</v>
      </c>
      <c r="M61" s="1">
        <v>8.5</v>
      </c>
      <c r="N61" s="1">
        <v>6.1</v>
      </c>
    </row>
    <row r="62" spans="2:38">
      <c r="B62" s="1" t="s">
        <v>80</v>
      </c>
      <c r="J62" s="1">
        <v>65.900000000000006</v>
      </c>
      <c r="K62" s="1">
        <v>74.3</v>
      </c>
      <c r="L62" s="1">
        <v>69.7</v>
      </c>
      <c r="M62" s="1">
        <v>69</v>
      </c>
      <c r="N62" s="1">
        <v>71</v>
      </c>
    </row>
    <row r="63" spans="2:38">
      <c r="B63" s="1" t="s">
        <v>81</v>
      </c>
      <c r="J63" s="1">
        <v>512</v>
      </c>
      <c r="K63" s="1">
        <v>541.70000000000005</v>
      </c>
      <c r="L63" s="1">
        <v>547.29999999999995</v>
      </c>
      <c r="M63" s="1">
        <v>626</v>
      </c>
      <c r="N63" s="1">
        <v>591.79999999999995</v>
      </c>
    </row>
    <row r="64" spans="2:38">
      <c r="B64" s="1" t="s">
        <v>82</v>
      </c>
      <c r="J64" s="1">
        <v>752.5</v>
      </c>
      <c r="K64" s="1">
        <v>786.1</v>
      </c>
      <c r="L64" s="1">
        <v>805.2</v>
      </c>
      <c r="M64" s="1">
        <v>808.6</v>
      </c>
      <c r="N64" s="1">
        <v>847.2</v>
      </c>
    </row>
    <row r="65" spans="2:14">
      <c r="B65" s="1" t="s">
        <v>83</v>
      </c>
      <c r="J65" s="1">
        <v>884.9</v>
      </c>
      <c r="K65" s="1">
        <v>1477.1</v>
      </c>
      <c r="L65" s="1">
        <v>1368.4</v>
      </c>
      <c r="M65" s="1">
        <v>1372.8</v>
      </c>
      <c r="N65" s="1">
        <v>1370.4</v>
      </c>
    </row>
    <row r="66" spans="2:14">
      <c r="B66" s="1" t="s">
        <v>84</v>
      </c>
      <c r="J66" s="1">
        <v>142.19999999999999</v>
      </c>
      <c r="K66" s="1">
        <v>231.4</v>
      </c>
      <c r="L66" s="1">
        <v>242.3</v>
      </c>
      <c r="M66" s="1">
        <v>240.9</v>
      </c>
      <c r="N66" s="1">
        <v>232</v>
      </c>
    </row>
    <row r="67" spans="2:14">
      <c r="B67" s="1" t="s">
        <v>71</v>
      </c>
      <c r="J67" s="1">
        <v>3667.6</v>
      </c>
      <c r="K67" s="1">
        <v>3877.5</v>
      </c>
      <c r="L67" s="1">
        <v>3815.3</v>
      </c>
      <c r="M67" s="1">
        <v>3774.4</v>
      </c>
      <c r="N67" s="1">
        <v>3704.7</v>
      </c>
    </row>
    <row r="68" spans="2:14">
      <c r="B68" s="1" t="s">
        <v>85</v>
      </c>
      <c r="J68" s="1">
        <v>1407.9</v>
      </c>
      <c r="K68" s="1">
        <v>1441</v>
      </c>
      <c r="L68" s="1">
        <v>1474.8</v>
      </c>
      <c r="M68" s="1">
        <v>1516.8</v>
      </c>
      <c r="N68" s="1">
        <v>1580.9</v>
      </c>
    </row>
    <row r="69" spans="2:14" s="6" customFormat="1">
      <c r="B69" s="6" t="s">
        <v>75</v>
      </c>
      <c r="J69" s="6">
        <f>SUM(J58:J68)</f>
        <v>8040</v>
      </c>
      <c r="K69" s="6">
        <f>SUM(K58:K68)</f>
        <v>9121.1</v>
      </c>
      <c r="L69" s="6">
        <f>SUM(L58:L68)</f>
        <v>9282.4</v>
      </c>
      <c r="M69" s="6">
        <f>SUM(M58:M68)</f>
        <v>9177.2999999999993</v>
      </c>
      <c r="N69" s="6">
        <f>SUM(N58:N68)</f>
        <v>9080.5</v>
      </c>
    </row>
    <row r="70" spans="2:14">
      <c r="B70" s="1" t="s">
        <v>86</v>
      </c>
      <c r="J70" s="1">
        <v>2201.5</v>
      </c>
      <c r="K70" s="1">
        <v>2148</v>
      </c>
      <c r="L70" s="1">
        <v>2039.7</v>
      </c>
      <c r="M70" s="1">
        <v>2180.9</v>
      </c>
      <c r="N70" s="1">
        <v>2242.5</v>
      </c>
    </row>
    <row r="71" spans="2:14" s="6" customFormat="1">
      <c r="B71" s="6" t="s">
        <v>87</v>
      </c>
      <c r="J71" s="6">
        <f>+SUM(J69:J70)</f>
        <v>10241.5</v>
      </c>
      <c r="K71" s="6">
        <f>+SUM(K69:K70)</f>
        <v>11269.1</v>
      </c>
      <c r="L71" s="6">
        <f>+SUM(L69:L70)</f>
        <v>11322.1</v>
      </c>
      <c r="M71" s="6">
        <f>+SUM(M69:M70)</f>
        <v>11358.199999999999</v>
      </c>
      <c r="N71" s="6">
        <f>+SUM(N69:N70)</f>
        <v>11323</v>
      </c>
    </row>
    <row r="79" spans="2:14">
      <c r="B79" s="1" t="s">
        <v>89</v>
      </c>
      <c r="G79" s="1">
        <v>427.8</v>
      </c>
      <c r="H79" s="1">
        <f>635.6-G79</f>
        <v>207.8</v>
      </c>
      <c r="I79" s="1">
        <f>1140.5-SUM(G79:H79)</f>
        <v>504.9</v>
      </c>
      <c r="J79" s="1">
        <f>1552.8-SUM(G79:I79)</f>
        <v>412.29999999999995</v>
      </c>
      <c r="K79" s="1">
        <v>269.10000000000002</v>
      </c>
      <c r="L79" s="1">
        <f>609.9-K79</f>
        <v>340.79999999999995</v>
      </c>
      <c r="M79" s="1">
        <f>1195.7-SUM(K79:L79)</f>
        <v>585.80000000000007</v>
      </c>
      <c r="N79" s="1">
        <v>1621.7</v>
      </c>
    </row>
    <row r="80" spans="2:14">
      <c r="B80" s="1" t="s">
        <v>90</v>
      </c>
      <c r="G80" s="1">
        <v>-122.8</v>
      </c>
      <c r="H80" s="1">
        <f>+-280.3-G80</f>
        <v>-157.5</v>
      </c>
      <c r="I80" s="1">
        <f>+-410.5-SUM(G80:H80)</f>
        <v>-130.19999999999999</v>
      </c>
      <c r="J80" s="1">
        <f>+-564.9-SUM(G80:I80)</f>
        <v>-154.39999999999998</v>
      </c>
      <c r="K80" s="1">
        <v>-150.9</v>
      </c>
      <c r="L80" s="1">
        <f>+-312.4-K80</f>
        <v>-161.49999999999997</v>
      </c>
      <c r="M80" s="1">
        <f>+-460.8-SUM(K80:L80)</f>
        <v>-148.40000000000003</v>
      </c>
      <c r="N80" s="1">
        <v>-601.20000000000005</v>
      </c>
    </row>
    <row r="81" spans="2:14" s="6" customFormat="1">
      <c r="B81" s="6" t="s">
        <v>91</v>
      </c>
      <c r="G81" s="6">
        <f>+SUM(G79:G80)</f>
        <v>305</v>
      </c>
      <c r="H81" s="6">
        <f>+SUM(H79:H80)</f>
        <v>50.300000000000011</v>
      </c>
      <c r="I81" s="6">
        <f>+SUM(I79:I80)</f>
        <v>374.7</v>
      </c>
      <c r="J81" s="6">
        <f t="shared" ref="J81:N81" si="55">+SUM(J79:J80)</f>
        <v>257.89999999999998</v>
      </c>
      <c r="K81" s="6">
        <f t="shared" si="55"/>
        <v>118.20000000000002</v>
      </c>
      <c r="L81" s="6">
        <f t="shared" si="55"/>
        <v>179.29999999999998</v>
      </c>
      <c r="M81" s="6">
        <f t="shared" si="55"/>
        <v>437.40000000000003</v>
      </c>
      <c r="N81" s="6">
        <f t="shared" si="55"/>
        <v>1020.5</v>
      </c>
    </row>
    <row r="82" spans="2:14" s="6" customFormat="1">
      <c r="B82" s="6" t="s">
        <v>92</v>
      </c>
      <c r="C82" s="6">
        <f t="shared" ref="C82:L82" si="56">+C37</f>
        <v>231.69999999999987</v>
      </c>
      <c r="D82" s="6">
        <f t="shared" si="56"/>
        <v>193.40000000000015</v>
      </c>
      <c r="E82" s="6">
        <f t="shared" si="56"/>
        <v>244.09999999999954</v>
      </c>
      <c r="F82" s="6">
        <f t="shared" si="56"/>
        <v>283.50000000000045</v>
      </c>
      <c r="G82" s="6">
        <f t="shared" si="56"/>
        <v>188.70000000000061</v>
      </c>
      <c r="H82" s="6">
        <f t="shared" si="56"/>
        <v>178.69999999999962</v>
      </c>
      <c r="I82" s="6">
        <f t="shared" si="56"/>
        <v>288.10000000000025</v>
      </c>
      <c r="J82" s="6">
        <f t="shared" si="56"/>
        <v>317.39999999999969</v>
      </c>
      <c r="K82" s="6">
        <f t="shared" si="56"/>
        <v>197.89999999999955</v>
      </c>
      <c r="L82" s="6">
        <f t="shared" si="56"/>
        <v>219.8</v>
      </c>
      <c r="M82" s="6">
        <f>+M37</f>
        <v>313.80000000000018</v>
      </c>
      <c r="N82" s="6">
        <f>+N37</f>
        <v>311.39999999999884</v>
      </c>
    </row>
    <row r="84" spans="2:14">
      <c r="B84" s="1" t="s">
        <v>93</v>
      </c>
      <c r="J84" s="1">
        <f t="shared" ref="J84:L84" si="57">+SUM(G81:J81)</f>
        <v>987.9</v>
      </c>
      <c r="K84" s="1">
        <f t="shared" si="57"/>
        <v>801.1</v>
      </c>
      <c r="L84" s="1">
        <f t="shared" si="57"/>
        <v>930.09999999999991</v>
      </c>
      <c r="M84" s="1">
        <f>+SUM(J81:M81)</f>
        <v>992.8</v>
      </c>
      <c r="N84" s="1">
        <f>+SUM(K81:N81)</f>
        <v>1755.4</v>
      </c>
    </row>
    <row r="85" spans="2:14">
      <c r="B85" s="1" t="s">
        <v>94</v>
      </c>
      <c r="J85" s="1">
        <f t="shared" ref="J85:L85" si="58">+SUM(G82:J82)</f>
        <v>972.90000000000009</v>
      </c>
      <c r="K85" s="1">
        <f t="shared" si="58"/>
        <v>982.09999999999911</v>
      </c>
      <c r="L85" s="1">
        <f t="shared" si="58"/>
        <v>1023.1999999999996</v>
      </c>
      <c r="M85" s="1">
        <f>+SUM(J82:M82)</f>
        <v>1048.8999999999994</v>
      </c>
      <c r="N85" s="1">
        <f>+SUM(K82:N82)</f>
        <v>1042.8999999999987</v>
      </c>
    </row>
    <row r="87" spans="2:14">
      <c r="J87" s="1">
        <f t="shared" ref="J87:L87" si="59">+J84-J85</f>
        <v>14.999999999999886</v>
      </c>
      <c r="K87" s="1">
        <f t="shared" si="59"/>
        <v>-180.99999999999909</v>
      </c>
      <c r="L87" s="1">
        <f t="shared" si="59"/>
        <v>-93.099999999999682</v>
      </c>
      <c r="M87" s="1">
        <f>+M84-M85</f>
        <v>-56.099999999999454</v>
      </c>
      <c r="N87" s="1">
        <f>+N84-N85</f>
        <v>712.50000000000136</v>
      </c>
    </row>
  </sheetData>
  <pageMargins left="0.7" right="0.7" top="0.75" bottom="0.75" header="0.3" footer="0.3"/>
  <ignoredErrors>
    <ignoredError sqref="J37:J39 F33:F39 AA35:AI35 AA33:AI33 AA34:AI34 Z37:AI37 AA36:AI36 Z40:AI41 AA38:AI38 AA39:AI39" formula="1"/>
    <ignoredError sqref="Y22:Y25 H22:N32 H33:I36 K33:N36" formulaRange="1"/>
    <ignoredError sqref="J33:J36" formula="1" formulaRange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91DE-60FB-EC41-B212-3253A3E28A15}">
  <dimension ref="B3:B12"/>
  <sheetViews>
    <sheetView zoomScale="291" workbookViewId="0">
      <selection activeCell="D18" sqref="D18"/>
    </sheetView>
  </sheetViews>
  <sheetFormatPr baseColWidth="10" defaultRowHeight="13"/>
  <cols>
    <col min="1" max="1" width="2.33203125" customWidth="1"/>
  </cols>
  <sheetData>
    <row r="3" spans="2:2">
      <c r="B3" s="12" t="s">
        <v>31</v>
      </c>
    </row>
    <row r="4" spans="2:2">
      <c r="B4" t="s">
        <v>100</v>
      </c>
    </row>
    <row r="5" spans="2:2">
      <c r="B5" t="s">
        <v>101</v>
      </c>
    </row>
    <row r="6" spans="2:2">
      <c r="B6" t="s">
        <v>102</v>
      </c>
    </row>
    <row r="7" spans="2:2">
      <c r="B7" t="s">
        <v>103</v>
      </c>
    </row>
    <row r="8" spans="2:2">
      <c r="B8" t="s">
        <v>104</v>
      </c>
    </row>
    <row r="9" spans="2:2">
      <c r="B9" t="s">
        <v>105</v>
      </c>
    </row>
    <row r="10" spans="2:2">
      <c r="B10" t="s">
        <v>106</v>
      </c>
    </row>
    <row r="11" spans="2:2">
      <c r="B11" t="s">
        <v>107</v>
      </c>
    </row>
    <row r="12" spans="2:2">
      <c r="B1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investors</vt:lpstr>
      <vt:lpstr>model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2024-02-19T04:48:16Z</dcterms:created>
  <dcterms:modified xsi:type="dcterms:W3CDTF">2024-08-18T18:06:44Z</dcterms:modified>
</cp:coreProperties>
</file>