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D3F46B84-4AD4-F443-AF4A-99B2F76422E4}" xr6:coauthVersionLast="47" xr6:coauthVersionMax="47" xr10:uidLastSave="{00000000-0000-0000-0000-000000000000}"/>
  <bookViews>
    <workbookView xWindow="14640" yWindow="740" windowWidth="38940" windowHeight="27800" activeTab="1" xr2:uid="{57D806FF-67CB-C549-B29C-6C0104D9BA35}"/>
  </bookViews>
  <sheets>
    <sheet name="main" sheetId="1" r:id="rId1"/>
    <sheet name="mode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Y15" i="2" s="1"/>
  <c r="Z15" i="2" s="1"/>
  <c r="AA15" i="2" s="1"/>
  <c r="AB15" i="2" s="1"/>
  <c r="AC15" i="2" s="1"/>
  <c r="AD15" i="2" s="1"/>
  <c r="AE15" i="2" s="1"/>
  <c r="W15" i="2"/>
  <c r="V15" i="2"/>
  <c r="V44" i="2"/>
  <c r="AH36" i="2"/>
  <c r="AH34" i="2"/>
  <c r="AH32" i="2"/>
  <c r="AI1" i="2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AG1" i="2"/>
  <c r="AH1" i="2" s="1"/>
  <c r="AF1" i="2"/>
  <c r="X1" i="2"/>
  <c r="Y1" i="2" s="1"/>
  <c r="Z1" i="2" s="1"/>
  <c r="AA1" i="2" s="1"/>
  <c r="AB1" i="2" s="1"/>
  <c r="AC1" i="2" s="1"/>
  <c r="AD1" i="2" s="1"/>
  <c r="AE1" i="2" s="1"/>
  <c r="W1" i="2"/>
  <c r="W26" i="2"/>
  <c r="X26" i="2" s="1"/>
  <c r="Y26" i="2" s="1"/>
  <c r="Z26" i="2" s="1"/>
  <c r="AA26" i="2" s="1"/>
  <c r="AB26" i="2" s="1"/>
  <c r="AC26" i="2" s="1"/>
  <c r="AD26" i="2" s="1"/>
  <c r="AE26" i="2" s="1"/>
  <c r="W18" i="2"/>
  <c r="V26" i="2"/>
  <c r="V19" i="2"/>
  <c r="W19" i="2" s="1"/>
  <c r="V18" i="2"/>
  <c r="V17" i="2"/>
  <c r="V16" i="2"/>
  <c r="V45" i="2" s="1"/>
  <c r="P44" i="2"/>
  <c r="Q44" i="2"/>
  <c r="R44" i="2"/>
  <c r="S44" i="2"/>
  <c r="S45" i="2"/>
  <c r="T45" i="2"/>
  <c r="T44" i="2"/>
  <c r="U44" i="2"/>
  <c r="J44" i="2"/>
  <c r="I44" i="2"/>
  <c r="H44" i="2"/>
  <c r="G44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J40" i="2"/>
  <c r="J39" i="2"/>
  <c r="J38" i="2"/>
  <c r="F24" i="2"/>
  <c r="F22" i="2"/>
  <c r="F21" i="2"/>
  <c r="F19" i="2"/>
  <c r="F18" i="2"/>
  <c r="F17" i="2"/>
  <c r="F16" i="2"/>
  <c r="F13" i="2"/>
  <c r="J42" i="2" s="1"/>
  <c r="F12" i="2"/>
  <c r="J41" i="2" s="1"/>
  <c r="F11" i="2"/>
  <c r="F10" i="2"/>
  <c r="F9" i="2"/>
  <c r="F7" i="2"/>
  <c r="F6" i="2"/>
  <c r="J35" i="2" s="1"/>
  <c r="F5" i="2"/>
  <c r="J34" i="2" s="1"/>
  <c r="F4" i="2"/>
  <c r="J33" i="2" s="1"/>
  <c r="F3" i="2"/>
  <c r="J32" i="2" s="1"/>
  <c r="C14" i="2"/>
  <c r="C8" i="2"/>
  <c r="G14" i="2"/>
  <c r="G15" i="2" s="1"/>
  <c r="G8" i="2"/>
  <c r="G37" i="2" s="1"/>
  <c r="D14" i="2"/>
  <c r="D15" i="2" s="1"/>
  <c r="D20" i="2" s="1"/>
  <c r="D23" i="2" s="1"/>
  <c r="D25" i="2" s="1"/>
  <c r="D27" i="2" s="1"/>
  <c r="D8" i="2"/>
  <c r="H14" i="2"/>
  <c r="H8" i="2"/>
  <c r="H37" i="2" s="1"/>
  <c r="J24" i="2"/>
  <c r="J22" i="2"/>
  <c r="J21" i="2"/>
  <c r="J19" i="2"/>
  <c r="J18" i="2"/>
  <c r="J17" i="2"/>
  <c r="J16" i="2"/>
  <c r="J13" i="2"/>
  <c r="J12" i="2"/>
  <c r="J11" i="2"/>
  <c r="J10" i="2"/>
  <c r="J9" i="2"/>
  <c r="J7" i="2"/>
  <c r="J36" i="2" s="1"/>
  <c r="J6" i="2"/>
  <c r="J5" i="2"/>
  <c r="J4" i="2"/>
  <c r="J3" i="2"/>
  <c r="S15" i="2"/>
  <c r="S20" i="2" s="1"/>
  <c r="S23" i="2" s="1"/>
  <c r="S25" i="2" s="1"/>
  <c r="S27" i="2" s="1"/>
  <c r="E14" i="2"/>
  <c r="E8" i="2"/>
  <c r="I14" i="2"/>
  <c r="I43" i="2" s="1"/>
  <c r="I8" i="2"/>
  <c r="U42" i="2"/>
  <c r="U41" i="2"/>
  <c r="U40" i="2"/>
  <c r="U39" i="2"/>
  <c r="U38" i="2"/>
  <c r="U36" i="2"/>
  <c r="U35" i="2"/>
  <c r="U34" i="2"/>
  <c r="U33" i="2"/>
  <c r="U32" i="2"/>
  <c r="T14" i="2"/>
  <c r="T43" i="2" s="1"/>
  <c r="T8" i="2"/>
  <c r="T15" i="2" s="1"/>
  <c r="U14" i="2"/>
  <c r="U43" i="2" s="1"/>
  <c r="U8" i="2"/>
  <c r="U37" i="2" s="1"/>
  <c r="L6" i="1"/>
  <c r="L7" i="1" s="1"/>
  <c r="K6" i="1"/>
  <c r="K5" i="1"/>
  <c r="K8" i="1" s="1"/>
  <c r="W16" i="2" l="1"/>
  <c r="X16" i="2" s="1"/>
  <c r="AA44" i="2"/>
  <c r="W17" i="2"/>
  <c r="X17" i="2" s="1"/>
  <c r="Y17" i="2" s="1"/>
  <c r="Z17" i="2" s="1"/>
  <c r="AA17" i="2" s="1"/>
  <c r="AB17" i="2" s="1"/>
  <c r="AC17" i="2" s="1"/>
  <c r="AD17" i="2" s="1"/>
  <c r="AE17" i="2" s="1"/>
  <c r="AB44" i="2"/>
  <c r="X18" i="2"/>
  <c r="Y18" i="2" s="1"/>
  <c r="Z18" i="2" s="1"/>
  <c r="AA18" i="2" s="1"/>
  <c r="AB18" i="2" s="1"/>
  <c r="AC18" i="2" s="1"/>
  <c r="AD18" i="2" s="1"/>
  <c r="AE18" i="2" s="1"/>
  <c r="W44" i="2"/>
  <c r="AE44" i="2"/>
  <c r="X44" i="2"/>
  <c r="AD44" i="2"/>
  <c r="X19" i="2"/>
  <c r="Y19" i="2" s="1"/>
  <c r="Z19" i="2" s="1"/>
  <c r="AA19" i="2" s="1"/>
  <c r="AB19" i="2" s="1"/>
  <c r="AC19" i="2" s="1"/>
  <c r="AD19" i="2" s="1"/>
  <c r="AE19" i="2" s="1"/>
  <c r="V20" i="2"/>
  <c r="V21" i="2" s="1"/>
  <c r="Y44" i="2"/>
  <c r="AC44" i="2"/>
  <c r="Z44" i="2"/>
  <c r="Y16" i="2"/>
  <c r="V22" i="2"/>
  <c r="G20" i="2"/>
  <c r="G23" i="2" s="1"/>
  <c r="G25" i="2" s="1"/>
  <c r="G27" i="2" s="1"/>
  <c r="H43" i="2"/>
  <c r="F8" i="2"/>
  <c r="F14" i="2"/>
  <c r="F15" i="2" s="1"/>
  <c r="H15" i="2"/>
  <c r="C15" i="2"/>
  <c r="C20" i="2" s="1"/>
  <c r="C23" i="2" s="1"/>
  <c r="C25" i="2" s="1"/>
  <c r="C27" i="2" s="1"/>
  <c r="F27" i="2" s="1"/>
  <c r="F20" i="2"/>
  <c r="F23" i="2" s="1"/>
  <c r="F25" i="2" s="1"/>
  <c r="J14" i="2"/>
  <c r="J8" i="2"/>
  <c r="I15" i="2"/>
  <c r="T20" i="2"/>
  <c r="T23" i="2" s="1"/>
  <c r="T25" i="2" s="1"/>
  <c r="T27" i="2" s="1"/>
  <c r="U15" i="2"/>
  <c r="T37" i="2"/>
  <c r="E15" i="2"/>
  <c r="E20" i="2" s="1"/>
  <c r="E23" i="2" s="1"/>
  <c r="E25" i="2" s="1"/>
  <c r="E27" i="2" s="1"/>
  <c r="V23" i="2" l="1"/>
  <c r="X45" i="2"/>
  <c r="W20" i="2"/>
  <c r="W21" i="2" s="1"/>
  <c r="Y45" i="2"/>
  <c r="W45" i="2"/>
  <c r="W22" i="2"/>
  <c r="X20" i="2"/>
  <c r="X22" i="2" s="1"/>
  <c r="V24" i="2"/>
  <c r="V25" i="2" s="1"/>
  <c r="Z16" i="2"/>
  <c r="Z45" i="2" s="1"/>
  <c r="Y20" i="2"/>
  <c r="F26" i="2"/>
  <c r="H45" i="2"/>
  <c r="H20" i="2"/>
  <c r="H23" i="2" s="1"/>
  <c r="H25" i="2" s="1"/>
  <c r="H27" i="2" s="1"/>
  <c r="I20" i="2"/>
  <c r="I23" i="2" s="1"/>
  <c r="I25" i="2" s="1"/>
  <c r="I27" i="2" s="1"/>
  <c r="I45" i="2"/>
  <c r="J37" i="2"/>
  <c r="J43" i="2"/>
  <c r="G45" i="2"/>
  <c r="J15" i="2"/>
  <c r="U20" i="2"/>
  <c r="U23" i="2" s="1"/>
  <c r="U25" i="2" s="1"/>
  <c r="U27" i="2" s="1"/>
  <c r="U45" i="2"/>
  <c r="V27" i="2" l="1"/>
  <c r="X21" i="2"/>
  <c r="X23" i="2" s="1"/>
  <c r="W23" i="2"/>
  <c r="W24" i="2" s="1"/>
  <c r="Z20" i="2"/>
  <c r="AA16" i="2"/>
  <c r="AA45" i="2" s="1"/>
  <c r="Y22" i="2"/>
  <c r="J27" i="2"/>
  <c r="J20" i="2"/>
  <c r="J23" i="2" s="1"/>
  <c r="J25" i="2" s="1"/>
  <c r="J26" i="2" s="1"/>
  <c r="J45" i="2"/>
  <c r="W25" i="2" l="1"/>
  <c r="X24" i="2"/>
  <c r="X25" i="2" s="1"/>
  <c r="X27" i="2" s="1"/>
  <c r="Y21" i="2"/>
  <c r="Y23" i="2" s="1"/>
  <c r="Y24" i="2"/>
  <c r="Y25" i="2" s="1"/>
  <c r="Y27" i="2" s="1"/>
  <c r="Z22" i="2"/>
  <c r="Z21" i="2"/>
  <c r="Z23" i="2" s="1"/>
  <c r="AA20" i="2"/>
  <c r="AB16" i="2"/>
  <c r="AB45" i="2" s="1"/>
  <c r="W27" i="2" l="1"/>
  <c r="Z24" i="2"/>
  <c r="Z25" i="2"/>
  <c r="Z27" i="2" s="1"/>
  <c r="AA22" i="2"/>
  <c r="AA21" i="2"/>
  <c r="AA23" i="2" s="1"/>
  <c r="AB20" i="2"/>
  <c r="AC16" i="2"/>
  <c r="AC45" i="2" s="1"/>
  <c r="AA24" i="2" l="1"/>
  <c r="AA25" i="2" s="1"/>
  <c r="AA27" i="2" s="1"/>
  <c r="AC20" i="2"/>
  <c r="AD16" i="2"/>
  <c r="AD45" i="2" s="1"/>
  <c r="AB22" i="2"/>
  <c r="AB21" i="2"/>
  <c r="AB23" i="2" l="1"/>
  <c r="AB24" i="2"/>
  <c r="AB25" i="2" s="1"/>
  <c r="AB27" i="2" s="1"/>
  <c r="AC21" i="2"/>
  <c r="AC22" i="2"/>
  <c r="AC23" i="2" s="1"/>
  <c r="AD20" i="2"/>
  <c r="AE16" i="2"/>
  <c r="AE20" i="2" l="1"/>
  <c r="AE45" i="2"/>
  <c r="AC24" i="2"/>
  <c r="AC25" i="2"/>
  <c r="AC27" i="2" s="1"/>
  <c r="AD22" i="2"/>
  <c r="AD21" i="2"/>
  <c r="AD23" i="2" s="1"/>
  <c r="AE22" i="2"/>
  <c r="AE21" i="2" l="1"/>
  <c r="AE23" i="2" s="1"/>
  <c r="AD24" i="2"/>
  <c r="AD25" i="2" s="1"/>
  <c r="AD27" i="2" s="1"/>
  <c r="AE24" i="2"/>
  <c r="AE25" i="2" s="1"/>
  <c r="AE27" i="2" l="1"/>
  <c r="AF25" i="2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EG25" i="2" s="1"/>
  <c r="EH25" i="2" s="1"/>
  <c r="EI25" i="2" s="1"/>
  <c r="EJ25" i="2" s="1"/>
  <c r="EK25" i="2" s="1"/>
  <c r="EL25" i="2" s="1"/>
  <c r="EM25" i="2" s="1"/>
  <c r="EN25" i="2" s="1"/>
  <c r="EO25" i="2" s="1"/>
  <c r="EP25" i="2" s="1"/>
  <c r="EQ25" i="2" s="1"/>
  <c r="ER25" i="2" s="1"/>
  <c r="ES25" i="2" s="1"/>
  <c r="ET25" i="2" s="1"/>
  <c r="EU25" i="2" s="1"/>
  <c r="EV25" i="2" s="1"/>
  <c r="EW25" i="2" s="1"/>
  <c r="EX25" i="2" s="1"/>
  <c r="EY25" i="2" s="1"/>
  <c r="EZ25" i="2" s="1"/>
  <c r="FA25" i="2" s="1"/>
  <c r="FB25" i="2" s="1"/>
  <c r="FC25" i="2" s="1"/>
  <c r="FD25" i="2" s="1"/>
  <c r="FE25" i="2" s="1"/>
  <c r="FF25" i="2" s="1"/>
  <c r="FG25" i="2" s="1"/>
  <c r="FH25" i="2" s="1"/>
  <c r="FI25" i="2" s="1"/>
  <c r="FJ25" i="2" s="1"/>
  <c r="FK25" i="2" s="1"/>
  <c r="FL25" i="2" s="1"/>
  <c r="FM25" i="2" s="1"/>
  <c r="FN25" i="2" s="1"/>
  <c r="FO25" i="2" s="1"/>
  <c r="FP25" i="2" s="1"/>
  <c r="FQ25" i="2" s="1"/>
  <c r="FR25" i="2" s="1"/>
  <c r="FS25" i="2" s="1"/>
  <c r="FT25" i="2" s="1"/>
  <c r="FU25" i="2" s="1"/>
  <c r="FV25" i="2" s="1"/>
  <c r="FW25" i="2" s="1"/>
  <c r="FX25" i="2" s="1"/>
  <c r="FY25" i="2" s="1"/>
  <c r="FZ25" i="2" s="1"/>
  <c r="GA25" i="2" s="1"/>
  <c r="GB25" i="2" s="1"/>
  <c r="GC25" i="2" s="1"/>
  <c r="GD25" i="2" s="1"/>
  <c r="GE25" i="2" s="1"/>
  <c r="GF25" i="2" s="1"/>
  <c r="GG25" i="2" s="1"/>
  <c r="GH25" i="2" s="1"/>
  <c r="GI25" i="2" s="1"/>
  <c r="GJ25" i="2" s="1"/>
  <c r="GK25" i="2" s="1"/>
  <c r="GL25" i="2" s="1"/>
  <c r="GM25" i="2" s="1"/>
  <c r="GN25" i="2" s="1"/>
  <c r="GO25" i="2" s="1"/>
  <c r="GP25" i="2" s="1"/>
  <c r="GQ25" i="2" s="1"/>
  <c r="GR25" i="2" s="1"/>
  <c r="GS25" i="2" s="1"/>
  <c r="GT25" i="2" s="1"/>
  <c r="GU25" i="2" s="1"/>
  <c r="GV25" i="2" s="1"/>
  <c r="GW25" i="2" s="1"/>
  <c r="GX25" i="2" s="1"/>
  <c r="GY25" i="2" s="1"/>
  <c r="GZ25" i="2" s="1"/>
  <c r="HA25" i="2" s="1"/>
  <c r="HB25" i="2" s="1"/>
  <c r="HC25" i="2" s="1"/>
  <c r="HD25" i="2" s="1"/>
  <c r="HE25" i="2" s="1"/>
  <c r="HF25" i="2" s="1"/>
  <c r="HG25" i="2" s="1"/>
  <c r="HH25" i="2" s="1"/>
  <c r="HI25" i="2" s="1"/>
  <c r="HJ25" i="2" s="1"/>
  <c r="HK25" i="2" s="1"/>
  <c r="HL25" i="2" s="1"/>
  <c r="HM25" i="2" s="1"/>
  <c r="AH31" i="2" s="1"/>
  <c r="AH33" i="2" s="1"/>
  <c r="AH35" i="2" s="1"/>
  <c r="AH3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U3" authorId="0" shapeId="0" xr:uid="{A835C9CD-591D-B645-84F4-F0D80017F6EE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increased unit sales and premium product mix</t>
        </r>
      </text>
    </comment>
    <comment ref="B8" authorId="0" shapeId="0" xr:uid="{E98CAF38-3E23-1849-B77B-11BBF0AAF6B2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imes New Roman"/>
            <family val="18"/>
          </rPr>
          <t>TASER segment “Other” includes smaller categories, such as VR hardware, CED training revenue such as revenue associated with our Master Instructor School, and TASER consumer device sales.</t>
        </r>
      </text>
    </comment>
    <comment ref="B13" authorId="0" shapeId="0" xr:uid="{89CDEF31-9388-4049-9116-74A71EE6CA89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revenue from items including Signal Sidearm, Interview Room and Axon Air.</t>
        </r>
      </text>
    </comment>
    <comment ref="U14" authorId="0" shapeId="0" xr:uid="{1F581525-1068-7347-9171-E2FC45528C34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growing sales of next generation TASER products</t>
        </r>
      </text>
    </comment>
    <comment ref="B37" authorId="0" shapeId="0" xr:uid="{005646EA-1287-7B40-B3CE-5AB946FFFB47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imes New Roman"/>
            <family val="18"/>
          </rPr>
          <t>TASER segment “Other” includes smaller categories, such as VR hardware, CED training revenue such as revenue associated with our Master Instructor School, and TASER consumer device sales.</t>
        </r>
      </text>
    </comment>
    <comment ref="B42" authorId="0" shapeId="0" xr:uid="{3FFEF458-E48C-974D-92DD-1AE91F415BA7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revenue from items including Signal Sidearm, Interview Room and Axon Air.</t>
        </r>
      </text>
    </comment>
  </commentList>
</comments>
</file>

<file path=xl/sharedStrings.xml><?xml version="1.0" encoding="utf-8"?>
<sst xmlns="http://schemas.openxmlformats.org/spreadsheetml/2006/main" count="94" uniqueCount="79">
  <si>
    <t>P</t>
  </si>
  <si>
    <t>S</t>
  </si>
  <si>
    <t>MC</t>
  </si>
  <si>
    <t>C</t>
  </si>
  <si>
    <t>D</t>
  </si>
  <si>
    <t>EV</t>
  </si>
  <si>
    <t>HQ</t>
  </si>
  <si>
    <t>10K</t>
  </si>
  <si>
    <t>Q122</t>
  </si>
  <si>
    <t>Q222</t>
  </si>
  <si>
    <t>Q322</t>
  </si>
  <si>
    <t>Q422</t>
  </si>
  <si>
    <t>Q123</t>
  </si>
  <si>
    <t>Q223</t>
  </si>
  <si>
    <t>Q323</t>
  </si>
  <si>
    <t>Q423</t>
  </si>
  <si>
    <t>Founded</t>
  </si>
  <si>
    <t>Founder</t>
  </si>
  <si>
    <t>Overview</t>
  </si>
  <si>
    <t>provider of law enforcement technology solutions</t>
  </si>
  <si>
    <t>2022 goal of cutting gun-related deaths between police and the public  in half by 2033</t>
  </si>
  <si>
    <t>Offerings</t>
  </si>
  <si>
    <t>Software</t>
  </si>
  <si>
    <t>Sensors</t>
  </si>
  <si>
    <t>TASER</t>
  </si>
  <si>
    <t>taser devices, VR training services and consumer devices</t>
  </si>
  <si>
    <t>Body cams, fleet in car systems, other</t>
  </si>
  <si>
    <t xml:space="preserve">axon records (designed to save officersd time spent writing reports), axon respond, </t>
  </si>
  <si>
    <t>Customers</t>
  </si>
  <si>
    <t>Contains</t>
  </si>
  <si>
    <t xml:space="preserve">State/local </t>
  </si>
  <si>
    <t>Fed Gov't</t>
  </si>
  <si>
    <t>Int'l  gov't customers</t>
  </si>
  <si>
    <t>Commercial enterprises</t>
  </si>
  <si>
    <t xml:space="preserve">military </t>
  </si>
  <si>
    <t>attorneys</t>
  </si>
  <si>
    <t>corrections</t>
  </si>
  <si>
    <t xml:space="preserve">EMS, miliatary </t>
  </si>
  <si>
    <t>Scottsdale, AZ</t>
  </si>
  <si>
    <t>Certs</t>
  </si>
  <si>
    <t>ISO 9001</t>
  </si>
  <si>
    <t>ISO 9001:2015</t>
  </si>
  <si>
    <t xml:space="preserve">Competition </t>
  </si>
  <si>
    <t>Axis Coms AB</t>
  </si>
  <si>
    <t>Digital Ally</t>
  </si>
  <si>
    <t>getac Tech</t>
  </si>
  <si>
    <t>Net Sales</t>
  </si>
  <si>
    <t>Product C</t>
  </si>
  <si>
    <t>Service C</t>
  </si>
  <si>
    <t>SG&amp;A</t>
  </si>
  <si>
    <t>R&amp;D</t>
  </si>
  <si>
    <t>Operating Income</t>
  </si>
  <si>
    <t>Interest income</t>
  </si>
  <si>
    <t>Other income</t>
  </si>
  <si>
    <t>EBT</t>
  </si>
  <si>
    <t>Taxes</t>
  </si>
  <si>
    <t>Net Income</t>
  </si>
  <si>
    <t>Diluted</t>
  </si>
  <si>
    <t>EPS</t>
  </si>
  <si>
    <t>Taser devices</t>
  </si>
  <si>
    <t>Cartridges</t>
  </si>
  <si>
    <t>Evidence &amp; Cloud</t>
  </si>
  <si>
    <t>Extended warranties</t>
  </si>
  <si>
    <t>Other</t>
  </si>
  <si>
    <t xml:space="preserve">Taser Segment </t>
  </si>
  <si>
    <t>Body Cameras and Accessories</t>
  </si>
  <si>
    <t>Fleet Systems</t>
  </si>
  <si>
    <t>Evidence and Cloud Services</t>
  </si>
  <si>
    <t>Software and Sensors Segment</t>
  </si>
  <si>
    <t>GM%</t>
  </si>
  <si>
    <t xml:space="preserve">Terminal </t>
  </si>
  <si>
    <t>Discount</t>
  </si>
  <si>
    <t>NPV</t>
  </si>
  <si>
    <t>Shares</t>
  </si>
  <si>
    <t xml:space="preserve">Net Cash </t>
  </si>
  <si>
    <t>Total Value</t>
  </si>
  <si>
    <t>Estimate</t>
  </si>
  <si>
    <t>Current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</si>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</sst>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MT"/>
      <family val="2"/>
    </font>
    <font>
      <sz val="10"/>
      <color theme="1"/>
      <name val="ArialMT"/>
    </font>
    <font>
      <u/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Times New Roman"/>
      <family val="18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3" fontId="2" fillId="0" borderId="0" xfId="0" applyNumberFormat="1" applyFont="1"/>
    <xf numFmtId="3" fontId="0" fillId="0" borderId="0" xfId="0" applyNumberFormat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9" fontId="0" fillId="0" borderId="0" xfId="0" applyNumberFormat="1"/>
    <xf numFmtId="3" fontId="3" fillId="0" borderId="0" xfId="0" applyNumberFormat="1" applyFon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690562</xdr:colOff>
      <xdr:row>0</xdr:row>
      <xdr:rowOff>39688</xdr:rowOff>
    </xdr:from>
    <xdr:to>
      <xdr:col>21</xdr:col>
      <xdr:colOff>7937</xdr:colOff>
      <xdr:row>57</xdr:row>
      <xdr:rowOff>39687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840DE01-5FE8-8295-1E3D-AF4BE251ED37}"/>
            </a:ext>
          </a:extLst>
        </xdr:cNvPr>
        <xdr:cNvCxnSpPr/>
      </xdr:nvCxnSpPr>
      <xdr:spPr>
        <a:xfrm>
          <a:off x="13716000" y="39688"/>
          <a:ext cx="15875" cy="95011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D4B6-BD09-734C-948F-6AF0165BCA69}">
  <dimension ref="B2:L19"/>
  <sheetViews>
    <sheetView zoomScale="200" workbookViewId="0">
      <selection activeCell="H18" sqref="H18"/>
    </sheetView>
  </sheetViews>
  <sheetFormatPr baseColWidth="10" defaultRowHeight="13"/>
  <cols>
    <col min="1" max="9" width="10.83203125" style="1"/>
    <col min="10" max="10" width="3.6640625" style="1" bestFit="1" customWidth="1"/>
    <col min="11" max="11" width="6.6640625" style="1" bestFit="1" customWidth="1"/>
    <col min="12" max="12" width="4.33203125" style="1" bestFit="1" customWidth="1"/>
    <col min="13" max="16384" width="10.83203125" style="1"/>
  </cols>
  <sheetData>
    <row r="2" spans="2:12">
      <c r="B2" s="1" t="s">
        <v>6</v>
      </c>
      <c r="C2" s="1" t="s">
        <v>38</v>
      </c>
    </row>
    <row r="3" spans="2:12">
      <c r="B3" s="1" t="s">
        <v>16</v>
      </c>
      <c r="J3" s="1" t="s">
        <v>0</v>
      </c>
      <c r="K3" s="1">
        <v>312.88</v>
      </c>
    </row>
    <row r="4" spans="2:12">
      <c r="B4" s="1" t="s">
        <v>17</v>
      </c>
      <c r="J4" s="1" t="s">
        <v>1</v>
      </c>
      <c r="K4" s="1">
        <v>75.302831999999995</v>
      </c>
      <c r="L4" s="1" t="s">
        <v>7</v>
      </c>
    </row>
    <row r="5" spans="2:12">
      <c r="J5" s="1" t="s">
        <v>2</v>
      </c>
      <c r="K5" s="1">
        <f>+K3*K4</f>
        <v>23560.750076159999</v>
      </c>
    </row>
    <row r="6" spans="2:12">
      <c r="J6" s="1" t="s">
        <v>3</v>
      </c>
      <c r="K6" s="2">
        <f>598.545+77.94+644.054</f>
        <v>1320.5389999999998</v>
      </c>
      <c r="L6" s="1" t="str">
        <f>+L4</f>
        <v>10K</v>
      </c>
    </row>
    <row r="7" spans="2:12">
      <c r="J7" s="1" t="s">
        <v>4</v>
      </c>
      <c r="K7" s="1">
        <v>677.11300000000006</v>
      </c>
      <c r="L7" s="1" t="str">
        <f>+L6</f>
        <v>10K</v>
      </c>
    </row>
    <row r="8" spans="2:12">
      <c r="B8" s="4" t="s">
        <v>18</v>
      </c>
      <c r="J8" s="1" t="s">
        <v>5</v>
      </c>
      <c r="K8" s="1">
        <f>+K5-K6+K7</f>
        <v>22917.324076159999</v>
      </c>
    </row>
    <row r="9" spans="2:12">
      <c r="B9" s="1" t="s">
        <v>19</v>
      </c>
    </row>
    <row r="10" spans="2:12">
      <c r="B10" s="1" t="s">
        <v>20</v>
      </c>
    </row>
    <row r="14" spans="2:12">
      <c r="B14" s="5"/>
    </row>
    <row r="15" spans="2:12">
      <c r="B15" s="11" t="s">
        <v>21</v>
      </c>
      <c r="C15" s="12" t="s">
        <v>29</v>
      </c>
      <c r="D15" s="12" t="s">
        <v>28</v>
      </c>
      <c r="E15" s="12"/>
      <c r="F15" s="13" t="s">
        <v>39</v>
      </c>
      <c r="G15" s="13" t="s">
        <v>42</v>
      </c>
    </row>
    <row r="16" spans="2:12">
      <c r="B16" s="6" t="s">
        <v>22</v>
      </c>
      <c r="C16" s="5" t="s">
        <v>27</v>
      </c>
      <c r="D16" s="5" t="s">
        <v>30</v>
      </c>
      <c r="E16" s="5" t="s">
        <v>34</v>
      </c>
      <c r="F16" s="7" t="s">
        <v>40</v>
      </c>
      <c r="G16" s="7" t="s">
        <v>43</v>
      </c>
    </row>
    <row r="17" spans="2:7">
      <c r="B17" s="6" t="s">
        <v>23</v>
      </c>
      <c r="C17" s="5" t="s">
        <v>26</v>
      </c>
      <c r="D17" s="5" t="s">
        <v>31</v>
      </c>
      <c r="E17" s="5" t="s">
        <v>35</v>
      </c>
      <c r="F17" s="7" t="s">
        <v>41</v>
      </c>
      <c r="G17" s="7" t="s">
        <v>44</v>
      </c>
    </row>
    <row r="18" spans="2:7">
      <c r="B18" s="6" t="s">
        <v>24</v>
      </c>
      <c r="C18" s="5" t="s">
        <v>25</v>
      </c>
      <c r="D18" s="5" t="s">
        <v>32</v>
      </c>
      <c r="E18" s="5" t="s">
        <v>36</v>
      </c>
      <c r="F18" s="7"/>
      <c r="G18" s="7" t="s">
        <v>45</v>
      </c>
    </row>
    <row r="19" spans="2:7">
      <c r="B19" s="8"/>
      <c r="C19" s="9"/>
      <c r="D19" s="9" t="s">
        <v>33</v>
      </c>
      <c r="E19" s="9" t="s">
        <v>37</v>
      </c>
      <c r="F19" s="10"/>
      <c r="G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BD2-7C83-2E44-9635-1540626D938C}">
  <dimension ref="B1:HM45"/>
  <sheetViews>
    <sheetView tabSelected="1" zoomScale="120" zoomScaleNormal="12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baseColWidth="10" defaultRowHeight="13"/>
  <cols>
    <col min="1" max="1" width="2.1640625" style="1" customWidth="1"/>
    <col min="2" max="2" width="27.33203125" style="1" bestFit="1" customWidth="1"/>
    <col min="3" max="10" width="7.6640625" style="1" bestFit="1" customWidth="1"/>
    <col min="11" max="12" width="10.83203125" style="1"/>
    <col min="13" max="14" width="6" style="1" bestFit="1" customWidth="1"/>
    <col min="15" max="18" width="7.6640625" style="1" bestFit="1" customWidth="1"/>
    <col min="19" max="19" width="8.1640625" style="1" bestFit="1" customWidth="1"/>
    <col min="20" max="27" width="9.1640625" style="1" bestFit="1" customWidth="1"/>
    <col min="28" max="31" width="10.1640625" style="1" bestFit="1" customWidth="1"/>
    <col min="32" max="32" width="9.1640625" style="1" bestFit="1" customWidth="1"/>
    <col min="33" max="33" width="10" style="1" bestFit="1" customWidth="1"/>
    <col min="34" max="34" width="10.1640625" style="1" bestFit="1" customWidth="1"/>
    <col min="35" max="221" width="9.1640625" style="1" bestFit="1" customWidth="1"/>
    <col min="222" max="16384" width="10.83203125" style="1"/>
  </cols>
  <sheetData>
    <row r="1" spans="2:221">
      <c r="V1" s="1">
        <v>1</v>
      </c>
      <c r="W1" s="1">
        <f>+V1+1</f>
        <v>2</v>
      </c>
      <c r="X1" s="1">
        <f t="shared" ref="X1:AF1" si="0">+W1+1</f>
        <v>3</v>
      </c>
      <c r="Y1" s="1">
        <f t="shared" si="0"/>
        <v>4</v>
      </c>
      <c r="Z1" s="1">
        <f t="shared" si="0"/>
        <v>5</v>
      </c>
      <c r="AA1" s="1">
        <f t="shared" si="0"/>
        <v>6</v>
      </c>
      <c r="AB1" s="1">
        <f t="shared" si="0"/>
        <v>7</v>
      </c>
      <c r="AC1" s="1">
        <f t="shared" si="0"/>
        <v>8</v>
      </c>
      <c r="AD1" s="1">
        <f t="shared" si="0"/>
        <v>9</v>
      </c>
      <c r="AE1" s="1">
        <f t="shared" si="0"/>
        <v>10</v>
      </c>
      <c r="AF1" s="1">
        <f t="shared" si="0"/>
        <v>11</v>
      </c>
      <c r="AG1" s="1">
        <f t="shared" ref="AG1:CR1" si="1">+AF1+1</f>
        <v>12</v>
      </c>
      <c r="AH1" s="1">
        <f t="shared" si="1"/>
        <v>13</v>
      </c>
      <c r="AI1" s="1">
        <f t="shared" si="1"/>
        <v>14</v>
      </c>
      <c r="AJ1" s="1">
        <f t="shared" si="1"/>
        <v>15</v>
      </c>
      <c r="AK1" s="1">
        <f t="shared" si="1"/>
        <v>16</v>
      </c>
      <c r="AL1" s="1">
        <f t="shared" si="1"/>
        <v>17</v>
      </c>
      <c r="AM1" s="1">
        <f t="shared" si="1"/>
        <v>18</v>
      </c>
      <c r="AN1" s="1">
        <f t="shared" si="1"/>
        <v>19</v>
      </c>
      <c r="AO1" s="1">
        <f t="shared" si="1"/>
        <v>20</v>
      </c>
      <c r="AP1" s="1">
        <f t="shared" si="1"/>
        <v>21</v>
      </c>
      <c r="AQ1" s="1">
        <f t="shared" si="1"/>
        <v>22</v>
      </c>
      <c r="AR1" s="1">
        <f t="shared" si="1"/>
        <v>23</v>
      </c>
      <c r="AS1" s="1">
        <f t="shared" si="1"/>
        <v>24</v>
      </c>
      <c r="AT1" s="1">
        <f t="shared" si="1"/>
        <v>25</v>
      </c>
      <c r="AU1" s="1">
        <f t="shared" si="1"/>
        <v>26</v>
      </c>
      <c r="AV1" s="1">
        <f t="shared" si="1"/>
        <v>27</v>
      </c>
      <c r="AW1" s="1">
        <f t="shared" si="1"/>
        <v>28</v>
      </c>
      <c r="AX1" s="1">
        <f t="shared" si="1"/>
        <v>29</v>
      </c>
      <c r="AY1" s="1">
        <f t="shared" si="1"/>
        <v>30</v>
      </c>
      <c r="AZ1" s="1">
        <f t="shared" si="1"/>
        <v>31</v>
      </c>
      <c r="BA1" s="1">
        <f t="shared" si="1"/>
        <v>32</v>
      </c>
      <c r="BB1" s="1">
        <f t="shared" si="1"/>
        <v>33</v>
      </c>
      <c r="BC1" s="1">
        <f t="shared" si="1"/>
        <v>34</v>
      </c>
      <c r="BD1" s="1">
        <f t="shared" si="1"/>
        <v>35</v>
      </c>
      <c r="BE1" s="1">
        <f t="shared" si="1"/>
        <v>36</v>
      </c>
      <c r="BF1" s="1">
        <f t="shared" si="1"/>
        <v>37</v>
      </c>
      <c r="BG1" s="1">
        <f t="shared" si="1"/>
        <v>38</v>
      </c>
      <c r="BH1" s="1">
        <f t="shared" si="1"/>
        <v>39</v>
      </c>
      <c r="BI1" s="1">
        <f t="shared" si="1"/>
        <v>40</v>
      </c>
      <c r="BJ1" s="1">
        <f t="shared" si="1"/>
        <v>41</v>
      </c>
      <c r="BK1" s="1">
        <f t="shared" si="1"/>
        <v>42</v>
      </c>
      <c r="BL1" s="1">
        <f t="shared" si="1"/>
        <v>43</v>
      </c>
      <c r="BM1" s="1">
        <f t="shared" si="1"/>
        <v>44</v>
      </c>
      <c r="BN1" s="1">
        <f t="shared" si="1"/>
        <v>45</v>
      </c>
      <c r="BO1" s="1">
        <f t="shared" si="1"/>
        <v>46</v>
      </c>
      <c r="BP1" s="1">
        <f t="shared" si="1"/>
        <v>47</v>
      </c>
      <c r="BQ1" s="1">
        <f t="shared" si="1"/>
        <v>48</v>
      </c>
      <c r="BR1" s="1">
        <f t="shared" si="1"/>
        <v>49</v>
      </c>
      <c r="BS1" s="1">
        <f t="shared" si="1"/>
        <v>50</v>
      </c>
      <c r="BT1" s="1">
        <f t="shared" si="1"/>
        <v>51</v>
      </c>
      <c r="BU1" s="1">
        <f t="shared" si="1"/>
        <v>52</v>
      </c>
      <c r="BV1" s="1">
        <f t="shared" si="1"/>
        <v>53</v>
      </c>
      <c r="BW1" s="1">
        <f t="shared" si="1"/>
        <v>54</v>
      </c>
      <c r="BX1" s="1">
        <f t="shared" si="1"/>
        <v>55</v>
      </c>
      <c r="BY1" s="1">
        <f t="shared" si="1"/>
        <v>56</v>
      </c>
      <c r="BZ1" s="1">
        <f t="shared" si="1"/>
        <v>57</v>
      </c>
      <c r="CA1" s="1">
        <f t="shared" si="1"/>
        <v>58</v>
      </c>
      <c r="CB1" s="1">
        <f t="shared" si="1"/>
        <v>59</v>
      </c>
      <c r="CC1" s="1">
        <f t="shared" si="1"/>
        <v>60</v>
      </c>
      <c r="CD1" s="1">
        <f t="shared" si="1"/>
        <v>61</v>
      </c>
      <c r="CE1" s="1">
        <f t="shared" si="1"/>
        <v>62</v>
      </c>
      <c r="CF1" s="1">
        <f t="shared" si="1"/>
        <v>63</v>
      </c>
      <c r="CG1" s="1">
        <f t="shared" si="1"/>
        <v>64</v>
      </c>
      <c r="CH1" s="1">
        <f t="shared" si="1"/>
        <v>65</v>
      </c>
      <c r="CI1" s="1">
        <f t="shared" si="1"/>
        <v>66</v>
      </c>
      <c r="CJ1" s="1">
        <f t="shared" si="1"/>
        <v>67</v>
      </c>
      <c r="CK1" s="1">
        <f t="shared" si="1"/>
        <v>68</v>
      </c>
      <c r="CL1" s="1">
        <f t="shared" si="1"/>
        <v>69</v>
      </c>
      <c r="CM1" s="1">
        <f t="shared" si="1"/>
        <v>70</v>
      </c>
      <c r="CN1" s="1">
        <f t="shared" si="1"/>
        <v>71</v>
      </c>
      <c r="CO1" s="1">
        <f t="shared" si="1"/>
        <v>72</v>
      </c>
      <c r="CP1" s="1">
        <f t="shared" si="1"/>
        <v>73</v>
      </c>
      <c r="CQ1" s="1">
        <f t="shared" si="1"/>
        <v>74</v>
      </c>
      <c r="CR1" s="1">
        <f t="shared" si="1"/>
        <v>75</v>
      </c>
      <c r="CS1" s="1">
        <f t="shared" ref="CS1:FD1" si="2">+CR1+1</f>
        <v>76</v>
      </c>
      <c r="CT1" s="1">
        <f t="shared" si="2"/>
        <v>77</v>
      </c>
      <c r="CU1" s="1">
        <f t="shared" si="2"/>
        <v>78</v>
      </c>
      <c r="CV1" s="1">
        <f t="shared" si="2"/>
        <v>79</v>
      </c>
      <c r="CW1" s="1">
        <f t="shared" si="2"/>
        <v>80</v>
      </c>
      <c r="CX1" s="1">
        <f t="shared" si="2"/>
        <v>81</v>
      </c>
      <c r="CY1" s="1">
        <f t="shared" si="2"/>
        <v>82</v>
      </c>
      <c r="CZ1" s="1">
        <f t="shared" si="2"/>
        <v>83</v>
      </c>
      <c r="DA1" s="1">
        <f t="shared" si="2"/>
        <v>84</v>
      </c>
      <c r="DB1" s="1">
        <f t="shared" si="2"/>
        <v>85</v>
      </c>
      <c r="DC1" s="1">
        <f t="shared" si="2"/>
        <v>86</v>
      </c>
      <c r="DD1" s="1">
        <f t="shared" si="2"/>
        <v>87</v>
      </c>
      <c r="DE1" s="1">
        <f t="shared" si="2"/>
        <v>88</v>
      </c>
      <c r="DF1" s="1">
        <f t="shared" si="2"/>
        <v>89</v>
      </c>
      <c r="DG1" s="1">
        <f t="shared" si="2"/>
        <v>90</v>
      </c>
      <c r="DH1" s="1">
        <f t="shared" si="2"/>
        <v>91</v>
      </c>
      <c r="DI1" s="1">
        <f t="shared" si="2"/>
        <v>92</v>
      </c>
      <c r="DJ1" s="1">
        <f t="shared" si="2"/>
        <v>93</v>
      </c>
      <c r="DK1" s="1">
        <f t="shared" si="2"/>
        <v>94</v>
      </c>
      <c r="DL1" s="1">
        <f t="shared" si="2"/>
        <v>95</v>
      </c>
      <c r="DM1" s="1">
        <f t="shared" si="2"/>
        <v>96</v>
      </c>
      <c r="DN1" s="1">
        <f t="shared" si="2"/>
        <v>97</v>
      </c>
      <c r="DO1" s="1">
        <f t="shared" si="2"/>
        <v>98</v>
      </c>
      <c r="DP1" s="1">
        <f t="shared" si="2"/>
        <v>99</v>
      </c>
      <c r="DQ1" s="1">
        <f t="shared" si="2"/>
        <v>100</v>
      </c>
      <c r="DR1" s="1">
        <f t="shared" si="2"/>
        <v>101</v>
      </c>
      <c r="DS1" s="1">
        <f t="shared" si="2"/>
        <v>102</v>
      </c>
      <c r="DT1" s="1">
        <f t="shared" si="2"/>
        <v>103</v>
      </c>
      <c r="DU1" s="1">
        <f t="shared" si="2"/>
        <v>104</v>
      </c>
      <c r="DV1" s="1">
        <f t="shared" si="2"/>
        <v>105</v>
      </c>
      <c r="DW1" s="1">
        <f t="shared" si="2"/>
        <v>106</v>
      </c>
      <c r="DX1" s="1">
        <f t="shared" si="2"/>
        <v>107</v>
      </c>
      <c r="DY1" s="1">
        <f t="shared" si="2"/>
        <v>108</v>
      </c>
      <c r="DZ1" s="1">
        <f t="shared" si="2"/>
        <v>109</v>
      </c>
      <c r="EA1" s="1">
        <f t="shared" si="2"/>
        <v>110</v>
      </c>
      <c r="EB1" s="1">
        <f t="shared" si="2"/>
        <v>111</v>
      </c>
      <c r="EC1" s="1">
        <f t="shared" si="2"/>
        <v>112</v>
      </c>
      <c r="ED1" s="1">
        <f t="shared" si="2"/>
        <v>113</v>
      </c>
      <c r="EE1" s="1">
        <f t="shared" si="2"/>
        <v>114</v>
      </c>
      <c r="EF1" s="1">
        <f t="shared" si="2"/>
        <v>115</v>
      </c>
      <c r="EG1" s="1">
        <f t="shared" si="2"/>
        <v>116</v>
      </c>
      <c r="EH1" s="1">
        <f t="shared" si="2"/>
        <v>117</v>
      </c>
      <c r="EI1" s="1">
        <f t="shared" si="2"/>
        <v>118</v>
      </c>
      <c r="EJ1" s="1">
        <f t="shared" si="2"/>
        <v>119</v>
      </c>
      <c r="EK1" s="1">
        <f t="shared" si="2"/>
        <v>120</v>
      </c>
      <c r="EL1" s="1">
        <f t="shared" si="2"/>
        <v>121</v>
      </c>
      <c r="EM1" s="1">
        <f t="shared" si="2"/>
        <v>122</v>
      </c>
      <c r="EN1" s="1">
        <f t="shared" si="2"/>
        <v>123</v>
      </c>
      <c r="EO1" s="1">
        <f t="shared" si="2"/>
        <v>124</v>
      </c>
      <c r="EP1" s="1">
        <f t="shared" si="2"/>
        <v>125</v>
      </c>
      <c r="EQ1" s="1">
        <f t="shared" si="2"/>
        <v>126</v>
      </c>
      <c r="ER1" s="1">
        <f t="shared" si="2"/>
        <v>127</v>
      </c>
      <c r="ES1" s="1">
        <f t="shared" si="2"/>
        <v>128</v>
      </c>
      <c r="ET1" s="1">
        <f t="shared" si="2"/>
        <v>129</v>
      </c>
      <c r="EU1" s="1">
        <f t="shared" si="2"/>
        <v>130</v>
      </c>
      <c r="EV1" s="1">
        <f t="shared" si="2"/>
        <v>131</v>
      </c>
      <c r="EW1" s="1">
        <f t="shared" si="2"/>
        <v>132</v>
      </c>
      <c r="EX1" s="1">
        <f t="shared" si="2"/>
        <v>133</v>
      </c>
      <c r="EY1" s="1">
        <f t="shared" si="2"/>
        <v>134</v>
      </c>
      <c r="EZ1" s="1">
        <f t="shared" si="2"/>
        <v>135</v>
      </c>
      <c r="FA1" s="1">
        <f t="shared" si="2"/>
        <v>136</v>
      </c>
      <c r="FB1" s="1">
        <f t="shared" si="2"/>
        <v>137</v>
      </c>
      <c r="FC1" s="1">
        <f t="shared" si="2"/>
        <v>138</v>
      </c>
      <c r="FD1" s="1">
        <f t="shared" si="2"/>
        <v>139</v>
      </c>
      <c r="FE1" s="1">
        <f t="shared" ref="FE1:HM1" si="3">+FD1+1</f>
        <v>140</v>
      </c>
      <c r="FF1" s="1">
        <f t="shared" si="3"/>
        <v>141</v>
      </c>
      <c r="FG1" s="1">
        <f t="shared" si="3"/>
        <v>142</v>
      </c>
      <c r="FH1" s="1">
        <f t="shared" si="3"/>
        <v>143</v>
      </c>
      <c r="FI1" s="1">
        <f t="shared" si="3"/>
        <v>144</v>
      </c>
      <c r="FJ1" s="1">
        <f t="shared" si="3"/>
        <v>145</v>
      </c>
      <c r="FK1" s="1">
        <f t="shared" si="3"/>
        <v>146</v>
      </c>
      <c r="FL1" s="1">
        <f t="shared" si="3"/>
        <v>147</v>
      </c>
      <c r="FM1" s="1">
        <f t="shared" si="3"/>
        <v>148</v>
      </c>
      <c r="FN1" s="1">
        <f t="shared" si="3"/>
        <v>149</v>
      </c>
      <c r="FO1" s="1">
        <f t="shared" si="3"/>
        <v>150</v>
      </c>
      <c r="FP1" s="1">
        <f t="shared" si="3"/>
        <v>151</v>
      </c>
      <c r="FQ1" s="1">
        <f t="shared" si="3"/>
        <v>152</v>
      </c>
      <c r="FR1" s="1">
        <f t="shared" si="3"/>
        <v>153</v>
      </c>
      <c r="FS1" s="1">
        <f t="shared" si="3"/>
        <v>154</v>
      </c>
      <c r="FT1" s="1">
        <f t="shared" si="3"/>
        <v>155</v>
      </c>
      <c r="FU1" s="1">
        <f t="shared" si="3"/>
        <v>156</v>
      </c>
      <c r="FV1" s="1">
        <f t="shared" si="3"/>
        <v>157</v>
      </c>
      <c r="FW1" s="1">
        <f t="shared" si="3"/>
        <v>158</v>
      </c>
      <c r="FX1" s="1">
        <f t="shared" si="3"/>
        <v>159</v>
      </c>
      <c r="FY1" s="1">
        <f t="shared" si="3"/>
        <v>160</v>
      </c>
      <c r="FZ1" s="1">
        <f t="shared" si="3"/>
        <v>161</v>
      </c>
      <c r="GA1" s="1">
        <f t="shared" si="3"/>
        <v>162</v>
      </c>
      <c r="GB1" s="1">
        <f t="shared" si="3"/>
        <v>163</v>
      </c>
      <c r="GC1" s="1">
        <f t="shared" si="3"/>
        <v>164</v>
      </c>
      <c r="GD1" s="1">
        <f t="shared" si="3"/>
        <v>165</v>
      </c>
      <c r="GE1" s="1">
        <f t="shared" si="3"/>
        <v>166</v>
      </c>
      <c r="GF1" s="1">
        <f t="shared" si="3"/>
        <v>167</v>
      </c>
      <c r="GG1" s="1">
        <f t="shared" si="3"/>
        <v>168</v>
      </c>
      <c r="GH1" s="1">
        <f t="shared" si="3"/>
        <v>169</v>
      </c>
      <c r="GI1" s="1">
        <f t="shared" si="3"/>
        <v>170</v>
      </c>
      <c r="GJ1" s="1">
        <f t="shared" si="3"/>
        <v>171</v>
      </c>
      <c r="GK1" s="1">
        <f t="shared" si="3"/>
        <v>172</v>
      </c>
      <c r="GL1" s="1">
        <f t="shared" si="3"/>
        <v>173</v>
      </c>
      <c r="GM1" s="1">
        <f t="shared" si="3"/>
        <v>174</v>
      </c>
      <c r="GN1" s="1">
        <f t="shared" si="3"/>
        <v>175</v>
      </c>
      <c r="GO1" s="1">
        <f t="shared" si="3"/>
        <v>176</v>
      </c>
      <c r="GP1" s="1">
        <f t="shared" si="3"/>
        <v>177</v>
      </c>
      <c r="GQ1" s="1">
        <f t="shared" si="3"/>
        <v>178</v>
      </c>
      <c r="GR1" s="1">
        <f t="shared" si="3"/>
        <v>179</v>
      </c>
      <c r="GS1" s="1">
        <f t="shared" si="3"/>
        <v>180</v>
      </c>
      <c r="GT1" s="1">
        <f t="shared" si="3"/>
        <v>181</v>
      </c>
      <c r="GU1" s="1">
        <f t="shared" si="3"/>
        <v>182</v>
      </c>
      <c r="GV1" s="1">
        <f t="shared" si="3"/>
        <v>183</v>
      </c>
      <c r="GW1" s="1">
        <f t="shared" si="3"/>
        <v>184</v>
      </c>
      <c r="GX1" s="1">
        <f t="shared" si="3"/>
        <v>185</v>
      </c>
      <c r="GY1" s="1">
        <f t="shared" si="3"/>
        <v>186</v>
      </c>
      <c r="GZ1" s="1">
        <f t="shared" si="3"/>
        <v>187</v>
      </c>
      <c r="HA1" s="1">
        <f t="shared" si="3"/>
        <v>188</v>
      </c>
      <c r="HB1" s="1">
        <f t="shared" si="3"/>
        <v>189</v>
      </c>
      <c r="HC1" s="1">
        <f t="shared" si="3"/>
        <v>190</v>
      </c>
      <c r="HD1" s="1">
        <f t="shared" si="3"/>
        <v>191</v>
      </c>
      <c r="HE1" s="1">
        <f t="shared" si="3"/>
        <v>192</v>
      </c>
      <c r="HF1" s="1">
        <f t="shared" si="3"/>
        <v>193</v>
      </c>
      <c r="HG1" s="1">
        <f t="shared" si="3"/>
        <v>194</v>
      </c>
      <c r="HH1" s="1">
        <f t="shared" si="3"/>
        <v>195</v>
      </c>
      <c r="HI1" s="1">
        <f t="shared" si="3"/>
        <v>196</v>
      </c>
      <c r="HJ1" s="1">
        <f t="shared" si="3"/>
        <v>197</v>
      </c>
      <c r="HK1" s="1">
        <f t="shared" si="3"/>
        <v>198</v>
      </c>
      <c r="HL1" s="1">
        <f t="shared" si="3"/>
        <v>199</v>
      </c>
      <c r="HM1" s="1">
        <f t="shared" si="3"/>
        <v>200</v>
      </c>
    </row>
    <row r="2" spans="2:221" s="16" customFormat="1">
      <c r="C2" s="16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s">
        <v>13</v>
      </c>
      <c r="I2" s="16" t="s">
        <v>14</v>
      </c>
      <c r="J2" s="16" t="s">
        <v>15</v>
      </c>
      <c r="M2" s="17">
        <v>2015</v>
      </c>
      <c r="N2" s="17">
        <v>2016</v>
      </c>
      <c r="O2" s="17">
        <v>2017</v>
      </c>
      <c r="P2" s="17">
        <v>2018</v>
      </c>
      <c r="Q2" s="17">
        <v>2019</v>
      </c>
      <c r="R2" s="17">
        <v>2020</v>
      </c>
      <c r="S2" s="17">
        <v>2021</v>
      </c>
      <c r="T2" s="17">
        <v>2022</v>
      </c>
      <c r="U2" s="17">
        <v>2023</v>
      </c>
      <c r="V2" s="17">
        <v>2024</v>
      </c>
      <c r="W2" s="17">
        <v>2025</v>
      </c>
      <c r="X2" s="17">
        <v>2026</v>
      </c>
      <c r="Y2" s="17">
        <v>2027</v>
      </c>
      <c r="Z2" s="17">
        <v>2028</v>
      </c>
      <c r="AA2" s="17">
        <v>2029</v>
      </c>
      <c r="AB2" s="17">
        <v>2030</v>
      </c>
      <c r="AC2" s="17">
        <v>2031</v>
      </c>
      <c r="AD2" s="17">
        <v>2032</v>
      </c>
      <c r="AE2" s="17">
        <v>2033</v>
      </c>
    </row>
    <row r="3" spans="2:221">
      <c r="B3" s="1" t="s">
        <v>59</v>
      </c>
      <c r="C3" s="1">
        <v>63164</v>
      </c>
      <c r="D3" s="1">
        <v>70313</v>
      </c>
      <c r="E3" s="1">
        <v>80146</v>
      </c>
      <c r="F3" s="1">
        <f>+T3-SUM(C3:E3)</f>
        <v>69075</v>
      </c>
      <c r="G3" s="1">
        <v>67472</v>
      </c>
      <c r="H3" s="1">
        <v>84975</v>
      </c>
      <c r="I3" s="1">
        <v>86718</v>
      </c>
      <c r="J3" s="1">
        <f>+U3-SUM(G3:I3)</f>
        <v>94758</v>
      </c>
      <c r="T3" s="1">
        <v>282698</v>
      </c>
      <c r="U3" s="1">
        <v>333923</v>
      </c>
    </row>
    <row r="4" spans="2:221">
      <c r="B4" s="1" t="s">
        <v>60</v>
      </c>
      <c r="C4" s="1">
        <v>37825</v>
      </c>
      <c r="D4" s="1">
        <v>49845</v>
      </c>
      <c r="E4" s="1">
        <v>46475</v>
      </c>
      <c r="F4" s="1">
        <f>+T4-SUM(C4:E4)</f>
        <v>47541</v>
      </c>
      <c r="G4" s="1">
        <v>46800</v>
      </c>
      <c r="H4" s="1">
        <v>48425</v>
      </c>
      <c r="I4" s="1">
        <v>54279</v>
      </c>
      <c r="J4" s="1">
        <f>+U4-SUM(G4:I4)</f>
        <v>43781</v>
      </c>
      <c r="T4" s="1">
        <v>181686</v>
      </c>
      <c r="U4" s="1">
        <v>193285</v>
      </c>
    </row>
    <row r="5" spans="2:221">
      <c r="B5" s="1" t="s">
        <v>61</v>
      </c>
      <c r="C5" s="1">
        <v>3017</v>
      </c>
      <c r="D5" s="1">
        <v>3720</v>
      </c>
      <c r="E5" s="1">
        <v>5125</v>
      </c>
      <c r="F5" s="1">
        <f>+T5-SUM(C5:E5)</f>
        <v>6890</v>
      </c>
      <c r="G5" s="1">
        <v>7201</v>
      </c>
      <c r="H5" s="1">
        <v>8494</v>
      </c>
      <c r="I5" s="1">
        <v>8975</v>
      </c>
      <c r="J5" s="1">
        <f>+U5-SUM(G5:I5)</f>
        <v>10105</v>
      </c>
      <c r="T5" s="1">
        <v>18752</v>
      </c>
      <c r="U5" s="1">
        <v>34775</v>
      </c>
    </row>
    <row r="6" spans="2:221">
      <c r="B6" s="1" t="s">
        <v>62</v>
      </c>
      <c r="C6" s="1">
        <v>6679</v>
      </c>
      <c r="D6" s="1">
        <v>7459</v>
      </c>
      <c r="E6" s="1">
        <v>7290</v>
      </c>
      <c r="F6" s="1">
        <f>+T6-SUM(C6:E6)</f>
        <v>7580</v>
      </c>
      <c r="G6" s="1">
        <v>7670</v>
      </c>
      <c r="H6" s="1">
        <v>7715</v>
      </c>
      <c r="I6" s="1">
        <v>8078</v>
      </c>
      <c r="J6" s="1">
        <f>+U6-SUM(G6:I6)</f>
        <v>8226</v>
      </c>
      <c r="T6" s="1">
        <v>29008</v>
      </c>
      <c r="U6" s="1">
        <v>31689</v>
      </c>
    </row>
    <row r="7" spans="2:221">
      <c r="B7" s="1" t="s">
        <v>63</v>
      </c>
      <c r="C7" s="1">
        <v>3675</v>
      </c>
      <c r="D7" s="1">
        <v>4249</v>
      </c>
      <c r="E7" s="1">
        <v>5847</v>
      </c>
      <c r="F7" s="1">
        <f>+T7-SUM(C7:E7)</f>
        <v>5651</v>
      </c>
      <c r="G7" s="1">
        <v>5139</v>
      </c>
      <c r="H7" s="1">
        <v>4801</v>
      </c>
      <c r="I7" s="1">
        <v>4520</v>
      </c>
      <c r="J7" s="1">
        <f>+U7-SUM(G7:I7)</f>
        <v>4473</v>
      </c>
      <c r="T7" s="1">
        <v>19422</v>
      </c>
      <c r="U7" s="1">
        <v>18933</v>
      </c>
    </row>
    <row r="8" spans="2:221" s="2" customFormat="1">
      <c r="B8" s="2" t="s">
        <v>64</v>
      </c>
      <c r="C8" s="2">
        <f>+SUM(C3:C7)</f>
        <v>114360</v>
      </c>
      <c r="D8" s="2">
        <f>+SUM(D3:D7)</f>
        <v>135586</v>
      </c>
      <c r="E8" s="2">
        <f>+SUM(E3:E7)</f>
        <v>144883</v>
      </c>
      <c r="F8" s="2">
        <f>+SUM(F3:F7)</f>
        <v>136737</v>
      </c>
      <c r="G8" s="2">
        <f>+SUM(G3:G7)</f>
        <v>134282</v>
      </c>
      <c r="H8" s="2">
        <f>+SUM(H3:H7)</f>
        <v>154410</v>
      </c>
      <c r="I8" s="2">
        <f>+SUM(I3:I7)</f>
        <v>162570</v>
      </c>
      <c r="J8" s="2">
        <f>+SUM(J3:J7)</f>
        <v>161343</v>
      </c>
      <c r="S8" s="2">
        <v>436927</v>
      </c>
      <c r="T8" s="2">
        <f>+SUM(T3:T7)</f>
        <v>531566</v>
      </c>
      <c r="U8" s="2">
        <f>+SUM(U3:U7)</f>
        <v>612605</v>
      </c>
    </row>
    <row r="9" spans="2:221" s="2" customFormat="1">
      <c r="B9" s="2" t="s">
        <v>65</v>
      </c>
      <c r="C9" s="2">
        <v>38517</v>
      </c>
      <c r="D9" s="2">
        <v>33938</v>
      </c>
      <c r="E9" s="2">
        <v>40944</v>
      </c>
      <c r="F9" s="2">
        <f>+T9-SUM(C9:E9)</f>
        <v>43882</v>
      </c>
      <c r="G9" s="2">
        <v>38797</v>
      </c>
      <c r="H9" s="2">
        <v>32781</v>
      </c>
      <c r="I9" s="2">
        <v>52488</v>
      </c>
      <c r="J9" s="2">
        <f>+U9-SUM(G9:I9)</f>
        <v>58957</v>
      </c>
      <c r="T9" s="2">
        <v>157281</v>
      </c>
      <c r="U9" s="2">
        <v>183023</v>
      </c>
    </row>
    <row r="10" spans="2:221" s="2" customFormat="1">
      <c r="B10" s="2" t="s">
        <v>66</v>
      </c>
      <c r="C10" s="2">
        <v>13820</v>
      </c>
      <c r="D10" s="2">
        <v>15881</v>
      </c>
      <c r="E10" s="2">
        <v>10139</v>
      </c>
      <c r="F10" s="2">
        <f>+T10-SUM(C10:E10)</f>
        <v>23177</v>
      </c>
      <c r="G10" s="2">
        <v>32972</v>
      </c>
      <c r="H10" s="2">
        <v>35960</v>
      </c>
      <c r="I10" s="2">
        <v>26716</v>
      </c>
      <c r="J10" s="2">
        <f>+U10-SUM(G10:I10)</f>
        <v>22481</v>
      </c>
      <c r="T10" s="2">
        <v>63017</v>
      </c>
      <c r="U10" s="2">
        <v>118129</v>
      </c>
    </row>
    <row r="11" spans="2:221" s="2" customFormat="1">
      <c r="B11" s="2" t="s">
        <v>67</v>
      </c>
      <c r="C11" s="2">
        <v>79939</v>
      </c>
      <c r="D11" s="2">
        <v>81911</v>
      </c>
      <c r="E11" s="2">
        <v>96814</v>
      </c>
      <c r="F11" s="2">
        <f>+T11-SUM(C11:E11)</f>
        <v>113225</v>
      </c>
      <c r="G11" s="2">
        <v>118314</v>
      </c>
      <c r="H11" s="2">
        <v>132102</v>
      </c>
      <c r="I11" s="2">
        <v>150563</v>
      </c>
      <c r="J11" s="2">
        <f>+U11-SUM(G11:I11)</f>
        <v>165204</v>
      </c>
      <c r="T11" s="2">
        <v>371889</v>
      </c>
      <c r="U11" s="2">
        <v>566183</v>
      </c>
    </row>
    <row r="12" spans="2:221" s="2" customFormat="1">
      <c r="B12" s="2" t="s">
        <v>62</v>
      </c>
      <c r="C12" s="2">
        <v>9061</v>
      </c>
      <c r="D12" s="2">
        <v>12498</v>
      </c>
      <c r="E12" s="2">
        <v>14511</v>
      </c>
      <c r="F12" s="2">
        <f>+T12-SUM(C12:E12)</f>
        <v>13695</v>
      </c>
      <c r="G12" s="2">
        <v>14085</v>
      </c>
      <c r="H12" s="2">
        <v>15166</v>
      </c>
      <c r="I12" s="2">
        <v>16054</v>
      </c>
      <c r="J12" s="2">
        <f>+U12-SUM(G12:I12)</f>
        <v>17272</v>
      </c>
      <c r="T12" s="2">
        <v>49765</v>
      </c>
      <c r="U12" s="2">
        <v>62577</v>
      </c>
    </row>
    <row r="13" spans="2:221" s="2" customFormat="1">
      <c r="B13" s="2" t="s">
        <v>63</v>
      </c>
      <c r="C13" s="2">
        <v>729</v>
      </c>
      <c r="D13" s="2">
        <v>5799</v>
      </c>
      <c r="E13" s="2">
        <v>4463</v>
      </c>
      <c r="F13" s="2">
        <f>+T13-SUM(C13:E13)</f>
        <v>5426</v>
      </c>
      <c r="G13" s="2">
        <v>4593</v>
      </c>
      <c r="H13" s="2">
        <v>4186</v>
      </c>
      <c r="I13" s="2">
        <v>5210</v>
      </c>
      <c r="J13" s="2">
        <f>+U13-SUM(G13:I13)</f>
        <v>6885</v>
      </c>
      <c r="T13" s="2">
        <v>16417</v>
      </c>
      <c r="U13" s="2">
        <v>20874</v>
      </c>
    </row>
    <row r="14" spans="2:221" s="2" customFormat="1">
      <c r="B14" s="2" t="s">
        <v>68</v>
      </c>
      <c r="C14" s="2">
        <f>+SUM(C9:C13)</f>
        <v>142066</v>
      </c>
      <c r="D14" s="2">
        <f>+SUM(D9:D13)</f>
        <v>150027</v>
      </c>
      <c r="E14" s="2">
        <f>+SUM(E9:E13)</f>
        <v>166871</v>
      </c>
      <c r="F14" s="2">
        <f>+SUM(F9:F13)</f>
        <v>199405</v>
      </c>
      <c r="G14" s="2">
        <f>+SUM(G9:G13)</f>
        <v>208761</v>
      </c>
      <c r="H14" s="2">
        <f>+SUM(H9:H13)</f>
        <v>220195</v>
      </c>
      <c r="I14" s="2">
        <f>+SUM(I9:I13)</f>
        <v>251031</v>
      </c>
      <c r="J14" s="2">
        <f>+SUM(J9:J13)</f>
        <v>270799</v>
      </c>
      <c r="S14" s="2">
        <v>426454</v>
      </c>
      <c r="T14" s="2">
        <f>SUM(T9:T13)</f>
        <v>658369</v>
      </c>
      <c r="U14" s="2">
        <f>SUM(U9:U13)</f>
        <v>950786</v>
      </c>
    </row>
    <row r="15" spans="2:221" s="15" customFormat="1">
      <c r="B15" s="15" t="s">
        <v>46</v>
      </c>
      <c r="C15" s="15">
        <f>+C14+C8</f>
        <v>256426</v>
      </c>
      <c r="D15" s="15">
        <f>+D14+D8</f>
        <v>285613</v>
      </c>
      <c r="E15" s="15">
        <f>+E14+E8</f>
        <v>311754</v>
      </c>
      <c r="F15" s="15">
        <f>+F14+F8</f>
        <v>336142</v>
      </c>
      <c r="G15" s="15">
        <f>+G14+G8</f>
        <v>343043</v>
      </c>
      <c r="H15" s="15">
        <f>+H14+H8</f>
        <v>374605</v>
      </c>
      <c r="I15" s="15">
        <f>+I14+I8</f>
        <v>413601</v>
      </c>
      <c r="J15" s="15">
        <f>+J14+J8</f>
        <v>432142</v>
      </c>
      <c r="O15" s="15">
        <v>343798</v>
      </c>
      <c r="P15" s="15">
        <v>420068</v>
      </c>
      <c r="Q15" s="15">
        <v>530860</v>
      </c>
      <c r="R15" s="15">
        <v>681003</v>
      </c>
      <c r="S15" s="15">
        <f>+S8+S14</f>
        <v>863381</v>
      </c>
      <c r="T15" s="15">
        <f>+T8+T14</f>
        <v>1189935</v>
      </c>
      <c r="U15" s="15">
        <f>+U8+U14</f>
        <v>1563391</v>
      </c>
      <c r="V15" s="15">
        <f>+U15*1.31</f>
        <v>2048042.2100000002</v>
      </c>
      <c r="W15" s="15">
        <f t="shared" ref="W15:AE15" si="4">+V15*1.31</f>
        <v>2682935.2951000002</v>
      </c>
      <c r="X15" s="15">
        <f t="shared" si="4"/>
        <v>3514645.2365810005</v>
      </c>
      <c r="Y15" s="15">
        <f t="shared" si="4"/>
        <v>4604185.2599211112</v>
      </c>
      <c r="Z15" s="15">
        <f t="shared" si="4"/>
        <v>6031482.6904966561</v>
      </c>
      <c r="AA15" s="15">
        <f t="shared" si="4"/>
        <v>7901242.3245506203</v>
      </c>
      <c r="AB15" s="15">
        <f t="shared" si="4"/>
        <v>10350627.445161313</v>
      </c>
      <c r="AC15" s="15">
        <f t="shared" si="4"/>
        <v>13559321.95316132</v>
      </c>
      <c r="AD15" s="15">
        <f t="shared" si="4"/>
        <v>17762711.758641329</v>
      </c>
      <c r="AE15" s="15">
        <f t="shared" si="4"/>
        <v>23269152.403820142</v>
      </c>
    </row>
    <row r="16" spans="2:221">
      <c r="B16" s="1" t="s">
        <v>47</v>
      </c>
      <c r="C16" s="1">
        <v>79352</v>
      </c>
      <c r="D16" s="1">
        <v>87502</v>
      </c>
      <c r="E16" s="1">
        <v>93724</v>
      </c>
      <c r="F16" s="1">
        <f>+T16-SUM(C16:E16)</f>
        <v>102641</v>
      </c>
      <c r="G16" s="1">
        <v>107584</v>
      </c>
      <c r="H16" s="1">
        <v>101192</v>
      </c>
      <c r="I16" s="1">
        <v>116278</v>
      </c>
      <c r="J16" s="1">
        <f>+U16-SUM(G16:I16)</f>
        <v>125664</v>
      </c>
      <c r="S16" s="1">
        <v>260098</v>
      </c>
      <c r="T16" s="1">
        <v>363219</v>
      </c>
      <c r="U16" s="1">
        <v>450718</v>
      </c>
      <c r="V16" s="19">
        <f>+V$15*(U16/U$15)</f>
        <v>590440.58000000007</v>
      </c>
      <c r="W16" s="19">
        <f t="shared" ref="W16:AE16" si="5">+W$15*(V16/V$15)</f>
        <v>773477.15980000002</v>
      </c>
      <c r="X16" s="19">
        <f t="shared" si="5"/>
        <v>1013255.0793380002</v>
      </c>
      <c r="Y16" s="19">
        <f t="shared" si="5"/>
        <v>1327364.1539327803</v>
      </c>
      <c r="Z16" s="19">
        <f t="shared" si="5"/>
        <v>1738847.0416519423</v>
      </c>
      <c r="AA16" s="19">
        <f t="shared" si="5"/>
        <v>2277889.6245640446</v>
      </c>
      <c r="AB16" s="19">
        <f t="shared" si="5"/>
        <v>2984035.4081788985</v>
      </c>
      <c r="AC16" s="19">
        <f t="shared" si="5"/>
        <v>3909086.3847143571</v>
      </c>
      <c r="AD16" s="19">
        <f t="shared" si="5"/>
        <v>5120903.1639758078</v>
      </c>
      <c r="AE16" s="19">
        <f t="shared" si="5"/>
        <v>6708383.1448083092</v>
      </c>
    </row>
    <row r="17" spans="2:221">
      <c r="B17" s="1" t="s">
        <v>48</v>
      </c>
      <c r="C17" s="1">
        <v>21335</v>
      </c>
      <c r="D17" s="1">
        <v>24148</v>
      </c>
      <c r="E17" s="1">
        <v>24773</v>
      </c>
      <c r="F17" s="1">
        <f>+T17-SUM(C17:E17)</f>
        <v>27822</v>
      </c>
      <c r="G17" s="1">
        <v>31357</v>
      </c>
      <c r="H17" s="1">
        <v>41292</v>
      </c>
      <c r="I17" s="1">
        <v>42051</v>
      </c>
      <c r="J17" s="1">
        <f>+U17-SUM(G17:I17)</f>
        <v>42591</v>
      </c>
      <c r="S17" s="1">
        <v>62373</v>
      </c>
      <c r="T17" s="1">
        <v>98078</v>
      </c>
      <c r="U17" s="1">
        <v>157291</v>
      </c>
      <c r="V17" s="19">
        <f>+V$15*(U17/U$15)</f>
        <v>206051.21000000002</v>
      </c>
      <c r="W17" s="19">
        <f t="shared" ref="W17:AE17" si="6">+W$15*(V17/V$15)</f>
        <v>269927.08510000003</v>
      </c>
      <c r="X17" s="19">
        <f t="shared" si="6"/>
        <v>353604.48148100008</v>
      </c>
      <c r="Y17" s="19">
        <f t="shared" si="6"/>
        <v>463221.87074011017</v>
      </c>
      <c r="Z17" s="19">
        <f t="shared" si="6"/>
        <v>606820.65066954435</v>
      </c>
      <c r="AA17" s="19">
        <f t="shared" si="6"/>
        <v>794935.05237710313</v>
      </c>
      <c r="AB17" s="19">
        <f t="shared" si="6"/>
        <v>1041364.9186140051</v>
      </c>
      <c r="AC17" s="19">
        <f t="shared" si="6"/>
        <v>1364188.0433843466</v>
      </c>
      <c r="AD17" s="19">
        <f t="shared" si="6"/>
        <v>1787086.3368334942</v>
      </c>
      <c r="AE17" s="19">
        <f t="shared" si="6"/>
        <v>2341083.1012518774</v>
      </c>
    </row>
    <row r="18" spans="2:221">
      <c r="B18" s="1" t="s">
        <v>49</v>
      </c>
      <c r="C18" s="1">
        <v>90129</v>
      </c>
      <c r="D18" s="1">
        <v>95005</v>
      </c>
      <c r="E18" s="1">
        <v>102023</v>
      </c>
      <c r="F18" s="1">
        <f>+T18-SUM(C18:E18)</f>
        <v>114418</v>
      </c>
      <c r="G18" s="1">
        <v>116567</v>
      </c>
      <c r="H18" s="1">
        <v>119922</v>
      </c>
      <c r="I18" s="1">
        <v>123279</v>
      </c>
      <c r="J18" s="1">
        <f>+U18-SUM(G18:I18)</f>
        <v>137106</v>
      </c>
      <c r="S18" s="1">
        <v>515007</v>
      </c>
      <c r="T18" s="1">
        <v>401575</v>
      </c>
      <c r="U18" s="1">
        <v>496874</v>
      </c>
      <c r="V18" s="19">
        <f>+V$15*(U18/U$15)</f>
        <v>650904.94000000006</v>
      </c>
      <c r="W18" s="19">
        <f t="shared" ref="W18:AE18" si="7">+W$15*(V18/V$15)</f>
        <v>852685.47140000004</v>
      </c>
      <c r="X18" s="19">
        <f t="shared" si="7"/>
        <v>1117017.9675340003</v>
      </c>
      <c r="Y18" s="19">
        <f t="shared" si="7"/>
        <v>1463293.5374695407</v>
      </c>
      <c r="Z18" s="19">
        <f t="shared" si="7"/>
        <v>1916914.5340850984</v>
      </c>
      <c r="AA18" s="19">
        <f t="shared" si="7"/>
        <v>2511158.0396514791</v>
      </c>
      <c r="AB18" s="19">
        <f t="shared" si="7"/>
        <v>3289617.0319434376</v>
      </c>
      <c r="AC18" s="19">
        <f t="shared" si="7"/>
        <v>4309398.3118459033</v>
      </c>
      <c r="AD18" s="19">
        <f t="shared" si="7"/>
        <v>5645311.7885181336</v>
      </c>
      <c r="AE18" s="19">
        <f t="shared" si="7"/>
        <v>7395358.4429587554</v>
      </c>
    </row>
    <row r="19" spans="2:221">
      <c r="B19" s="1" t="s">
        <v>50</v>
      </c>
      <c r="C19" s="1">
        <v>48416</v>
      </c>
      <c r="D19" s="1">
        <v>57547</v>
      </c>
      <c r="E19" s="1">
        <v>59127</v>
      </c>
      <c r="F19" s="1">
        <f>+T19-SUM(C19:E19)</f>
        <v>68720</v>
      </c>
      <c r="G19" s="1">
        <v>70927</v>
      </c>
      <c r="H19" s="1">
        <v>71940</v>
      </c>
      <c r="I19" s="1">
        <v>76880</v>
      </c>
      <c r="J19" s="1">
        <f>+U19-SUM(G19:I19)</f>
        <v>83972</v>
      </c>
      <c r="S19" s="1">
        <v>194026</v>
      </c>
      <c r="T19" s="1">
        <v>233810</v>
      </c>
      <c r="U19" s="1">
        <v>303719</v>
      </c>
      <c r="V19" s="19">
        <f>+V$15*(U19/U$15)</f>
        <v>397871.89</v>
      </c>
      <c r="W19" s="19">
        <f t="shared" ref="W19:AE19" si="8">+W$15*(V19/V$15)</f>
        <v>521212.17590000003</v>
      </c>
      <c r="X19" s="19">
        <f t="shared" si="8"/>
        <v>682787.95042900008</v>
      </c>
      <c r="Y19" s="19">
        <f t="shared" si="8"/>
        <v>894452.21506199019</v>
      </c>
      <c r="Z19" s="19">
        <f t="shared" si="8"/>
        <v>1171732.4017312073</v>
      </c>
      <c r="AA19" s="19">
        <f t="shared" si="8"/>
        <v>1534969.4462678817</v>
      </c>
      <c r="AB19" s="19">
        <f t="shared" si="8"/>
        <v>2010809.9746109252</v>
      </c>
      <c r="AC19" s="19">
        <f t="shared" si="8"/>
        <v>2634161.0667403117</v>
      </c>
      <c r="AD19" s="19">
        <f t="shared" si="8"/>
        <v>3450750.9974298086</v>
      </c>
      <c r="AE19" s="19">
        <f t="shared" si="8"/>
        <v>4520483.8066330496</v>
      </c>
    </row>
    <row r="20" spans="2:221">
      <c r="B20" s="1" t="s">
        <v>51</v>
      </c>
      <c r="C20" s="1">
        <f>+C15-SUM(C16:C19)</f>
        <v>17194</v>
      </c>
      <c r="D20" s="1">
        <f>+D15-SUM(D16:D19)</f>
        <v>21411</v>
      </c>
      <c r="E20" s="1">
        <f>+E15-SUM(E16:E19)</f>
        <v>32107</v>
      </c>
      <c r="F20" s="1">
        <f>+F15-SUM(F16:F19)</f>
        <v>22541</v>
      </c>
      <c r="G20" s="1">
        <f>+G15-SUM(G16:G19)</f>
        <v>16608</v>
      </c>
      <c r="H20" s="1">
        <f>+H15-SUM(H16:H19)</f>
        <v>40259</v>
      </c>
      <c r="I20" s="1">
        <f>+I15-SUM(I16:I19)</f>
        <v>55113</v>
      </c>
      <c r="J20" s="1">
        <f>+J15-SUM(J16:J19)</f>
        <v>42809</v>
      </c>
      <c r="S20" s="1">
        <f>+S15-SUM(S16:S19)</f>
        <v>-168123</v>
      </c>
      <c r="T20" s="1">
        <f>+T15-SUM(T16:T19)</f>
        <v>93253</v>
      </c>
      <c r="U20" s="1">
        <f>+U15-SUM(U16:U19)</f>
        <v>154789</v>
      </c>
      <c r="V20" s="1">
        <f>+V15-SUM(V16:V19)</f>
        <v>202773.59000000008</v>
      </c>
      <c r="W20" s="1">
        <f t="shared" ref="W20:AE20" si="9">+W15-SUM(W16:W19)</f>
        <v>265633.4029000001</v>
      </c>
      <c r="X20" s="1">
        <f t="shared" si="9"/>
        <v>347979.75779900001</v>
      </c>
      <c r="Y20" s="1">
        <f t="shared" si="9"/>
        <v>455853.48271668982</v>
      </c>
      <c r="Z20" s="1">
        <f t="shared" si="9"/>
        <v>597168.06235886365</v>
      </c>
      <c r="AA20" s="1">
        <f t="shared" si="9"/>
        <v>782290.1616901122</v>
      </c>
      <c r="AB20" s="1">
        <f t="shared" si="9"/>
        <v>1024800.1118140463</v>
      </c>
      <c r="AC20" s="1">
        <f t="shared" si="9"/>
        <v>1342488.146476401</v>
      </c>
      <c r="AD20" s="1">
        <f t="shared" si="9"/>
        <v>1758659.4718840849</v>
      </c>
      <c r="AE20" s="1">
        <f t="shared" si="9"/>
        <v>2303843.908168152</v>
      </c>
    </row>
    <row r="21" spans="2:221">
      <c r="B21" s="1" t="s">
        <v>52</v>
      </c>
      <c r="C21" s="1">
        <v>55299</v>
      </c>
      <c r="D21" s="1">
        <v>47026</v>
      </c>
      <c r="E21" s="1">
        <v>-11249</v>
      </c>
      <c r="F21" s="1">
        <f>+T21-SUM(C21:E21)</f>
        <v>-86782</v>
      </c>
      <c r="G21" s="1">
        <v>25276</v>
      </c>
      <c r="H21" s="1">
        <v>-52368</v>
      </c>
      <c r="I21" s="1">
        <v>14310</v>
      </c>
      <c r="J21" s="1">
        <f>+U21-SUM(G21:I21)</f>
        <v>54894</v>
      </c>
      <c r="S21" s="1">
        <v>1483</v>
      </c>
      <c r="T21" s="1">
        <v>4294</v>
      </c>
      <c r="U21" s="1">
        <v>42112</v>
      </c>
      <c r="V21" s="1">
        <f>+V$20*(U21/U$20)</f>
        <v>55166.72000000003</v>
      </c>
      <c r="W21" s="1">
        <f t="shared" ref="W21:AE21" si="10">+W$20*(V21/V$20)</f>
        <v>72268.40320000003</v>
      </c>
      <c r="X21" s="1">
        <f t="shared" si="10"/>
        <v>94671.608192000014</v>
      </c>
      <c r="Y21" s="1">
        <f t="shared" si="10"/>
        <v>124019.80673151996</v>
      </c>
      <c r="Z21" s="1">
        <f t="shared" si="10"/>
        <v>162465.94681829115</v>
      </c>
      <c r="AA21" s="1">
        <f t="shared" si="10"/>
        <v>212830.39033196162</v>
      </c>
      <c r="AB21" s="1">
        <f t="shared" si="10"/>
        <v>278807.81133486953</v>
      </c>
      <c r="AC21" s="1">
        <f t="shared" si="10"/>
        <v>365238.23284867918</v>
      </c>
      <c r="AD21" s="1">
        <f t="shared" si="10"/>
        <v>478462.08503176959</v>
      </c>
      <c r="AE21" s="1">
        <f t="shared" si="10"/>
        <v>626785.33139161847</v>
      </c>
    </row>
    <row r="22" spans="2:221">
      <c r="B22" s="1" t="s">
        <v>53</v>
      </c>
      <c r="C22" s="1">
        <v>0</v>
      </c>
      <c r="E22" s="1">
        <v>0</v>
      </c>
      <c r="F22" s="1">
        <f>+T22-SUM(C22:E22)</f>
        <v>98971</v>
      </c>
      <c r="G22" s="1">
        <v>0</v>
      </c>
      <c r="I22" s="1">
        <v>0</v>
      </c>
      <c r="J22" s="1">
        <f>+U22-SUM(G22:I22)</f>
        <v>-41901</v>
      </c>
      <c r="S22" s="1">
        <v>25265</v>
      </c>
      <c r="T22" s="1">
        <v>98971</v>
      </c>
      <c r="U22" s="1">
        <v>-41901</v>
      </c>
      <c r="V22" s="1">
        <f>+V$20*(U22/U$20)</f>
        <v>-54890.310000000019</v>
      </c>
      <c r="W22" s="1">
        <f t="shared" ref="W22:AE22" si="11">+W$20*(V22/V$20)</f>
        <v>-71906.306100000031</v>
      </c>
      <c r="X22" s="1">
        <f t="shared" si="11"/>
        <v>-94197.260991000003</v>
      </c>
      <c r="Y22" s="1">
        <f t="shared" si="11"/>
        <v>-123398.41189820995</v>
      </c>
      <c r="Z22" s="1">
        <f t="shared" si="11"/>
        <v>-161651.91958665501</v>
      </c>
      <c r="AA22" s="1">
        <f t="shared" si="11"/>
        <v>-211764.01465851831</v>
      </c>
      <c r="AB22" s="1">
        <f t="shared" si="11"/>
        <v>-277410.85920265882</v>
      </c>
      <c r="AC22" s="1">
        <f t="shared" si="11"/>
        <v>-363408.22555548314</v>
      </c>
      <c r="AD22" s="1">
        <f t="shared" si="11"/>
        <v>-476064.77547768276</v>
      </c>
      <c r="AE22" s="1">
        <f t="shared" si="11"/>
        <v>-623644.85587576462</v>
      </c>
    </row>
    <row r="23" spans="2:221">
      <c r="B23" s="1" t="s">
        <v>54</v>
      </c>
      <c r="C23" s="1">
        <f>+SUM(C20:C22)</f>
        <v>72493</v>
      </c>
      <c r="D23" s="1">
        <f>+SUM(D20:D22)</f>
        <v>68437</v>
      </c>
      <c r="E23" s="1">
        <f>+SUM(E20:E22)</f>
        <v>20858</v>
      </c>
      <c r="F23" s="1">
        <f>+SUM(F20:F22)</f>
        <v>34730</v>
      </c>
      <c r="G23" s="1">
        <f>+SUM(G20:G22)</f>
        <v>41884</v>
      </c>
      <c r="H23" s="1">
        <f>+SUM(H20:H22)</f>
        <v>-12109</v>
      </c>
      <c r="I23" s="1">
        <f>+SUM(I20:I22)</f>
        <v>69423</v>
      </c>
      <c r="J23" s="1">
        <f>+SUM(J20:J22)</f>
        <v>55802</v>
      </c>
      <c r="S23" s="1">
        <f>+SUM(S20:S22)</f>
        <v>-141375</v>
      </c>
      <c r="T23" s="1">
        <f>+SUM(T20:T22)</f>
        <v>196518</v>
      </c>
      <c r="U23" s="1">
        <f>+SUM(U20:U22)</f>
        <v>155000</v>
      </c>
      <c r="V23" s="1">
        <f>+SUM(V20:V22)</f>
        <v>203050.00000000009</v>
      </c>
      <c r="W23" s="1">
        <f t="shared" ref="W23:AE23" si="12">+SUM(W20:W22)</f>
        <v>265995.50000000012</v>
      </c>
      <c r="X23" s="1">
        <f t="shared" si="12"/>
        <v>348454.10500000004</v>
      </c>
      <c r="Y23" s="1">
        <f t="shared" si="12"/>
        <v>456474.87754999986</v>
      </c>
      <c r="Z23" s="1">
        <f t="shared" si="12"/>
        <v>597982.08959049988</v>
      </c>
      <c r="AA23" s="1">
        <f t="shared" si="12"/>
        <v>783356.53736355552</v>
      </c>
      <c r="AB23" s="1">
        <f t="shared" si="12"/>
        <v>1026197.0639462571</v>
      </c>
      <c r="AC23" s="1">
        <f t="shared" si="12"/>
        <v>1344318.1537695969</v>
      </c>
      <c r="AD23" s="1">
        <f t="shared" si="12"/>
        <v>1761056.7814381719</v>
      </c>
      <c r="AE23" s="1">
        <f t="shared" si="12"/>
        <v>2306984.3836840061</v>
      </c>
    </row>
    <row r="24" spans="2:221">
      <c r="B24" s="1" t="s">
        <v>55</v>
      </c>
      <c r="C24" s="1">
        <v>17622</v>
      </c>
      <c r="D24" s="1">
        <v>17475</v>
      </c>
      <c r="E24" s="1">
        <v>8727</v>
      </c>
      <c r="F24" s="1">
        <f>+T24-SUM(C24:E24)</f>
        <v>5555</v>
      </c>
      <c r="G24" s="1">
        <v>-3255</v>
      </c>
      <c r="H24" s="1">
        <v>-24529</v>
      </c>
      <c r="I24" s="1">
        <v>10026</v>
      </c>
      <c r="J24" s="1">
        <f>+U24-SUM(G24:I24)</f>
        <v>-1469</v>
      </c>
      <c r="S24" s="1">
        <v>-81357</v>
      </c>
      <c r="T24" s="1">
        <v>49379</v>
      </c>
      <c r="U24" s="1">
        <v>-19227</v>
      </c>
      <c r="V24" s="1">
        <f>+V23*(U24/U23)</f>
        <v>-25187.370000000014</v>
      </c>
      <c r="W24" s="1">
        <f t="shared" ref="W24:AE24" si="13">+W23*(V24/V23)</f>
        <v>-32995.454700000017</v>
      </c>
      <c r="X24" s="1">
        <f t="shared" si="13"/>
        <v>-43224.04565700001</v>
      </c>
      <c r="Y24" s="1">
        <f t="shared" si="13"/>
        <v>-56623.499810669993</v>
      </c>
      <c r="Z24" s="1">
        <f t="shared" si="13"/>
        <v>-74176.784751977699</v>
      </c>
      <c r="AA24" s="1">
        <f t="shared" si="13"/>
        <v>-97171.588025090867</v>
      </c>
      <c r="AB24" s="1">
        <f t="shared" si="13"/>
        <v>-127294.78031286896</v>
      </c>
      <c r="AC24" s="1">
        <f t="shared" si="13"/>
        <v>-166756.16220985836</v>
      </c>
      <c r="AD24" s="1">
        <f t="shared" si="13"/>
        <v>-218450.57249491444</v>
      </c>
      <c r="AE24" s="1">
        <f t="shared" si="13"/>
        <v>-286170.249968338</v>
      </c>
    </row>
    <row r="25" spans="2:221" s="15" customFormat="1">
      <c r="B25" s="15" t="s">
        <v>56</v>
      </c>
      <c r="C25" s="15">
        <f>+C23-C24</f>
        <v>54871</v>
      </c>
      <c r="D25" s="15">
        <f>+D23-D24</f>
        <v>50962</v>
      </c>
      <c r="E25" s="15">
        <f>+E23-E24</f>
        <v>12131</v>
      </c>
      <c r="F25" s="15">
        <f>+F23-F24</f>
        <v>29175</v>
      </c>
      <c r="G25" s="15">
        <f>+G23-G24</f>
        <v>45139</v>
      </c>
      <c r="H25" s="15">
        <f>+H23-H24</f>
        <v>12420</v>
      </c>
      <c r="I25" s="15">
        <f>+I23-I24</f>
        <v>59397</v>
      </c>
      <c r="J25" s="15">
        <f>+J23-J24</f>
        <v>57271</v>
      </c>
      <c r="O25" s="15">
        <v>5207</v>
      </c>
      <c r="P25" s="15">
        <v>29205</v>
      </c>
      <c r="Q25" s="15">
        <v>882</v>
      </c>
      <c r="R25" s="15">
        <v>-1724</v>
      </c>
      <c r="S25" s="15">
        <f>+S23-S24</f>
        <v>-60018</v>
      </c>
      <c r="T25" s="15">
        <f>+T23-T24</f>
        <v>147139</v>
      </c>
      <c r="U25" s="15">
        <f>+U23-U24</f>
        <v>174227</v>
      </c>
      <c r="V25" s="15">
        <f>+V23-V24</f>
        <v>228237.37000000011</v>
      </c>
      <c r="W25" s="15">
        <f t="shared" ref="W25:AE25" si="14">+W23-W24</f>
        <v>298990.95470000012</v>
      </c>
      <c r="X25" s="15">
        <f t="shared" si="14"/>
        <v>391678.15065700002</v>
      </c>
      <c r="Y25" s="15">
        <f t="shared" si="14"/>
        <v>513098.37736066984</v>
      </c>
      <c r="Z25" s="15">
        <f t="shared" si="14"/>
        <v>672158.87434247753</v>
      </c>
      <c r="AA25" s="15">
        <f t="shared" si="14"/>
        <v>880528.12538864638</v>
      </c>
      <c r="AB25" s="15">
        <f t="shared" si="14"/>
        <v>1153491.8442591261</v>
      </c>
      <c r="AC25" s="15">
        <f t="shared" si="14"/>
        <v>1511074.3159794554</v>
      </c>
      <c r="AD25" s="15">
        <f t="shared" si="14"/>
        <v>1979507.3539330864</v>
      </c>
      <c r="AE25" s="15">
        <f t="shared" si="14"/>
        <v>2593154.6336523439</v>
      </c>
      <c r="AF25" s="15">
        <f>+AE25*(1+$AH$29)</f>
        <v>2619086.1799888671</v>
      </c>
      <c r="AG25" s="15">
        <f t="shared" ref="AG25:CR25" si="15">+AF25*(1+$AH$29)</f>
        <v>2645277.0417887559</v>
      </c>
      <c r="AH25" s="15">
        <f t="shared" si="15"/>
        <v>2671729.8122066436</v>
      </c>
      <c r="AI25" s="15">
        <f t="shared" si="15"/>
        <v>2698447.1103287102</v>
      </c>
      <c r="AJ25" s="15">
        <f t="shared" si="15"/>
        <v>2725431.5814319975</v>
      </c>
      <c r="AK25" s="15">
        <f t="shared" si="15"/>
        <v>2752685.8972463175</v>
      </c>
      <c r="AL25" s="15">
        <f t="shared" si="15"/>
        <v>2780212.7562187808</v>
      </c>
      <c r="AM25" s="15">
        <f t="shared" si="15"/>
        <v>2808014.8837809684</v>
      </c>
      <c r="AN25" s="15">
        <f t="shared" si="15"/>
        <v>2836095.0326187783</v>
      </c>
      <c r="AO25" s="15">
        <f t="shared" si="15"/>
        <v>2864455.9829449663</v>
      </c>
      <c r="AP25" s="15">
        <f t="shared" si="15"/>
        <v>2893100.542774416</v>
      </c>
      <c r="AQ25" s="15">
        <f t="shared" si="15"/>
        <v>2922031.5482021603</v>
      </c>
      <c r="AR25" s="15">
        <f t="shared" si="15"/>
        <v>2951251.8636841821</v>
      </c>
      <c r="AS25" s="15">
        <f t="shared" si="15"/>
        <v>2980764.3823210238</v>
      </c>
      <c r="AT25" s="15">
        <f t="shared" si="15"/>
        <v>3010572.026144234</v>
      </c>
      <c r="AU25" s="15">
        <f t="shared" si="15"/>
        <v>3040677.7464056765</v>
      </c>
      <c r="AV25" s="15">
        <f t="shared" si="15"/>
        <v>3071084.5238697333</v>
      </c>
      <c r="AW25" s="15">
        <f t="shared" si="15"/>
        <v>3101795.3691084306</v>
      </c>
      <c r="AX25" s="15">
        <f t="shared" si="15"/>
        <v>3132813.322799515</v>
      </c>
      <c r="AY25" s="15">
        <f t="shared" si="15"/>
        <v>3164141.4560275101</v>
      </c>
      <c r="AZ25" s="15">
        <f t="shared" si="15"/>
        <v>3195782.8705877853</v>
      </c>
      <c r="BA25" s="15">
        <f t="shared" si="15"/>
        <v>3227740.6992936633</v>
      </c>
      <c r="BB25" s="15">
        <f t="shared" si="15"/>
        <v>3260018.1062865998</v>
      </c>
      <c r="BC25" s="15">
        <f t="shared" si="15"/>
        <v>3292618.2873494658</v>
      </c>
      <c r="BD25" s="15">
        <f t="shared" si="15"/>
        <v>3325544.4702229602</v>
      </c>
      <c r="BE25" s="15">
        <f t="shared" si="15"/>
        <v>3358799.9149251897</v>
      </c>
      <c r="BF25" s="15">
        <f t="shared" si="15"/>
        <v>3392387.9140744414</v>
      </c>
      <c r="BG25" s="15">
        <f t="shared" si="15"/>
        <v>3426311.7932151859</v>
      </c>
      <c r="BH25" s="15">
        <f t="shared" si="15"/>
        <v>3460574.9111473379</v>
      </c>
      <c r="BI25" s="15">
        <f t="shared" si="15"/>
        <v>3495180.6602588114</v>
      </c>
      <c r="BJ25" s="15">
        <f t="shared" si="15"/>
        <v>3530132.4668613994</v>
      </c>
      <c r="BK25" s="15">
        <f t="shared" si="15"/>
        <v>3565433.7915300136</v>
      </c>
      <c r="BL25" s="15">
        <f t="shared" si="15"/>
        <v>3601088.1294453139</v>
      </c>
      <c r="BM25" s="15">
        <f t="shared" si="15"/>
        <v>3637099.010739767</v>
      </c>
      <c r="BN25" s="15">
        <f t="shared" si="15"/>
        <v>3673470.0008471645</v>
      </c>
      <c r="BO25" s="15">
        <f t="shared" si="15"/>
        <v>3710204.700855636</v>
      </c>
      <c r="BP25" s="15">
        <f t="shared" si="15"/>
        <v>3747306.7478641924</v>
      </c>
      <c r="BQ25" s="15">
        <f t="shared" si="15"/>
        <v>3784779.8153428342</v>
      </c>
      <c r="BR25" s="15">
        <f t="shared" si="15"/>
        <v>3822627.6134962626</v>
      </c>
      <c r="BS25" s="15">
        <f t="shared" si="15"/>
        <v>3860853.8896312253</v>
      </c>
      <c r="BT25" s="15">
        <f t="shared" si="15"/>
        <v>3899462.4285275377</v>
      </c>
      <c r="BU25" s="15">
        <f t="shared" si="15"/>
        <v>3938457.0528128133</v>
      </c>
      <c r="BV25" s="15">
        <f t="shared" si="15"/>
        <v>3977841.6233409415</v>
      </c>
      <c r="BW25" s="15">
        <f t="shared" si="15"/>
        <v>4017620.0395743512</v>
      </c>
      <c r="BX25" s="15">
        <f t="shared" si="15"/>
        <v>4057796.2399700945</v>
      </c>
      <c r="BY25" s="15">
        <f t="shared" si="15"/>
        <v>4098374.2023697956</v>
      </c>
      <c r="BZ25" s="15">
        <f t="shared" si="15"/>
        <v>4139357.9443934937</v>
      </c>
      <c r="CA25" s="15">
        <f t="shared" si="15"/>
        <v>4180751.5238374285</v>
      </c>
      <c r="CB25" s="15">
        <f t="shared" si="15"/>
        <v>4222559.039075803</v>
      </c>
      <c r="CC25" s="15">
        <f t="shared" si="15"/>
        <v>4264784.6294665607</v>
      </c>
      <c r="CD25" s="15">
        <f t="shared" si="15"/>
        <v>4307432.4757612264</v>
      </c>
      <c r="CE25" s="15">
        <f t="shared" si="15"/>
        <v>4350506.8005188387</v>
      </c>
      <c r="CF25" s="15">
        <f t="shared" si="15"/>
        <v>4394011.8685240271</v>
      </c>
      <c r="CG25" s="15">
        <f t="shared" si="15"/>
        <v>4437951.987209267</v>
      </c>
      <c r="CH25" s="15">
        <f t="shared" si="15"/>
        <v>4482331.5070813596</v>
      </c>
      <c r="CI25" s="15">
        <f t="shared" si="15"/>
        <v>4527154.8221521731</v>
      </c>
      <c r="CJ25" s="15">
        <f t="shared" si="15"/>
        <v>4572426.3703736952</v>
      </c>
      <c r="CK25" s="15">
        <f t="shared" si="15"/>
        <v>4618150.6340774326</v>
      </c>
      <c r="CL25" s="15">
        <f t="shared" si="15"/>
        <v>4664332.1404182073</v>
      </c>
      <c r="CM25" s="15">
        <f t="shared" si="15"/>
        <v>4710975.4618223896</v>
      </c>
      <c r="CN25" s="15">
        <f t="shared" si="15"/>
        <v>4758085.2164406134</v>
      </c>
      <c r="CO25" s="15">
        <f t="shared" si="15"/>
        <v>4805666.0686050197</v>
      </c>
      <c r="CP25" s="15">
        <f t="shared" si="15"/>
        <v>4853722.7292910703</v>
      </c>
      <c r="CQ25" s="15">
        <f t="shared" si="15"/>
        <v>4902259.9565839814</v>
      </c>
      <c r="CR25" s="15">
        <f t="shared" si="15"/>
        <v>4951282.5561498208</v>
      </c>
      <c r="CS25" s="15">
        <f t="shared" ref="CS25:FD25" si="16">+CR25*(1+$AH$29)</f>
        <v>5000795.3817113191</v>
      </c>
      <c r="CT25" s="15">
        <f t="shared" si="16"/>
        <v>5050803.3355284324</v>
      </c>
      <c r="CU25" s="15">
        <f t="shared" si="16"/>
        <v>5101311.3688837169</v>
      </c>
      <c r="CV25" s="15">
        <f t="shared" si="16"/>
        <v>5152324.4825725537</v>
      </c>
      <c r="CW25" s="15">
        <f t="shared" si="16"/>
        <v>5203847.7273982791</v>
      </c>
      <c r="CX25" s="15">
        <f t="shared" si="16"/>
        <v>5255886.2046722621</v>
      </c>
      <c r="CY25" s="15">
        <f t="shared" si="16"/>
        <v>5308445.0667189844</v>
      </c>
      <c r="CZ25" s="15">
        <f t="shared" si="16"/>
        <v>5361529.5173861738</v>
      </c>
      <c r="DA25" s="15">
        <f t="shared" si="16"/>
        <v>5415144.8125600358</v>
      </c>
      <c r="DB25" s="15">
        <f t="shared" si="16"/>
        <v>5469296.2606856367</v>
      </c>
      <c r="DC25" s="15">
        <f t="shared" si="16"/>
        <v>5523989.2232924933</v>
      </c>
      <c r="DD25" s="15">
        <f t="shared" si="16"/>
        <v>5579229.115525418</v>
      </c>
      <c r="DE25" s="15">
        <f t="shared" si="16"/>
        <v>5635021.4066806724</v>
      </c>
      <c r="DF25" s="15">
        <f t="shared" si="16"/>
        <v>5691371.6207474796</v>
      </c>
      <c r="DG25" s="15">
        <f t="shared" si="16"/>
        <v>5748285.3369549541</v>
      </c>
      <c r="DH25" s="15">
        <f t="shared" si="16"/>
        <v>5805768.1903245039</v>
      </c>
      <c r="DI25" s="15">
        <f t="shared" si="16"/>
        <v>5863825.8722277489</v>
      </c>
      <c r="DJ25" s="15">
        <f t="shared" si="16"/>
        <v>5922464.1309500262</v>
      </c>
      <c r="DK25" s="15">
        <f t="shared" si="16"/>
        <v>5981688.7722595269</v>
      </c>
      <c r="DL25" s="15">
        <f t="shared" si="16"/>
        <v>6041505.6599821225</v>
      </c>
      <c r="DM25" s="15">
        <f t="shared" si="16"/>
        <v>6101920.7165819434</v>
      </c>
      <c r="DN25" s="15">
        <f t="shared" si="16"/>
        <v>6162939.923747763</v>
      </c>
      <c r="DO25" s="15">
        <f t="shared" si="16"/>
        <v>6224569.3229852403</v>
      </c>
      <c r="DP25" s="15">
        <f t="shared" si="16"/>
        <v>6286815.0162150925</v>
      </c>
      <c r="DQ25" s="15">
        <f t="shared" si="16"/>
        <v>6349683.1663772436</v>
      </c>
      <c r="DR25" s="15">
        <f t="shared" si="16"/>
        <v>6413179.998041016</v>
      </c>
      <c r="DS25" s="15">
        <f t="shared" si="16"/>
        <v>6477311.7980214264</v>
      </c>
      <c r="DT25" s="15">
        <f t="shared" si="16"/>
        <v>6542084.9160016412</v>
      </c>
      <c r="DU25" s="15">
        <f t="shared" si="16"/>
        <v>6607505.7651616577</v>
      </c>
      <c r="DV25" s="15">
        <f t="shared" si="16"/>
        <v>6673580.8228132743</v>
      </c>
      <c r="DW25" s="15">
        <f t="shared" si="16"/>
        <v>6740316.6310414076</v>
      </c>
      <c r="DX25" s="15">
        <f t="shared" si="16"/>
        <v>6807719.7973518213</v>
      </c>
      <c r="DY25" s="15">
        <f t="shared" si="16"/>
        <v>6875796.99532534</v>
      </c>
      <c r="DZ25" s="15">
        <f t="shared" si="16"/>
        <v>6944554.9652785938</v>
      </c>
      <c r="EA25" s="15">
        <f t="shared" si="16"/>
        <v>7014000.5149313798</v>
      </c>
      <c r="EB25" s="15">
        <f t="shared" si="16"/>
        <v>7084140.520080694</v>
      </c>
      <c r="EC25" s="15">
        <f t="shared" si="16"/>
        <v>7154981.9252815014</v>
      </c>
      <c r="ED25" s="15">
        <f t="shared" si="16"/>
        <v>7226531.7445343165</v>
      </c>
      <c r="EE25" s="15">
        <f t="shared" si="16"/>
        <v>7298797.0619796598</v>
      </c>
      <c r="EF25" s="15">
        <f t="shared" si="16"/>
        <v>7371785.0325994566</v>
      </c>
      <c r="EG25" s="15">
        <f t="shared" si="16"/>
        <v>7445502.8829254508</v>
      </c>
      <c r="EH25" s="15">
        <f t="shared" si="16"/>
        <v>7519957.911754705</v>
      </c>
      <c r="EI25" s="15">
        <f t="shared" si="16"/>
        <v>7595157.4908722518</v>
      </c>
      <c r="EJ25" s="15">
        <f t="shared" si="16"/>
        <v>7671109.065780974</v>
      </c>
      <c r="EK25" s="15">
        <f t="shared" si="16"/>
        <v>7747820.1564387837</v>
      </c>
      <c r="EL25" s="15">
        <f t="shared" si="16"/>
        <v>7825298.3580031721</v>
      </c>
      <c r="EM25" s="15">
        <f t="shared" si="16"/>
        <v>7903551.3415832035</v>
      </c>
      <c r="EN25" s="15">
        <f t="shared" si="16"/>
        <v>7982586.8549990356</v>
      </c>
      <c r="EO25" s="15">
        <f t="shared" si="16"/>
        <v>8062412.7235490261</v>
      </c>
      <c r="EP25" s="15">
        <f t="shared" si="16"/>
        <v>8143036.850784516</v>
      </c>
      <c r="EQ25" s="15">
        <f t="shared" si="16"/>
        <v>8224467.2192923613</v>
      </c>
      <c r="ER25" s="15">
        <f t="shared" si="16"/>
        <v>8306711.891485285</v>
      </c>
      <c r="ES25" s="15">
        <f t="shared" si="16"/>
        <v>8389779.0104001388</v>
      </c>
      <c r="ET25" s="15">
        <f t="shared" si="16"/>
        <v>8473676.8005041406</v>
      </c>
      <c r="EU25" s="15">
        <f t="shared" si="16"/>
        <v>8558413.568509182</v>
      </c>
      <c r="EV25" s="15">
        <f t="shared" si="16"/>
        <v>8643997.7041942738</v>
      </c>
      <c r="EW25" s="15">
        <f t="shared" si="16"/>
        <v>8730437.6812362168</v>
      </c>
      <c r="EX25" s="15">
        <f t="shared" si="16"/>
        <v>8817742.0580485798</v>
      </c>
      <c r="EY25" s="15">
        <f t="shared" si="16"/>
        <v>8905919.4786290657</v>
      </c>
      <c r="EZ25" s="15">
        <f t="shared" si="16"/>
        <v>8994978.6734153572</v>
      </c>
      <c r="FA25" s="15">
        <f t="shared" si="16"/>
        <v>9084928.4601495117</v>
      </c>
      <c r="FB25" s="15">
        <f t="shared" si="16"/>
        <v>9175777.7447510064</v>
      </c>
      <c r="FC25" s="15">
        <f t="shared" si="16"/>
        <v>9267535.5221985169</v>
      </c>
      <c r="FD25" s="15">
        <f t="shared" si="16"/>
        <v>9360210.8774205018</v>
      </c>
      <c r="FE25" s="15">
        <f t="shared" ref="FE25:HM25" si="17">+FD25*(1+$AH$29)</f>
        <v>9453812.9861947075</v>
      </c>
      <c r="FF25" s="15">
        <f t="shared" si="17"/>
        <v>9548351.1160566546</v>
      </c>
      <c r="FG25" s="15">
        <f t="shared" si="17"/>
        <v>9643834.627217222</v>
      </c>
      <c r="FH25" s="15">
        <f t="shared" si="17"/>
        <v>9740272.9734893944</v>
      </c>
      <c r="FI25" s="15">
        <f t="shared" si="17"/>
        <v>9837675.7032242883</v>
      </c>
      <c r="FJ25" s="15">
        <f t="shared" si="17"/>
        <v>9936052.4602565318</v>
      </c>
      <c r="FK25" s="15">
        <f t="shared" si="17"/>
        <v>10035412.984859098</v>
      </c>
      <c r="FL25" s="15">
        <f t="shared" si="17"/>
        <v>10135767.11470769</v>
      </c>
      <c r="FM25" s="15">
        <f t="shared" si="17"/>
        <v>10237124.785854766</v>
      </c>
      <c r="FN25" s="15">
        <f t="shared" si="17"/>
        <v>10339496.033713315</v>
      </c>
      <c r="FO25" s="15">
        <f t="shared" si="17"/>
        <v>10442890.994050449</v>
      </c>
      <c r="FP25" s="15">
        <f t="shared" si="17"/>
        <v>10547319.903990954</v>
      </c>
      <c r="FQ25" s="15">
        <f t="shared" si="17"/>
        <v>10652793.103030864</v>
      </c>
      <c r="FR25" s="15">
        <f t="shared" si="17"/>
        <v>10759321.034061173</v>
      </c>
      <c r="FS25" s="15">
        <f t="shared" si="17"/>
        <v>10866914.244401785</v>
      </c>
      <c r="FT25" s="15">
        <f t="shared" si="17"/>
        <v>10975583.386845803</v>
      </c>
      <c r="FU25" s="15">
        <f t="shared" si="17"/>
        <v>11085339.220714262</v>
      </c>
      <c r="FV25" s="15">
        <f t="shared" si="17"/>
        <v>11196192.612921404</v>
      </c>
      <c r="FW25" s="15">
        <f t="shared" si="17"/>
        <v>11308154.539050618</v>
      </c>
      <c r="FX25" s="15">
        <f t="shared" si="17"/>
        <v>11421236.084441125</v>
      </c>
      <c r="FY25" s="15">
        <f t="shared" si="17"/>
        <v>11535448.445285536</v>
      </c>
      <c r="FZ25" s="15">
        <f t="shared" si="17"/>
        <v>11650802.929738391</v>
      </c>
      <c r="GA25" s="15">
        <f t="shared" si="17"/>
        <v>11767310.959035775</v>
      </c>
      <c r="GB25" s="15">
        <f t="shared" si="17"/>
        <v>11884984.068626132</v>
      </c>
      <c r="GC25" s="15">
        <f t="shared" si="17"/>
        <v>12003833.909312394</v>
      </c>
      <c r="GD25" s="15">
        <f t="shared" si="17"/>
        <v>12123872.248405518</v>
      </c>
      <c r="GE25" s="15">
        <f t="shared" si="17"/>
        <v>12245110.970889574</v>
      </c>
      <c r="GF25" s="15">
        <f t="shared" si="17"/>
        <v>12367562.08059847</v>
      </c>
      <c r="GG25" s="15">
        <f t="shared" si="17"/>
        <v>12491237.701404454</v>
      </c>
      <c r="GH25" s="15">
        <f t="shared" si="17"/>
        <v>12616150.078418499</v>
      </c>
      <c r="GI25" s="15">
        <f t="shared" si="17"/>
        <v>12742311.579202684</v>
      </c>
      <c r="GJ25" s="15">
        <f t="shared" si="17"/>
        <v>12869734.69499471</v>
      </c>
      <c r="GK25" s="15">
        <f t="shared" si="17"/>
        <v>12998432.041944658</v>
      </c>
      <c r="GL25" s="15">
        <f t="shared" si="17"/>
        <v>13128416.362364106</v>
      </c>
      <c r="GM25" s="15">
        <f t="shared" si="17"/>
        <v>13259700.525987746</v>
      </c>
      <c r="GN25" s="15">
        <f t="shared" si="17"/>
        <v>13392297.531247623</v>
      </c>
      <c r="GO25" s="15">
        <f t="shared" si="17"/>
        <v>13526220.5065601</v>
      </c>
      <c r="GP25" s="15">
        <f t="shared" si="17"/>
        <v>13661482.711625701</v>
      </c>
      <c r="GQ25" s="15">
        <f t="shared" si="17"/>
        <v>13798097.538741957</v>
      </c>
      <c r="GR25" s="15">
        <f t="shared" si="17"/>
        <v>13936078.514129378</v>
      </c>
      <c r="GS25" s="15">
        <f t="shared" si="17"/>
        <v>14075439.299270673</v>
      </c>
      <c r="GT25" s="15">
        <f t="shared" si="17"/>
        <v>14216193.69226338</v>
      </c>
      <c r="GU25" s="15">
        <f t="shared" si="17"/>
        <v>14358355.629186014</v>
      </c>
      <c r="GV25" s="15">
        <f t="shared" si="17"/>
        <v>14501939.185477873</v>
      </c>
      <c r="GW25" s="15">
        <f t="shared" si="17"/>
        <v>14646958.577332651</v>
      </c>
      <c r="GX25" s="15">
        <f t="shared" si="17"/>
        <v>14793428.163105978</v>
      </c>
      <c r="GY25" s="15">
        <f t="shared" si="17"/>
        <v>14941362.444737038</v>
      </c>
      <c r="GZ25" s="15">
        <f t="shared" si="17"/>
        <v>15090776.069184408</v>
      </c>
      <c r="HA25" s="15">
        <f t="shared" si="17"/>
        <v>15241683.829876252</v>
      </c>
      <c r="HB25" s="15">
        <f t="shared" si="17"/>
        <v>15394100.668175014</v>
      </c>
      <c r="HC25" s="15">
        <f t="shared" si="17"/>
        <v>15548041.674856763</v>
      </c>
      <c r="HD25" s="15">
        <f t="shared" si="17"/>
        <v>15703522.091605332</v>
      </c>
      <c r="HE25" s="15">
        <f t="shared" si="17"/>
        <v>15860557.312521385</v>
      </c>
      <c r="HF25" s="15">
        <f t="shared" si="17"/>
        <v>16019162.885646598</v>
      </c>
      <c r="HG25" s="15">
        <f t="shared" si="17"/>
        <v>16179354.514503064</v>
      </c>
      <c r="HH25" s="15">
        <f t="shared" si="17"/>
        <v>16341148.059648095</v>
      </c>
      <c r="HI25" s="15">
        <f t="shared" si="17"/>
        <v>16504559.540244576</v>
      </c>
      <c r="HJ25" s="15">
        <f t="shared" si="17"/>
        <v>16669605.135647021</v>
      </c>
      <c r="HK25" s="15">
        <f t="shared" si="17"/>
        <v>16836301.187003493</v>
      </c>
      <c r="HL25" s="15">
        <f t="shared" si="17"/>
        <v>17004664.198873527</v>
      </c>
      <c r="HM25" s="15">
        <f t="shared" si="17"/>
        <v>17174710.840862263</v>
      </c>
    </row>
    <row r="26" spans="2:221">
      <c r="B26" s="1" t="s">
        <v>57</v>
      </c>
      <c r="C26" s="1">
        <v>72349</v>
      </c>
      <c r="D26" s="1">
        <v>72283</v>
      </c>
      <c r="E26" s="1">
        <v>72525</v>
      </c>
      <c r="F26" s="1">
        <f>+F25/F27</f>
        <v>73335.288661565777</v>
      </c>
      <c r="G26" s="1">
        <v>73880</v>
      </c>
      <c r="H26" s="1">
        <v>75780</v>
      </c>
      <c r="I26" s="1">
        <v>75952</v>
      </c>
      <c r="J26" s="1">
        <f>+J25/J27</f>
        <v>76149.952979733076</v>
      </c>
      <c r="S26" s="1">
        <v>66191</v>
      </c>
      <c r="T26" s="1">
        <v>72534</v>
      </c>
      <c r="U26" s="1">
        <v>75456</v>
      </c>
      <c r="V26" s="1">
        <f>+U26</f>
        <v>75456</v>
      </c>
      <c r="W26" s="1">
        <f t="shared" ref="W26:AE26" si="18">+V26</f>
        <v>75456</v>
      </c>
      <c r="X26" s="1">
        <f t="shared" si="18"/>
        <v>75456</v>
      </c>
      <c r="Y26" s="1">
        <f t="shared" si="18"/>
        <v>75456</v>
      </c>
      <c r="Z26" s="1">
        <f t="shared" si="18"/>
        <v>75456</v>
      </c>
      <c r="AA26" s="1">
        <f t="shared" si="18"/>
        <v>75456</v>
      </c>
      <c r="AB26" s="1">
        <f t="shared" si="18"/>
        <v>75456</v>
      </c>
      <c r="AC26" s="1">
        <f t="shared" si="18"/>
        <v>75456</v>
      </c>
      <c r="AD26" s="1">
        <f t="shared" si="18"/>
        <v>75456</v>
      </c>
      <c r="AE26" s="1">
        <f t="shared" si="18"/>
        <v>75456</v>
      </c>
    </row>
    <row r="27" spans="2:221" s="18" customFormat="1">
      <c r="B27" s="18" t="s">
        <v>58</v>
      </c>
      <c r="C27" s="18">
        <f>+C25/C26</f>
        <v>0.75842098715946316</v>
      </c>
      <c r="D27" s="18">
        <f>+D25/D26</f>
        <v>0.70503437876125785</v>
      </c>
      <c r="E27" s="18">
        <f>+E25/E26</f>
        <v>0.16726645984143398</v>
      </c>
      <c r="F27" s="18">
        <f>+T27-SUM(C27:E27)</f>
        <v>0.39783030151608711</v>
      </c>
      <c r="G27" s="18">
        <f>+G25/G26</f>
        <v>0.61097726042230649</v>
      </c>
      <c r="H27" s="18">
        <f>+H25/H26</f>
        <v>0.16389548693586697</v>
      </c>
      <c r="I27" s="18">
        <f>+I25/I26</f>
        <v>0.78203338950916368</v>
      </c>
      <c r="J27" s="18">
        <f>+U27-SUM(G27:I27)</f>
        <v>0.75208188264072051</v>
      </c>
      <c r="S27" s="18">
        <f>+S25/S26</f>
        <v>-0.90673958695290902</v>
      </c>
      <c r="T27" s="18">
        <f>+T25/T26</f>
        <v>2.0285521272782421</v>
      </c>
      <c r="U27" s="18">
        <f>+U25/U26</f>
        <v>2.3089880195080577</v>
      </c>
      <c r="V27" s="18">
        <f>+V25/V26</f>
        <v>3.0247743055555572</v>
      </c>
      <c r="W27" s="18">
        <f t="shared" ref="W27:AE27" si="19">+W25/W26</f>
        <v>3.9624543402777794</v>
      </c>
      <c r="X27" s="18">
        <f t="shared" si="19"/>
        <v>5.1908151857638893</v>
      </c>
      <c r="Y27" s="18">
        <f t="shared" si="19"/>
        <v>6.7999678933506926</v>
      </c>
      <c r="Z27" s="18">
        <f t="shared" si="19"/>
        <v>8.9079579402894069</v>
      </c>
      <c r="AA27" s="18">
        <f t="shared" si="19"/>
        <v>11.669424901779134</v>
      </c>
      <c r="AB27" s="18">
        <f t="shared" si="19"/>
        <v>15.286946621330658</v>
      </c>
      <c r="AC27" s="18">
        <f t="shared" si="19"/>
        <v>20.025900073943163</v>
      </c>
      <c r="AD27" s="18">
        <f t="shared" si="19"/>
        <v>26.233929096865541</v>
      </c>
      <c r="AE27" s="18">
        <f t="shared" si="19"/>
        <v>34.366447116893873</v>
      </c>
    </row>
    <row r="29" spans="2:221">
      <c r="AG29" s="1" t="s">
        <v>70</v>
      </c>
      <c r="AH29" s="14">
        <v>0.01</v>
      </c>
    </row>
    <row r="30" spans="2:221">
      <c r="AG30" s="1" t="s">
        <v>71</v>
      </c>
      <c r="AH30" s="14">
        <v>0.08</v>
      </c>
    </row>
    <row r="31" spans="2:221">
      <c r="AG31" s="1" t="s">
        <v>72</v>
      </c>
      <c r="AH31" s="1">
        <f>NPV(AH30,V25:HM25)</f>
        <v>23179468.182294045</v>
      </c>
    </row>
    <row r="32" spans="2:221" s="14" customFormat="1">
      <c r="B32" s="1" t="s">
        <v>59</v>
      </c>
      <c r="G32" s="14">
        <f t="shared" ref="G32:I43" si="20">+G3/C3-1</f>
        <v>6.8203407003989636E-2</v>
      </c>
      <c r="H32" s="14">
        <f t="shared" si="20"/>
        <v>0.20852473937963101</v>
      </c>
      <c r="I32" s="14">
        <f t="shared" si="20"/>
        <v>8.2000349362413516E-2</v>
      </c>
      <c r="J32" s="14">
        <f>+J3/F3-1</f>
        <v>0.37181324647122693</v>
      </c>
      <c r="U32" s="14">
        <f>+U3/T3-1</f>
        <v>0.1812004329708734</v>
      </c>
      <c r="AG32" s="14" t="s">
        <v>74</v>
      </c>
      <c r="AH32" s="3">
        <f>+main!K6-main!K7</f>
        <v>643.4259999999997</v>
      </c>
    </row>
    <row r="33" spans="2:34" s="14" customFormat="1">
      <c r="B33" s="1" t="s">
        <v>60</v>
      </c>
      <c r="G33" s="14">
        <f t="shared" si="20"/>
        <v>0.23727693324520827</v>
      </c>
      <c r="H33" s="14">
        <f t="shared" si="20"/>
        <v>-2.8488313772695339E-2</v>
      </c>
      <c r="I33" s="14">
        <f t="shared" si="20"/>
        <v>0.16791823561054331</v>
      </c>
      <c r="J33" s="14">
        <f t="shared" ref="J33:J43" si="21">+J4/F4-1</f>
        <v>-7.9089627900128301E-2</v>
      </c>
      <c r="U33" s="14">
        <f>+U4/T4-1</f>
        <v>6.3840912343273493E-2</v>
      </c>
      <c r="AG33" s="14" t="s">
        <v>75</v>
      </c>
      <c r="AH33" s="1">
        <f>SUM(AH31:AH32)</f>
        <v>23180111.608294044</v>
      </c>
    </row>
    <row r="34" spans="2:34" s="14" customFormat="1">
      <c r="B34" s="1" t="s">
        <v>61</v>
      </c>
      <c r="G34" s="14">
        <f t="shared" si="20"/>
        <v>1.3868080875041433</v>
      </c>
      <c r="H34" s="14">
        <f t="shared" si="20"/>
        <v>1.2833333333333332</v>
      </c>
      <c r="I34" s="14">
        <f t="shared" si="20"/>
        <v>0.75121951219512195</v>
      </c>
      <c r="J34" s="14">
        <f t="shared" si="21"/>
        <v>0.46661828737300426</v>
      </c>
      <c r="U34" s="14">
        <f>+U5/T5-1</f>
        <v>0.85446885665529004</v>
      </c>
      <c r="AG34" s="14" t="s">
        <v>73</v>
      </c>
      <c r="AH34" s="1">
        <f>+main!K4*1000</f>
        <v>75302.831999999995</v>
      </c>
    </row>
    <row r="35" spans="2:34">
      <c r="B35" s="1" t="s">
        <v>62</v>
      </c>
      <c r="G35" s="14">
        <f t="shared" si="20"/>
        <v>0.14837550531516697</v>
      </c>
      <c r="H35" s="14">
        <f t="shared" si="20"/>
        <v>3.4320954551548377E-2</v>
      </c>
      <c r="I35" s="14">
        <f t="shared" si="20"/>
        <v>0.1080932784636488</v>
      </c>
      <c r="J35" s="14">
        <f t="shared" si="21"/>
        <v>8.5224274406332512E-2</v>
      </c>
      <c r="T35" s="14"/>
      <c r="U35" s="14">
        <f>+U6/T6-1</f>
        <v>9.2422779922779918E-2</v>
      </c>
      <c r="AG35" s="1" t="s">
        <v>76</v>
      </c>
      <c r="AH35" s="1">
        <f>+AH33/AH34</f>
        <v>307.82523037505473</v>
      </c>
    </row>
    <row r="36" spans="2:34">
      <c r="B36" s="1" t="s">
        <v>63</v>
      </c>
      <c r="G36" s="14">
        <f t="shared" si="20"/>
        <v>0.3983673469387754</v>
      </c>
      <c r="H36" s="14">
        <f t="shared" si="20"/>
        <v>0.12991292068722049</v>
      </c>
      <c r="I36" s="14">
        <f t="shared" si="20"/>
        <v>-0.2269539935009407</v>
      </c>
      <c r="J36" s="14">
        <f t="shared" si="21"/>
        <v>-0.20845867987966726</v>
      </c>
      <c r="T36" s="14"/>
      <c r="U36" s="14">
        <f>+U7/T7-1</f>
        <v>-2.5177633611368599E-2</v>
      </c>
      <c r="AG36" s="1" t="s">
        <v>77</v>
      </c>
      <c r="AH36" s="1">
        <f>+main!K3</f>
        <v>312.88</v>
      </c>
    </row>
    <row r="37" spans="2:34">
      <c r="B37" s="15" t="s">
        <v>64</v>
      </c>
      <c r="G37" s="14">
        <f t="shared" si="20"/>
        <v>0.17420426722630289</v>
      </c>
      <c r="H37" s="14">
        <f t="shared" si="20"/>
        <v>0.13883439293142352</v>
      </c>
      <c r="I37" s="14">
        <f t="shared" si="20"/>
        <v>0.12207781451239974</v>
      </c>
      <c r="J37" s="14">
        <f t="shared" si="21"/>
        <v>0.17995129335878368</v>
      </c>
      <c r="T37" s="14">
        <f>+T8/S8-1</f>
        <v>0.21660140023390628</v>
      </c>
      <c r="U37" s="14">
        <f>+U8/T8-1</f>
        <v>0.15245331717980459</v>
      </c>
      <c r="AG37" s="1" t="s">
        <v>78</v>
      </c>
      <c r="AH37" s="14">
        <f>+AH35/AH36-1</f>
        <v>-1.615561756886108E-2</v>
      </c>
    </row>
    <row r="38" spans="2:34">
      <c r="B38" s="1" t="s">
        <v>65</v>
      </c>
      <c r="G38" s="14">
        <f t="shared" si="20"/>
        <v>7.2695173559726989E-3</v>
      </c>
      <c r="H38" s="14">
        <f t="shared" si="20"/>
        <v>-3.4091578761270558E-2</v>
      </c>
      <c r="I38" s="14">
        <f t="shared" si="20"/>
        <v>0.28194607268464233</v>
      </c>
      <c r="J38" s="14">
        <f t="shared" si="21"/>
        <v>0.34353493459732931</v>
      </c>
      <c r="T38" s="14"/>
      <c r="U38" s="14">
        <f>+U9/T9-1</f>
        <v>0.1636688474768091</v>
      </c>
    </row>
    <row r="39" spans="2:34">
      <c r="B39" s="1" t="s">
        <v>66</v>
      </c>
      <c r="G39" s="14">
        <f t="shared" si="20"/>
        <v>1.3858176555716355</v>
      </c>
      <c r="H39" s="14">
        <f t="shared" si="20"/>
        <v>1.2643410364586614</v>
      </c>
      <c r="I39" s="14">
        <f t="shared" si="20"/>
        <v>1.6349738633001283</v>
      </c>
      <c r="J39" s="14">
        <f t="shared" si="21"/>
        <v>-3.0029770893558294E-2</v>
      </c>
      <c r="T39" s="14"/>
      <c r="U39" s="14">
        <f>+U10/T10-1</f>
        <v>0.87455765904438487</v>
      </c>
    </row>
    <row r="40" spans="2:34">
      <c r="B40" s="1" t="s">
        <v>67</v>
      </c>
      <c r="G40" s="14">
        <f t="shared" si="20"/>
        <v>0.48005354082487894</v>
      </c>
      <c r="H40" s="14">
        <f t="shared" si="20"/>
        <v>0.6127504242409445</v>
      </c>
      <c r="I40" s="14">
        <f t="shared" si="20"/>
        <v>0.55517797012828729</v>
      </c>
      <c r="J40" s="14">
        <f t="shared" si="21"/>
        <v>0.45907705895341144</v>
      </c>
      <c r="T40" s="14"/>
      <c r="U40" s="14">
        <f>+U11/T11-1</f>
        <v>0.52245159173839495</v>
      </c>
    </row>
    <row r="41" spans="2:34">
      <c r="B41" s="1" t="s">
        <v>62</v>
      </c>
      <c r="G41" s="14">
        <f t="shared" si="20"/>
        <v>0.55446418717580848</v>
      </c>
      <c r="H41" s="14">
        <f t="shared" si="20"/>
        <v>0.21347415586493845</v>
      </c>
      <c r="I41" s="14">
        <f t="shared" si="20"/>
        <v>0.10633312659361871</v>
      </c>
      <c r="J41" s="14">
        <f t="shared" si="21"/>
        <v>0.26119021540708287</v>
      </c>
      <c r="T41" s="14"/>
      <c r="U41" s="14">
        <f>+U12/T12-1</f>
        <v>0.25745001507083298</v>
      </c>
    </row>
    <row r="42" spans="2:34">
      <c r="B42" s="1" t="s">
        <v>63</v>
      </c>
      <c r="G42" s="14">
        <f t="shared" si="20"/>
        <v>5.3004115226337447</v>
      </c>
      <c r="H42" s="14">
        <f t="shared" si="20"/>
        <v>-0.27815140541472672</v>
      </c>
      <c r="I42" s="14">
        <f t="shared" si="20"/>
        <v>0.16737620434685185</v>
      </c>
      <c r="J42" s="14">
        <f t="shared" si="21"/>
        <v>0.2688905270917803</v>
      </c>
      <c r="T42" s="14"/>
      <c r="U42" s="14">
        <f>+U13/T13-1</f>
        <v>0.27148687336297739</v>
      </c>
    </row>
    <row r="43" spans="2:34">
      <c r="B43" s="15" t="s">
        <v>68</v>
      </c>
      <c r="G43" s="14">
        <f t="shared" si="20"/>
        <v>0.46946489659735624</v>
      </c>
      <c r="H43" s="14">
        <f t="shared" si="20"/>
        <v>0.46770248022022698</v>
      </c>
      <c r="I43" s="14">
        <f t="shared" si="20"/>
        <v>0.50434167710387068</v>
      </c>
      <c r="J43" s="14">
        <f t="shared" si="21"/>
        <v>0.3580351545848901</v>
      </c>
      <c r="S43" s="14"/>
      <c r="T43" s="14">
        <f>+T14/S14-1</f>
        <v>0.54382184244959597</v>
      </c>
      <c r="U43" s="14">
        <f>+U14/T14-1</f>
        <v>0.44415365851065292</v>
      </c>
    </row>
    <row r="44" spans="2:34">
      <c r="B44" s="1" t="s">
        <v>46</v>
      </c>
      <c r="G44" s="14">
        <f t="shared" ref="G44" si="22">+G15/C15-1</f>
        <v>0.33778555996661797</v>
      </c>
      <c r="H44" s="14">
        <f t="shared" ref="H44" si="23">+H15/D15-1</f>
        <v>0.31158245598064505</v>
      </c>
      <c r="I44" s="14">
        <f t="shared" ref="I44" si="24">+I15/E15-1</f>
        <v>0.32669027502453862</v>
      </c>
      <c r="J44" s="14">
        <f t="shared" ref="J44" si="25">+J15/F15-1</f>
        <v>0.28559358842393978</v>
      </c>
      <c r="P44" s="14">
        <f>+P15/O15-1</f>
        <v>0.22184538595337955</v>
      </c>
      <c r="Q44" s="14">
        <f>+Q15/P15-1</f>
        <v>0.26374777416989637</v>
      </c>
      <c r="R44" s="14">
        <f>+R15/Q15-1</f>
        <v>0.28282974795614657</v>
      </c>
      <c r="S44" s="14">
        <f>+S15/R15-1</f>
        <v>0.26780792448785107</v>
      </c>
      <c r="T44" s="14">
        <f>+T15/S15-1</f>
        <v>0.37822699364475243</v>
      </c>
      <c r="U44" s="14">
        <f>+U15/T15-1</f>
        <v>0.31384571426170327</v>
      </c>
      <c r="V44" s="14">
        <f t="shared" ref="V44:AE44" si="26">+V15/U15-1</f>
        <v>0.31000000000000005</v>
      </c>
      <c r="W44" s="14">
        <f t="shared" si="26"/>
        <v>0.31000000000000005</v>
      </c>
      <c r="X44" s="14">
        <f t="shared" si="26"/>
        <v>0.31000000000000005</v>
      </c>
      <c r="Y44" s="14">
        <f t="shared" si="26"/>
        <v>0.31000000000000005</v>
      </c>
      <c r="Z44" s="14">
        <f t="shared" si="26"/>
        <v>0.31000000000000005</v>
      </c>
      <c r="AA44" s="14">
        <f t="shared" si="26"/>
        <v>0.31000000000000005</v>
      </c>
      <c r="AB44" s="14">
        <f t="shared" si="26"/>
        <v>0.31000000000000005</v>
      </c>
      <c r="AC44" s="14">
        <f t="shared" si="26"/>
        <v>0.31000000000000005</v>
      </c>
      <c r="AD44" s="14">
        <f t="shared" si="26"/>
        <v>0.31000000000000005</v>
      </c>
      <c r="AE44" s="14">
        <f t="shared" si="26"/>
        <v>0.31000000000000005</v>
      </c>
    </row>
    <row r="45" spans="2:34">
      <c r="B45" s="1" t="s">
        <v>69</v>
      </c>
      <c r="G45" s="14">
        <f t="shared" ref="G45:I45" si="27">+G15/C15-1</f>
        <v>0.33778555996661797</v>
      </c>
      <c r="H45" s="14">
        <f t="shared" si="27"/>
        <v>0.31158245598064505</v>
      </c>
      <c r="I45" s="14">
        <f t="shared" si="27"/>
        <v>0.32669027502453862</v>
      </c>
      <c r="J45" s="14">
        <f>+J15/F15-1</f>
        <v>0.28559358842393978</v>
      </c>
      <c r="S45" s="14">
        <f>(S15-SUM(S16:S17))/S15</f>
        <v>0.62650208888080694</v>
      </c>
      <c r="T45" s="14">
        <f>(T15-SUM(T16:T17))/T15</f>
        <v>0.61233428716694605</v>
      </c>
      <c r="U45" s="14">
        <f>(U15-SUM(U16:U17))/U15</f>
        <v>0.61109600861204905</v>
      </c>
      <c r="V45" s="14">
        <f t="shared" ref="V45:AE45" si="28">(V15-SUM(V16:V17))/V15</f>
        <v>0.61109600861204905</v>
      </c>
      <c r="W45" s="14">
        <f t="shared" si="28"/>
        <v>0.61109600861204905</v>
      </c>
      <c r="X45" s="14">
        <f t="shared" si="28"/>
        <v>0.61109600861204916</v>
      </c>
      <c r="Y45" s="14">
        <f t="shared" si="28"/>
        <v>0.61109600861204905</v>
      </c>
      <c r="Z45" s="14">
        <f t="shared" si="28"/>
        <v>0.61109600861204905</v>
      </c>
      <c r="AA45" s="14">
        <f t="shared" si="28"/>
        <v>0.61109600861204905</v>
      </c>
      <c r="AB45" s="14">
        <f t="shared" si="28"/>
        <v>0.61109600861204916</v>
      </c>
      <c r="AC45" s="14">
        <f t="shared" si="28"/>
        <v>0.61109600861204905</v>
      </c>
      <c r="AD45" s="14">
        <f t="shared" si="28"/>
        <v>0.61109600861204905</v>
      </c>
      <c r="AE45" s="14">
        <f t="shared" si="28"/>
        <v>0.61109600861204905</v>
      </c>
    </row>
  </sheetData>
  <pageMargins left="0.7" right="0.7" top="0.75" bottom="0.75" header="0.3" footer="0.3"/>
  <ignoredErrors>
    <ignoredError sqref="I8:J25 F8:F27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2024-03-30T00:55:40Z</dcterms:created>
  <dcterms:modified xsi:type="dcterms:W3CDTF">2024-03-30T01:56:49Z</dcterms:modified>
</cp:coreProperties>
</file>