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36E978A-A6AD-BD45-90A7-D8B450CECA8E}" xr6:coauthVersionLast="47" xr6:coauthVersionMax="47" xr10:uidLastSave="{00000000-0000-0000-0000-000000000000}"/>
  <bookViews>
    <workbookView xWindow="25800" yWindow="0" windowWidth="25400" windowHeight="28800" activeTab="1" xr2:uid="{3D7C89C3-2DC8-6C46-9AA8-1E93E31D4DA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3" i="2" l="1"/>
  <c r="AF42" i="2"/>
  <c r="AF41" i="2"/>
  <c r="L84" i="2"/>
  <c r="L83" i="2"/>
  <c r="L82" i="2"/>
  <c r="H84" i="2"/>
  <c r="H83" i="2"/>
  <c r="H82" i="2"/>
  <c r="AC10" i="2"/>
  <c r="AB10" i="2"/>
  <c r="AA10" i="2"/>
  <c r="Z10" i="2"/>
  <c r="Y10" i="2"/>
  <c r="X10" i="2"/>
  <c r="W10" i="2"/>
  <c r="V10" i="2"/>
  <c r="V4" i="2"/>
  <c r="W4" i="2" s="1"/>
  <c r="X4" i="2" s="1"/>
  <c r="Y4" i="2" s="1"/>
  <c r="Z4" i="2" s="1"/>
  <c r="AA4" i="2" s="1"/>
  <c r="AB4" i="2" s="1"/>
  <c r="AC4" i="2" s="1"/>
  <c r="V3" i="2"/>
  <c r="W3" i="2" s="1"/>
  <c r="X3" i="2" s="1"/>
  <c r="Y3" i="2" s="1"/>
  <c r="Z3" i="2" s="1"/>
  <c r="AA3" i="2" s="1"/>
  <c r="AB3" i="2" s="1"/>
  <c r="AC3" i="2" s="1"/>
  <c r="U3" i="2"/>
  <c r="U10" i="2"/>
  <c r="U30" i="2" s="1"/>
  <c r="U4" i="2"/>
  <c r="T5" i="2"/>
  <c r="T4" i="2"/>
  <c r="T3" i="2"/>
  <c r="Q5" i="2"/>
  <c r="R5" i="2"/>
  <c r="S5" i="2"/>
  <c r="Q4" i="2"/>
  <c r="R4" i="2"/>
  <c r="S4" i="2"/>
  <c r="T30" i="2"/>
  <c r="N10" i="2"/>
  <c r="N30" i="2" s="1"/>
  <c r="M10" i="2"/>
  <c r="M30" i="2"/>
  <c r="K30" i="2"/>
  <c r="J30" i="2"/>
  <c r="I30" i="2"/>
  <c r="H30" i="2"/>
  <c r="L30" i="2"/>
  <c r="L42" i="2"/>
  <c r="K42" i="2"/>
  <c r="J42" i="2"/>
  <c r="J75" i="2"/>
  <c r="J76" i="2" s="1"/>
  <c r="K75" i="2"/>
  <c r="K76" i="2" s="1"/>
  <c r="L75" i="2"/>
  <c r="L76" i="2" s="1"/>
  <c r="J78" i="2"/>
  <c r="K78" i="2"/>
  <c r="L78" i="2"/>
  <c r="K71" i="2"/>
  <c r="K73" i="2" s="1"/>
  <c r="K57" i="2"/>
  <c r="J71" i="2"/>
  <c r="J73" i="2" s="1"/>
  <c r="J57" i="2"/>
  <c r="L71" i="2"/>
  <c r="L73" i="2" s="1"/>
  <c r="L57" i="2"/>
  <c r="Q3" i="2"/>
  <c r="S3" i="2"/>
  <c r="K10" i="2"/>
  <c r="K18" i="2" s="1"/>
  <c r="K22" i="2" s="1"/>
  <c r="K24" i="2" s="1"/>
  <c r="K26" i="2" s="1"/>
  <c r="K4" i="2"/>
  <c r="I4" i="2"/>
  <c r="H4" i="2"/>
  <c r="G4" i="2"/>
  <c r="L4" i="2"/>
  <c r="L10" i="2"/>
  <c r="L18" i="2" s="1"/>
  <c r="L22" i="2" s="1"/>
  <c r="L24" i="2" s="1"/>
  <c r="L26" i="2" s="1"/>
  <c r="D6" i="1"/>
  <c r="D5" i="1"/>
  <c r="AF37" i="2"/>
  <c r="AF35" i="2"/>
  <c r="AE1" i="2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F25" i="2"/>
  <c r="F23" i="2"/>
  <c r="F21" i="2"/>
  <c r="F20" i="2"/>
  <c r="F19" i="2"/>
  <c r="F17" i="2"/>
  <c r="F16" i="2"/>
  <c r="F15" i="2"/>
  <c r="F14" i="2"/>
  <c r="F13" i="2"/>
  <c r="F12" i="2"/>
  <c r="F11" i="2"/>
  <c r="F9" i="2"/>
  <c r="F8" i="2"/>
  <c r="F7" i="2"/>
  <c r="F6" i="2"/>
  <c r="F4" i="2" s="1"/>
  <c r="J25" i="2"/>
  <c r="J23" i="2"/>
  <c r="J21" i="2"/>
  <c r="J20" i="2"/>
  <c r="J19" i="2"/>
  <c r="J17" i="2"/>
  <c r="J16" i="2"/>
  <c r="J15" i="2"/>
  <c r="J14" i="2"/>
  <c r="J13" i="2"/>
  <c r="J12" i="2"/>
  <c r="J11" i="2"/>
  <c r="J9" i="2"/>
  <c r="J8" i="2"/>
  <c r="J7" i="2"/>
  <c r="J6" i="2"/>
  <c r="J4" i="2" s="1"/>
  <c r="C10" i="2"/>
  <c r="C18" i="2" s="1"/>
  <c r="C22" i="2" s="1"/>
  <c r="C24" i="2" s="1"/>
  <c r="C26" i="2" s="1"/>
  <c r="G10" i="2"/>
  <c r="G18" i="2" s="1"/>
  <c r="G22" i="2" s="1"/>
  <c r="G24" i="2" s="1"/>
  <c r="G26" i="2" s="1"/>
  <c r="D10" i="2"/>
  <c r="D18" i="2" s="1"/>
  <c r="D22" i="2" s="1"/>
  <c r="D24" i="2" s="1"/>
  <c r="D26" i="2" s="1"/>
  <c r="H10" i="2"/>
  <c r="H18" i="2" s="1"/>
  <c r="H22" i="2" s="1"/>
  <c r="H24" i="2" s="1"/>
  <c r="H26" i="2" s="1"/>
  <c r="E10" i="2"/>
  <c r="E18" i="2" s="1"/>
  <c r="E22" i="2" s="1"/>
  <c r="E24" i="2" s="1"/>
  <c r="E26" i="2" s="1"/>
  <c r="I10" i="2"/>
  <c r="I18" i="2" s="1"/>
  <c r="I22" i="2" s="1"/>
  <c r="I24" i="2" s="1"/>
  <c r="I26" i="2" s="1"/>
  <c r="Q10" i="2"/>
  <c r="Q18" i="2" s="1"/>
  <c r="Q22" i="2" s="1"/>
  <c r="Q24" i="2" s="1"/>
  <c r="Q26" i="2" s="1"/>
  <c r="R10" i="2"/>
  <c r="R18" i="2" s="1"/>
  <c r="R22" i="2" s="1"/>
  <c r="R24" i="2" s="1"/>
  <c r="R26" i="2" s="1"/>
  <c r="S10" i="2"/>
  <c r="S18" i="2" s="1"/>
  <c r="S22" i="2" s="1"/>
  <c r="S24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E5" i="1"/>
  <c r="E6" i="1" s="1"/>
  <c r="D4" i="1"/>
  <c r="D7" i="1" s="1"/>
  <c r="T10" i="2" l="1"/>
  <c r="L77" i="2"/>
  <c r="K77" i="2"/>
  <c r="I34" i="2"/>
  <c r="E35" i="2"/>
  <c r="E36" i="2"/>
  <c r="S37" i="2"/>
  <c r="K37" i="2"/>
  <c r="Q33" i="2"/>
  <c r="Q34" i="2"/>
  <c r="I32" i="2"/>
  <c r="Q37" i="2"/>
  <c r="I33" i="2"/>
  <c r="S36" i="2"/>
  <c r="L35" i="2"/>
  <c r="D36" i="2"/>
  <c r="R36" i="2"/>
  <c r="G34" i="2"/>
  <c r="Q32" i="2"/>
  <c r="S35" i="2"/>
  <c r="R33" i="2"/>
  <c r="E33" i="2"/>
  <c r="C37" i="2"/>
  <c r="R34" i="2"/>
  <c r="G33" i="2"/>
  <c r="E37" i="2"/>
  <c r="R35" i="2"/>
  <c r="L36" i="2"/>
  <c r="D37" i="2"/>
  <c r="C32" i="2"/>
  <c r="K32" i="2"/>
  <c r="N32" i="2" s="1"/>
  <c r="H35" i="2"/>
  <c r="L33" i="2"/>
  <c r="D34" i="2"/>
  <c r="C35" i="2"/>
  <c r="K35" i="2"/>
  <c r="I37" i="2"/>
  <c r="S33" i="2"/>
  <c r="L34" i="2"/>
  <c r="G32" i="2"/>
  <c r="E34" i="2"/>
  <c r="D35" i="2"/>
  <c r="C36" i="2"/>
  <c r="K36" i="2"/>
  <c r="N36" i="2" s="1"/>
  <c r="R32" i="2"/>
  <c r="S34" i="2"/>
  <c r="H32" i="2"/>
  <c r="D32" i="2"/>
  <c r="C33" i="2"/>
  <c r="K33" i="2"/>
  <c r="I35" i="2"/>
  <c r="H36" i="2"/>
  <c r="G37" i="2"/>
  <c r="Q35" i="2"/>
  <c r="R37" i="2"/>
  <c r="H33" i="2"/>
  <c r="K31" i="2"/>
  <c r="L37" i="2"/>
  <c r="H34" i="2"/>
  <c r="G35" i="2"/>
  <c r="G36" i="2"/>
  <c r="L32" i="2"/>
  <c r="E32" i="2"/>
  <c r="D33" i="2"/>
  <c r="C34" i="2"/>
  <c r="K34" i="2"/>
  <c r="I36" i="2"/>
  <c r="H37" i="2"/>
  <c r="Q36" i="2"/>
  <c r="S32" i="2"/>
  <c r="L31" i="2"/>
  <c r="S31" i="2"/>
  <c r="E31" i="2"/>
  <c r="G31" i="2"/>
  <c r="S30" i="2"/>
  <c r="D31" i="2"/>
  <c r="Q31" i="2"/>
  <c r="I31" i="2"/>
  <c r="H31" i="2"/>
  <c r="R31" i="2"/>
  <c r="R30" i="2"/>
  <c r="C31" i="2"/>
  <c r="J10" i="2"/>
  <c r="J18" i="2" s="1"/>
  <c r="F10" i="2"/>
  <c r="F32" i="2" s="1"/>
  <c r="J36" i="2" l="1"/>
  <c r="N35" i="2"/>
  <c r="J33" i="2"/>
  <c r="N34" i="2"/>
  <c r="N37" i="2"/>
  <c r="N33" i="2"/>
  <c r="J34" i="2"/>
  <c r="F18" i="2"/>
  <c r="F22" i="2" s="1"/>
  <c r="F24" i="2" s="1"/>
  <c r="F26" i="2" s="1"/>
  <c r="F36" i="2"/>
  <c r="F35" i="2"/>
  <c r="F34" i="2"/>
  <c r="F37" i="2"/>
  <c r="J32" i="2"/>
  <c r="F33" i="2"/>
  <c r="T15" i="2"/>
  <c r="T36" i="2" s="1"/>
  <c r="T12" i="2"/>
  <c r="T33" i="2" s="1"/>
  <c r="T14" i="2"/>
  <c r="T35" i="2" s="1"/>
  <c r="T16" i="2"/>
  <c r="T37" i="2" s="1"/>
  <c r="T11" i="2"/>
  <c r="T32" i="2" s="1"/>
  <c r="T13" i="2"/>
  <c r="T34" i="2" s="1"/>
  <c r="J35" i="2"/>
  <c r="J37" i="2"/>
  <c r="J22" i="2"/>
  <c r="J24" i="2" s="1"/>
  <c r="J26" i="2" s="1"/>
  <c r="J77" i="2" s="1"/>
  <c r="J31" i="2"/>
  <c r="T17" i="2"/>
  <c r="F31" i="2" l="1"/>
  <c r="U13" i="2"/>
  <c r="U34" i="2" s="1"/>
  <c r="U12" i="2"/>
  <c r="U33" i="2" s="1"/>
  <c r="U11" i="2"/>
  <c r="U32" i="2" s="1"/>
  <c r="T18" i="2"/>
  <c r="T19" i="2" s="1"/>
  <c r="U14" i="2"/>
  <c r="U35" i="2" s="1"/>
  <c r="U16" i="2"/>
  <c r="U37" i="2" s="1"/>
  <c r="U15" i="2"/>
  <c r="U36" i="2" s="1"/>
  <c r="U17" i="2"/>
  <c r="V13" i="2" l="1"/>
  <c r="V34" i="2" s="1"/>
  <c r="V11" i="2"/>
  <c r="V32" i="2" s="1"/>
  <c r="V12" i="2"/>
  <c r="V33" i="2" s="1"/>
  <c r="T21" i="2"/>
  <c r="T22" i="2" s="1"/>
  <c r="T23" i="2" s="1"/>
  <c r="T24" i="2" s="1"/>
  <c r="T25" i="2" s="1"/>
  <c r="U18" i="2"/>
  <c r="U19" i="2" s="1"/>
  <c r="V30" i="2"/>
  <c r="V15" i="2"/>
  <c r="V16" i="2"/>
  <c r="V37" i="2" s="1"/>
  <c r="V17" i="2"/>
  <c r="V14" i="2"/>
  <c r="W15" i="2" l="1"/>
  <c r="W36" i="2" s="1"/>
  <c r="V36" i="2"/>
  <c r="W13" i="2"/>
  <c r="W34" i="2" s="1"/>
  <c r="W12" i="2"/>
  <c r="W33" i="2" s="1"/>
  <c r="W11" i="2"/>
  <c r="W32" i="2" s="1"/>
  <c r="W14" i="2"/>
  <c r="W35" i="2" s="1"/>
  <c r="V35" i="2"/>
  <c r="U21" i="2"/>
  <c r="U22" i="2" s="1"/>
  <c r="U23" i="2" s="1"/>
  <c r="U24" i="2" s="1"/>
  <c r="U25" i="2" s="1"/>
  <c r="W16" i="2"/>
  <c r="W37" i="2" s="1"/>
  <c r="V18" i="2"/>
  <c r="W30" i="2"/>
  <c r="W17" i="2"/>
  <c r="X15" i="2" l="1"/>
  <c r="X36" i="2" s="1"/>
  <c r="X12" i="2"/>
  <c r="X33" i="2" s="1"/>
  <c r="X13" i="2"/>
  <c r="X34" i="2" s="1"/>
  <c r="X11" i="2"/>
  <c r="X32" i="2" s="1"/>
  <c r="X17" i="2"/>
  <c r="X30" i="2"/>
  <c r="V19" i="2"/>
  <c r="V21" i="2"/>
  <c r="X14" i="2"/>
  <c r="X35" i="2" s="1"/>
  <c r="W18" i="2"/>
  <c r="X16" i="2"/>
  <c r="X37" i="2" s="1"/>
  <c r="Y12" i="2" l="1"/>
  <c r="Y33" i="2" s="1"/>
  <c r="Y11" i="2"/>
  <c r="Y32" i="2" s="1"/>
  <c r="Y13" i="2"/>
  <c r="Y34" i="2" s="1"/>
  <c r="V22" i="2"/>
  <c r="V23" i="2" s="1"/>
  <c r="V24" i="2" s="1"/>
  <c r="V25" i="2" s="1"/>
  <c r="X18" i="2"/>
  <c r="Y16" i="2"/>
  <c r="Y37" i="2" s="1"/>
  <c r="Y14" i="2"/>
  <c r="Y35" i="2" s="1"/>
  <c r="W21" i="2"/>
  <c r="W19" i="2"/>
  <c r="Y30" i="2"/>
  <c r="Y17" i="2"/>
  <c r="Y15" i="2"/>
  <c r="Y36" i="2" s="1"/>
  <c r="Z14" i="2" l="1"/>
  <c r="Z35" i="2" s="1"/>
  <c r="Z13" i="2"/>
  <c r="Z34" i="2" s="1"/>
  <c r="Z11" i="2"/>
  <c r="Z32" i="2" s="1"/>
  <c r="Z12" i="2"/>
  <c r="Z33" i="2" s="1"/>
  <c r="X19" i="2"/>
  <c r="X21" i="2"/>
  <c r="Z16" i="2"/>
  <c r="Z37" i="2" s="1"/>
  <c r="Z15" i="2"/>
  <c r="Z36" i="2" s="1"/>
  <c r="Z17" i="2"/>
  <c r="Y18" i="2"/>
  <c r="W22" i="2"/>
  <c r="W23" i="2" s="1"/>
  <c r="W24" i="2" s="1"/>
  <c r="W25" i="2" s="1"/>
  <c r="Z30" i="2"/>
  <c r="X22" i="2" l="1"/>
  <c r="X23" i="2" s="1"/>
  <c r="X24" i="2" s="1"/>
  <c r="X25" i="2" s="1"/>
  <c r="AA11" i="2"/>
  <c r="AA32" i="2" s="1"/>
  <c r="AA13" i="2"/>
  <c r="AA34" i="2" s="1"/>
  <c r="AA12" i="2"/>
  <c r="AA33" i="2" s="1"/>
  <c r="AA17" i="2"/>
  <c r="AA15" i="2"/>
  <c r="AA36" i="2" s="1"/>
  <c r="Z18" i="2"/>
  <c r="AA16" i="2"/>
  <c r="AA37" i="2" s="1"/>
  <c r="Y19" i="2"/>
  <c r="Y21" i="2"/>
  <c r="AA30" i="2"/>
  <c r="AA14" i="2"/>
  <c r="AA35" i="2" s="1"/>
  <c r="AB17" i="2" l="1"/>
  <c r="AB12" i="2"/>
  <c r="AB33" i="2" s="1"/>
  <c r="AB11" i="2"/>
  <c r="AB32" i="2" s="1"/>
  <c r="AB13" i="2"/>
  <c r="AB34" i="2" s="1"/>
  <c r="Z21" i="2"/>
  <c r="Z19" i="2"/>
  <c r="Z22" i="2" s="1"/>
  <c r="AA18" i="2"/>
  <c r="AB15" i="2"/>
  <c r="AB36" i="2" s="1"/>
  <c r="AB14" i="2"/>
  <c r="AB35" i="2" s="1"/>
  <c r="AB30" i="2"/>
  <c r="AB16" i="2"/>
  <c r="AB37" i="2" s="1"/>
  <c r="Y22" i="2"/>
  <c r="Y23" i="2" s="1"/>
  <c r="Y24" i="2" s="1"/>
  <c r="Y25" i="2" s="1"/>
  <c r="AA21" i="2" l="1"/>
  <c r="AC12" i="2"/>
  <c r="AC33" i="2" s="1"/>
  <c r="AC11" i="2"/>
  <c r="AC32" i="2" s="1"/>
  <c r="AC13" i="2"/>
  <c r="AC34" i="2" s="1"/>
  <c r="AA19" i="2"/>
  <c r="AC30" i="2"/>
  <c r="AC17" i="2"/>
  <c r="AC15" i="2"/>
  <c r="AC36" i="2" s="1"/>
  <c r="AC16" i="2"/>
  <c r="AC37" i="2" s="1"/>
  <c r="AB18" i="2"/>
  <c r="AC14" i="2"/>
  <c r="AC35" i="2" s="1"/>
  <c r="Z23" i="2"/>
  <c r="Z24" i="2" s="1"/>
  <c r="Z25" i="2" s="1"/>
  <c r="AA22" i="2" l="1"/>
  <c r="AA23" i="2" s="1"/>
  <c r="AA24" i="2" s="1"/>
  <c r="AA25" i="2" s="1"/>
  <c r="AC18" i="2"/>
  <c r="AB21" i="2"/>
  <c r="AB19" i="2"/>
  <c r="AC19" i="2" l="1"/>
  <c r="AC21" i="2"/>
  <c r="AB22" i="2"/>
  <c r="AB23" i="2" s="1"/>
  <c r="AB24" i="2" s="1"/>
  <c r="AB25" i="2" s="1"/>
  <c r="AC22" i="2" l="1"/>
  <c r="AC23" i="2" s="1"/>
  <c r="AC24" i="2" s="1"/>
  <c r="AC25" i="2" s="1"/>
  <c r="AD24" i="2" l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AF34" i="2" s="1"/>
  <c r="AF36" i="2" s="1"/>
  <c r="AF38" i="2" s="1"/>
</calcChain>
</file>

<file path=xl/sharedStrings.xml><?xml version="1.0" encoding="utf-8"?>
<sst xmlns="http://schemas.openxmlformats.org/spreadsheetml/2006/main" count="100" uniqueCount="89">
  <si>
    <t>P</t>
  </si>
  <si>
    <t>S</t>
  </si>
  <si>
    <t>MC</t>
  </si>
  <si>
    <t>C</t>
  </si>
  <si>
    <t>D</t>
  </si>
  <si>
    <t>EV</t>
  </si>
  <si>
    <t>Sales</t>
  </si>
  <si>
    <t>Franchise royalty revenue and fees</t>
  </si>
  <si>
    <t>Franchise rental income</t>
  </si>
  <si>
    <t>Ad funds revenue</t>
  </si>
  <si>
    <t xml:space="preserve">Total Revenue </t>
  </si>
  <si>
    <t>Cost of sales</t>
  </si>
  <si>
    <t>Franchie support and other costs</t>
  </si>
  <si>
    <t>Franchise rental expense</t>
  </si>
  <si>
    <t>Ad funds expense</t>
  </si>
  <si>
    <t>G&amp;A</t>
  </si>
  <si>
    <t>D&amp;A</t>
  </si>
  <si>
    <t>Other op income</t>
  </si>
  <si>
    <t>Operating Income</t>
  </si>
  <si>
    <t>Interest exp</t>
  </si>
  <si>
    <t>Investment (loss) income</t>
  </si>
  <si>
    <t>Other income</t>
  </si>
  <si>
    <t>EBT</t>
  </si>
  <si>
    <t>Taxes</t>
  </si>
  <si>
    <t xml:space="preserve">Net Income </t>
  </si>
  <si>
    <t>EPS</t>
  </si>
  <si>
    <t>Diluted</t>
  </si>
  <si>
    <t>Q122</t>
  </si>
  <si>
    <t>Q222</t>
  </si>
  <si>
    <t>Q322</t>
  </si>
  <si>
    <t>Q422</t>
  </si>
  <si>
    <t>Q123</t>
  </si>
  <si>
    <t>Q223</t>
  </si>
  <si>
    <t>Q323</t>
  </si>
  <si>
    <t>Q423</t>
  </si>
  <si>
    <t xml:space="preserve">TERMINAL </t>
  </si>
  <si>
    <t>DISCOUNT</t>
  </si>
  <si>
    <t>NPV</t>
  </si>
  <si>
    <t>SHARES</t>
  </si>
  <si>
    <t>ESTIMATE</t>
  </si>
  <si>
    <t>OM%</t>
  </si>
  <si>
    <t>CURRENT</t>
  </si>
  <si>
    <t>UPSIDE</t>
  </si>
  <si>
    <t>Q224</t>
  </si>
  <si>
    <t>Q124</t>
  </si>
  <si>
    <t>Q324</t>
  </si>
  <si>
    <t>Q424</t>
  </si>
  <si>
    <t xml:space="preserve">Rev Per Unit </t>
  </si>
  <si>
    <t>Net Units</t>
  </si>
  <si>
    <t xml:space="preserve">Cash </t>
  </si>
  <si>
    <t>Press Releases</t>
  </si>
  <si>
    <t xml:space="preserve">Restricted cash </t>
  </si>
  <si>
    <t>A/R</t>
  </si>
  <si>
    <t>Inventories</t>
  </si>
  <si>
    <t>Prepaid Exp</t>
  </si>
  <si>
    <t>PPE</t>
  </si>
  <si>
    <t>Finance lease</t>
  </si>
  <si>
    <t>Op Lease</t>
  </si>
  <si>
    <t>Goodwill</t>
  </si>
  <si>
    <t>Other intangibles</t>
  </si>
  <si>
    <t>Investments</t>
  </si>
  <si>
    <t xml:space="preserve">Net investment in sales type </t>
  </si>
  <si>
    <t>OA</t>
  </si>
  <si>
    <t>Ad funds retsricted</t>
  </si>
  <si>
    <t xml:space="preserve">Total Liabilities + Equity </t>
  </si>
  <si>
    <t>Equity</t>
  </si>
  <si>
    <t>Total Liabilities</t>
  </si>
  <si>
    <t>Debt</t>
  </si>
  <si>
    <t>op Lease</t>
  </si>
  <si>
    <t>A/P</t>
  </si>
  <si>
    <t>Accrued Exp</t>
  </si>
  <si>
    <t>Ad funds</t>
  </si>
  <si>
    <t>LTD</t>
  </si>
  <si>
    <t>LTFL</t>
  </si>
  <si>
    <t>LTOL</t>
  </si>
  <si>
    <t>Deferred i/t</t>
  </si>
  <si>
    <t>Deferred franchise</t>
  </si>
  <si>
    <t>OL</t>
  </si>
  <si>
    <t xml:space="preserve">Working Capital </t>
  </si>
  <si>
    <t xml:space="preserve">Total Debt </t>
  </si>
  <si>
    <t xml:space="preserve">Net Debt </t>
  </si>
  <si>
    <t>Net Debt Per Share</t>
  </si>
  <si>
    <t xml:space="preserve">Net Cash </t>
  </si>
  <si>
    <t>Revenue Y/Y</t>
  </si>
  <si>
    <t>CFFO</t>
  </si>
  <si>
    <t>Capex</t>
  </si>
  <si>
    <t xml:space="preserve">Free Cash Flow </t>
  </si>
  <si>
    <t>EV/24E</t>
  </si>
  <si>
    <t>EV/25E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</si>
</sst>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&quot;$&quot;#,##0"/>
    <numFmt numFmtId="169" formatCode="0.0\x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4" fontId="0" fillId="0" borderId="0" xfId="0" applyNumberFormat="1"/>
    <xf numFmtId="3" fontId="2" fillId="0" borderId="0" xfId="1" applyNumberFormat="1"/>
    <xf numFmtId="164" fontId="0" fillId="0" borderId="0" xfId="0" applyNumberFormat="1"/>
    <xf numFmtId="165" fontId="0" fillId="0" borderId="0" xfId="0" applyNumberFormat="1"/>
    <xf numFmtId="3" fontId="3" fillId="0" borderId="0" xfId="0" applyNumberFormat="1" applyFont="1"/>
    <xf numFmtId="166" fontId="0" fillId="0" borderId="0" xfId="0" applyNumberFormat="1"/>
    <xf numFmtId="9" fontId="1" fillId="0" borderId="0" xfId="0" applyNumberFormat="1" applyFont="1"/>
    <xf numFmtId="16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15874</xdr:colOff>
      <xdr:row>0</xdr:row>
      <xdr:rowOff>7938</xdr:rowOff>
    </xdr:from>
    <xdr:to>
      <xdr:col>12</xdr:col>
      <xdr:colOff>18143</xdr:colOff>
      <xdr:row>99</xdr:row>
      <xdr:rowOff>66524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1ACE030-8AF2-BE4E-A652-8875A124AFBE}"/>
            </a:ext>
          </a:extLst>
        </xdr:cNvPr>
        <xdr:cNvCxnSpPr/>
      </xdr:nvCxnSpPr>
      <xdr:spPr>
        <a:xfrm>
          <a:off x="8730493" y="7938"/>
          <a:ext cx="2269" cy="162238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7938</xdr:colOff>
      <xdr:row>0</xdr:row>
      <xdr:rowOff>0</xdr:rowOff>
    </xdr:from>
    <xdr:to>
      <xdr:col>19</xdr:col>
      <xdr:colOff>25400</xdr:colOff>
      <xdr:row>80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2800243-6A75-9C43-B362-B3C2AF0B31F2}"/>
            </a:ext>
          </a:extLst>
        </xdr:cNvPr>
        <xdr:cNvCxnSpPr/>
      </xdr:nvCxnSpPr>
      <xdr:spPr>
        <a:xfrm>
          <a:off x="12758738" y="0"/>
          <a:ext cx="17462" cy="11963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1.q4cdn.com/202642389/files/doc_financials/2024/q1/2024-Q1-Earnings-Release.pdf" TargetMode="External"/><Relationship Id="rId1" Type="http://schemas.openxmlformats.org/officeDocument/2006/relationships/hyperlink" Target="https://www.irwendys.com/news/news-details/2024/THE-WENDYS-COMPANY-REPORTS-SECOND-QUARTER-2024-RESULT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E926-FCFD-FA4C-A197-5F9D1809D4A1}">
  <dimension ref="B2:F114"/>
  <sheetViews>
    <sheetView zoomScale="230" workbookViewId="0">
      <selection activeCell="D3" sqref="D3"/>
    </sheetView>
  </sheetViews>
  <sheetFormatPr baseColWidth="10" defaultRowHeight="13"/>
  <cols>
    <col min="1" max="1" width="10.83203125" style="1"/>
    <col min="2" max="2" width="13.1640625" style="1" bestFit="1" customWidth="1"/>
    <col min="3" max="3" width="3.6640625" style="1" bestFit="1" customWidth="1"/>
    <col min="4" max="4" width="5.6640625" style="1" bestFit="1" customWidth="1"/>
    <col min="5" max="5" width="5.5" style="1" bestFit="1" customWidth="1"/>
    <col min="6" max="16384" width="10.83203125" style="1"/>
  </cols>
  <sheetData>
    <row r="2" spans="2:6">
      <c r="C2" s="1" t="s">
        <v>0</v>
      </c>
      <c r="D2" s="6">
        <v>17.87</v>
      </c>
    </row>
    <row r="3" spans="2:6">
      <c r="C3" s="1" t="s">
        <v>1</v>
      </c>
      <c r="D3" s="1">
        <v>203.24270799999999</v>
      </c>
      <c r="E3" s="1" t="s">
        <v>43</v>
      </c>
    </row>
    <row r="4" spans="2:6">
      <c r="C4" s="1" t="s">
        <v>2</v>
      </c>
      <c r="D4" s="1">
        <f>+D2*D3</f>
        <v>3631.9471919600001</v>
      </c>
    </row>
    <row r="5" spans="2:6">
      <c r="C5" s="1" t="s">
        <v>3</v>
      </c>
      <c r="D5" s="1">
        <f>465.489+35.718</f>
        <v>501.20699999999999</v>
      </c>
      <c r="E5" s="1" t="str">
        <f>+E3</f>
        <v>Q224</v>
      </c>
    </row>
    <row r="6" spans="2:6">
      <c r="C6" s="1" t="s">
        <v>4</v>
      </c>
      <c r="D6" s="1">
        <f>29.25+2721.27</f>
        <v>2750.52</v>
      </c>
      <c r="E6" s="1" t="str">
        <f>+E5</f>
        <v>Q224</v>
      </c>
    </row>
    <row r="7" spans="2:6">
      <c r="C7" s="1" t="s">
        <v>5</v>
      </c>
      <c r="D7" s="1">
        <f>+D4-D5+D6</f>
        <v>5881.2601919600002</v>
      </c>
    </row>
    <row r="10" spans="2:6">
      <c r="B10" s="3" t="s">
        <v>50</v>
      </c>
    </row>
    <row r="11" spans="2:6">
      <c r="B11" s="7" t="s">
        <v>43</v>
      </c>
    </row>
    <row r="12" spans="2:6">
      <c r="B12" s="7" t="s">
        <v>44</v>
      </c>
    </row>
    <row r="15" spans="2:6">
      <c r="F15" s="5"/>
    </row>
    <row r="16" spans="2:6">
      <c r="F16" s="5"/>
    </row>
    <row r="17" spans="6:6">
      <c r="F17" s="5"/>
    </row>
    <row r="18" spans="6:6">
      <c r="F18" s="5"/>
    </row>
    <row r="19" spans="6:6">
      <c r="F19" s="5"/>
    </row>
    <row r="20" spans="6:6">
      <c r="F20" s="5"/>
    </row>
    <row r="21" spans="6:6">
      <c r="F21" s="5"/>
    </row>
    <row r="22" spans="6:6">
      <c r="F22" s="5"/>
    </row>
    <row r="23" spans="6:6">
      <c r="F23" s="5"/>
    </row>
    <row r="24" spans="6:6">
      <c r="F24" s="5"/>
    </row>
    <row r="25" spans="6:6">
      <c r="F25" s="5"/>
    </row>
    <row r="26" spans="6:6">
      <c r="F26" s="5"/>
    </row>
    <row r="27" spans="6:6">
      <c r="F27" s="5"/>
    </row>
    <row r="28" spans="6:6">
      <c r="F28" s="5"/>
    </row>
    <row r="29" spans="6:6">
      <c r="F29" s="5"/>
    </row>
    <row r="30" spans="6:6">
      <c r="F30" s="5"/>
    </row>
    <row r="31" spans="6:6">
      <c r="F31" s="5"/>
    </row>
    <row r="32" spans="6:6">
      <c r="F32" s="5"/>
    </row>
    <row r="33" spans="6:6">
      <c r="F33" s="5"/>
    </row>
    <row r="34" spans="6:6">
      <c r="F34" s="5"/>
    </row>
    <row r="35" spans="6:6">
      <c r="F35" s="5"/>
    </row>
    <row r="36" spans="6:6">
      <c r="F36" s="5"/>
    </row>
    <row r="37" spans="6:6">
      <c r="F37" s="5"/>
    </row>
    <row r="38" spans="6:6">
      <c r="F38" s="5"/>
    </row>
    <row r="39" spans="6:6">
      <c r="F39" s="5"/>
    </row>
    <row r="40" spans="6:6">
      <c r="F40" s="5"/>
    </row>
    <row r="41" spans="6:6">
      <c r="F41" s="5"/>
    </row>
    <row r="42" spans="6:6">
      <c r="F42" s="5"/>
    </row>
    <row r="43" spans="6:6">
      <c r="F43" s="5"/>
    </row>
    <row r="44" spans="6:6">
      <c r="F44" s="5"/>
    </row>
    <row r="45" spans="6:6">
      <c r="F45" s="5"/>
    </row>
    <row r="46" spans="6:6">
      <c r="F46" s="5"/>
    </row>
    <row r="47" spans="6:6">
      <c r="F47" s="5"/>
    </row>
    <row r="48" spans="6:6">
      <c r="F48" s="5"/>
    </row>
    <row r="49" spans="6:6">
      <c r="F49" s="5"/>
    </row>
    <row r="50" spans="6:6">
      <c r="F50" s="5"/>
    </row>
    <row r="51" spans="6:6">
      <c r="F51" s="5"/>
    </row>
    <row r="52" spans="6:6">
      <c r="F52" s="5"/>
    </row>
    <row r="53" spans="6:6">
      <c r="F53" s="5"/>
    </row>
    <row r="54" spans="6:6">
      <c r="F54" s="5"/>
    </row>
    <row r="55" spans="6:6">
      <c r="F55" s="5"/>
    </row>
    <row r="56" spans="6:6">
      <c r="F56" s="5"/>
    </row>
    <row r="57" spans="6:6">
      <c r="F57" s="5"/>
    </row>
    <row r="58" spans="6:6">
      <c r="F58" s="5"/>
    </row>
    <row r="59" spans="6:6">
      <c r="F59" s="5"/>
    </row>
    <row r="60" spans="6:6">
      <c r="F60" s="5"/>
    </row>
    <row r="61" spans="6:6">
      <c r="F61" s="5"/>
    </row>
    <row r="62" spans="6:6">
      <c r="F62" s="5"/>
    </row>
    <row r="63" spans="6:6">
      <c r="F63" s="5"/>
    </row>
    <row r="64" spans="6:6">
      <c r="F64" s="5"/>
    </row>
    <row r="65" spans="6:6">
      <c r="F65" s="5"/>
    </row>
    <row r="66" spans="6:6">
      <c r="F66" s="5"/>
    </row>
    <row r="67" spans="6:6">
      <c r="F67" s="5"/>
    </row>
    <row r="68" spans="6:6">
      <c r="F68" s="5"/>
    </row>
    <row r="69" spans="6:6">
      <c r="F69" s="5"/>
    </row>
    <row r="70" spans="6:6">
      <c r="F70" s="5"/>
    </row>
    <row r="71" spans="6:6">
      <c r="F71" s="5"/>
    </row>
    <row r="72" spans="6:6">
      <c r="F72" s="5"/>
    </row>
    <row r="73" spans="6:6">
      <c r="F73" s="5"/>
    </row>
    <row r="74" spans="6:6">
      <c r="F74" s="5"/>
    </row>
    <row r="75" spans="6:6">
      <c r="F75" s="5"/>
    </row>
    <row r="76" spans="6:6">
      <c r="F76" s="5"/>
    </row>
    <row r="77" spans="6:6">
      <c r="F77" s="5"/>
    </row>
    <row r="78" spans="6:6">
      <c r="F78" s="5"/>
    </row>
    <row r="79" spans="6:6">
      <c r="F79" s="5"/>
    </row>
    <row r="80" spans="6:6">
      <c r="F80" s="5"/>
    </row>
    <row r="81" spans="6:6">
      <c r="F81" s="5"/>
    </row>
    <row r="82" spans="6:6">
      <c r="F82" s="5"/>
    </row>
    <row r="83" spans="6:6">
      <c r="F83" s="5"/>
    </row>
    <row r="84" spans="6:6">
      <c r="F84" s="5"/>
    </row>
    <row r="85" spans="6:6">
      <c r="F85" s="5"/>
    </row>
    <row r="86" spans="6:6">
      <c r="F86" s="5"/>
    </row>
    <row r="87" spans="6:6">
      <c r="F87" s="5"/>
    </row>
    <row r="88" spans="6:6">
      <c r="F88" s="5"/>
    </row>
    <row r="89" spans="6:6">
      <c r="F89" s="5"/>
    </row>
    <row r="90" spans="6:6">
      <c r="F90" s="5"/>
    </row>
    <row r="91" spans="6:6">
      <c r="F91" s="5"/>
    </row>
    <row r="92" spans="6:6">
      <c r="F92" s="5"/>
    </row>
    <row r="93" spans="6:6">
      <c r="F93" s="5"/>
    </row>
    <row r="94" spans="6:6">
      <c r="F94" s="5"/>
    </row>
    <row r="95" spans="6:6">
      <c r="F95" s="5"/>
    </row>
    <row r="96" spans="6:6">
      <c r="F96" s="5"/>
    </row>
    <row r="97" spans="6:6">
      <c r="F97" s="5"/>
    </row>
    <row r="98" spans="6:6">
      <c r="F98" s="5"/>
    </row>
    <row r="99" spans="6:6">
      <c r="F99" s="5"/>
    </row>
    <row r="100" spans="6:6">
      <c r="F100" s="5"/>
    </row>
    <row r="101" spans="6:6">
      <c r="F101" s="5"/>
    </row>
    <row r="102" spans="6:6">
      <c r="F102" s="5"/>
    </row>
    <row r="103" spans="6:6">
      <c r="F103" s="5"/>
    </row>
    <row r="104" spans="6:6">
      <c r="F104" s="5"/>
    </row>
    <row r="105" spans="6:6">
      <c r="F105" s="5"/>
    </row>
    <row r="106" spans="6:6">
      <c r="F106" s="5"/>
    </row>
    <row r="107" spans="6:6">
      <c r="F107" s="5"/>
    </row>
    <row r="108" spans="6:6">
      <c r="F108" s="5"/>
    </row>
    <row r="109" spans="6:6">
      <c r="F109" s="5"/>
    </row>
    <row r="110" spans="6:6">
      <c r="F110" s="5"/>
    </row>
    <row r="111" spans="6:6">
      <c r="F111" s="5"/>
    </row>
    <row r="112" spans="6:6">
      <c r="F112" s="5"/>
    </row>
    <row r="113" spans="6:6">
      <c r="F113" s="5"/>
    </row>
    <row r="114" spans="6:6">
      <c r="F114" s="5"/>
    </row>
  </sheetData>
  <hyperlinks>
    <hyperlink ref="B11" r:id="rId1" xr:uid="{EC459189-7B0B-2542-982C-CC25AB89C52B}"/>
    <hyperlink ref="B12" r:id="rId2" xr:uid="{953252DD-4C7A-914C-80D9-2CDBDD78B3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6EAE-8D79-DA4F-B5A2-8384717399EE}">
  <dimension ref="B1:HK84"/>
  <sheetViews>
    <sheetView tabSelected="1" zoomScale="150" zoomScaleNormal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baseColWidth="10" defaultColWidth="7.83203125" defaultRowHeight="13"/>
  <cols>
    <col min="1" max="1" width="1.5" style="1" customWidth="1"/>
    <col min="2" max="2" width="28.83203125" style="1" bestFit="1" customWidth="1"/>
    <col min="3" max="9" width="7.83203125" style="1" bestFit="1" customWidth="1"/>
    <col min="10" max="12" width="9.6640625" style="1" bestFit="1" customWidth="1"/>
    <col min="13" max="14" width="7.6640625" style="1" customWidth="1"/>
    <col min="15" max="16" width="7.83203125" style="1"/>
    <col min="17" max="20" width="9.33203125" style="1" bestFit="1" customWidth="1"/>
    <col min="21" max="29" width="9.1640625" style="1" bestFit="1" customWidth="1"/>
    <col min="30" max="31" width="10.1640625" style="1" bestFit="1" customWidth="1"/>
    <col min="32" max="32" width="13.1640625" style="1" bestFit="1" customWidth="1"/>
    <col min="33" max="16384" width="7.83203125" style="1"/>
  </cols>
  <sheetData>
    <row r="1" spans="2:219">
      <c r="AD1" s="2">
        <v>11</v>
      </c>
      <c r="AE1" s="2">
        <f>+AD1+1</f>
        <v>12</v>
      </c>
      <c r="AF1" s="2">
        <f t="shared" ref="AF1:CQ1" si="0">+AE1+1</f>
        <v>13</v>
      </c>
      <c r="AG1" s="2">
        <f t="shared" si="0"/>
        <v>14</v>
      </c>
      <c r="AH1" s="2">
        <f t="shared" si="0"/>
        <v>15</v>
      </c>
      <c r="AI1" s="2">
        <f t="shared" si="0"/>
        <v>16</v>
      </c>
      <c r="AJ1" s="2">
        <f t="shared" si="0"/>
        <v>17</v>
      </c>
      <c r="AK1" s="2">
        <f t="shared" si="0"/>
        <v>18</v>
      </c>
      <c r="AL1" s="2">
        <f t="shared" si="0"/>
        <v>19</v>
      </c>
      <c r="AM1" s="2">
        <f t="shared" si="0"/>
        <v>20</v>
      </c>
      <c r="AN1" s="2">
        <f t="shared" si="0"/>
        <v>21</v>
      </c>
      <c r="AO1" s="2">
        <f t="shared" si="0"/>
        <v>22</v>
      </c>
      <c r="AP1" s="2">
        <f t="shared" si="0"/>
        <v>23</v>
      </c>
      <c r="AQ1" s="2">
        <f t="shared" si="0"/>
        <v>24</v>
      </c>
      <c r="AR1" s="2">
        <f t="shared" si="0"/>
        <v>25</v>
      </c>
      <c r="AS1" s="2">
        <f t="shared" si="0"/>
        <v>26</v>
      </c>
      <c r="AT1" s="2">
        <f t="shared" si="0"/>
        <v>27</v>
      </c>
      <c r="AU1" s="2">
        <f t="shared" si="0"/>
        <v>28</v>
      </c>
      <c r="AV1" s="2">
        <f t="shared" si="0"/>
        <v>29</v>
      </c>
      <c r="AW1" s="2">
        <f t="shared" si="0"/>
        <v>30</v>
      </c>
      <c r="AX1" s="2">
        <f t="shared" si="0"/>
        <v>31</v>
      </c>
      <c r="AY1" s="2">
        <f t="shared" si="0"/>
        <v>32</v>
      </c>
      <c r="AZ1" s="2">
        <f t="shared" si="0"/>
        <v>33</v>
      </c>
      <c r="BA1" s="2">
        <f t="shared" si="0"/>
        <v>34</v>
      </c>
      <c r="BB1" s="2">
        <f t="shared" si="0"/>
        <v>35</v>
      </c>
      <c r="BC1" s="2">
        <f t="shared" si="0"/>
        <v>36</v>
      </c>
      <c r="BD1" s="2">
        <f t="shared" si="0"/>
        <v>37</v>
      </c>
      <c r="BE1" s="2">
        <f t="shared" si="0"/>
        <v>38</v>
      </c>
      <c r="BF1" s="2">
        <f t="shared" si="0"/>
        <v>39</v>
      </c>
      <c r="BG1" s="2">
        <f t="shared" si="0"/>
        <v>40</v>
      </c>
      <c r="BH1" s="2">
        <f t="shared" si="0"/>
        <v>41</v>
      </c>
      <c r="BI1" s="2">
        <f t="shared" si="0"/>
        <v>42</v>
      </c>
      <c r="BJ1" s="2">
        <f t="shared" si="0"/>
        <v>43</v>
      </c>
      <c r="BK1" s="2">
        <f t="shared" si="0"/>
        <v>44</v>
      </c>
      <c r="BL1" s="2">
        <f t="shared" si="0"/>
        <v>45</v>
      </c>
      <c r="BM1" s="2">
        <f t="shared" si="0"/>
        <v>46</v>
      </c>
      <c r="BN1" s="2">
        <f t="shared" si="0"/>
        <v>47</v>
      </c>
      <c r="BO1" s="2">
        <f t="shared" si="0"/>
        <v>48</v>
      </c>
      <c r="BP1" s="2">
        <f t="shared" si="0"/>
        <v>49</v>
      </c>
      <c r="BQ1" s="2">
        <f t="shared" si="0"/>
        <v>50</v>
      </c>
      <c r="BR1" s="2">
        <f t="shared" si="0"/>
        <v>51</v>
      </c>
      <c r="BS1" s="2">
        <f t="shared" si="0"/>
        <v>52</v>
      </c>
      <c r="BT1" s="2">
        <f t="shared" si="0"/>
        <v>53</v>
      </c>
      <c r="BU1" s="2">
        <f t="shared" si="0"/>
        <v>54</v>
      </c>
      <c r="BV1" s="2">
        <f t="shared" si="0"/>
        <v>55</v>
      </c>
      <c r="BW1" s="2">
        <f t="shared" si="0"/>
        <v>56</v>
      </c>
      <c r="BX1" s="2">
        <f t="shared" si="0"/>
        <v>57</v>
      </c>
      <c r="BY1" s="2">
        <f t="shared" si="0"/>
        <v>58</v>
      </c>
      <c r="BZ1" s="2">
        <f t="shared" si="0"/>
        <v>59</v>
      </c>
      <c r="CA1" s="2">
        <f t="shared" si="0"/>
        <v>60</v>
      </c>
      <c r="CB1" s="2">
        <f t="shared" si="0"/>
        <v>61</v>
      </c>
      <c r="CC1" s="2">
        <f t="shared" si="0"/>
        <v>62</v>
      </c>
      <c r="CD1" s="2">
        <f t="shared" si="0"/>
        <v>63</v>
      </c>
      <c r="CE1" s="2">
        <f t="shared" si="0"/>
        <v>64</v>
      </c>
      <c r="CF1" s="2">
        <f t="shared" si="0"/>
        <v>65</v>
      </c>
      <c r="CG1" s="2">
        <f t="shared" si="0"/>
        <v>66</v>
      </c>
      <c r="CH1" s="2">
        <f t="shared" si="0"/>
        <v>67</v>
      </c>
      <c r="CI1" s="2">
        <f t="shared" si="0"/>
        <v>68</v>
      </c>
      <c r="CJ1" s="2">
        <f t="shared" si="0"/>
        <v>69</v>
      </c>
      <c r="CK1" s="2">
        <f t="shared" si="0"/>
        <v>70</v>
      </c>
      <c r="CL1" s="2">
        <f t="shared" si="0"/>
        <v>71</v>
      </c>
      <c r="CM1" s="2">
        <f t="shared" si="0"/>
        <v>72</v>
      </c>
      <c r="CN1" s="2">
        <f t="shared" si="0"/>
        <v>73</v>
      </c>
      <c r="CO1" s="2">
        <f t="shared" si="0"/>
        <v>74</v>
      </c>
      <c r="CP1" s="2">
        <f t="shared" si="0"/>
        <v>75</v>
      </c>
      <c r="CQ1" s="2">
        <f t="shared" si="0"/>
        <v>76</v>
      </c>
      <c r="CR1" s="2">
        <f t="shared" ref="CR1:FC1" si="1">+CQ1+1</f>
        <v>77</v>
      </c>
      <c r="CS1" s="2">
        <f t="shared" si="1"/>
        <v>78</v>
      </c>
      <c r="CT1" s="2">
        <f t="shared" si="1"/>
        <v>79</v>
      </c>
      <c r="CU1" s="2">
        <f t="shared" si="1"/>
        <v>80</v>
      </c>
      <c r="CV1" s="2">
        <f t="shared" si="1"/>
        <v>81</v>
      </c>
      <c r="CW1" s="2">
        <f t="shared" si="1"/>
        <v>82</v>
      </c>
      <c r="CX1" s="2">
        <f t="shared" si="1"/>
        <v>83</v>
      </c>
      <c r="CY1" s="2">
        <f t="shared" si="1"/>
        <v>84</v>
      </c>
      <c r="CZ1" s="2">
        <f t="shared" si="1"/>
        <v>85</v>
      </c>
      <c r="DA1" s="2">
        <f t="shared" si="1"/>
        <v>86</v>
      </c>
      <c r="DB1" s="2">
        <f t="shared" si="1"/>
        <v>87</v>
      </c>
      <c r="DC1" s="2">
        <f t="shared" si="1"/>
        <v>88</v>
      </c>
      <c r="DD1" s="2">
        <f t="shared" si="1"/>
        <v>89</v>
      </c>
      <c r="DE1" s="2">
        <f t="shared" si="1"/>
        <v>90</v>
      </c>
      <c r="DF1" s="2">
        <f t="shared" si="1"/>
        <v>91</v>
      </c>
      <c r="DG1" s="2">
        <f t="shared" si="1"/>
        <v>92</v>
      </c>
      <c r="DH1" s="2">
        <f t="shared" si="1"/>
        <v>93</v>
      </c>
      <c r="DI1" s="2">
        <f t="shared" si="1"/>
        <v>94</v>
      </c>
      <c r="DJ1" s="2">
        <f t="shared" si="1"/>
        <v>95</v>
      </c>
      <c r="DK1" s="2">
        <f t="shared" si="1"/>
        <v>96</v>
      </c>
      <c r="DL1" s="2">
        <f t="shared" si="1"/>
        <v>97</v>
      </c>
      <c r="DM1" s="2">
        <f t="shared" si="1"/>
        <v>98</v>
      </c>
      <c r="DN1" s="2">
        <f t="shared" si="1"/>
        <v>99</v>
      </c>
      <c r="DO1" s="2">
        <f t="shared" si="1"/>
        <v>100</v>
      </c>
      <c r="DP1" s="2">
        <f t="shared" si="1"/>
        <v>101</v>
      </c>
      <c r="DQ1" s="2">
        <f t="shared" si="1"/>
        <v>102</v>
      </c>
      <c r="DR1" s="2">
        <f t="shared" si="1"/>
        <v>103</v>
      </c>
      <c r="DS1" s="2">
        <f t="shared" si="1"/>
        <v>104</v>
      </c>
      <c r="DT1" s="2">
        <f t="shared" si="1"/>
        <v>105</v>
      </c>
      <c r="DU1" s="2">
        <f t="shared" si="1"/>
        <v>106</v>
      </c>
      <c r="DV1" s="2">
        <f t="shared" si="1"/>
        <v>107</v>
      </c>
      <c r="DW1" s="2">
        <f t="shared" si="1"/>
        <v>108</v>
      </c>
      <c r="DX1" s="2">
        <f t="shared" si="1"/>
        <v>109</v>
      </c>
      <c r="DY1" s="2">
        <f t="shared" si="1"/>
        <v>110</v>
      </c>
      <c r="DZ1" s="2">
        <f t="shared" si="1"/>
        <v>111</v>
      </c>
      <c r="EA1" s="2">
        <f t="shared" si="1"/>
        <v>112</v>
      </c>
      <c r="EB1" s="2">
        <f t="shared" si="1"/>
        <v>113</v>
      </c>
      <c r="EC1" s="2">
        <f t="shared" si="1"/>
        <v>114</v>
      </c>
      <c r="ED1" s="2">
        <f t="shared" si="1"/>
        <v>115</v>
      </c>
      <c r="EE1" s="2">
        <f t="shared" si="1"/>
        <v>116</v>
      </c>
      <c r="EF1" s="2">
        <f t="shared" si="1"/>
        <v>117</v>
      </c>
      <c r="EG1" s="2">
        <f t="shared" si="1"/>
        <v>118</v>
      </c>
      <c r="EH1" s="2">
        <f t="shared" si="1"/>
        <v>119</v>
      </c>
      <c r="EI1" s="2">
        <f t="shared" si="1"/>
        <v>120</v>
      </c>
      <c r="EJ1" s="2">
        <f t="shared" si="1"/>
        <v>121</v>
      </c>
      <c r="EK1" s="2">
        <f t="shared" si="1"/>
        <v>122</v>
      </c>
      <c r="EL1" s="2">
        <f t="shared" si="1"/>
        <v>123</v>
      </c>
      <c r="EM1" s="2">
        <f t="shared" si="1"/>
        <v>124</v>
      </c>
      <c r="EN1" s="2">
        <f t="shared" si="1"/>
        <v>125</v>
      </c>
      <c r="EO1" s="2">
        <f t="shared" si="1"/>
        <v>126</v>
      </c>
      <c r="EP1" s="2">
        <f t="shared" si="1"/>
        <v>127</v>
      </c>
      <c r="EQ1" s="2">
        <f t="shared" si="1"/>
        <v>128</v>
      </c>
      <c r="ER1" s="2">
        <f t="shared" si="1"/>
        <v>129</v>
      </c>
      <c r="ES1" s="2">
        <f t="shared" si="1"/>
        <v>130</v>
      </c>
      <c r="ET1" s="2">
        <f t="shared" si="1"/>
        <v>131</v>
      </c>
      <c r="EU1" s="2">
        <f t="shared" si="1"/>
        <v>132</v>
      </c>
      <c r="EV1" s="2">
        <f t="shared" si="1"/>
        <v>133</v>
      </c>
      <c r="EW1" s="2">
        <f t="shared" si="1"/>
        <v>134</v>
      </c>
      <c r="EX1" s="2">
        <f t="shared" si="1"/>
        <v>135</v>
      </c>
      <c r="EY1" s="2">
        <f t="shared" si="1"/>
        <v>136</v>
      </c>
      <c r="EZ1" s="2">
        <f t="shared" si="1"/>
        <v>137</v>
      </c>
      <c r="FA1" s="2">
        <f t="shared" si="1"/>
        <v>138</v>
      </c>
      <c r="FB1" s="2">
        <f t="shared" si="1"/>
        <v>139</v>
      </c>
      <c r="FC1" s="2">
        <f t="shared" si="1"/>
        <v>140</v>
      </c>
      <c r="FD1" s="2">
        <f t="shared" ref="FD1:GI1" si="2">+FC1+1</f>
        <v>141</v>
      </c>
      <c r="FE1" s="2">
        <f t="shared" si="2"/>
        <v>142</v>
      </c>
      <c r="FF1" s="2">
        <f t="shared" si="2"/>
        <v>143</v>
      </c>
      <c r="FG1" s="2">
        <f t="shared" si="2"/>
        <v>144</v>
      </c>
      <c r="FH1" s="2">
        <f t="shared" si="2"/>
        <v>145</v>
      </c>
      <c r="FI1" s="2">
        <f t="shared" si="2"/>
        <v>146</v>
      </c>
      <c r="FJ1" s="2">
        <f t="shared" si="2"/>
        <v>147</v>
      </c>
      <c r="FK1" s="2">
        <f t="shared" si="2"/>
        <v>148</v>
      </c>
      <c r="FL1" s="2">
        <f t="shared" si="2"/>
        <v>149</v>
      </c>
      <c r="FM1" s="2">
        <f t="shared" si="2"/>
        <v>150</v>
      </c>
      <c r="FN1" s="2">
        <f t="shared" si="2"/>
        <v>151</v>
      </c>
      <c r="FO1" s="2">
        <f t="shared" si="2"/>
        <v>152</v>
      </c>
      <c r="FP1" s="2">
        <f t="shared" si="2"/>
        <v>153</v>
      </c>
      <c r="FQ1" s="2">
        <f t="shared" si="2"/>
        <v>154</v>
      </c>
      <c r="FR1" s="2">
        <f t="shared" si="2"/>
        <v>155</v>
      </c>
      <c r="FS1" s="2">
        <f t="shared" si="2"/>
        <v>156</v>
      </c>
      <c r="FT1" s="2">
        <f t="shared" si="2"/>
        <v>157</v>
      </c>
      <c r="FU1" s="2">
        <f t="shared" si="2"/>
        <v>158</v>
      </c>
      <c r="FV1" s="2">
        <f t="shared" si="2"/>
        <v>159</v>
      </c>
      <c r="FW1" s="2">
        <f t="shared" si="2"/>
        <v>160</v>
      </c>
      <c r="FX1" s="2">
        <f t="shared" si="2"/>
        <v>161</v>
      </c>
      <c r="FY1" s="2">
        <f t="shared" si="2"/>
        <v>162</v>
      </c>
      <c r="FZ1" s="2">
        <f t="shared" si="2"/>
        <v>163</v>
      </c>
      <c r="GA1" s="2">
        <f t="shared" si="2"/>
        <v>164</v>
      </c>
      <c r="GB1" s="2">
        <f t="shared" si="2"/>
        <v>165</v>
      </c>
      <c r="GC1" s="2">
        <f t="shared" si="2"/>
        <v>166</v>
      </c>
      <c r="GD1" s="2">
        <f t="shared" si="2"/>
        <v>167</v>
      </c>
      <c r="GE1" s="2">
        <f t="shared" si="2"/>
        <v>168</v>
      </c>
      <c r="GF1" s="2">
        <f t="shared" si="2"/>
        <v>169</v>
      </c>
      <c r="GG1" s="2">
        <f t="shared" si="2"/>
        <v>170</v>
      </c>
      <c r="GH1" s="2">
        <f t="shared" si="2"/>
        <v>171</v>
      </c>
      <c r="GI1" s="2">
        <f t="shared" si="2"/>
        <v>172</v>
      </c>
      <c r="GJ1" s="2">
        <f t="shared" ref="GJ1:HK1" si="3">+GI1+1</f>
        <v>173</v>
      </c>
      <c r="GK1" s="2">
        <f t="shared" si="3"/>
        <v>174</v>
      </c>
      <c r="GL1" s="2">
        <f t="shared" si="3"/>
        <v>175</v>
      </c>
      <c r="GM1" s="2">
        <f t="shared" si="3"/>
        <v>176</v>
      </c>
      <c r="GN1" s="2">
        <f t="shared" si="3"/>
        <v>177</v>
      </c>
      <c r="GO1" s="2">
        <f t="shared" si="3"/>
        <v>178</v>
      </c>
      <c r="GP1" s="2">
        <f t="shared" si="3"/>
        <v>179</v>
      </c>
      <c r="GQ1" s="2">
        <f t="shared" si="3"/>
        <v>180</v>
      </c>
      <c r="GR1" s="2">
        <f t="shared" si="3"/>
        <v>181</v>
      </c>
      <c r="GS1" s="2">
        <f t="shared" si="3"/>
        <v>182</v>
      </c>
      <c r="GT1" s="2">
        <f t="shared" si="3"/>
        <v>183</v>
      </c>
      <c r="GU1" s="2">
        <f t="shared" si="3"/>
        <v>184</v>
      </c>
      <c r="GV1" s="2">
        <f t="shared" si="3"/>
        <v>185</v>
      </c>
      <c r="GW1" s="2">
        <f t="shared" si="3"/>
        <v>186</v>
      </c>
      <c r="GX1" s="2">
        <f t="shared" si="3"/>
        <v>187</v>
      </c>
      <c r="GY1" s="2">
        <f t="shared" si="3"/>
        <v>188</v>
      </c>
      <c r="GZ1" s="2">
        <f t="shared" si="3"/>
        <v>189</v>
      </c>
      <c r="HA1" s="2">
        <f t="shared" si="3"/>
        <v>190</v>
      </c>
      <c r="HB1" s="2">
        <f t="shared" si="3"/>
        <v>191</v>
      </c>
      <c r="HC1" s="2">
        <f t="shared" si="3"/>
        <v>192</v>
      </c>
      <c r="HD1" s="2">
        <f t="shared" si="3"/>
        <v>193</v>
      </c>
      <c r="HE1" s="2">
        <f t="shared" si="3"/>
        <v>194</v>
      </c>
      <c r="HF1" s="2">
        <f t="shared" si="3"/>
        <v>195</v>
      </c>
      <c r="HG1" s="2">
        <f t="shared" si="3"/>
        <v>196</v>
      </c>
      <c r="HH1" s="2">
        <f t="shared" si="3"/>
        <v>197</v>
      </c>
      <c r="HI1" s="2">
        <f t="shared" si="3"/>
        <v>198</v>
      </c>
      <c r="HJ1" s="2">
        <f t="shared" si="3"/>
        <v>199</v>
      </c>
      <c r="HK1" s="2">
        <f t="shared" si="3"/>
        <v>200</v>
      </c>
    </row>
    <row r="2" spans="2:219" s="2" customFormat="1"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44</v>
      </c>
      <c r="L2" s="2" t="s">
        <v>43</v>
      </c>
      <c r="M2" s="2" t="s">
        <v>45</v>
      </c>
      <c r="N2" s="2" t="s">
        <v>46</v>
      </c>
      <c r="Q2" s="2">
        <v>2021</v>
      </c>
      <c r="R2" s="2">
        <f>+Q2+1</f>
        <v>2022</v>
      </c>
      <c r="S2" s="2">
        <f t="shared" ref="S2:Z2" si="4">+R2+1</f>
        <v>2023</v>
      </c>
      <c r="T2" s="2">
        <f t="shared" si="4"/>
        <v>2024</v>
      </c>
      <c r="U2" s="2">
        <f t="shared" si="4"/>
        <v>2025</v>
      </c>
      <c r="V2" s="2">
        <f t="shared" si="4"/>
        <v>2026</v>
      </c>
      <c r="W2" s="2">
        <f t="shared" si="4"/>
        <v>2027</v>
      </c>
      <c r="X2" s="2">
        <f t="shared" si="4"/>
        <v>2028</v>
      </c>
      <c r="Y2" s="2">
        <f t="shared" si="4"/>
        <v>2029</v>
      </c>
      <c r="Z2" s="2">
        <f t="shared" si="4"/>
        <v>2030</v>
      </c>
      <c r="AA2" s="2">
        <f t="shared" ref="AA2:AC2" si="5">+Z2+1</f>
        <v>2031</v>
      </c>
      <c r="AB2" s="2">
        <f t="shared" si="5"/>
        <v>2032</v>
      </c>
      <c r="AC2" s="2">
        <f t="shared" si="5"/>
        <v>2033</v>
      </c>
    </row>
    <row r="3" spans="2:219">
      <c r="B3" s="1" t="s">
        <v>48</v>
      </c>
      <c r="F3" s="1">
        <v>6949</v>
      </c>
      <c r="G3" s="1">
        <v>7095</v>
      </c>
      <c r="H3" s="1">
        <v>7115</v>
      </c>
      <c r="I3" s="1">
        <v>7166</v>
      </c>
      <c r="J3" s="1">
        <v>7240</v>
      </c>
      <c r="K3" s="1">
        <v>7248</v>
      </c>
      <c r="L3" s="1">
        <v>7261</v>
      </c>
      <c r="Q3" s="1">
        <f>+F3</f>
        <v>6949</v>
      </c>
      <c r="R3" s="1">
        <v>7095</v>
      </c>
      <c r="S3" s="1">
        <f>+J3</f>
        <v>7240</v>
      </c>
      <c r="T3" s="1">
        <f>+L3+66</f>
        <v>7327</v>
      </c>
      <c r="U3" s="1">
        <f>+T3+150</f>
        <v>7477</v>
      </c>
      <c r="V3" s="1">
        <f t="shared" ref="V3:AC3" si="6">+U3+150</f>
        <v>7627</v>
      </c>
      <c r="W3" s="1">
        <f t="shared" si="6"/>
        <v>7777</v>
      </c>
      <c r="X3" s="1">
        <f t="shared" si="6"/>
        <v>7927</v>
      </c>
      <c r="Y3" s="1">
        <f t="shared" si="6"/>
        <v>8077</v>
      </c>
      <c r="Z3" s="1">
        <f t="shared" si="6"/>
        <v>8227</v>
      </c>
      <c r="AA3" s="1">
        <f t="shared" si="6"/>
        <v>8377</v>
      </c>
      <c r="AB3" s="1">
        <f t="shared" si="6"/>
        <v>8527</v>
      </c>
      <c r="AC3" s="1">
        <f t="shared" si="6"/>
        <v>8677</v>
      </c>
    </row>
    <row r="4" spans="2:219" s="2" customFormat="1">
      <c r="B4" s="2" t="s">
        <v>47</v>
      </c>
      <c r="F4" s="2">
        <f t="shared" ref="F4:K4" si="7">+F6/F3</f>
        <v>32.760828896244064</v>
      </c>
      <c r="G4" s="2">
        <f t="shared" si="7"/>
        <v>32.128118393234672</v>
      </c>
      <c r="H4" s="2">
        <f t="shared" si="7"/>
        <v>33.82825017568517</v>
      </c>
      <c r="I4" s="2">
        <f t="shared" si="7"/>
        <v>32.754814401339658</v>
      </c>
      <c r="J4" s="2">
        <f t="shared" si="7"/>
        <v>31.31560773480663</v>
      </c>
      <c r="K4" s="2">
        <f t="shared" si="7"/>
        <v>31.08761037527594</v>
      </c>
      <c r="L4" s="2">
        <f>+L6/L3</f>
        <v>32.689023550475142</v>
      </c>
      <c r="Q4" s="2">
        <f>+Q10/Q3</f>
        <v>313.94128651604547</v>
      </c>
      <c r="R4" s="2">
        <f>+R10/R3</f>
        <v>295.34954193093728</v>
      </c>
      <c r="S4" s="2">
        <f>+S10/S3</f>
        <v>301.32292817679559</v>
      </c>
      <c r="T4" s="2">
        <f>+T10/T3</f>
        <v>307.25348710249756</v>
      </c>
      <c r="U4" s="2">
        <f>+T4*1.02</f>
        <v>313.3985568445475</v>
      </c>
      <c r="V4" s="2">
        <f t="shared" ref="V4:AC4" si="8">+U4*1.02</f>
        <v>319.66652798143843</v>
      </c>
      <c r="W4" s="2">
        <f t="shared" si="8"/>
        <v>326.05985854106723</v>
      </c>
      <c r="X4" s="2">
        <f t="shared" si="8"/>
        <v>332.58105571188855</v>
      </c>
      <c r="Y4" s="2">
        <f t="shared" si="8"/>
        <v>339.23267682612635</v>
      </c>
      <c r="Z4" s="2">
        <f t="shared" si="8"/>
        <v>346.01733036264886</v>
      </c>
      <c r="AA4" s="2">
        <f t="shared" si="8"/>
        <v>352.93767696990187</v>
      </c>
      <c r="AB4" s="2">
        <f t="shared" si="8"/>
        <v>359.9964305092999</v>
      </c>
      <c r="AC4" s="2">
        <f t="shared" si="8"/>
        <v>367.19635911948592</v>
      </c>
    </row>
    <row r="5" spans="2:219" s="5" customFormat="1">
      <c r="Q5" s="5" t="e">
        <f>+Q4/P4-1</f>
        <v>#DIV/0!</v>
      </c>
      <c r="R5" s="5">
        <f>+R4/Q4-1</f>
        <v>-5.9220451032196308E-2</v>
      </c>
      <c r="S5" s="5">
        <f>+S4/R4-1</f>
        <v>2.0224802810952403E-2</v>
      </c>
      <c r="T5" s="5">
        <f>+T4/S4-1</f>
        <v>1.9681737999779125E-2</v>
      </c>
    </row>
    <row r="6" spans="2:219">
      <c r="B6" s="1" t="s">
        <v>6</v>
      </c>
      <c r="C6" s="1">
        <v>209275</v>
      </c>
      <c r="D6" s="1">
        <v>230869</v>
      </c>
      <c r="E6" s="1">
        <v>228786</v>
      </c>
      <c r="F6" s="1">
        <f>+R6-SUM(C6:E6)</f>
        <v>227655</v>
      </c>
      <c r="G6" s="1">
        <v>227949</v>
      </c>
      <c r="H6" s="1">
        <v>240688</v>
      </c>
      <c r="I6" s="1">
        <v>234721</v>
      </c>
      <c r="J6" s="1">
        <f>+S6-SUM(G6:I6)</f>
        <v>226725</v>
      </c>
      <c r="K6" s="1">
        <v>225323</v>
      </c>
      <c r="L6" s="1">
        <v>237355</v>
      </c>
      <c r="Q6" s="1">
        <v>930083</v>
      </c>
      <c r="R6" s="1">
        <v>896585</v>
      </c>
      <c r="S6" s="1">
        <v>930083</v>
      </c>
    </row>
    <row r="7" spans="2:219">
      <c r="B7" s="1" t="s">
        <v>7</v>
      </c>
      <c r="C7" s="1">
        <v>128976</v>
      </c>
      <c r="D7" s="1">
        <v>143436</v>
      </c>
      <c r="E7" s="1">
        <v>141733</v>
      </c>
      <c r="F7" s="1">
        <f t="shared" ref="F7:F8" si="9">+R7-SUM(C7:E7)</f>
        <v>144090</v>
      </c>
      <c r="G7" s="1">
        <v>141677</v>
      </c>
      <c r="H7" s="1">
        <v>153048</v>
      </c>
      <c r="I7" s="1">
        <v>149345</v>
      </c>
      <c r="J7" s="1">
        <f t="shared" ref="J7:J8" si="10">+S7-SUM(G7:I7)</f>
        <v>148261</v>
      </c>
      <c r="K7" s="1">
        <v>146500</v>
      </c>
      <c r="L7" s="1">
        <v>157670</v>
      </c>
      <c r="Q7" s="1">
        <v>592331</v>
      </c>
      <c r="R7" s="1">
        <v>558235</v>
      </c>
      <c r="S7" s="1">
        <v>592331</v>
      </c>
    </row>
    <row r="8" spans="2:219">
      <c r="B8" s="1" t="s">
        <v>8</v>
      </c>
      <c r="C8" s="1">
        <v>57871</v>
      </c>
      <c r="D8" s="1">
        <v>58610</v>
      </c>
      <c r="E8" s="1">
        <v>58463</v>
      </c>
      <c r="F8" s="1">
        <f t="shared" si="9"/>
        <v>59521</v>
      </c>
      <c r="G8" s="1">
        <v>57807</v>
      </c>
      <c r="H8" s="1">
        <v>58033</v>
      </c>
      <c r="I8" s="1">
        <v>57567</v>
      </c>
      <c r="J8" s="1">
        <f t="shared" si="10"/>
        <v>56761</v>
      </c>
      <c r="K8" s="1">
        <v>57986</v>
      </c>
      <c r="L8" s="1">
        <v>60638</v>
      </c>
      <c r="Q8" s="1">
        <v>230168</v>
      </c>
      <c r="R8" s="1">
        <v>234465</v>
      </c>
      <c r="S8" s="1">
        <v>230168</v>
      </c>
    </row>
    <row r="9" spans="2:219">
      <c r="B9" s="1" t="s">
        <v>9</v>
      </c>
      <c r="C9" s="1">
        <v>92521</v>
      </c>
      <c r="D9" s="1">
        <v>104868</v>
      </c>
      <c r="E9" s="1">
        <v>103587</v>
      </c>
      <c r="F9" s="1">
        <f>+R9-SUM(C9:E9)</f>
        <v>105244</v>
      </c>
      <c r="G9" s="1">
        <v>101374</v>
      </c>
      <c r="H9" s="1">
        <v>109796</v>
      </c>
      <c r="I9" s="1">
        <v>108922</v>
      </c>
      <c r="J9" s="1">
        <f>+S9-SUM(G9:I9)</f>
        <v>108904</v>
      </c>
      <c r="K9" s="1">
        <v>104944</v>
      </c>
      <c r="L9" s="1">
        <v>115064</v>
      </c>
      <c r="Q9" s="1">
        <v>428996</v>
      </c>
      <c r="R9" s="1">
        <v>406220</v>
      </c>
      <c r="S9" s="1">
        <v>428996</v>
      </c>
    </row>
    <row r="10" spans="2:219" s="3" customFormat="1">
      <c r="B10" s="3" t="s">
        <v>10</v>
      </c>
      <c r="C10" s="3">
        <f t="shared" ref="C10:K10" si="11">+SUM(C6:C9)</f>
        <v>488643</v>
      </c>
      <c r="D10" s="3">
        <f t="shared" si="11"/>
        <v>537783</v>
      </c>
      <c r="E10" s="3">
        <f t="shared" si="11"/>
        <v>532569</v>
      </c>
      <c r="F10" s="3">
        <f t="shared" si="11"/>
        <v>536510</v>
      </c>
      <c r="G10" s="3">
        <f t="shared" si="11"/>
        <v>528807</v>
      </c>
      <c r="H10" s="3">
        <f t="shared" si="11"/>
        <v>561565</v>
      </c>
      <c r="I10" s="3">
        <f t="shared" si="11"/>
        <v>550555</v>
      </c>
      <c r="J10" s="3">
        <f t="shared" si="11"/>
        <v>540651</v>
      </c>
      <c r="K10" s="3">
        <f t="shared" si="11"/>
        <v>534753</v>
      </c>
      <c r="L10" s="3">
        <f t="shared" ref="L10" si="12">+SUM(L6:L9)</f>
        <v>570727</v>
      </c>
      <c r="M10" s="3">
        <f>+I10*1.05</f>
        <v>578082.75</v>
      </c>
      <c r="N10" s="3">
        <f>+J10*1.05</f>
        <v>567683.55000000005</v>
      </c>
      <c r="Q10" s="3">
        <f>+SUM(Q6:Q9)</f>
        <v>2181578</v>
      </c>
      <c r="R10" s="3">
        <f>+SUM(R6:R9)</f>
        <v>2095505</v>
      </c>
      <c r="S10" s="3">
        <f>+SUM(S6:S9)</f>
        <v>2181578</v>
      </c>
      <c r="T10" s="3">
        <f>SUM(K10:N10)</f>
        <v>2251246.2999999998</v>
      </c>
      <c r="U10" s="3">
        <f>+U3*U4</f>
        <v>2343281.0095266816</v>
      </c>
      <c r="V10" s="3">
        <f t="shared" ref="V10:AC10" si="13">+V3*V4</f>
        <v>2438096.6089144307</v>
      </c>
      <c r="W10" s="3">
        <f t="shared" si="13"/>
        <v>2535767.5198738798</v>
      </c>
      <c r="X10" s="3">
        <f t="shared" si="13"/>
        <v>2636370.0286281407</v>
      </c>
      <c r="Y10" s="3">
        <f t="shared" si="13"/>
        <v>2739982.3307246226</v>
      </c>
      <c r="Z10" s="3">
        <f t="shared" si="13"/>
        <v>2846684.5768935122</v>
      </c>
      <c r="AA10" s="3">
        <f t="shared" si="13"/>
        <v>2956558.9199768682</v>
      </c>
      <c r="AB10" s="3">
        <f t="shared" si="13"/>
        <v>3069689.5629528002</v>
      </c>
      <c r="AC10" s="3">
        <f t="shared" si="13"/>
        <v>3186162.8080797791</v>
      </c>
    </row>
    <row r="11" spans="2:219">
      <c r="B11" s="1" t="s">
        <v>11</v>
      </c>
      <c r="C11" s="1">
        <v>185053</v>
      </c>
      <c r="D11" s="1">
        <v>197285</v>
      </c>
      <c r="E11" s="1">
        <v>196168</v>
      </c>
      <c r="F11" s="1">
        <f>+R11-SUM(C11:E11)</f>
        <v>194663</v>
      </c>
      <c r="G11" s="1">
        <v>196536</v>
      </c>
      <c r="H11" s="1">
        <v>201010</v>
      </c>
      <c r="I11" s="1">
        <v>199522</v>
      </c>
      <c r="J11" s="1">
        <f>+S11-SUM(G11:I11)</f>
        <v>197425</v>
      </c>
      <c r="K11" s="1">
        <v>192113</v>
      </c>
      <c r="L11" s="1">
        <v>199886</v>
      </c>
      <c r="Q11" s="1">
        <v>611680</v>
      </c>
      <c r="R11" s="1">
        <v>773169</v>
      </c>
      <c r="S11" s="1">
        <v>794493</v>
      </c>
      <c r="T11" s="1">
        <f>+T10*0.355</f>
        <v>799192.43649999984</v>
      </c>
      <c r="U11" s="1">
        <f t="shared" ref="U11:AC11" si="14">+U10*0.355</f>
        <v>831864.75838197197</v>
      </c>
      <c r="V11" s="1">
        <f t="shared" si="14"/>
        <v>865524.29616462288</v>
      </c>
      <c r="W11" s="1">
        <f t="shared" si="14"/>
        <v>900197.46955522732</v>
      </c>
      <c r="X11" s="1">
        <f t="shared" si="14"/>
        <v>935911.36016298993</v>
      </c>
      <c r="Y11" s="1">
        <f t="shared" si="14"/>
        <v>972693.72740724101</v>
      </c>
      <c r="Z11" s="1">
        <f t="shared" si="14"/>
        <v>1010573.0247971967</v>
      </c>
      <c r="AA11" s="1">
        <f t="shared" si="14"/>
        <v>1049578.4165917882</v>
      </c>
      <c r="AB11" s="1">
        <f t="shared" si="14"/>
        <v>1089739.7948482439</v>
      </c>
      <c r="AC11" s="1">
        <f t="shared" si="14"/>
        <v>1131087.7968683215</v>
      </c>
    </row>
    <row r="12" spans="2:219">
      <c r="B12" s="1" t="s">
        <v>12</v>
      </c>
      <c r="C12" s="1">
        <v>11816</v>
      </c>
      <c r="D12" s="1">
        <v>9912</v>
      </c>
      <c r="E12" s="1">
        <v>12728</v>
      </c>
      <c r="F12" s="1">
        <f t="shared" ref="F12:F25" si="15">+R12-SUM(C12:E12)</f>
        <v>12280</v>
      </c>
      <c r="G12" s="1">
        <v>13260</v>
      </c>
      <c r="H12" s="1">
        <v>13787</v>
      </c>
      <c r="I12" s="1">
        <v>14806</v>
      </c>
      <c r="J12" s="1">
        <f t="shared" ref="J12:J25" si="16">+S12-SUM(G12:I12)</f>
        <v>15390</v>
      </c>
      <c r="K12" s="1">
        <v>14742</v>
      </c>
      <c r="L12" s="1">
        <v>16222</v>
      </c>
      <c r="Q12" s="1">
        <v>42900</v>
      </c>
      <c r="R12" s="1">
        <v>46736</v>
      </c>
      <c r="S12" s="1">
        <v>57243</v>
      </c>
      <c r="T12" s="1">
        <f>+T10*0.028</f>
        <v>63034.896399999998</v>
      </c>
      <c r="U12" s="1">
        <f t="shared" ref="U12:AC12" si="17">+U10*0.028</f>
        <v>65611.868266747086</v>
      </c>
      <c r="V12" s="1">
        <f t="shared" si="17"/>
        <v>68266.705049604061</v>
      </c>
      <c r="W12" s="1">
        <f t="shared" si="17"/>
        <v>71001.490556468634</v>
      </c>
      <c r="X12" s="1">
        <f t="shared" si="17"/>
        <v>73818.360801587944</v>
      </c>
      <c r="Y12" s="1">
        <f t="shared" si="17"/>
        <v>76719.505260289428</v>
      </c>
      <c r="Z12" s="1">
        <f t="shared" si="17"/>
        <v>79707.168153018341</v>
      </c>
      <c r="AA12" s="1">
        <f t="shared" si="17"/>
        <v>82783.649759352309</v>
      </c>
      <c r="AB12" s="1">
        <f t="shared" si="17"/>
        <v>85951.307762678407</v>
      </c>
      <c r="AC12" s="1">
        <f t="shared" si="17"/>
        <v>89212.558626233818</v>
      </c>
    </row>
    <row r="13" spans="2:219">
      <c r="B13" s="1" t="s">
        <v>13</v>
      </c>
      <c r="C13" s="1">
        <v>28936</v>
      </c>
      <c r="D13" s="1">
        <v>32076</v>
      </c>
      <c r="E13" s="1">
        <v>31687</v>
      </c>
      <c r="F13" s="1">
        <f t="shared" si="15"/>
        <v>31384</v>
      </c>
      <c r="G13" s="1">
        <v>30629</v>
      </c>
      <c r="H13" s="1">
        <v>32396</v>
      </c>
      <c r="I13" s="1">
        <v>31876</v>
      </c>
      <c r="J13" s="1">
        <f t="shared" si="16"/>
        <v>30470</v>
      </c>
      <c r="K13" s="1">
        <v>31778</v>
      </c>
      <c r="L13" s="1">
        <v>32390</v>
      </c>
      <c r="Q13" s="1">
        <v>132411</v>
      </c>
      <c r="R13" s="1">
        <v>124083</v>
      </c>
      <c r="S13" s="1">
        <v>125371</v>
      </c>
      <c r="T13" s="1">
        <f>+T10*0.058</f>
        <v>130572.28539999999</v>
      </c>
      <c r="U13" s="1">
        <f t="shared" ref="U13:AC13" si="18">+U10*0.058</f>
        <v>135910.29855254755</v>
      </c>
      <c r="V13" s="1">
        <f t="shared" si="18"/>
        <v>141409.60331703699</v>
      </c>
      <c r="W13" s="1">
        <f t="shared" si="18"/>
        <v>147074.51615268504</v>
      </c>
      <c r="X13" s="1">
        <f t="shared" si="18"/>
        <v>152909.46166043216</v>
      </c>
      <c r="Y13" s="1">
        <f t="shared" si="18"/>
        <v>158918.97518202811</v>
      </c>
      <c r="Z13" s="1">
        <f t="shared" si="18"/>
        <v>165107.70545982372</v>
      </c>
      <c r="AA13" s="1">
        <f t="shared" si="18"/>
        <v>171480.41735865836</v>
      </c>
      <c r="AB13" s="1">
        <f t="shared" si="18"/>
        <v>178041.99465126242</v>
      </c>
      <c r="AC13" s="1">
        <f t="shared" si="18"/>
        <v>184797.4428686272</v>
      </c>
    </row>
    <row r="14" spans="2:219">
      <c r="B14" s="1" t="s">
        <v>14</v>
      </c>
      <c r="C14" s="1">
        <v>97800</v>
      </c>
      <c r="D14" s="1">
        <v>110973</v>
      </c>
      <c r="E14" s="1">
        <v>108269</v>
      </c>
      <c r="F14" s="1">
        <f t="shared" si="15"/>
        <v>113718</v>
      </c>
      <c r="G14" s="1">
        <v>101661</v>
      </c>
      <c r="H14" s="1">
        <v>109618</v>
      </c>
      <c r="I14" s="1">
        <v>107895</v>
      </c>
      <c r="J14" s="1">
        <f t="shared" si="16"/>
        <v>108829</v>
      </c>
      <c r="K14" s="1">
        <v>107374</v>
      </c>
      <c r="L14" s="1">
        <v>120817</v>
      </c>
      <c r="Q14" s="1">
        <v>411751</v>
      </c>
      <c r="R14" s="1">
        <v>430760</v>
      </c>
      <c r="S14" s="1">
        <v>428003</v>
      </c>
      <c r="T14" s="1">
        <f>+T10*0.206</f>
        <v>463756.73779999994</v>
      </c>
      <c r="U14" s="1">
        <f t="shared" ref="T14:AC17" si="19">+U$10*(T14/T$10)</f>
        <v>482715.88796249637</v>
      </c>
      <c r="V14" s="1">
        <f t="shared" si="19"/>
        <v>502247.90143637272</v>
      </c>
      <c r="W14" s="1">
        <f t="shared" si="19"/>
        <v>522368.10909401922</v>
      </c>
      <c r="X14" s="1">
        <f t="shared" si="19"/>
        <v>543092.22589739691</v>
      </c>
      <c r="Y14" s="1">
        <f t="shared" si="19"/>
        <v>564436.3601292721</v>
      </c>
      <c r="Z14" s="1">
        <f t="shared" si="19"/>
        <v>586417.02284006332</v>
      </c>
      <c r="AA14" s="1">
        <f t="shared" si="19"/>
        <v>609051.13751523464</v>
      </c>
      <c r="AB14" s="1">
        <f t="shared" si="19"/>
        <v>632356.04996827664</v>
      </c>
      <c r="AC14" s="1">
        <f t="shared" si="19"/>
        <v>656349.53846443433</v>
      </c>
    </row>
    <row r="15" spans="2:219">
      <c r="B15" s="1" t="s">
        <v>15</v>
      </c>
      <c r="C15" s="1">
        <v>62346</v>
      </c>
      <c r="D15" s="1">
        <v>61637</v>
      </c>
      <c r="E15" s="1">
        <v>62523</v>
      </c>
      <c r="F15" s="1">
        <f t="shared" si="15"/>
        <v>68473</v>
      </c>
      <c r="G15" s="1">
        <v>62276</v>
      </c>
      <c r="H15" s="1">
        <v>62742</v>
      </c>
      <c r="I15" s="1">
        <v>59288</v>
      </c>
      <c r="J15" s="1">
        <f t="shared" si="16"/>
        <v>65658</v>
      </c>
      <c r="K15" s="1">
        <v>63757</v>
      </c>
      <c r="L15" s="1">
        <v>61493</v>
      </c>
      <c r="Q15" s="1">
        <v>242970</v>
      </c>
      <c r="R15" s="1">
        <v>254979</v>
      </c>
      <c r="S15" s="1">
        <v>249964</v>
      </c>
      <c r="T15" s="1">
        <f>+T10*0.113</f>
        <v>254390.83189999999</v>
      </c>
      <c r="U15" s="1">
        <f t="shared" si="19"/>
        <v>264790.75407651503</v>
      </c>
      <c r="V15" s="1">
        <f t="shared" si="19"/>
        <v>275504.91680733068</v>
      </c>
      <c r="W15" s="1">
        <f t="shared" si="19"/>
        <v>286541.72974574845</v>
      </c>
      <c r="X15" s="1">
        <f t="shared" si="19"/>
        <v>297909.81323497993</v>
      </c>
      <c r="Y15" s="1">
        <f t="shared" si="19"/>
        <v>309618.00337188243</v>
      </c>
      <c r="Z15" s="1">
        <f t="shared" si="19"/>
        <v>321675.35718896694</v>
      </c>
      <c r="AA15" s="1">
        <f t="shared" si="19"/>
        <v>334091.15795738617</v>
      </c>
      <c r="AB15" s="1">
        <f t="shared" si="19"/>
        <v>346874.92061366647</v>
      </c>
      <c r="AC15" s="1">
        <f t="shared" si="19"/>
        <v>360036.39731301507</v>
      </c>
    </row>
    <row r="16" spans="2:219">
      <c r="B16" s="1" t="s">
        <v>16</v>
      </c>
      <c r="C16" s="1">
        <v>33231</v>
      </c>
      <c r="D16" s="1">
        <v>33428</v>
      </c>
      <c r="E16" s="1">
        <v>34252</v>
      </c>
      <c r="F16" s="1">
        <f t="shared" si="15"/>
        <v>32503</v>
      </c>
      <c r="G16" s="1">
        <v>33472</v>
      </c>
      <c r="H16" s="1">
        <v>33498</v>
      </c>
      <c r="I16" s="1">
        <v>34288</v>
      </c>
      <c r="J16" s="1">
        <f t="shared" si="16"/>
        <v>34531</v>
      </c>
      <c r="K16" s="1">
        <v>33472</v>
      </c>
      <c r="L16" s="1">
        <v>37492</v>
      </c>
      <c r="Q16" s="1">
        <v>125540</v>
      </c>
      <c r="R16" s="1">
        <v>133414</v>
      </c>
      <c r="S16" s="1">
        <v>135789</v>
      </c>
      <c r="T16" s="1">
        <f>+T10*0.064</f>
        <v>144079.76319999999</v>
      </c>
      <c r="U16" s="1">
        <f t="shared" si="19"/>
        <v>149969.98460970764</v>
      </c>
      <c r="V16" s="1">
        <f t="shared" si="19"/>
        <v>156038.18297052357</v>
      </c>
      <c r="W16" s="1">
        <f t="shared" si="19"/>
        <v>162289.12127192831</v>
      </c>
      <c r="X16" s="1">
        <f t="shared" si="19"/>
        <v>168727.68183220099</v>
      </c>
      <c r="Y16" s="1">
        <f t="shared" si="19"/>
        <v>175358.86916637584</v>
      </c>
      <c r="Z16" s="1">
        <f t="shared" si="19"/>
        <v>182187.81292118478</v>
      </c>
      <c r="AA16" s="1">
        <f t="shared" si="19"/>
        <v>189219.77087851957</v>
      </c>
      <c r="AB16" s="1">
        <f t="shared" si="19"/>
        <v>196460.13202897922</v>
      </c>
      <c r="AC16" s="1">
        <f t="shared" si="19"/>
        <v>203914.41971710586</v>
      </c>
    </row>
    <row r="17" spans="2:219">
      <c r="B17" s="1" t="s">
        <v>17</v>
      </c>
      <c r="C17" s="1">
        <v>-2966</v>
      </c>
      <c r="D17" s="1">
        <v>-5673</v>
      </c>
      <c r="E17" s="1">
        <v>-11843</v>
      </c>
      <c r="F17" s="1">
        <f t="shared" si="15"/>
        <v>-3201</v>
      </c>
      <c r="G17" s="1">
        <v>-2266</v>
      </c>
      <c r="H17" s="1">
        <v>-3791</v>
      </c>
      <c r="I17" s="1">
        <v>-3117</v>
      </c>
      <c r="J17" s="1">
        <f t="shared" si="16"/>
        <v>-4594</v>
      </c>
      <c r="K17" s="1">
        <v>-3033</v>
      </c>
      <c r="L17" s="1">
        <v>-3463</v>
      </c>
      <c r="Q17" s="1">
        <v>-14468</v>
      </c>
      <c r="R17" s="1">
        <v>-23683</v>
      </c>
      <c r="S17" s="1">
        <v>-13768</v>
      </c>
      <c r="T17" s="1">
        <f t="shared" si="19"/>
        <v>-14207.678597052223</v>
      </c>
      <c r="U17" s="1">
        <f t="shared" si="19"/>
        <v>-14788.512232504798</v>
      </c>
      <c r="V17" s="1">
        <f t="shared" si="19"/>
        <v>-15386.896141936653</v>
      </c>
      <c r="W17" s="1">
        <f t="shared" si="19"/>
        <v>-16003.300002852788</v>
      </c>
      <c r="X17" s="1">
        <f t="shared" si="19"/>
        <v>-16638.205259748789</v>
      </c>
      <c r="Y17" s="1">
        <f t="shared" si="19"/>
        <v>-17292.105406919491</v>
      </c>
      <c r="Z17" s="1">
        <f t="shared" si="19"/>
        <v>-17965.506277873119</v>
      </c>
      <c r="AA17" s="1">
        <f t="shared" si="19"/>
        <v>-18658.926341502131</v>
      </c>
      <c r="AB17" s="1">
        <f t="shared" si="19"/>
        <v>-19372.897005165145</v>
      </c>
      <c r="AC17" s="1">
        <f t="shared" si="19"/>
        <v>-20107.962924838081</v>
      </c>
    </row>
    <row r="18" spans="2:219">
      <c r="B18" s="1" t="s">
        <v>18</v>
      </c>
      <c r="C18" s="1">
        <f t="shared" ref="C18:K18" si="20">+C10-SUM(C11:C17)</f>
        <v>72427</v>
      </c>
      <c r="D18" s="1">
        <f t="shared" si="20"/>
        <v>98145</v>
      </c>
      <c r="E18" s="1">
        <f t="shared" si="20"/>
        <v>98785</v>
      </c>
      <c r="F18" s="1">
        <f t="shared" si="20"/>
        <v>86690</v>
      </c>
      <c r="G18" s="1">
        <f t="shared" si="20"/>
        <v>93239</v>
      </c>
      <c r="H18" s="1">
        <f t="shared" si="20"/>
        <v>112305</v>
      </c>
      <c r="I18" s="1">
        <f t="shared" si="20"/>
        <v>105997</v>
      </c>
      <c r="J18" s="1">
        <f t="shared" si="20"/>
        <v>92942</v>
      </c>
      <c r="K18" s="1">
        <f t="shared" si="20"/>
        <v>94550</v>
      </c>
      <c r="L18" s="1">
        <f t="shared" ref="L18" si="21">+L10-SUM(L11:L17)</f>
        <v>105890</v>
      </c>
      <c r="Q18" s="1">
        <f>+Q10-SUM(Q11:Q17)</f>
        <v>628794</v>
      </c>
      <c r="R18" s="1">
        <f>+R10-SUM(R11:R17)</f>
        <v>356047</v>
      </c>
      <c r="S18" s="1">
        <f>+S10-SUM(S11:S17)</f>
        <v>404483</v>
      </c>
      <c r="T18" s="1">
        <f>+T10-SUM(T11:T17)</f>
        <v>410427.02739705238</v>
      </c>
      <c r="U18" s="1">
        <f t="shared" ref="U18:AC18" si="22">+U10-SUM(U11:U17)</f>
        <v>427205.96990920068</v>
      </c>
      <c r="V18" s="1">
        <f t="shared" si="22"/>
        <v>444491.89931087662</v>
      </c>
      <c r="W18" s="1">
        <f t="shared" si="22"/>
        <v>462298.38350065565</v>
      </c>
      <c r="X18" s="1">
        <f t="shared" si="22"/>
        <v>480639.3302983013</v>
      </c>
      <c r="Y18" s="1">
        <f t="shared" si="22"/>
        <v>499528.99561445322</v>
      </c>
      <c r="Z18" s="1">
        <f t="shared" si="22"/>
        <v>518981.99181113159</v>
      </c>
      <c r="AA18" s="1">
        <f t="shared" si="22"/>
        <v>539013.29625743115</v>
      </c>
      <c r="AB18" s="1">
        <f t="shared" si="22"/>
        <v>559638.26008485816</v>
      </c>
      <c r="AC18" s="1">
        <f t="shared" si="22"/>
        <v>580872.61714687943</v>
      </c>
    </row>
    <row r="19" spans="2:219">
      <c r="B19" s="1" t="s">
        <v>19</v>
      </c>
      <c r="C19" s="1">
        <v>-26365</v>
      </c>
      <c r="D19" s="1">
        <v>-32125</v>
      </c>
      <c r="E19" s="1">
        <v>-31916</v>
      </c>
      <c r="F19" s="1">
        <f t="shared" si="15"/>
        <v>-31913</v>
      </c>
      <c r="G19" s="1">
        <v>-31705</v>
      </c>
      <c r="H19" s="1">
        <v>-31136</v>
      </c>
      <c r="I19" s="1">
        <v>-30957</v>
      </c>
      <c r="J19" s="1">
        <f t="shared" si="16"/>
        <v>-30263</v>
      </c>
      <c r="K19" s="1">
        <v>-30535</v>
      </c>
      <c r="L19" s="1">
        <v>30995</v>
      </c>
      <c r="Q19" s="1">
        <v>-109185</v>
      </c>
      <c r="R19" s="1">
        <v>-122319</v>
      </c>
      <c r="S19" s="1">
        <v>-124061</v>
      </c>
      <c r="T19" s="1">
        <f>+T$18*(S19/S$18)</f>
        <v>-125884.12231393091</v>
      </c>
      <c r="U19" s="1">
        <f t="shared" ref="U19:AC19" si="23">+U$18*(T19/T$18)</f>
        <v>-131030.4755277857</v>
      </c>
      <c r="V19" s="1">
        <f t="shared" si="23"/>
        <v>-136332.32922126929</v>
      </c>
      <c r="W19" s="1">
        <f t="shared" si="23"/>
        <v>-141793.84487228101</v>
      </c>
      <c r="X19" s="1">
        <f t="shared" si="23"/>
        <v>-147419.28821764464</v>
      </c>
      <c r="Y19" s="1">
        <f t="shared" si="23"/>
        <v>-153213.03175887413</v>
      </c>
      <c r="Z19" s="1">
        <f t="shared" si="23"/>
        <v>-159179.55732646561</v>
      </c>
      <c r="AA19" s="1">
        <f t="shared" si="23"/>
        <v>-165323.45870405715</v>
      </c>
      <c r="AB19" s="1">
        <f t="shared" si="23"/>
        <v>-171649.44431382179</v>
      </c>
      <c r="AC19" s="1">
        <f t="shared" si="23"/>
        <v>-178162.33996449542</v>
      </c>
    </row>
    <row r="20" spans="2:219">
      <c r="B20" s="1" t="s">
        <v>20</v>
      </c>
      <c r="C20" s="1">
        <v>2111</v>
      </c>
      <c r="D20" s="1">
        <v>-4</v>
      </c>
      <c r="E20" s="1">
        <v>0</v>
      </c>
      <c r="F20" s="1">
        <f t="shared" si="15"/>
        <v>0</v>
      </c>
      <c r="G20" s="1">
        <v>-3562</v>
      </c>
      <c r="H20" s="1">
        <v>-6827</v>
      </c>
      <c r="I20" s="1">
        <v>0</v>
      </c>
      <c r="J20" s="1">
        <f t="shared" si="16"/>
        <v>31</v>
      </c>
      <c r="K20" s="1">
        <v>0</v>
      </c>
      <c r="L20" s="1">
        <v>11</v>
      </c>
      <c r="Q20" s="1">
        <v>39</v>
      </c>
      <c r="R20" s="1">
        <v>2107</v>
      </c>
      <c r="S20" s="1">
        <v>-10358</v>
      </c>
    </row>
    <row r="21" spans="2:219">
      <c r="B21" s="1" t="s">
        <v>21</v>
      </c>
      <c r="C21" s="1">
        <v>207</v>
      </c>
      <c r="D21" s="1">
        <v>1238</v>
      </c>
      <c r="E21" s="1">
        <v>2910</v>
      </c>
      <c r="F21" s="1">
        <f t="shared" si="15"/>
        <v>6048</v>
      </c>
      <c r="G21" s="1">
        <v>7336</v>
      </c>
      <c r="H21" s="1">
        <v>7573</v>
      </c>
      <c r="I21" s="1">
        <v>7637</v>
      </c>
      <c r="J21" s="1">
        <f t="shared" si="16"/>
        <v>7024</v>
      </c>
      <c r="K21" s="1">
        <v>6836</v>
      </c>
      <c r="L21" s="1">
        <v>6300</v>
      </c>
      <c r="Q21" s="1">
        <v>681</v>
      </c>
      <c r="R21" s="1">
        <v>10403</v>
      </c>
      <c r="S21" s="1">
        <v>29570</v>
      </c>
      <c r="T21" s="1">
        <f>+T$18*(S21/S$18)</f>
        <v>30004.542094799628</v>
      </c>
      <c r="U21" s="1">
        <f t="shared" ref="U21:AC21" si="24">+U$18*(T21/T$18)</f>
        <v>31231.177899232014</v>
      </c>
      <c r="V21" s="1">
        <f t="shared" si="24"/>
        <v>32494.877319003816</v>
      </c>
      <c r="W21" s="1">
        <f t="shared" si="24"/>
        <v>33796.632244406777</v>
      </c>
      <c r="X21" s="1">
        <f t="shared" si="24"/>
        <v>35137.459415898244</v>
      </c>
      <c r="Y21" s="1">
        <f t="shared" si="24"/>
        <v>36518.401021351652</v>
      </c>
      <c r="Z21" s="1">
        <f t="shared" si="24"/>
        <v>37940.525307256816</v>
      </c>
      <c r="AA21" s="1">
        <f t="shared" si="24"/>
        <v>39404.92720418964</v>
      </c>
      <c r="AB21" s="1">
        <f t="shared" si="24"/>
        <v>40912.728966876864</v>
      </c>
      <c r="AC21" s="1">
        <f t="shared" si="24"/>
        <v>42465.080829189916</v>
      </c>
    </row>
    <row r="22" spans="2:219">
      <c r="B22" s="1" t="s">
        <v>22</v>
      </c>
      <c r="C22" s="1">
        <f t="shared" ref="C22:K22" si="25">+C18+SUM(C19:C21)</f>
        <v>48380</v>
      </c>
      <c r="D22" s="1">
        <f t="shared" si="25"/>
        <v>67254</v>
      </c>
      <c r="E22" s="1">
        <f t="shared" si="25"/>
        <v>69779</v>
      </c>
      <c r="F22" s="1">
        <f t="shared" si="25"/>
        <v>60825</v>
      </c>
      <c r="G22" s="1">
        <f t="shared" si="25"/>
        <v>65308</v>
      </c>
      <c r="H22" s="1">
        <f t="shared" si="25"/>
        <v>81915</v>
      </c>
      <c r="I22" s="1">
        <f t="shared" si="25"/>
        <v>82677</v>
      </c>
      <c r="J22" s="1">
        <f t="shared" si="25"/>
        <v>69734</v>
      </c>
      <c r="K22" s="1">
        <f t="shared" si="25"/>
        <v>70851</v>
      </c>
      <c r="L22" s="1">
        <f t="shared" ref="L22" si="26">+L18+SUM(L19:L21)</f>
        <v>143196</v>
      </c>
      <c r="Q22" s="1">
        <f>+Q18+SUM(Q19:Q21)</f>
        <v>520329</v>
      </c>
      <c r="R22" s="1">
        <f>+R18+SUM(R19:R21)</f>
        <v>246238</v>
      </c>
      <c r="S22" s="1">
        <f>+S18+SUM(S19:S21)</f>
        <v>299634</v>
      </c>
      <c r="T22" s="1">
        <f>+T18+SUM(T19:T21)</f>
        <v>314547.44717792107</v>
      </c>
      <c r="U22" s="1">
        <f t="shared" ref="U22:AC22" si="27">+U18+SUM(U19:U21)</f>
        <v>327406.67228064698</v>
      </c>
      <c r="V22" s="1">
        <f t="shared" si="27"/>
        <v>340654.44740861113</v>
      </c>
      <c r="W22" s="1">
        <f t="shared" si="27"/>
        <v>354301.17087278143</v>
      </c>
      <c r="X22" s="1">
        <f t="shared" si="27"/>
        <v>368357.50149655493</v>
      </c>
      <c r="Y22" s="1">
        <f t="shared" si="27"/>
        <v>382834.36487693072</v>
      </c>
      <c r="Z22" s="1">
        <f t="shared" si="27"/>
        <v>397742.95979192283</v>
      </c>
      <c r="AA22" s="1">
        <f t="shared" si="27"/>
        <v>413094.76475756365</v>
      </c>
      <c r="AB22" s="1">
        <f t="shared" si="27"/>
        <v>428901.54473791324</v>
      </c>
      <c r="AC22" s="1">
        <f t="shared" si="27"/>
        <v>445175.3580115739</v>
      </c>
    </row>
    <row r="23" spans="2:219">
      <c r="B23" s="1" t="s">
        <v>23</v>
      </c>
      <c r="C23" s="1">
        <v>-13432</v>
      </c>
      <c r="D23" s="1">
        <v>-17239</v>
      </c>
      <c r="E23" s="1">
        <v>-18587</v>
      </c>
      <c r="F23" s="1">
        <f t="shared" si="15"/>
        <v>-16877</v>
      </c>
      <c r="G23" s="1">
        <v>-15460</v>
      </c>
      <c r="H23" s="1">
        <v>-19252</v>
      </c>
      <c r="I23" s="1">
        <v>-19915</v>
      </c>
      <c r="J23" s="1">
        <f t="shared" si="16"/>
        <v>-20351</v>
      </c>
      <c r="K23" s="1">
        <v>-15464</v>
      </c>
      <c r="L23" s="1">
        <v>-20180</v>
      </c>
      <c r="Q23" s="1">
        <v>-40186</v>
      </c>
      <c r="R23" s="1">
        <v>-66135</v>
      </c>
      <c r="S23" s="1">
        <v>-74978</v>
      </c>
      <c r="T23" s="1">
        <f>+T22*(S23/S22)</f>
        <v>-78709.820963262406</v>
      </c>
      <c r="U23" s="1">
        <f t="shared" ref="U23:AC23" si="28">+U22*(T23/T22)</f>
        <v>-81927.609931644445</v>
      </c>
      <c r="V23" s="1">
        <f t="shared" si="28"/>
        <v>-85242.626530376554</v>
      </c>
      <c r="W23" s="1">
        <f t="shared" si="28"/>
        <v>-88657.472749085238</v>
      </c>
      <c r="X23" s="1">
        <f t="shared" si="28"/>
        <v>-92174.815765930092</v>
      </c>
      <c r="Y23" s="1">
        <f t="shared" si="28"/>
        <v>-95797.389514349226</v>
      </c>
      <c r="Z23" s="1">
        <f t="shared" si="28"/>
        <v>-99527.996286398717</v>
      </c>
      <c r="AA23" s="1">
        <f t="shared" si="28"/>
        <v>-103369.5083735244</v>
      </c>
      <c r="AB23" s="1">
        <f t="shared" si="28"/>
        <v>-107324.86974562053</v>
      </c>
      <c r="AC23" s="1">
        <f t="shared" si="28"/>
        <v>-111397.09776925112</v>
      </c>
    </row>
    <row r="24" spans="2:219" s="3" customFormat="1">
      <c r="B24" s="3" t="s">
        <v>24</v>
      </c>
      <c r="C24" s="3">
        <f t="shared" ref="C24" si="29">+SUM(C22:C23)</f>
        <v>34948</v>
      </c>
      <c r="D24" s="3">
        <f t="shared" ref="D24" si="30">+SUM(D22:D23)</f>
        <v>50015</v>
      </c>
      <c r="E24" s="3">
        <f t="shared" ref="E24:F24" si="31">+SUM(E22:E23)</f>
        <v>51192</v>
      </c>
      <c r="F24" s="3">
        <f t="shared" si="31"/>
        <v>43948</v>
      </c>
      <c r="G24" s="3">
        <f t="shared" ref="G24:J24" si="32">+SUM(G22:G23)</f>
        <v>49848</v>
      </c>
      <c r="H24" s="3">
        <f t="shared" si="32"/>
        <v>62663</v>
      </c>
      <c r="I24" s="3">
        <f t="shared" si="32"/>
        <v>62762</v>
      </c>
      <c r="J24" s="3">
        <f t="shared" si="32"/>
        <v>49383</v>
      </c>
      <c r="K24" s="3">
        <f t="shared" ref="K24" si="33">+SUM(K22:K23)</f>
        <v>55387</v>
      </c>
      <c r="L24" s="3">
        <f t="shared" ref="L24" si="34">+SUM(L22:L23)</f>
        <v>123016</v>
      </c>
      <c r="Q24" s="3">
        <f t="shared" ref="Q24:R24" si="35">+SUM(Q22:Q23)</f>
        <v>480143</v>
      </c>
      <c r="R24" s="3">
        <f t="shared" si="35"/>
        <v>180103</v>
      </c>
      <c r="S24" s="3">
        <f>+SUM(S22:S23)</f>
        <v>224656</v>
      </c>
      <c r="T24" s="3">
        <f>+SUM(T22:T23)</f>
        <v>235837.62621465867</v>
      </c>
      <c r="U24" s="3">
        <f t="shared" ref="U24:AC24" si="36">+SUM(U22:U23)</f>
        <v>245479.06234900252</v>
      </c>
      <c r="V24" s="3">
        <f t="shared" si="36"/>
        <v>255411.82087823458</v>
      </c>
      <c r="W24" s="3">
        <f t="shared" si="36"/>
        <v>265643.6981236962</v>
      </c>
      <c r="X24" s="3">
        <f t="shared" si="36"/>
        <v>276182.68573062483</v>
      </c>
      <c r="Y24" s="3">
        <f t="shared" si="36"/>
        <v>287036.97536258149</v>
      </c>
      <c r="Z24" s="3">
        <f t="shared" si="36"/>
        <v>298214.96350552409</v>
      </c>
      <c r="AA24" s="3">
        <f t="shared" si="36"/>
        <v>309725.25638403924</v>
      </c>
      <c r="AB24" s="3">
        <f t="shared" si="36"/>
        <v>321576.67499229271</v>
      </c>
      <c r="AC24" s="3">
        <f t="shared" si="36"/>
        <v>333778.26024232281</v>
      </c>
      <c r="AD24" s="3">
        <f>+AC24*(1+$AF$32)</f>
        <v>337116.04284474603</v>
      </c>
      <c r="AE24" s="3">
        <f>+AD24*(1+$AF$32)</f>
        <v>340487.2032731935</v>
      </c>
      <c r="AF24" s="3">
        <f>+AE24*(1+$AF$32)</f>
        <v>343892.07530592545</v>
      </c>
      <c r="AG24" s="3">
        <f>+AF24*(1+$AF$32)</f>
        <v>347330.99605898472</v>
      </c>
      <c r="AH24" s="3">
        <f>+AG24*(1+$AF$32)</f>
        <v>350804.30601957458</v>
      </c>
      <c r="AI24" s="3">
        <f>+AH24*(1+$AF$32)</f>
        <v>354312.34907977033</v>
      </c>
      <c r="AJ24" s="3">
        <f>+AI24*(1+$AF$32)</f>
        <v>357855.47257056803</v>
      </c>
      <c r="AK24" s="3">
        <f>+AJ24*(1+$AF$32)</f>
        <v>361434.02729627374</v>
      </c>
      <c r="AL24" s="3">
        <f>+AK24*(1+$AF$32)</f>
        <v>365048.36756923649</v>
      </c>
      <c r="AM24" s="3">
        <f>+AL24*(1+$AF$32)</f>
        <v>368698.85124492884</v>
      </c>
      <c r="AN24" s="3">
        <f>+AM24*(1+$AF$32)</f>
        <v>372385.83975737815</v>
      </c>
      <c r="AO24" s="3">
        <f>+AN24*(1+$AF$32)</f>
        <v>376109.69815495191</v>
      </c>
      <c r="AP24" s="3">
        <f>+AO24*(1+$AF$32)</f>
        <v>379870.79513650143</v>
      </c>
      <c r="AQ24" s="3">
        <f>+AP24*(1+$AF$32)</f>
        <v>383669.50308786647</v>
      </c>
      <c r="AR24" s="3">
        <f>+AQ24*(1+$AF$32)</f>
        <v>387506.19811874512</v>
      </c>
      <c r="AS24" s="3">
        <f>+AR24*(1+$AF$32)</f>
        <v>391381.26009993255</v>
      </c>
      <c r="AT24" s="3">
        <f>+AS24*(1+$AF$32)</f>
        <v>395295.07270093187</v>
      </c>
      <c r="AU24" s="3">
        <f>+AT24*(1+$AF$32)</f>
        <v>399248.0234279412</v>
      </c>
      <c r="AV24" s="3">
        <f>+AU24*(1+$AF$32)</f>
        <v>403240.50366222061</v>
      </c>
      <c r="AW24" s="3">
        <f>+AV24*(1+$AF$32)</f>
        <v>407272.9086988428</v>
      </c>
      <c r="AX24" s="3">
        <f>+AW24*(1+$AF$32)</f>
        <v>411345.63778583123</v>
      </c>
      <c r="AY24" s="3">
        <f>+AX24*(1+$AF$32)</f>
        <v>415459.09416368953</v>
      </c>
      <c r="AZ24" s="3">
        <f>+AY24*(1+$AF$32)</f>
        <v>419613.68510532641</v>
      </c>
      <c r="BA24" s="3">
        <f>+AZ24*(1+$AF$32)</f>
        <v>423809.82195637969</v>
      </c>
      <c r="BB24" s="3">
        <f>+BA24*(1+$AF$32)</f>
        <v>428047.92017594347</v>
      </c>
      <c r="BC24" s="3">
        <f>+BB24*(1+$AF$32)</f>
        <v>432328.39937770291</v>
      </c>
      <c r="BD24" s="3">
        <f>+BC24*(1+$AF$32)</f>
        <v>436651.68337147991</v>
      </c>
      <c r="BE24" s="3">
        <f>+BD24*(1+$AF$32)</f>
        <v>441018.20020519471</v>
      </c>
      <c r="BF24" s="3">
        <f>+BE24*(1+$AF$32)</f>
        <v>445428.38220724667</v>
      </c>
      <c r="BG24" s="3">
        <f>+BF24*(1+$AF$32)</f>
        <v>449882.66602931917</v>
      </c>
      <c r="BH24" s="3">
        <f>+BG24*(1+$AF$32)</f>
        <v>454381.49268961238</v>
      </c>
      <c r="BI24" s="3">
        <f>+BH24*(1+$AF$32)</f>
        <v>458925.30761650851</v>
      </c>
      <c r="BJ24" s="3">
        <f>+BI24*(1+$AF$32)</f>
        <v>463514.56069267361</v>
      </c>
      <c r="BK24" s="3">
        <f>+BJ24*(1+$AF$32)</f>
        <v>468149.70629960037</v>
      </c>
      <c r="BL24" s="3">
        <f>+BK24*(1+$AF$32)</f>
        <v>472831.2033625964</v>
      </c>
      <c r="BM24" s="3">
        <f>+BL24*(1+$AF$32)</f>
        <v>477559.51539622236</v>
      </c>
      <c r="BN24" s="3">
        <f>+BM24*(1+$AF$32)</f>
        <v>482335.11055018456</v>
      </c>
      <c r="BO24" s="3">
        <f>+BN24*(1+$AF$32)</f>
        <v>487158.46165568643</v>
      </c>
      <c r="BP24" s="3">
        <f>+BO24*(1+$AF$32)</f>
        <v>492030.04627224331</v>
      </c>
      <c r="BQ24" s="3">
        <f>+BP24*(1+$AF$32)</f>
        <v>496950.34673496574</v>
      </c>
      <c r="BR24" s="3">
        <f>+BQ24*(1+$AF$32)</f>
        <v>501919.85020231543</v>
      </c>
      <c r="BS24" s="3">
        <f>+BR24*(1+$AF$32)</f>
        <v>506939.04870433861</v>
      </c>
      <c r="BT24" s="3">
        <f>+BS24*(1+$AF$32)</f>
        <v>512008.43919138197</v>
      </c>
      <c r="BU24" s="3">
        <f>+BT24*(1+$AF$32)</f>
        <v>517128.52358329581</v>
      </c>
      <c r="BV24" s="3">
        <f>+BU24*(1+$AF$32)</f>
        <v>522299.80881912878</v>
      </c>
      <c r="BW24" s="3">
        <f>+BV24*(1+$AF$32)</f>
        <v>527522.80690732005</v>
      </c>
      <c r="BX24" s="3">
        <f>+BW24*(1+$AF$32)</f>
        <v>532798.03497639322</v>
      </c>
      <c r="BY24" s="3">
        <f>+BX24*(1+$AF$32)</f>
        <v>538126.01532615721</v>
      </c>
      <c r="BZ24" s="3">
        <f>+BY24*(1+$AF$32)</f>
        <v>543507.27547941881</v>
      </c>
      <c r="CA24" s="3">
        <f>+BZ24*(1+$AF$32)</f>
        <v>548942.34823421296</v>
      </c>
      <c r="CB24" s="3">
        <f>+CA24*(1+$AF$32)</f>
        <v>554431.77171655511</v>
      </c>
      <c r="CC24" s="3">
        <f>+CB24*(1+$AF$32)</f>
        <v>559976.08943372068</v>
      </c>
      <c r="CD24" s="3">
        <f>+CC24*(1+$AF$32)</f>
        <v>565575.85032805789</v>
      </c>
      <c r="CE24" s="3">
        <f>+CD24*(1+$AF$32)</f>
        <v>571231.60883133847</v>
      </c>
      <c r="CF24" s="3">
        <f>+CE24*(1+$AF$32)</f>
        <v>576943.92491965182</v>
      </c>
      <c r="CG24" s="3">
        <f>+CF24*(1+$AF$32)</f>
        <v>582713.36416884838</v>
      </c>
      <c r="CH24" s="3">
        <f>+CG24*(1+$AF$32)</f>
        <v>588540.49781053688</v>
      </c>
      <c r="CI24" s="3">
        <f>+CH24*(1+$AF$32)</f>
        <v>594425.90278864221</v>
      </c>
      <c r="CJ24" s="3">
        <f>+CI24*(1+$AF$32)</f>
        <v>600370.16181652865</v>
      </c>
      <c r="CK24" s="3">
        <f>+CJ24*(1+$AF$32)</f>
        <v>606373.86343469389</v>
      </c>
      <c r="CL24" s="3">
        <f>+CK24*(1+$AF$32)</f>
        <v>612437.60206904088</v>
      </c>
      <c r="CM24" s="3">
        <f>+CL24*(1+$AF$32)</f>
        <v>618561.9780897313</v>
      </c>
      <c r="CN24" s="3">
        <f>+CM24*(1+$AF$32)</f>
        <v>624747.59787062858</v>
      </c>
      <c r="CO24" s="3">
        <f>+CN24*(1+$AF$32)</f>
        <v>630995.07384933485</v>
      </c>
      <c r="CP24" s="3">
        <f>+CO24*(1+$AF$32)</f>
        <v>637305.0245878282</v>
      </c>
      <c r="CQ24" s="3">
        <f>+CP24*(1+$AF$32)</f>
        <v>643678.07483370649</v>
      </c>
      <c r="CR24" s="3">
        <f>+CQ24*(1+$AF$32)</f>
        <v>650114.85558204353</v>
      </c>
      <c r="CS24" s="3">
        <f>+CR24*(1+$AF$32)</f>
        <v>656616.00413786399</v>
      </c>
      <c r="CT24" s="3">
        <f>+CS24*(1+$AF$32)</f>
        <v>663182.16417924268</v>
      </c>
      <c r="CU24" s="3">
        <f>+CT24*(1+$AF$32)</f>
        <v>669813.98582103511</v>
      </c>
      <c r="CV24" s="3">
        <f>+CU24*(1+$AF$32)</f>
        <v>676512.12567924545</v>
      </c>
      <c r="CW24" s="3">
        <f>+CV24*(1+$AF$32)</f>
        <v>683277.2469360379</v>
      </c>
      <c r="CX24" s="3">
        <f>+CW24*(1+$AF$32)</f>
        <v>690110.01940539829</v>
      </c>
      <c r="CY24" s="3">
        <f>+CX24*(1+$AF$32)</f>
        <v>697011.11959945224</v>
      </c>
      <c r="CZ24" s="3">
        <f>+CY24*(1+$AF$32)</f>
        <v>703981.23079544678</v>
      </c>
      <c r="DA24" s="3">
        <f>+CZ24*(1+$AF$32)</f>
        <v>711021.0431034012</v>
      </c>
      <c r="DB24" s="3">
        <f>+DA24*(1+$AF$32)</f>
        <v>718131.25353443518</v>
      </c>
      <c r="DC24" s="3">
        <f>+DB24*(1+$AF$32)</f>
        <v>725312.56606977957</v>
      </c>
      <c r="DD24" s="3">
        <f>+DC24*(1+$AF$32)</f>
        <v>732565.69173047738</v>
      </c>
      <c r="DE24" s="3">
        <f>+DD24*(1+$AF$32)</f>
        <v>739891.34864778211</v>
      </c>
      <c r="DF24" s="3">
        <f>+DE24*(1+$AF$32)</f>
        <v>747290.26213425992</v>
      </c>
      <c r="DG24" s="3">
        <f>+DF24*(1+$AF$32)</f>
        <v>754763.16475560248</v>
      </c>
      <c r="DH24" s="3">
        <f>+DG24*(1+$AF$32)</f>
        <v>762310.79640315857</v>
      </c>
      <c r="DI24" s="3">
        <f>+DH24*(1+$AF$32)</f>
        <v>769933.9043671902</v>
      </c>
      <c r="DJ24" s="3">
        <f>+DI24*(1+$AF$32)</f>
        <v>777633.24341086217</v>
      </c>
      <c r="DK24" s="3">
        <f>+DJ24*(1+$AF$32)</f>
        <v>785409.57584497076</v>
      </c>
      <c r="DL24" s="3">
        <f>+DK24*(1+$AF$32)</f>
        <v>793263.67160342052</v>
      </c>
      <c r="DM24" s="3">
        <f>+DL24*(1+$AF$32)</f>
        <v>801196.30831945478</v>
      </c>
      <c r="DN24" s="3">
        <f>+DM24*(1+$AF$32)</f>
        <v>809208.27140264935</v>
      </c>
      <c r="DO24" s="3">
        <f>+DN24*(1+$AF$32)</f>
        <v>817300.35411667579</v>
      </c>
      <c r="DP24" s="3">
        <f>+DO24*(1+$AF$32)</f>
        <v>825473.35765784257</v>
      </c>
      <c r="DQ24" s="3">
        <f>+DP24*(1+$AF$32)</f>
        <v>833728.09123442101</v>
      </c>
      <c r="DR24" s="3">
        <f>+DQ24*(1+$AF$32)</f>
        <v>842065.37214676524</v>
      </c>
      <c r="DS24" s="3">
        <f>+DR24*(1+$AF$32)</f>
        <v>850486.02586823294</v>
      </c>
      <c r="DT24" s="3">
        <f>+DS24*(1+$AF$32)</f>
        <v>858990.88612691523</v>
      </c>
      <c r="DU24" s="3">
        <f>+DT24*(1+$AF$32)</f>
        <v>867580.79498818435</v>
      </c>
      <c r="DV24" s="3">
        <f>+DU24*(1+$AF$32)</f>
        <v>876256.60293806624</v>
      </c>
      <c r="DW24" s="3">
        <f>+DV24*(1+$AF$32)</f>
        <v>885019.16896744689</v>
      </c>
      <c r="DX24" s="3">
        <f>+DW24*(1+$AF$32)</f>
        <v>893869.3606571214</v>
      </c>
      <c r="DY24" s="3">
        <f>+DX24*(1+$AF$32)</f>
        <v>902808.05426369258</v>
      </c>
      <c r="DZ24" s="3">
        <f>+DY24*(1+$AF$32)</f>
        <v>911836.1348063295</v>
      </c>
      <c r="EA24" s="3">
        <f>+DZ24*(1+$AF$32)</f>
        <v>920954.49615439284</v>
      </c>
      <c r="EB24" s="3">
        <f>+EA24*(1+$AF$32)</f>
        <v>930164.04111593682</v>
      </c>
      <c r="EC24" s="3">
        <f>+EB24*(1+$AF$32)</f>
        <v>939465.6815270962</v>
      </c>
      <c r="ED24" s="3">
        <f>+EC24*(1+$AF$32)</f>
        <v>948860.33834236721</v>
      </c>
      <c r="EE24" s="3">
        <f>+ED24*(1+$AF$32)</f>
        <v>958348.94172579085</v>
      </c>
      <c r="EF24" s="3">
        <f>+EE24*(1+$AF$32)</f>
        <v>967932.4311430488</v>
      </c>
      <c r="EG24" s="3">
        <f>+EF24*(1+$AF$32)</f>
        <v>977611.75545447925</v>
      </c>
      <c r="EH24" s="3">
        <f>+EG24*(1+$AF$32)</f>
        <v>987387.87300902407</v>
      </c>
      <c r="EI24" s="3">
        <f>+EH24*(1+$AF$32)</f>
        <v>997261.75173911429</v>
      </c>
      <c r="EJ24" s="3">
        <f>+EI24*(1+$AF$32)</f>
        <v>1007234.3692565054</v>
      </c>
      <c r="EK24" s="3">
        <f>+EJ24*(1+$AF$32)</f>
        <v>1017306.7129490705</v>
      </c>
      <c r="EL24" s="3">
        <f>+EK24*(1+$AF$32)</f>
        <v>1027479.7800785612</v>
      </c>
      <c r="EM24" s="3">
        <f>+EL24*(1+$AF$32)</f>
        <v>1037754.5778793468</v>
      </c>
      <c r="EN24" s="3">
        <f>+EM24*(1+$AF$32)</f>
        <v>1048132.1236581403</v>
      </c>
      <c r="EO24" s="3">
        <f>+EN24*(1+$AF$32)</f>
        <v>1058613.4448947217</v>
      </c>
      <c r="EP24" s="3">
        <f>+EO24*(1+$AF$32)</f>
        <v>1069199.5793436689</v>
      </c>
      <c r="EQ24" s="3">
        <f>+EP24*(1+$AF$32)</f>
        <v>1079891.5751371055</v>
      </c>
      <c r="ER24" s="3">
        <f>+EQ24*(1+$AF$32)</f>
        <v>1090690.4908884766</v>
      </c>
      <c r="ES24" s="3">
        <f>+ER24*(1+$AF$32)</f>
        <v>1101597.3957973614</v>
      </c>
      <c r="ET24" s="3">
        <f>+ES24*(1+$AF$32)</f>
        <v>1112613.3697553349</v>
      </c>
      <c r="EU24" s="3">
        <f>+ET24*(1+$AF$32)</f>
        <v>1123739.5034528882</v>
      </c>
      <c r="EV24" s="3">
        <f>+EU24*(1+$AF$32)</f>
        <v>1134976.898487417</v>
      </c>
      <c r="EW24" s="3">
        <f>+EV24*(1+$AF$32)</f>
        <v>1146326.6674722913</v>
      </c>
      <c r="EX24" s="3">
        <f>+EW24*(1+$AF$32)</f>
        <v>1157789.9341470143</v>
      </c>
      <c r="EY24" s="3">
        <f>+EX24*(1+$AF$32)</f>
        <v>1169367.8334884844</v>
      </c>
      <c r="EZ24" s="3">
        <f>+EY24*(1+$AF$32)</f>
        <v>1181061.5118233692</v>
      </c>
      <c r="FA24" s="3">
        <f>+EZ24*(1+$AF$32)</f>
        <v>1192872.1269416029</v>
      </c>
      <c r="FB24" s="3">
        <f>+FA24*(1+$AF$32)</f>
        <v>1204800.8482110188</v>
      </c>
      <c r="FC24" s="3">
        <f>+FB24*(1+$AF$32)</f>
        <v>1216848.8566931291</v>
      </c>
      <c r="FD24" s="3">
        <f>+FC24*(1+$AF$32)</f>
        <v>1229017.3452600604</v>
      </c>
      <c r="FE24" s="3">
        <f>+FD24*(1+$AF$32)</f>
        <v>1241307.518712661</v>
      </c>
      <c r="FF24" s="3">
        <f>+FE24*(1+$AF$32)</f>
        <v>1253720.5938997876</v>
      </c>
      <c r="FG24" s="3">
        <f>+FF24*(1+$AF$32)</f>
        <v>1266257.7998387855</v>
      </c>
      <c r="FH24" s="3">
        <f>+FG24*(1+$AF$32)</f>
        <v>1278920.3778371734</v>
      </c>
      <c r="FI24" s="3">
        <f>+FH24*(1+$AF$32)</f>
        <v>1291709.5816155451</v>
      </c>
      <c r="FJ24" s="3">
        <f>+FI24*(1+$AF$32)</f>
        <v>1304626.6774317005</v>
      </c>
      <c r="FK24" s="3">
        <f>+FJ24*(1+$AF$32)</f>
        <v>1317672.9442060175</v>
      </c>
      <c r="FL24" s="3">
        <f>+FK24*(1+$AF$32)</f>
        <v>1330849.6736480778</v>
      </c>
      <c r="FM24" s="3">
        <f>+FL24*(1+$AF$32)</f>
        <v>1344158.1703845586</v>
      </c>
      <c r="FN24" s="3">
        <f>+FM24*(1+$AF$32)</f>
        <v>1357599.7520884043</v>
      </c>
      <c r="FO24" s="3">
        <f>+FN24*(1+$AF$32)</f>
        <v>1371175.7496092883</v>
      </c>
      <c r="FP24" s="3">
        <f>+FO24*(1+$AF$32)</f>
        <v>1384887.5071053812</v>
      </c>
      <c r="FQ24" s="3">
        <f>+FP24*(1+$AF$32)</f>
        <v>1398736.3821764351</v>
      </c>
      <c r="FR24" s="3">
        <f>+FQ24*(1+$AF$32)</f>
        <v>1412723.7459981996</v>
      </c>
      <c r="FS24" s="3">
        <f>+FR24*(1+$AF$32)</f>
        <v>1426850.9834581816</v>
      </c>
      <c r="FT24" s="3">
        <f>+FS24*(1+$AF$32)</f>
        <v>1441119.4932927634</v>
      </c>
      <c r="FU24" s="3">
        <f>+FT24*(1+$AF$32)</f>
        <v>1455530.688225691</v>
      </c>
      <c r="FV24" s="3">
        <f>+FU24*(1+$AF$32)</f>
        <v>1470085.9951079478</v>
      </c>
      <c r="FW24" s="3">
        <f>+FV24*(1+$AF$32)</f>
        <v>1484786.8550590274</v>
      </c>
      <c r="FX24" s="3">
        <f>+FW24*(1+$AF$32)</f>
        <v>1499634.7236096177</v>
      </c>
      <c r="FY24" s="3">
        <f>+FX24*(1+$AF$32)</f>
        <v>1514631.0708457138</v>
      </c>
      <c r="FZ24" s="3">
        <f>+FY24*(1+$AF$32)</f>
        <v>1529777.381554171</v>
      </c>
      <c r="GA24" s="3">
        <f>+FZ24*(1+$AF$32)</f>
        <v>1545075.1553697127</v>
      </c>
      <c r="GB24" s="3">
        <f>+GA24*(1+$AF$32)</f>
        <v>1560525.9069234098</v>
      </c>
      <c r="GC24" s="3">
        <f>+GB24*(1+$AF$32)</f>
        <v>1576131.1659926439</v>
      </c>
      <c r="GD24" s="3">
        <f>+GC24*(1+$AF$32)</f>
        <v>1591892.4776525705</v>
      </c>
      <c r="GE24" s="3">
        <f>+GD24*(1+$AF$32)</f>
        <v>1607811.4024290962</v>
      </c>
      <c r="GF24" s="3">
        <f>+GE24*(1+$AF$32)</f>
        <v>1623889.5164533872</v>
      </c>
      <c r="GG24" s="3">
        <f>+GF24*(1+$AF$32)</f>
        <v>1640128.4116179212</v>
      </c>
      <c r="GH24" s="3">
        <f>+GG24*(1+$AF$32)</f>
        <v>1656529.6957341004</v>
      </c>
      <c r="GI24" s="3">
        <f>+GH24*(1+$AF$32)</f>
        <v>1673094.9926914414</v>
      </c>
      <c r="GJ24" s="3">
        <f>+GI24*(1+$AF$32)</f>
        <v>1689825.9426183559</v>
      </c>
      <c r="GK24" s="3">
        <f>+GJ24*(1+$AF$32)</f>
        <v>1706724.2020445394</v>
      </c>
      <c r="GL24" s="3">
        <f>+GK24*(1+$AF$32)</f>
        <v>1723791.4440649848</v>
      </c>
      <c r="GM24" s="3">
        <f>+GL24*(1+$AF$32)</f>
        <v>1741029.3585056346</v>
      </c>
      <c r="GN24" s="3">
        <f>+GM24*(1+$AF$32)</f>
        <v>1758439.652090691</v>
      </c>
      <c r="GO24" s="3">
        <f>+GN24*(1+$AF$32)</f>
        <v>1776024.0486115979</v>
      </c>
      <c r="GP24" s="3">
        <f>+GO24*(1+$AF$32)</f>
        <v>1793784.2890977138</v>
      </c>
      <c r="GQ24" s="3">
        <f>+GP24*(1+$AF$32)</f>
        <v>1811722.1319886909</v>
      </c>
      <c r="GR24" s="3">
        <f>+GQ24*(1+$AF$32)</f>
        <v>1829839.3533085778</v>
      </c>
      <c r="GS24" s="3">
        <f>+GR24*(1+$AF$32)</f>
        <v>1848137.7468416635</v>
      </c>
      <c r="GT24" s="3">
        <f>+GS24*(1+$AF$32)</f>
        <v>1866619.1243100802</v>
      </c>
      <c r="GU24" s="3">
        <f>+GT24*(1+$AF$32)</f>
        <v>1885285.3155531811</v>
      </c>
      <c r="GV24" s="3">
        <f>+GU24*(1+$AF$32)</f>
        <v>1904138.168708713</v>
      </c>
      <c r="GW24" s="3">
        <f>+GV24*(1+$AF$32)</f>
        <v>1923179.5503958003</v>
      </c>
      <c r="GX24" s="3">
        <f>+GW24*(1+$AF$32)</f>
        <v>1942411.3458997584</v>
      </c>
      <c r="GY24" s="3">
        <f>+GX24*(1+$AF$32)</f>
        <v>1961835.459358756</v>
      </c>
      <c r="GZ24" s="3">
        <f>+GY24*(1+$AF$32)</f>
        <v>1981453.8139523435</v>
      </c>
      <c r="HA24" s="3">
        <f>+GZ24*(1+$AF$32)</f>
        <v>2001268.352091867</v>
      </c>
      <c r="HB24" s="3">
        <f>+HA24*(1+$AF$32)</f>
        <v>2021281.0356127857</v>
      </c>
      <c r="HC24" s="3">
        <f>+HB24*(1+$AF$32)</f>
        <v>2041493.8459689135</v>
      </c>
      <c r="HD24" s="3">
        <f>+HC24*(1+$AF$32)</f>
        <v>2061908.7844286028</v>
      </c>
      <c r="HE24" s="3">
        <f>+HD24*(1+$AF$32)</f>
        <v>2082527.8722728889</v>
      </c>
      <c r="HF24" s="3">
        <f>+HE24*(1+$AF$32)</f>
        <v>2103353.1509956177</v>
      </c>
      <c r="HG24" s="3">
        <f>+HF24*(1+$AF$32)</f>
        <v>2124386.6825055741</v>
      </c>
      <c r="HH24" s="3">
        <f>+HG24*(1+$AF$32)</f>
        <v>2145630.5493306299</v>
      </c>
      <c r="HI24" s="3">
        <f>+HH24*(1+$AF$32)</f>
        <v>2167086.8548239362</v>
      </c>
      <c r="HJ24" s="3">
        <f>+HI24*(1+$AF$32)</f>
        <v>2188757.7233721758</v>
      </c>
      <c r="HK24" s="3">
        <f>+HJ24*(1+$AF$32)</f>
        <v>2210645.3006058978</v>
      </c>
    </row>
    <row r="25" spans="2:219" s="4" customFormat="1">
      <c r="B25" s="4" t="s">
        <v>25</v>
      </c>
      <c r="C25" s="4">
        <v>0.17</v>
      </c>
      <c r="D25" s="4">
        <v>0.22</v>
      </c>
      <c r="E25" s="4">
        <v>0.24</v>
      </c>
      <c r="F25" s="4">
        <f t="shared" si="15"/>
        <v>0.18999999999999995</v>
      </c>
      <c r="G25" s="4">
        <v>0.19</v>
      </c>
      <c r="H25" s="4">
        <v>0.28000000000000003</v>
      </c>
      <c r="I25" s="4">
        <v>0.28000000000000003</v>
      </c>
      <c r="J25" s="4">
        <f t="shared" si="16"/>
        <v>0.21999999999999997</v>
      </c>
      <c r="K25" s="4">
        <v>0.2</v>
      </c>
      <c r="L25" s="4">
        <v>0.27</v>
      </c>
      <c r="Q25" s="4">
        <v>0.89</v>
      </c>
      <c r="R25" s="4">
        <v>0.82</v>
      </c>
      <c r="S25" s="4">
        <v>0.97</v>
      </c>
      <c r="T25" s="4">
        <f>+T24/T26</f>
        <v>1.0182790463117783</v>
      </c>
      <c r="U25" s="4">
        <f t="shared" ref="U25:AC25" si="37">+U24/U26</f>
        <v>1.0599079947944077</v>
      </c>
      <c r="V25" s="4">
        <f t="shared" si="37"/>
        <v>1.1027947895978185</v>
      </c>
      <c r="W25" s="4">
        <f t="shared" si="37"/>
        <v>1.1469730929954478</v>
      </c>
      <c r="X25" s="4">
        <f t="shared" si="37"/>
        <v>1.1924774106131422</v>
      </c>
      <c r="Y25" s="4">
        <f t="shared" si="37"/>
        <v>1.2393431116983478</v>
      </c>
      <c r="Z25" s="4">
        <f t="shared" si="37"/>
        <v>1.2876064498627162</v>
      </c>
      <c r="AA25" s="4">
        <f t="shared" si="37"/>
        <v>1.3373045843089792</v>
      </c>
      <c r="AB25" s="4">
        <f t="shared" si="37"/>
        <v>1.3884756015531476</v>
      </c>
      <c r="AC25" s="4">
        <f t="shared" si="37"/>
        <v>1.4411585376533593</v>
      </c>
    </row>
    <row r="26" spans="2:219">
      <c r="B26" s="1" t="s">
        <v>26</v>
      </c>
      <c r="C26" s="1">
        <f t="shared" ref="C26" si="38">+C24/C25</f>
        <v>205576.47058823527</v>
      </c>
      <c r="D26" s="1">
        <f t="shared" ref="D26" si="39">+D24/D25</f>
        <v>227340.90909090909</v>
      </c>
      <c r="E26" s="1">
        <f t="shared" ref="E26" si="40">+E24/E25</f>
        <v>213300</v>
      </c>
      <c r="F26" s="1">
        <f>+F24/F25</f>
        <v>231305.26315789481</v>
      </c>
      <c r="G26" s="1">
        <f t="shared" ref="G26:I26" si="41">+G24/G25</f>
        <v>262357.89473684208</v>
      </c>
      <c r="H26" s="1">
        <f t="shared" si="41"/>
        <v>223796.42857142855</v>
      </c>
      <c r="I26" s="1">
        <f t="shared" si="41"/>
        <v>224149.99999999997</v>
      </c>
      <c r="J26" s="1">
        <f>+J24/J25</f>
        <v>224468.18181818185</v>
      </c>
      <c r="K26" s="1">
        <f t="shared" ref="K26" si="42">+K24/K25</f>
        <v>276935</v>
      </c>
      <c r="L26" s="1">
        <f t="shared" ref="L26" si="43">+L24/L25</f>
        <v>455614.81481481477</v>
      </c>
      <c r="Q26" s="1">
        <f t="shared" ref="Q26:R26" si="44">+Q24/Q25</f>
        <v>539486.51685393252</v>
      </c>
      <c r="R26" s="1">
        <f t="shared" si="44"/>
        <v>219637.8048780488</v>
      </c>
      <c r="S26" s="1">
        <f>+S24/S25</f>
        <v>231604.12371134022</v>
      </c>
      <c r="T26" s="1">
        <f>+S26</f>
        <v>231604.12371134022</v>
      </c>
      <c r="U26" s="1">
        <f t="shared" ref="U26:AC26" si="45">+T26</f>
        <v>231604.12371134022</v>
      </c>
      <c r="V26" s="1">
        <f t="shared" si="45"/>
        <v>231604.12371134022</v>
      </c>
      <c r="W26" s="1">
        <f t="shared" si="45"/>
        <v>231604.12371134022</v>
      </c>
      <c r="X26" s="1">
        <f t="shared" si="45"/>
        <v>231604.12371134022</v>
      </c>
      <c r="Y26" s="1">
        <f t="shared" si="45"/>
        <v>231604.12371134022</v>
      </c>
      <c r="Z26" s="1">
        <f t="shared" si="45"/>
        <v>231604.12371134022</v>
      </c>
      <c r="AA26" s="1">
        <f t="shared" si="45"/>
        <v>231604.12371134022</v>
      </c>
      <c r="AB26" s="1">
        <f t="shared" si="45"/>
        <v>231604.12371134022</v>
      </c>
      <c r="AC26" s="1">
        <f t="shared" si="45"/>
        <v>231604.12371134022</v>
      </c>
    </row>
    <row r="28" spans="2:219">
      <c r="Q28" s="5"/>
    </row>
    <row r="29" spans="2:219">
      <c r="Q29" s="5"/>
    </row>
    <row r="30" spans="2:219" s="12" customFormat="1">
      <c r="B30" s="12" t="s">
        <v>83</v>
      </c>
      <c r="H30" s="12">
        <f t="shared" ref="H30:K30" si="46">+H10/D10-1</f>
        <v>4.42222978413227E-2</v>
      </c>
      <c r="I30" s="12">
        <f t="shared" si="46"/>
        <v>3.3772149712055999E-2</v>
      </c>
      <c r="J30" s="12">
        <f t="shared" si="46"/>
        <v>7.7184022665002239E-3</v>
      </c>
      <c r="K30" s="12">
        <f t="shared" si="46"/>
        <v>1.1244177932591581E-2</v>
      </c>
      <c r="L30" s="12">
        <f>+L10/H10-1</f>
        <v>1.631511935394836E-2</v>
      </c>
      <c r="M30" s="12">
        <f>+M10/I10-1</f>
        <v>5.0000000000000044E-2</v>
      </c>
      <c r="N30" s="12">
        <f>+N10/J10-1</f>
        <v>5.0000000000000044E-2</v>
      </c>
      <c r="R30" s="5">
        <f>+R10/Q10-1</f>
        <v>-3.9454468279383037E-2</v>
      </c>
      <c r="S30" s="5">
        <f>+S10/R10-1</f>
        <v>4.1075063051627225E-2</v>
      </c>
      <c r="T30" s="5">
        <f>+T10/S10-1</f>
        <v>3.1934819658063995E-2</v>
      </c>
      <c r="U30" s="5">
        <f>+U10/T10-1</f>
        <v>4.0881670533642556E-2</v>
      </c>
      <c r="V30" s="5">
        <f>+V10/U10-1</f>
        <v>4.0462752440818317E-2</v>
      </c>
      <c r="W30" s="5">
        <f>+W10/V10-1</f>
        <v>4.006031204929883E-2</v>
      </c>
      <c r="X30" s="5">
        <f>+X10/W10-1</f>
        <v>3.9673395911019593E-2</v>
      </c>
      <c r="Y30" s="5">
        <f>+Y10/X10-1</f>
        <v>3.93011227450486E-2</v>
      </c>
      <c r="Z30" s="5">
        <f>+Z10/Y10-1</f>
        <v>3.8942676736412052E-2</v>
      </c>
      <c r="AA30" s="5">
        <f>+AA10/Z10-1</f>
        <v>3.8597301568007891E-2</v>
      </c>
      <c r="AB30" s="5">
        <f>+AB10/AA10-1</f>
        <v>3.8264295093708878E-2</v>
      </c>
      <c r="AC30" s="5">
        <f>+AC10/AB10-1</f>
        <v>3.7943004573707029E-2</v>
      </c>
    </row>
    <row r="31" spans="2:219">
      <c r="B31" s="1" t="s">
        <v>40</v>
      </c>
      <c r="C31" s="5">
        <f t="shared" ref="C31:I31" si="47">+C18/C10</f>
        <v>0.14822068463070176</v>
      </c>
      <c r="D31" s="5">
        <f t="shared" si="47"/>
        <v>0.18249926085428508</v>
      </c>
      <c r="E31" s="5">
        <f t="shared" si="47"/>
        <v>0.18548770206301907</v>
      </c>
      <c r="F31" s="5">
        <f t="shared" si="47"/>
        <v>0.16158133119606344</v>
      </c>
      <c r="G31" s="5">
        <f t="shared" si="47"/>
        <v>0.17631952678387389</v>
      </c>
      <c r="H31" s="5">
        <f t="shared" si="47"/>
        <v>0.19998575409792277</v>
      </c>
      <c r="I31" s="5">
        <f t="shared" si="47"/>
        <v>0.19252754039105993</v>
      </c>
      <c r="J31" s="5">
        <f>+J18/J10</f>
        <v>0.17190757068792992</v>
      </c>
      <c r="K31" s="5">
        <f>+K18/K10</f>
        <v>0.17681060227806109</v>
      </c>
      <c r="L31" s="5">
        <f>+L18/L10</f>
        <v>0.18553529095346813</v>
      </c>
      <c r="M31" s="5"/>
      <c r="N31" s="5"/>
      <c r="Q31" s="5">
        <f>+Q18/Q10</f>
        <v>0.28822897920679436</v>
      </c>
      <c r="R31" s="5">
        <f>+R18/R10</f>
        <v>0.16990987852570144</v>
      </c>
      <c r="S31" s="5">
        <f>+S18/S10</f>
        <v>0.18540845204709619</v>
      </c>
    </row>
    <row r="32" spans="2:219" s="8" customFormat="1">
      <c r="B32" s="8" t="s">
        <v>11</v>
      </c>
      <c r="C32" s="8">
        <f>+C11/C$10</f>
        <v>0.37870797289636809</v>
      </c>
      <c r="D32" s="8">
        <f>+D11/D$10</f>
        <v>0.36684871035343253</v>
      </c>
      <c r="E32" s="8">
        <f>+E11/E$10</f>
        <v>0.36834288139189475</v>
      </c>
      <c r="F32" s="8">
        <f>+F11/F$10</f>
        <v>0.36283200685914524</v>
      </c>
      <c r="G32" s="8">
        <f>+G11/G$10</f>
        <v>0.37165922538846874</v>
      </c>
      <c r="H32" s="8">
        <f>+H11/H$10</f>
        <v>0.35794609706801528</v>
      </c>
      <c r="I32" s="8">
        <f>+I11/I$10</f>
        <v>0.36240157659089467</v>
      </c>
      <c r="J32" s="8">
        <f>+J11/J$10</f>
        <v>0.36516162922106865</v>
      </c>
      <c r="K32" s="8">
        <f>+K11/K$10</f>
        <v>0.35925558154886461</v>
      </c>
      <c r="L32" s="8">
        <f>+L11/L$10</f>
        <v>0.3502304954908389</v>
      </c>
      <c r="N32" s="8">
        <f>AVERAGE(K32:L32)</f>
        <v>0.35474303851985178</v>
      </c>
      <c r="Q32" s="8">
        <f>+Q11/Q$10</f>
        <v>0.28038419896056893</v>
      </c>
      <c r="R32" s="8">
        <f>+R11/R$10</f>
        <v>0.3689654761024192</v>
      </c>
      <c r="S32" s="8">
        <f>+S11/S$10</f>
        <v>0.36418271544725883</v>
      </c>
      <c r="T32" s="8">
        <f>+T11/T$10</f>
        <v>0.35499999999999998</v>
      </c>
      <c r="U32" s="8">
        <f t="shared" ref="U32:AC32" si="48">+U11/U$10</f>
        <v>0.35499999999999998</v>
      </c>
      <c r="V32" s="8">
        <f t="shared" si="48"/>
        <v>0.35499999999999998</v>
      </c>
      <c r="W32" s="8">
        <f t="shared" si="48"/>
        <v>0.35499999999999998</v>
      </c>
      <c r="X32" s="8">
        <f t="shared" si="48"/>
        <v>0.35499999999999998</v>
      </c>
      <c r="Y32" s="8">
        <f t="shared" si="48"/>
        <v>0.35499999999999998</v>
      </c>
      <c r="Z32" s="8">
        <f t="shared" si="48"/>
        <v>0.35499999999999998</v>
      </c>
      <c r="AA32" s="8">
        <f t="shared" si="48"/>
        <v>0.35499999999999998</v>
      </c>
      <c r="AB32" s="8">
        <f t="shared" si="48"/>
        <v>0.35499999999999998</v>
      </c>
      <c r="AC32" s="8">
        <f t="shared" si="48"/>
        <v>0.35499999999999998</v>
      </c>
      <c r="AE32" s="1" t="s">
        <v>35</v>
      </c>
      <c r="AF32" s="5">
        <v>0.01</v>
      </c>
    </row>
    <row r="33" spans="2:32" s="8" customFormat="1">
      <c r="B33" s="8" t="s">
        <v>12</v>
      </c>
      <c r="C33" s="8">
        <f>+C12/C$10</f>
        <v>2.4181252980192084E-2</v>
      </c>
      <c r="D33" s="8">
        <f>+D12/D$10</f>
        <v>1.8431225977764264E-2</v>
      </c>
      <c r="E33" s="8">
        <f>+E12/E$10</f>
        <v>2.3899250613535525E-2</v>
      </c>
      <c r="F33" s="8">
        <f>+F12/F$10</f>
        <v>2.2888669363106001E-2</v>
      </c>
      <c r="G33" s="8">
        <f>+G12/G$10</f>
        <v>2.5075311030300279E-2</v>
      </c>
      <c r="H33" s="8">
        <f>+H12/H$10</f>
        <v>2.4551031492347278E-2</v>
      </c>
      <c r="I33" s="8">
        <f>+I12/I$10</f>
        <v>2.6892862656773618E-2</v>
      </c>
      <c r="J33" s="8">
        <f>+J12/J$10</f>
        <v>2.8465683037671254E-2</v>
      </c>
      <c r="K33" s="8">
        <f>+K12/K$10</f>
        <v>2.7567867781947926E-2</v>
      </c>
      <c r="L33" s="8">
        <f>+L12/L$10</f>
        <v>2.842339682545245E-2</v>
      </c>
      <c r="N33" s="8">
        <f t="shared" ref="N33:N37" si="49">AVERAGE(K33:L33)</f>
        <v>2.7995632303700189E-2</v>
      </c>
      <c r="Q33" s="8">
        <f t="shared" ref="Q33:T37" si="50">+Q12/Q$10</f>
        <v>1.9664664751844765E-2</v>
      </c>
      <c r="R33" s="8">
        <f t="shared" si="50"/>
        <v>2.2302977086668847E-2</v>
      </c>
      <c r="S33" s="8">
        <f t="shared" si="50"/>
        <v>2.6239263505590908E-2</v>
      </c>
      <c r="T33" s="8">
        <f t="shared" si="50"/>
        <v>2.8000000000000001E-2</v>
      </c>
      <c r="U33" s="8">
        <f t="shared" ref="U33:AC33" si="51">+U12/U$10</f>
        <v>2.8000000000000001E-2</v>
      </c>
      <c r="V33" s="8">
        <f t="shared" si="51"/>
        <v>2.8000000000000001E-2</v>
      </c>
      <c r="W33" s="8">
        <f t="shared" si="51"/>
        <v>2.8000000000000001E-2</v>
      </c>
      <c r="X33" s="8">
        <f t="shared" si="51"/>
        <v>2.8000000000000001E-2</v>
      </c>
      <c r="Y33" s="8">
        <f t="shared" si="51"/>
        <v>2.7999999999999997E-2</v>
      </c>
      <c r="Z33" s="8">
        <f t="shared" si="51"/>
        <v>2.8000000000000001E-2</v>
      </c>
      <c r="AA33" s="8">
        <f t="shared" si="51"/>
        <v>2.8000000000000001E-2</v>
      </c>
      <c r="AB33" s="8">
        <f t="shared" si="51"/>
        <v>2.8000000000000001E-2</v>
      </c>
      <c r="AC33" s="8">
        <f t="shared" si="51"/>
        <v>2.8000000000000001E-2</v>
      </c>
      <c r="AE33" s="8" t="s">
        <v>36</v>
      </c>
      <c r="AF33" s="8">
        <v>7.0000000000000007E-2</v>
      </c>
    </row>
    <row r="34" spans="2:32" s="8" customFormat="1">
      <c r="B34" s="8" t="s">
        <v>13</v>
      </c>
      <c r="C34" s="8">
        <f>+C13/C$10</f>
        <v>5.9217056214864429E-2</v>
      </c>
      <c r="D34" s="8">
        <f>+D13/D$10</f>
        <v>5.9644875349350944E-2</v>
      </c>
      <c r="E34" s="8">
        <f>+E13/E$10</f>
        <v>5.9498393635378705E-2</v>
      </c>
      <c r="F34" s="8">
        <f>+F13/F$10</f>
        <v>5.8496579746882632E-2</v>
      </c>
      <c r="G34" s="8">
        <f>+G13/G$10</f>
        <v>5.7920942801437954E-2</v>
      </c>
      <c r="H34" s="8">
        <f>+H13/H$10</f>
        <v>5.7688780461745304E-2</v>
      </c>
      <c r="I34" s="8">
        <f>+I13/I$10</f>
        <v>5.7897939352108324E-2</v>
      </c>
      <c r="J34" s="8">
        <f>+J13/J$10</f>
        <v>5.6357983246123657E-2</v>
      </c>
      <c r="K34" s="8">
        <f>+K13/K$10</f>
        <v>5.9425566569986515E-2</v>
      </c>
      <c r="L34" s="8">
        <f>+L13/L$10</f>
        <v>5.6752177485908321E-2</v>
      </c>
      <c r="N34" s="8">
        <f t="shared" si="49"/>
        <v>5.8088872027947422E-2</v>
      </c>
      <c r="Q34" s="8">
        <f t="shared" si="50"/>
        <v>6.0695056514137931E-2</v>
      </c>
      <c r="R34" s="8">
        <f t="shared" si="50"/>
        <v>5.9213888776213849E-2</v>
      </c>
      <c r="S34" s="8">
        <f t="shared" si="50"/>
        <v>5.7468034606142894E-2</v>
      </c>
      <c r="T34" s="8">
        <f t="shared" si="50"/>
        <v>5.8000000000000003E-2</v>
      </c>
      <c r="U34" s="8">
        <f t="shared" ref="U34:AC34" si="52">+U13/U$10</f>
        <v>5.800000000000001E-2</v>
      </c>
      <c r="V34" s="8">
        <f t="shared" si="52"/>
        <v>5.8000000000000003E-2</v>
      </c>
      <c r="W34" s="8">
        <f t="shared" si="52"/>
        <v>5.8000000000000003E-2</v>
      </c>
      <c r="X34" s="8">
        <f t="shared" si="52"/>
        <v>5.8000000000000003E-2</v>
      </c>
      <c r="Y34" s="8">
        <f t="shared" si="52"/>
        <v>5.8000000000000003E-2</v>
      </c>
      <c r="Z34" s="8">
        <f t="shared" si="52"/>
        <v>5.8000000000000003E-2</v>
      </c>
      <c r="AA34" s="8">
        <f t="shared" si="52"/>
        <v>5.8000000000000003E-2</v>
      </c>
      <c r="AB34" s="8">
        <f t="shared" si="52"/>
        <v>5.8000000000000003E-2</v>
      </c>
      <c r="AC34" s="8">
        <f t="shared" si="52"/>
        <v>5.8000000000000003E-2</v>
      </c>
      <c r="AE34" s="8" t="s">
        <v>37</v>
      </c>
      <c r="AF34" s="1">
        <f>NPV(AF33,T24:HK24)+(main!D5*1000-main!D6*1000)</f>
        <v>2551567.4730733568</v>
      </c>
    </row>
    <row r="35" spans="2:32" s="5" customFormat="1">
      <c r="B35" s="5" t="s">
        <v>14</v>
      </c>
      <c r="C35" s="5">
        <f>+C14/C$10</f>
        <v>0.20014611894573339</v>
      </c>
      <c r="D35" s="5">
        <f>+D14/D$10</f>
        <v>0.2063527482274449</v>
      </c>
      <c r="E35" s="5">
        <f>+E14/E$10</f>
        <v>0.20329572318328704</v>
      </c>
      <c r="F35" s="5">
        <f>+F14/F$10</f>
        <v>0.2119587705727759</v>
      </c>
      <c r="G35" s="5">
        <f>+G14/G$10</f>
        <v>0.19224594228139946</v>
      </c>
      <c r="H35" s="5">
        <f>+H14/H$10</f>
        <v>0.19520091173773294</v>
      </c>
      <c r="I35" s="5">
        <f>+I14/I$10</f>
        <v>0.19597497071137307</v>
      </c>
      <c r="J35" s="5">
        <f>+J14/J$10</f>
        <v>0.20129251587438107</v>
      </c>
      <c r="K35" s="5">
        <f>+K14/K$10</f>
        <v>0.20079176741411456</v>
      </c>
      <c r="L35" s="5">
        <f>+L14/L$10</f>
        <v>0.21168965197020642</v>
      </c>
      <c r="N35" s="8">
        <f t="shared" si="49"/>
        <v>0.20624070969216049</v>
      </c>
      <c r="Q35" s="5">
        <f t="shared" si="50"/>
        <v>0.18873998546006607</v>
      </c>
      <c r="R35" s="5">
        <f t="shared" si="50"/>
        <v>0.20556381397324272</v>
      </c>
      <c r="S35" s="5">
        <f t="shared" si="50"/>
        <v>0.1961896388760796</v>
      </c>
      <c r="T35" s="5">
        <f t="shared" si="50"/>
        <v>0.20599999999999999</v>
      </c>
      <c r="U35" s="5">
        <f t="shared" ref="U35:AC35" si="53">+U14/U$10</f>
        <v>0.20599999999999999</v>
      </c>
      <c r="V35" s="5">
        <f t="shared" si="53"/>
        <v>0.20599999999999999</v>
      </c>
      <c r="W35" s="5">
        <f t="shared" si="53"/>
        <v>0.20599999999999999</v>
      </c>
      <c r="X35" s="5">
        <f t="shared" si="53"/>
        <v>0.20599999999999996</v>
      </c>
      <c r="Y35" s="5">
        <f t="shared" si="53"/>
        <v>0.20599999999999993</v>
      </c>
      <c r="Z35" s="5">
        <f t="shared" si="53"/>
        <v>0.20599999999999993</v>
      </c>
      <c r="AA35" s="5">
        <f t="shared" si="53"/>
        <v>0.20599999999999993</v>
      </c>
      <c r="AB35" s="5">
        <f t="shared" si="53"/>
        <v>0.20599999999999993</v>
      </c>
      <c r="AC35" s="5">
        <f t="shared" si="53"/>
        <v>0.20599999999999993</v>
      </c>
      <c r="AE35" s="8" t="s">
        <v>38</v>
      </c>
      <c r="AF35" s="1">
        <f>+main!D3*1000</f>
        <v>203242.70799999998</v>
      </c>
    </row>
    <row r="36" spans="2:32" s="5" customFormat="1">
      <c r="B36" s="5" t="s">
        <v>15</v>
      </c>
      <c r="C36" s="5">
        <f>+C15/C$10</f>
        <v>0.12759008110215433</v>
      </c>
      <c r="D36" s="5">
        <f>+D15/D$10</f>
        <v>0.11461314321947701</v>
      </c>
      <c r="E36" s="5">
        <f>+E15/E$10</f>
        <v>0.11739887225880589</v>
      </c>
      <c r="F36" s="5">
        <f>+F15/F$10</f>
        <v>0.12762669847719521</v>
      </c>
      <c r="G36" s="5">
        <f>+G15/G$10</f>
        <v>0.11776697358393516</v>
      </c>
      <c r="H36" s="5">
        <f>+H15/H$10</f>
        <v>0.11172704851620026</v>
      </c>
      <c r="I36" s="5">
        <f>+I15/I$10</f>
        <v>0.10768769696034002</v>
      </c>
      <c r="J36" s="5">
        <f>+J15/J$10</f>
        <v>0.12144248322855225</v>
      </c>
      <c r="K36" s="5">
        <f>+K15/K$10</f>
        <v>0.11922700760912047</v>
      </c>
      <c r="L36" s="5">
        <f>+L15/L$10</f>
        <v>0.10774503396545108</v>
      </c>
      <c r="N36" s="8">
        <f t="shared" si="49"/>
        <v>0.11348602078728579</v>
      </c>
      <c r="Q36" s="5">
        <f t="shared" si="50"/>
        <v>0.11137351036726627</v>
      </c>
      <c r="R36" s="5">
        <f t="shared" si="50"/>
        <v>0.1216790224790683</v>
      </c>
      <c r="S36" s="5">
        <f t="shared" si="50"/>
        <v>0.11457944662074883</v>
      </c>
      <c r="T36" s="5">
        <f t="shared" si="50"/>
        <v>0.113</v>
      </c>
      <c r="U36" s="5">
        <f t="shared" ref="U36:AC36" si="54">+U15/U$10</f>
        <v>0.113</v>
      </c>
      <c r="V36" s="5">
        <f t="shared" si="54"/>
        <v>0.113</v>
      </c>
      <c r="W36" s="5">
        <f t="shared" si="54"/>
        <v>0.11300000000000002</v>
      </c>
      <c r="X36" s="5">
        <f t="shared" si="54"/>
        <v>0.11300000000000002</v>
      </c>
      <c r="Y36" s="5">
        <f t="shared" si="54"/>
        <v>0.11300000000000003</v>
      </c>
      <c r="Z36" s="5">
        <f t="shared" si="54"/>
        <v>0.11300000000000002</v>
      </c>
      <c r="AA36" s="5">
        <f t="shared" si="54"/>
        <v>0.11300000000000002</v>
      </c>
      <c r="AB36" s="5">
        <f t="shared" si="54"/>
        <v>0.11300000000000002</v>
      </c>
      <c r="AC36" s="5">
        <f t="shared" si="54"/>
        <v>0.113</v>
      </c>
      <c r="AE36" s="5" t="s">
        <v>39</v>
      </c>
      <c r="AF36" s="9">
        <f>+AF34/AF35</f>
        <v>12.554287916068098</v>
      </c>
    </row>
    <row r="37" spans="2:32" s="5" customFormat="1">
      <c r="B37" s="5" t="s">
        <v>16</v>
      </c>
      <c r="C37" s="5">
        <f>+C16/C$10</f>
        <v>6.8006704281039526E-2</v>
      </c>
      <c r="D37" s="5">
        <f>+D16/D$10</f>
        <v>6.2158900523073435E-2</v>
      </c>
      <c r="E37" s="5">
        <f>+E16/E$10</f>
        <v>6.4314670962823603E-2</v>
      </c>
      <c r="F37" s="5">
        <f>+F16/F$10</f>
        <v>6.0582281784123317E-2</v>
      </c>
      <c r="G37" s="5">
        <f>+G16/G$10</f>
        <v>6.3297195385083785E-2</v>
      </c>
      <c r="H37" s="5">
        <f>+H16/H$10</f>
        <v>5.9651153472883814E-2</v>
      </c>
      <c r="I37" s="5">
        <f>+I16/I$10</f>
        <v>6.2278973036299735E-2</v>
      </c>
      <c r="J37" s="5">
        <f>+J16/J$10</f>
        <v>6.3869298308890585E-2</v>
      </c>
      <c r="K37" s="5">
        <f>+K16/K$10</f>
        <v>6.2593384235338556E-2</v>
      </c>
      <c r="L37" s="5">
        <f>+L16/L$10</f>
        <v>6.5691652926880978E-2</v>
      </c>
      <c r="N37" s="8">
        <f t="shared" si="49"/>
        <v>6.4142518581109767E-2</v>
      </c>
      <c r="Q37" s="5">
        <f t="shared" si="50"/>
        <v>5.7545501467286521E-2</v>
      </c>
      <c r="R37" s="5">
        <f t="shared" si="50"/>
        <v>6.3666753360168554E-2</v>
      </c>
      <c r="S37" s="5">
        <f t="shared" si="50"/>
        <v>6.2243476969423048E-2</v>
      </c>
      <c r="T37" s="5">
        <f t="shared" si="50"/>
        <v>6.4000000000000001E-2</v>
      </c>
      <c r="U37" s="5">
        <f t="shared" ref="U37:AC37" si="55">+U16/U$10</f>
        <v>6.4000000000000001E-2</v>
      </c>
      <c r="V37" s="5">
        <f t="shared" si="55"/>
        <v>6.4000000000000001E-2</v>
      </c>
      <c r="W37" s="5">
        <f t="shared" si="55"/>
        <v>6.4000000000000001E-2</v>
      </c>
      <c r="X37" s="5">
        <f t="shared" si="55"/>
        <v>6.4000000000000001E-2</v>
      </c>
      <c r="Y37" s="5">
        <f t="shared" si="55"/>
        <v>6.4000000000000001E-2</v>
      </c>
      <c r="Z37" s="5">
        <f t="shared" si="55"/>
        <v>6.4000000000000001E-2</v>
      </c>
      <c r="AA37" s="5">
        <f t="shared" si="55"/>
        <v>6.4000000000000001E-2</v>
      </c>
      <c r="AB37" s="5">
        <f t="shared" si="55"/>
        <v>6.4000000000000001E-2</v>
      </c>
      <c r="AC37" s="5">
        <f t="shared" si="55"/>
        <v>6.4000000000000001E-2</v>
      </c>
      <c r="AE37" s="5" t="s">
        <v>41</v>
      </c>
      <c r="AF37" s="9">
        <f>+main!D2</f>
        <v>17.87</v>
      </c>
    </row>
    <row r="38" spans="2:32">
      <c r="AE38" s="5" t="s">
        <v>42</v>
      </c>
      <c r="AF38" s="5">
        <f>+AF36/AF37-1</f>
        <v>-0.29746570139518203</v>
      </c>
    </row>
    <row r="41" spans="2:32">
      <c r="AE41" s="1" t="s">
        <v>5</v>
      </c>
      <c r="AF41" s="1">
        <f>+main!D7*1000</f>
        <v>5881260.1919600004</v>
      </c>
    </row>
    <row r="42" spans="2:32" s="3" customFormat="1">
      <c r="B42" s="3" t="s">
        <v>82</v>
      </c>
      <c r="J42" s="3">
        <f>SUM(J43:J44,J54,J48)-SUM(J59,J65)</f>
        <v>-2057979</v>
      </c>
      <c r="K42" s="3">
        <f>SUM(K43:K44,K54,K48)-SUM(K59,K65)</f>
        <v>-2026594</v>
      </c>
      <c r="L42" s="3">
        <f>SUM(L43:L44,L54,L48)-SUM(L59,L65)</f>
        <v>-2092574</v>
      </c>
      <c r="AE42" s="3" t="s">
        <v>87</v>
      </c>
      <c r="AF42" s="13">
        <f>+$AF$41/T24</f>
        <v>24.937751818307802</v>
      </c>
    </row>
    <row r="43" spans="2:32">
      <c r="B43" s="1" t="s">
        <v>49</v>
      </c>
      <c r="J43" s="1">
        <v>516037</v>
      </c>
      <c r="K43" s="1">
        <v>498333</v>
      </c>
      <c r="L43" s="1">
        <v>465489</v>
      </c>
      <c r="AE43" s="3" t="s">
        <v>88</v>
      </c>
      <c r="AF43" s="13">
        <f>+$AF$41/U24</f>
        <v>23.958296628974793</v>
      </c>
    </row>
    <row r="44" spans="2:32">
      <c r="B44" s="1" t="s">
        <v>51</v>
      </c>
      <c r="J44" s="1">
        <v>35848</v>
      </c>
      <c r="K44" s="1">
        <v>36058</v>
      </c>
      <c r="L44" s="1">
        <v>35718</v>
      </c>
    </row>
    <row r="45" spans="2:32">
      <c r="B45" s="1" t="s">
        <v>52</v>
      </c>
      <c r="J45" s="1">
        <v>121683</v>
      </c>
      <c r="K45" s="1">
        <v>125546</v>
      </c>
      <c r="L45" s="1">
        <v>117671</v>
      </c>
    </row>
    <row r="46" spans="2:32">
      <c r="B46" s="1" t="s">
        <v>53</v>
      </c>
      <c r="J46" s="1">
        <v>6690</v>
      </c>
      <c r="K46" s="1">
        <v>6110</v>
      </c>
      <c r="L46" s="1">
        <v>6379</v>
      </c>
    </row>
    <row r="47" spans="2:32">
      <c r="B47" s="1" t="s">
        <v>54</v>
      </c>
      <c r="J47" s="1">
        <v>39640</v>
      </c>
      <c r="K47" s="1">
        <v>39075</v>
      </c>
      <c r="L47" s="1">
        <v>40087</v>
      </c>
    </row>
    <row r="48" spans="2:32">
      <c r="B48" s="1" t="s">
        <v>63</v>
      </c>
      <c r="J48" s="1">
        <v>117755</v>
      </c>
      <c r="K48" s="1">
        <v>162406</v>
      </c>
      <c r="L48" s="1">
        <v>125215</v>
      </c>
    </row>
    <row r="49" spans="2:12">
      <c r="B49" s="1" t="s">
        <v>55</v>
      </c>
      <c r="J49" s="1">
        <v>891080</v>
      </c>
      <c r="K49" s="1">
        <v>890667</v>
      </c>
      <c r="L49" s="1">
        <v>894586</v>
      </c>
    </row>
    <row r="50" spans="2:12">
      <c r="B50" s="1" t="s">
        <v>56</v>
      </c>
      <c r="J50" s="1">
        <v>228936</v>
      </c>
      <c r="K50" s="1">
        <v>227547</v>
      </c>
      <c r="L50" s="1">
        <v>231390</v>
      </c>
    </row>
    <row r="51" spans="2:12">
      <c r="B51" s="1" t="s">
        <v>57</v>
      </c>
      <c r="J51" s="1">
        <v>705615</v>
      </c>
      <c r="K51" s="1">
        <v>696944</v>
      </c>
      <c r="L51" s="1">
        <v>687253</v>
      </c>
    </row>
    <row r="52" spans="2:12">
      <c r="B52" s="1" t="s">
        <v>58</v>
      </c>
      <c r="J52" s="1">
        <v>773727</v>
      </c>
      <c r="K52" s="1">
        <v>773077</v>
      </c>
      <c r="L52" s="1">
        <v>772794</v>
      </c>
    </row>
    <row r="53" spans="2:12">
      <c r="B53" s="1" t="s">
        <v>59</v>
      </c>
      <c r="J53" s="1">
        <v>1219129</v>
      </c>
      <c r="K53" s="1">
        <v>1210124</v>
      </c>
      <c r="L53" s="1">
        <v>1202525</v>
      </c>
    </row>
    <row r="54" spans="2:12">
      <c r="B54" s="1" t="s">
        <v>60</v>
      </c>
      <c r="J54" s="1">
        <v>34445</v>
      </c>
      <c r="K54" s="1">
        <v>33230</v>
      </c>
      <c r="L54" s="1">
        <v>32181</v>
      </c>
    </row>
    <row r="55" spans="2:12">
      <c r="B55" s="1" t="s">
        <v>61</v>
      </c>
      <c r="J55" s="1">
        <v>313664</v>
      </c>
      <c r="K55" s="1">
        <v>306908</v>
      </c>
      <c r="L55" s="1">
        <v>291493</v>
      </c>
    </row>
    <row r="56" spans="2:12">
      <c r="B56" s="10" t="s">
        <v>62</v>
      </c>
      <c r="J56" s="1">
        <v>178577</v>
      </c>
      <c r="K56" s="1">
        <v>183745</v>
      </c>
      <c r="L56" s="1">
        <v>185384</v>
      </c>
    </row>
    <row r="57" spans="2:12" s="10" customFormat="1">
      <c r="J57" s="10">
        <f>+SUM(J43:J56)</f>
        <v>5182826</v>
      </c>
      <c r="K57" s="10">
        <f>+SUM(K43:K56)</f>
        <v>5189770</v>
      </c>
      <c r="L57" s="10">
        <f>+SUM(L43:L56)</f>
        <v>5088165</v>
      </c>
    </row>
    <row r="59" spans="2:12">
      <c r="B59" s="1" t="s">
        <v>67</v>
      </c>
      <c r="J59" s="1">
        <v>29250</v>
      </c>
      <c r="K59" s="1">
        <v>29250</v>
      </c>
      <c r="L59" s="1">
        <v>29250</v>
      </c>
    </row>
    <row r="60" spans="2:12">
      <c r="B60" s="1" t="s">
        <v>56</v>
      </c>
      <c r="J60" s="1">
        <v>20250</v>
      </c>
      <c r="K60" s="1">
        <v>20730</v>
      </c>
      <c r="L60" s="1">
        <v>21220</v>
      </c>
    </row>
    <row r="61" spans="2:12">
      <c r="B61" s="1" t="s">
        <v>68</v>
      </c>
      <c r="J61" s="1">
        <v>49353</v>
      </c>
      <c r="K61" s="1">
        <v>49848</v>
      </c>
      <c r="L61" s="1">
        <v>49931</v>
      </c>
    </row>
    <row r="62" spans="2:12">
      <c r="B62" s="1" t="s">
        <v>69</v>
      </c>
      <c r="J62" s="1">
        <v>27370</v>
      </c>
      <c r="K62" s="1">
        <v>26175</v>
      </c>
      <c r="L62" s="1">
        <v>25767</v>
      </c>
    </row>
    <row r="63" spans="2:12">
      <c r="B63" s="1" t="s">
        <v>70</v>
      </c>
      <c r="J63" s="1">
        <v>135149</v>
      </c>
      <c r="K63" s="1">
        <v>144211</v>
      </c>
      <c r="L63" s="1">
        <v>116456</v>
      </c>
    </row>
    <row r="64" spans="2:12">
      <c r="B64" s="1" t="s">
        <v>71</v>
      </c>
      <c r="J64" s="1">
        <v>120558</v>
      </c>
      <c r="K64" s="1">
        <v>155235</v>
      </c>
      <c r="L64" s="1">
        <v>122239</v>
      </c>
    </row>
    <row r="65" spans="2:12">
      <c r="B65" s="1" t="s">
        <v>72</v>
      </c>
      <c r="J65" s="1">
        <v>2732814</v>
      </c>
      <c r="K65" s="1">
        <v>2727371</v>
      </c>
      <c r="L65" s="1">
        <v>2721927</v>
      </c>
    </row>
    <row r="66" spans="2:12">
      <c r="B66" s="1" t="s">
        <v>73</v>
      </c>
      <c r="J66" s="1">
        <v>568767</v>
      </c>
      <c r="K66" s="1">
        <v>563955</v>
      </c>
      <c r="L66" s="1">
        <v>567071</v>
      </c>
    </row>
    <row r="67" spans="2:12">
      <c r="B67" s="1" t="s">
        <v>74</v>
      </c>
      <c r="J67" s="1">
        <v>739340</v>
      </c>
      <c r="K67" s="1">
        <v>729086</v>
      </c>
      <c r="L67" s="1">
        <v>714298</v>
      </c>
    </row>
    <row r="68" spans="2:12">
      <c r="B68" s="1" t="s">
        <v>75</v>
      </c>
      <c r="J68" s="1">
        <v>270353</v>
      </c>
      <c r="K68" s="1">
        <v>270875</v>
      </c>
      <c r="L68" s="1">
        <v>270128</v>
      </c>
    </row>
    <row r="69" spans="2:12">
      <c r="B69" s="1" t="s">
        <v>76</v>
      </c>
      <c r="J69" s="1">
        <v>90132</v>
      </c>
      <c r="K69" s="1">
        <v>89331</v>
      </c>
      <c r="L69" s="1">
        <v>89054</v>
      </c>
    </row>
    <row r="70" spans="2:12">
      <c r="B70" s="1" t="s">
        <v>77</v>
      </c>
      <c r="J70" s="1">
        <v>89711</v>
      </c>
      <c r="K70" s="1">
        <v>90049</v>
      </c>
      <c r="L70" s="1">
        <v>87071</v>
      </c>
    </row>
    <row r="71" spans="2:12">
      <c r="B71" s="1" t="s">
        <v>66</v>
      </c>
      <c r="J71" s="1">
        <f>SUM(J59:J70)</f>
        <v>4873047</v>
      </c>
      <c r="K71" s="1">
        <f>SUM(K59:K70)</f>
        <v>4896116</v>
      </c>
      <c r="L71" s="1">
        <f>SUM(L59:L70)</f>
        <v>4814412</v>
      </c>
    </row>
    <row r="72" spans="2:12">
      <c r="B72" s="1" t="s">
        <v>65</v>
      </c>
      <c r="J72" s="1">
        <v>309779</v>
      </c>
      <c r="K72" s="1">
        <v>293654</v>
      </c>
      <c r="L72" s="1">
        <v>273753</v>
      </c>
    </row>
    <row r="73" spans="2:12" s="3" customFormat="1">
      <c r="B73" s="3" t="s">
        <v>64</v>
      </c>
      <c r="J73" s="3">
        <f>+SUM(J71:J72)</f>
        <v>5182826</v>
      </c>
      <c r="K73" s="3">
        <f>+SUM(K71:K72)</f>
        <v>5189770</v>
      </c>
      <c r="L73" s="3">
        <f>+SUM(L71:L72)</f>
        <v>5088165</v>
      </c>
    </row>
    <row r="75" spans="2:12">
      <c r="B75" s="1" t="s">
        <v>79</v>
      </c>
      <c r="J75" s="1">
        <f>+J65+J59</f>
        <v>2762064</v>
      </c>
      <c r="K75" s="1">
        <f>+K65+K59</f>
        <v>2756621</v>
      </c>
      <c r="L75" s="1">
        <f>+L65+L59</f>
        <v>2751177</v>
      </c>
    </row>
    <row r="76" spans="2:12">
      <c r="B76" s="1" t="s">
        <v>80</v>
      </c>
      <c r="J76" s="1">
        <f>+J75-SUM(J43:J44,J48,J54)</f>
        <v>2057979</v>
      </c>
      <c r="K76" s="1">
        <f>+K75-SUM(K43:K44,K48,K54)</f>
        <v>2026594</v>
      </c>
      <c r="L76" s="1">
        <f>+L75-SUM(L43:L44,L48,L54)</f>
        <v>2092574</v>
      </c>
    </row>
    <row r="77" spans="2:12" s="11" customFormat="1">
      <c r="B77" s="11" t="s">
        <v>81</v>
      </c>
      <c r="J77" s="11">
        <f>+J76/J26</f>
        <v>9.1682437275985649</v>
      </c>
      <c r="K77" s="11">
        <f>+K76/K26</f>
        <v>7.3179410330944084</v>
      </c>
      <c r="L77" s="11">
        <f>+L76/L26</f>
        <v>4.5928576770501399</v>
      </c>
    </row>
    <row r="78" spans="2:12">
      <c r="B78" s="1" t="s">
        <v>78</v>
      </c>
      <c r="J78" s="1">
        <f>SUM(J43:J48)-SUM(J59:J64)</f>
        <v>455723</v>
      </c>
      <c r="K78" s="1">
        <f>SUM(K43:K48)-SUM(K59:K64)</f>
        <v>442079</v>
      </c>
      <c r="L78" s="1">
        <f>SUM(L43:L48)-SUM(L59:L64)</f>
        <v>425696</v>
      </c>
    </row>
    <row r="82" spans="2:12">
      <c r="B82" s="1" t="s">
        <v>84</v>
      </c>
      <c r="H82" s="1">
        <f>141504-K82</f>
        <v>141504</v>
      </c>
      <c r="L82" s="1">
        <f>145463-K82</f>
        <v>145463</v>
      </c>
    </row>
    <row r="83" spans="2:12">
      <c r="B83" s="1" t="s">
        <v>85</v>
      </c>
      <c r="H83" s="1">
        <f>+-30164-K83</f>
        <v>-30164</v>
      </c>
      <c r="L83" s="1">
        <f>+-34465-K83</f>
        <v>-34465</v>
      </c>
    </row>
    <row r="84" spans="2:12" s="3" customFormat="1">
      <c r="B84" s="3" t="s">
        <v>86</v>
      </c>
      <c r="H84" s="3">
        <f>+SUM(H82:H83)</f>
        <v>111340</v>
      </c>
      <c r="L84" s="3">
        <f>+SUM(L82:L83)</f>
        <v>110998</v>
      </c>
    </row>
  </sheetData>
  <pageMargins left="0.7" right="0.7" top="0.75" bottom="0.75" header="0.3" footer="0.3"/>
  <pageSetup orientation="portrait" horizontalDpi="0" verticalDpi="0"/>
  <ignoredErrors>
    <ignoredError sqref="Q10 J78:L78" formulaRange="1"/>
    <ignoredError sqref="D10:J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2024-04-10T02:22:40Z</dcterms:created>
  <dcterms:modified xsi:type="dcterms:W3CDTF">2024-09-20T02:30:59Z</dcterms:modified>
</cp:coreProperties>
</file>