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B2B98DC8-1833-3D43-96D6-20A588684BF2}" xr6:coauthVersionLast="47" xr6:coauthVersionMax="47" xr10:uidLastSave="{00000000-0000-0000-0000-000000000000}"/>
  <bookViews>
    <workbookView xWindow="15760" yWindow="540" windowWidth="28420" windowHeight="28300" activeTab="1" xr2:uid="{00000000-000D-0000-FFFF-FFFF00000000}"/>
  </bookViews>
  <sheets>
    <sheet name="Main" sheetId="1" r:id="rId1"/>
    <sheet name="Mod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8" i="2" l="1"/>
  <c r="N171" i="2"/>
  <c r="N172" i="2" s="1"/>
  <c r="N169" i="2"/>
  <c r="N168" i="2"/>
  <c r="N149" i="2"/>
  <c r="N147" i="2"/>
  <c r="O171" i="2"/>
  <c r="P173" i="2"/>
  <c r="P171" i="2"/>
  <c r="Q173" i="2"/>
  <c r="Q171" i="2"/>
  <c r="R173" i="2"/>
  <c r="R171" i="2"/>
  <c r="O169" i="2"/>
  <c r="O168" i="2"/>
  <c r="P169" i="2"/>
  <c r="P149" i="2"/>
  <c r="Q149" i="2" s="1"/>
  <c r="P147" i="2"/>
  <c r="Q169" i="2"/>
  <c r="R169" i="2"/>
  <c r="S173" i="2"/>
  <c r="S171" i="2"/>
  <c r="S169" i="2"/>
  <c r="S168" i="2"/>
  <c r="BA88" i="2"/>
  <c r="BA87" i="2"/>
  <c r="BA86" i="2"/>
  <c r="AL51" i="2"/>
  <c r="T173" i="2"/>
  <c r="T171" i="2"/>
  <c r="T169" i="2"/>
  <c r="T168" i="2"/>
  <c r="T34" i="2"/>
  <c r="T33" i="2"/>
  <c r="T32" i="2"/>
  <c r="T31" i="2"/>
  <c r="T30" i="2"/>
  <c r="T29" i="2"/>
  <c r="T28" i="2"/>
  <c r="T46" i="2"/>
  <c r="T45" i="2"/>
  <c r="T44" i="2"/>
  <c r="T43" i="2"/>
  <c r="T40" i="2"/>
  <c r="T39" i="2"/>
  <c r="T38" i="2"/>
  <c r="T37" i="2"/>
  <c r="T75" i="2"/>
  <c r="T74" i="2"/>
  <c r="T63" i="2"/>
  <c r="T58" i="2"/>
  <c r="T51" i="2"/>
  <c r="T76" i="2" s="1"/>
  <c r="M10" i="1"/>
  <c r="AL66" i="2"/>
  <c r="BA78" i="2"/>
  <c r="S87" i="2"/>
  <c r="AK87" i="2" s="1"/>
  <c r="S113" i="2"/>
  <c r="S102" i="2"/>
  <c r="S106" i="2" s="1"/>
  <c r="S114" i="2" s="1"/>
  <c r="S92" i="2"/>
  <c r="S97" i="2" s="1"/>
  <c r="AU1" i="2"/>
  <c r="AV2" i="2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R26" i="2"/>
  <c r="R25" i="2"/>
  <c r="R34" i="2" s="1"/>
  <c r="R24" i="2"/>
  <c r="R33" i="2" s="1"/>
  <c r="R23" i="2"/>
  <c r="R32" i="2" s="1"/>
  <c r="R22" i="2"/>
  <c r="R31" i="2" s="1"/>
  <c r="R21" i="2"/>
  <c r="R30" i="2" s="1"/>
  <c r="R20" i="2"/>
  <c r="R29" i="2" s="1"/>
  <c r="R19" i="2"/>
  <c r="R28" i="2" s="1"/>
  <c r="S39" i="2"/>
  <c r="S63" i="2"/>
  <c r="S58" i="2"/>
  <c r="S51" i="2"/>
  <c r="S28" i="2" s="1"/>
  <c r="AK33" i="2"/>
  <c r="AJ34" i="2"/>
  <c r="AI34" i="2"/>
  <c r="AI33" i="2"/>
  <c r="AI32" i="2"/>
  <c r="AI31" i="2"/>
  <c r="AI26" i="2"/>
  <c r="K26" i="2"/>
  <c r="Q33" i="2"/>
  <c r="Q28" i="2"/>
  <c r="P34" i="2"/>
  <c r="P33" i="2"/>
  <c r="P32" i="2"/>
  <c r="P29" i="2"/>
  <c r="P28" i="2"/>
  <c r="L34" i="2"/>
  <c r="L33" i="2"/>
  <c r="L32" i="2"/>
  <c r="L30" i="2"/>
  <c r="M32" i="2"/>
  <c r="M31" i="2"/>
  <c r="M29" i="2"/>
  <c r="P26" i="2"/>
  <c r="Q26" i="2"/>
  <c r="S75" i="2"/>
  <c r="S74" i="2"/>
  <c r="V3" i="2"/>
  <c r="U3" i="2"/>
  <c r="T3" i="2"/>
  <c r="S3" i="2"/>
  <c r="S43" i="2" s="1"/>
  <c r="Z6" i="2"/>
  <c r="X3" i="2"/>
  <c r="X4" i="2"/>
  <c r="U62" i="2"/>
  <c r="V62" i="2" s="1"/>
  <c r="U61" i="2"/>
  <c r="V61" i="2" s="1"/>
  <c r="U60" i="2"/>
  <c r="V60" i="2" s="1"/>
  <c r="N87" i="2"/>
  <c r="O87" i="2"/>
  <c r="P87" i="2"/>
  <c r="Q87" i="2"/>
  <c r="R87" i="2"/>
  <c r="N180" i="2"/>
  <c r="R180" i="2"/>
  <c r="N181" i="2"/>
  <c r="R181" i="2"/>
  <c r="N182" i="2"/>
  <c r="R182" i="2"/>
  <c r="N183" i="2"/>
  <c r="R183" i="2"/>
  <c r="G184" i="2"/>
  <c r="H184" i="2"/>
  <c r="I184" i="2"/>
  <c r="K184" i="2"/>
  <c r="L184" i="2"/>
  <c r="M184" i="2"/>
  <c r="O184" i="2"/>
  <c r="P184" i="2"/>
  <c r="Q184" i="2"/>
  <c r="L187" i="2"/>
  <c r="M187" i="2" s="1"/>
  <c r="N187" i="2" s="1"/>
  <c r="P187" i="2"/>
  <c r="Q187" i="2" s="1"/>
  <c r="R187" i="2"/>
  <c r="R179" i="2"/>
  <c r="N179" i="2"/>
  <c r="AI45" i="2"/>
  <c r="AI44" i="2"/>
  <c r="AI43" i="2"/>
  <c r="R75" i="2"/>
  <c r="Q75" i="2"/>
  <c r="P75" i="2"/>
  <c r="O75" i="2"/>
  <c r="R74" i="2"/>
  <c r="Q74" i="2"/>
  <c r="P74" i="2"/>
  <c r="O74" i="2"/>
  <c r="AI9" i="2"/>
  <c r="AI8" i="2"/>
  <c r="AI7" i="2"/>
  <c r="AJ9" i="2"/>
  <c r="AJ8" i="2"/>
  <c r="AJ7" i="2"/>
  <c r="AJ5" i="2"/>
  <c r="AJ45" i="2" s="1"/>
  <c r="AJ4" i="2"/>
  <c r="AJ44" i="2" s="1"/>
  <c r="AJ3" i="2"/>
  <c r="AJ43" i="2" s="1"/>
  <c r="AK9" i="2"/>
  <c r="AK8" i="2"/>
  <c r="AK7" i="2"/>
  <c r="AK5" i="2"/>
  <c r="AK4" i="2"/>
  <c r="AK3" i="2"/>
  <c r="R45" i="2"/>
  <c r="V5" i="2" s="1"/>
  <c r="Q45" i="2"/>
  <c r="U5" i="2" s="1"/>
  <c r="P45" i="2"/>
  <c r="T5" i="2" s="1"/>
  <c r="O45" i="2"/>
  <c r="S5" i="2" s="1"/>
  <c r="S45" i="2" s="1"/>
  <c r="M45" i="2"/>
  <c r="R44" i="2"/>
  <c r="V4" i="2" s="1"/>
  <c r="Q44" i="2"/>
  <c r="U4" i="2" s="1"/>
  <c r="P44" i="2"/>
  <c r="T4" i="2" s="1"/>
  <c r="O44" i="2"/>
  <c r="S4" i="2" s="1"/>
  <c r="S38" i="2" s="1"/>
  <c r="M44" i="2"/>
  <c r="R43" i="2"/>
  <c r="Q43" i="2"/>
  <c r="P43" i="2"/>
  <c r="O43" i="2"/>
  <c r="M43" i="2"/>
  <c r="P6" i="2"/>
  <c r="O12" i="2"/>
  <c r="O37" i="2" s="1"/>
  <c r="R14" i="2"/>
  <c r="R39" i="2" s="1"/>
  <c r="Q14" i="2"/>
  <c r="Q39" i="2" s="1"/>
  <c r="P14" i="2"/>
  <c r="P39" i="2" s="1"/>
  <c r="O14" i="2"/>
  <c r="R13" i="2"/>
  <c r="R38" i="2" s="1"/>
  <c r="Q13" i="2"/>
  <c r="Q38" i="2" s="1"/>
  <c r="P13" i="2"/>
  <c r="P38" i="2" s="1"/>
  <c r="O13" i="2"/>
  <c r="R12" i="2"/>
  <c r="R37" i="2" s="1"/>
  <c r="Q12" i="2"/>
  <c r="Q37" i="2" s="1"/>
  <c r="P12" i="2"/>
  <c r="R10" i="2"/>
  <c r="Q10" i="2"/>
  <c r="P10" i="2"/>
  <c r="O10" i="2"/>
  <c r="N10" i="2"/>
  <c r="R6" i="2"/>
  <c r="Q6" i="2"/>
  <c r="O6" i="2"/>
  <c r="O63" i="2"/>
  <c r="O58" i="2"/>
  <c r="O51" i="2"/>
  <c r="O84" i="2" s="1"/>
  <c r="P63" i="2"/>
  <c r="P58" i="2"/>
  <c r="P51" i="2"/>
  <c r="P84" i="2" s="1"/>
  <c r="Q63" i="2"/>
  <c r="Q58" i="2"/>
  <c r="Q51" i="2"/>
  <c r="Q83" i="2" s="1"/>
  <c r="N63" i="2"/>
  <c r="N58" i="2"/>
  <c r="N51" i="2"/>
  <c r="N84" i="2" s="1"/>
  <c r="R63" i="2"/>
  <c r="R58" i="2"/>
  <c r="R51" i="2"/>
  <c r="R83" i="2" s="1"/>
  <c r="AK63" i="2"/>
  <c r="AK58" i="2"/>
  <c r="AK51" i="2"/>
  <c r="AK32" i="2" s="1"/>
  <c r="AJ63" i="2"/>
  <c r="AJ58" i="2"/>
  <c r="AJ51" i="2"/>
  <c r="AJ31" i="2" s="1"/>
  <c r="AI2" i="2"/>
  <c r="R11" i="1"/>
  <c r="R10" i="1"/>
  <c r="R7" i="1"/>
  <c r="R9" i="1" s="1"/>
  <c r="P8" i="1"/>
  <c r="S8" i="1" s="1"/>
  <c r="K130" i="2"/>
  <c r="J130" i="2"/>
  <c r="I130" i="2"/>
  <c r="H130" i="2"/>
  <c r="G130" i="2"/>
  <c r="K129" i="2"/>
  <c r="J129" i="2"/>
  <c r="I129" i="2"/>
  <c r="H129" i="2"/>
  <c r="G129" i="2"/>
  <c r="K127" i="2"/>
  <c r="J127" i="2"/>
  <c r="I127" i="2"/>
  <c r="H127" i="2"/>
  <c r="G127" i="2"/>
  <c r="K126" i="2"/>
  <c r="J126" i="2"/>
  <c r="I126" i="2"/>
  <c r="H126" i="2"/>
  <c r="G126" i="2"/>
  <c r="L130" i="2"/>
  <c r="L129" i="2"/>
  <c r="L127" i="2"/>
  <c r="L126" i="2"/>
  <c r="M122" i="2"/>
  <c r="L122" i="2"/>
  <c r="K122" i="2"/>
  <c r="J122" i="2"/>
  <c r="I122" i="2"/>
  <c r="H122" i="2"/>
  <c r="G122" i="2"/>
  <c r="F122" i="2"/>
  <c r="M171" i="2"/>
  <c r="L171" i="2"/>
  <c r="K171" i="2"/>
  <c r="J171" i="2"/>
  <c r="I171" i="2"/>
  <c r="H171" i="2"/>
  <c r="G171" i="2"/>
  <c r="F171" i="2"/>
  <c r="E171" i="2"/>
  <c r="D171" i="2"/>
  <c r="C171" i="2"/>
  <c r="G43" i="2"/>
  <c r="C163" i="2"/>
  <c r="C154" i="2"/>
  <c r="C147" i="2"/>
  <c r="D163" i="2"/>
  <c r="D154" i="2"/>
  <c r="D147" i="2"/>
  <c r="E63" i="2"/>
  <c r="E58" i="2"/>
  <c r="E51" i="2"/>
  <c r="E163" i="2"/>
  <c r="E154" i="2"/>
  <c r="E147" i="2"/>
  <c r="F63" i="2"/>
  <c r="F58" i="2"/>
  <c r="F51" i="2"/>
  <c r="F163" i="2"/>
  <c r="F154" i="2"/>
  <c r="F147" i="2"/>
  <c r="F168" i="2" s="1"/>
  <c r="J163" i="2"/>
  <c r="J154" i="2"/>
  <c r="J147" i="2"/>
  <c r="J168" i="2" s="1"/>
  <c r="G163" i="2"/>
  <c r="G154" i="2"/>
  <c r="G147" i="2"/>
  <c r="G168" i="2" s="1"/>
  <c r="K163" i="2"/>
  <c r="K154" i="2"/>
  <c r="K147" i="2"/>
  <c r="K168" i="2" s="1"/>
  <c r="L14" i="2"/>
  <c r="L39" i="2" s="1"/>
  <c r="K14" i="2"/>
  <c r="K39" i="2" s="1"/>
  <c r="I14" i="2"/>
  <c r="I39" i="2" s="1"/>
  <c r="H14" i="2"/>
  <c r="H39" i="2" s="1"/>
  <c r="G14" i="2"/>
  <c r="G39" i="2" s="1"/>
  <c r="E14" i="2"/>
  <c r="E39" i="2" s="1"/>
  <c r="D14" i="2"/>
  <c r="D39" i="2" s="1"/>
  <c r="C14" i="2"/>
  <c r="C39" i="2" s="1"/>
  <c r="L13" i="2"/>
  <c r="L38" i="2" s="1"/>
  <c r="K13" i="2"/>
  <c r="K38" i="2" s="1"/>
  <c r="I13" i="2"/>
  <c r="I38" i="2" s="1"/>
  <c r="H13" i="2"/>
  <c r="H38" i="2" s="1"/>
  <c r="G13" i="2"/>
  <c r="G38" i="2" s="1"/>
  <c r="F13" i="2"/>
  <c r="E13" i="2"/>
  <c r="D13" i="2"/>
  <c r="D38" i="2" s="1"/>
  <c r="C13" i="2"/>
  <c r="C38" i="2" s="1"/>
  <c r="L12" i="2"/>
  <c r="K12" i="2"/>
  <c r="K37" i="2" s="1"/>
  <c r="I12" i="2"/>
  <c r="H12" i="2"/>
  <c r="H37" i="2" s="1"/>
  <c r="G12" i="2"/>
  <c r="E12" i="2"/>
  <c r="E37" i="2" s="1"/>
  <c r="D12" i="2"/>
  <c r="C12" i="2"/>
  <c r="M143" i="2"/>
  <c r="M140" i="2"/>
  <c r="I163" i="2"/>
  <c r="I154" i="2"/>
  <c r="I147" i="2"/>
  <c r="I168" i="2" s="1"/>
  <c r="M163" i="2"/>
  <c r="M154" i="2"/>
  <c r="L10" i="2"/>
  <c r="K10" i="2"/>
  <c r="J10" i="2"/>
  <c r="I10" i="2"/>
  <c r="H10" i="2"/>
  <c r="G10" i="2"/>
  <c r="F10" i="2"/>
  <c r="E10" i="2"/>
  <c r="D10" i="2"/>
  <c r="C10" i="2"/>
  <c r="M14" i="2"/>
  <c r="M39" i="2" s="1"/>
  <c r="M13" i="2"/>
  <c r="M38" i="2" s="1"/>
  <c r="M12" i="2"/>
  <c r="M37" i="2" s="1"/>
  <c r="M10" i="2"/>
  <c r="AL84" i="2"/>
  <c r="AM84" i="2" s="1"/>
  <c r="AN84" i="2" s="1"/>
  <c r="AO84" i="2" s="1"/>
  <c r="AP84" i="2" s="1"/>
  <c r="AQ84" i="2" s="1"/>
  <c r="AR84" i="2" s="1"/>
  <c r="AS84" i="2" s="1"/>
  <c r="AT84" i="2" s="1"/>
  <c r="AU84" i="2" s="1"/>
  <c r="AL83" i="2"/>
  <c r="AM83" i="2" s="1"/>
  <c r="AN83" i="2" s="1"/>
  <c r="AO83" i="2" s="1"/>
  <c r="AP83" i="2" s="1"/>
  <c r="AQ83" i="2" s="1"/>
  <c r="AR83" i="2" s="1"/>
  <c r="AS83" i="2" s="1"/>
  <c r="AT83" i="2" s="1"/>
  <c r="AU83" i="2" s="1"/>
  <c r="AL81" i="2"/>
  <c r="AM81" i="2" s="1"/>
  <c r="AN81" i="2" s="1"/>
  <c r="AO81" i="2" s="1"/>
  <c r="AP81" i="2" s="1"/>
  <c r="AQ81" i="2" s="1"/>
  <c r="AR81" i="2" s="1"/>
  <c r="AS81" i="2" s="1"/>
  <c r="AT81" i="2" s="1"/>
  <c r="AF51" i="2"/>
  <c r="AE51" i="2"/>
  <c r="AD51" i="2"/>
  <c r="AC51" i="2"/>
  <c r="AB51" i="2"/>
  <c r="AA51" i="2"/>
  <c r="AK72" i="2" s="1"/>
  <c r="L45" i="2"/>
  <c r="K45" i="2"/>
  <c r="I45" i="2"/>
  <c r="H45" i="2"/>
  <c r="G45" i="2"/>
  <c r="L44" i="2"/>
  <c r="K44" i="2"/>
  <c r="I44" i="2"/>
  <c r="H44" i="2"/>
  <c r="G44" i="2"/>
  <c r="L43" i="2"/>
  <c r="K43" i="2"/>
  <c r="I43" i="2"/>
  <c r="H43" i="2"/>
  <c r="F14" i="2"/>
  <c r="F3" i="2"/>
  <c r="F12" i="2" s="1"/>
  <c r="J5" i="2"/>
  <c r="N45" i="2" s="1"/>
  <c r="J4" i="2"/>
  <c r="N44" i="2" s="1"/>
  <c r="J3" i="2"/>
  <c r="N43" i="2" s="1"/>
  <c r="AH39" i="2"/>
  <c r="AH38" i="2"/>
  <c r="AH37" i="2"/>
  <c r="AI39" i="2"/>
  <c r="AI38" i="2"/>
  <c r="AI37" i="2"/>
  <c r="AI15" i="2"/>
  <c r="AH6" i="2"/>
  <c r="AH40" i="2" s="1"/>
  <c r="AI6" i="2"/>
  <c r="L113" i="2"/>
  <c r="I6" i="2"/>
  <c r="K6" i="2"/>
  <c r="H6" i="2"/>
  <c r="G6" i="2"/>
  <c r="E6" i="2"/>
  <c r="D6" i="2"/>
  <c r="C6" i="2"/>
  <c r="M6" i="2"/>
  <c r="M121" i="2"/>
  <c r="M113" i="2"/>
  <c r="M102" i="2"/>
  <c r="M106" i="2" s="1"/>
  <c r="M92" i="2"/>
  <c r="M97" i="2" s="1"/>
  <c r="M87" i="2"/>
  <c r="M75" i="2"/>
  <c r="M74" i="2"/>
  <c r="M63" i="2"/>
  <c r="M58" i="2"/>
  <c r="M51" i="2"/>
  <c r="M84" i="2" s="1"/>
  <c r="I63" i="2"/>
  <c r="L6" i="2"/>
  <c r="H163" i="2"/>
  <c r="H154" i="2"/>
  <c r="L163" i="2"/>
  <c r="L154" i="2"/>
  <c r="K121" i="2"/>
  <c r="J121" i="2"/>
  <c r="I121" i="2"/>
  <c r="H121" i="2"/>
  <c r="G121" i="2"/>
  <c r="L121" i="2"/>
  <c r="G113" i="2"/>
  <c r="G102" i="2"/>
  <c r="G106" i="2" s="1"/>
  <c r="G92" i="2"/>
  <c r="G97" i="2" s="1"/>
  <c r="G87" i="2"/>
  <c r="H113" i="2"/>
  <c r="H102" i="2"/>
  <c r="H106" i="2" s="1"/>
  <c r="H92" i="2"/>
  <c r="H97" i="2" s="1"/>
  <c r="H87" i="2"/>
  <c r="F113" i="2"/>
  <c r="F102" i="2"/>
  <c r="F106" i="2" s="1"/>
  <c r="F92" i="2"/>
  <c r="F97" i="2" s="1"/>
  <c r="F87" i="2"/>
  <c r="I113" i="2"/>
  <c r="I102" i="2"/>
  <c r="I106" i="2" s="1"/>
  <c r="I92" i="2"/>
  <c r="I97" i="2" s="1"/>
  <c r="I87" i="2"/>
  <c r="L102" i="2"/>
  <c r="L106" i="2" s="1"/>
  <c r="L92" i="2"/>
  <c r="L97" i="2" s="1"/>
  <c r="L87" i="2"/>
  <c r="J87" i="2"/>
  <c r="K87" i="2"/>
  <c r="K113" i="2"/>
  <c r="K102" i="2"/>
  <c r="K106" i="2" s="1"/>
  <c r="K92" i="2"/>
  <c r="K97" i="2" s="1"/>
  <c r="J113" i="2"/>
  <c r="J102" i="2"/>
  <c r="J106" i="2" s="1"/>
  <c r="J92" i="2"/>
  <c r="J97" i="2" s="1"/>
  <c r="G74" i="2"/>
  <c r="H74" i="2"/>
  <c r="G75" i="2"/>
  <c r="H75" i="2"/>
  <c r="C63" i="2"/>
  <c r="C58" i="2"/>
  <c r="C51" i="2"/>
  <c r="C80" i="2" s="1"/>
  <c r="J49" i="2"/>
  <c r="D63" i="2"/>
  <c r="D58" i="2"/>
  <c r="D51" i="2"/>
  <c r="D80" i="2" s="1"/>
  <c r="BA82" i="2"/>
  <c r="J50" i="2"/>
  <c r="J52" i="2"/>
  <c r="J53" i="2"/>
  <c r="J54" i="2"/>
  <c r="J55" i="2"/>
  <c r="J56" i="2"/>
  <c r="J57" i="2"/>
  <c r="J60" i="2"/>
  <c r="J61" i="2"/>
  <c r="J62" i="2"/>
  <c r="J65" i="2"/>
  <c r="J66" i="2"/>
  <c r="J68" i="2"/>
  <c r="I75" i="2"/>
  <c r="I74" i="2"/>
  <c r="I58" i="2"/>
  <c r="I51" i="2"/>
  <c r="I78" i="2" s="1"/>
  <c r="AH75" i="2"/>
  <c r="AH74" i="2"/>
  <c r="AI75" i="2"/>
  <c r="AI74" i="2"/>
  <c r="AG63" i="2"/>
  <c r="AG58" i="2"/>
  <c r="AG51" i="2"/>
  <c r="AG84" i="2" s="1"/>
  <c r="AH63" i="2"/>
  <c r="AH58" i="2"/>
  <c r="AH51" i="2"/>
  <c r="AH82" i="2" s="1"/>
  <c r="K75" i="2"/>
  <c r="K74" i="2"/>
  <c r="L75" i="2"/>
  <c r="L74" i="2"/>
  <c r="AI63" i="2"/>
  <c r="AI58" i="2"/>
  <c r="AI51" i="2"/>
  <c r="AI78" i="2" s="1"/>
  <c r="AG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K63" i="2"/>
  <c r="K58" i="2"/>
  <c r="K51" i="2"/>
  <c r="K83" i="2" s="1"/>
  <c r="G63" i="2"/>
  <c r="G58" i="2"/>
  <c r="G51" i="2"/>
  <c r="G78" i="2" s="1"/>
  <c r="L63" i="2"/>
  <c r="L58" i="2"/>
  <c r="L51" i="2"/>
  <c r="L83" i="2" s="1"/>
  <c r="H58" i="2"/>
  <c r="H63" i="2"/>
  <c r="H51" i="2"/>
  <c r="H78" i="2" s="1"/>
  <c r="N10" i="1"/>
  <c r="N11" i="1" s="1"/>
  <c r="M9" i="1"/>
  <c r="R172" i="2" l="1"/>
  <c r="O172" i="2"/>
  <c r="Q172" i="2"/>
  <c r="T172" i="2"/>
  <c r="P172" i="2"/>
  <c r="R149" i="2"/>
  <c r="Q147" i="2"/>
  <c r="R147" i="2" s="1"/>
  <c r="S172" i="2"/>
  <c r="T26" i="2"/>
  <c r="AL60" i="2"/>
  <c r="AL61" i="2"/>
  <c r="T59" i="2"/>
  <c r="T64" i="2" s="1"/>
  <c r="O31" i="2"/>
  <c r="K33" i="2"/>
  <c r="AJ32" i="2"/>
  <c r="P9" i="1"/>
  <c r="P12" i="1" s="1"/>
  <c r="R12" i="1" s="1"/>
  <c r="M30" i="2"/>
  <c r="L31" i="2"/>
  <c r="O32" i="2"/>
  <c r="Q34" i="2"/>
  <c r="K34" i="2"/>
  <c r="AJ33" i="2"/>
  <c r="AK34" i="2"/>
  <c r="O33" i="2"/>
  <c r="S26" i="2"/>
  <c r="K28" i="2"/>
  <c r="AK28" i="2"/>
  <c r="M33" i="2"/>
  <c r="Q29" i="2"/>
  <c r="AK29" i="2"/>
  <c r="S76" i="2"/>
  <c r="M34" i="2"/>
  <c r="O28" i="2"/>
  <c r="Q30" i="2"/>
  <c r="K30" i="2"/>
  <c r="AI28" i="2"/>
  <c r="AJ29" i="2"/>
  <c r="AK30" i="2"/>
  <c r="AL62" i="2"/>
  <c r="AM62" i="2" s="1"/>
  <c r="AN62" i="2" s="1"/>
  <c r="AO62" i="2" s="1"/>
  <c r="AP62" i="2" s="1"/>
  <c r="AQ62" i="2" s="1"/>
  <c r="AR62" i="2" s="1"/>
  <c r="AS62" i="2" s="1"/>
  <c r="AT62" i="2" s="1"/>
  <c r="AU62" i="2" s="1"/>
  <c r="O34" i="2"/>
  <c r="AK26" i="2"/>
  <c r="L26" i="2"/>
  <c r="L28" i="2"/>
  <c r="O29" i="2"/>
  <c r="P30" i="2"/>
  <c r="Q31" i="2"/>
  <c r="K31" i="2"/>
  <c r="AI29" i="2"/>
  <c r="AJ30" i="2"/>
  <c r="AK31" i="2"/>
  <c r="S37" i="2"/>
  <c r="O26" i="2"/>
  <c r="AJ26" i="2"/>
  <c r="M26" i="2"/>
  <c r="K29" i="2"/>
  <c r="AJ28" i="2"/>
  <c r="M28" i="2"/>
  <c r="L29" i="2"/>
  <c r="O30" i="2"/>
  <c r="P31" i="2"/>
  <c r="Q32" i="2"/>
  <c r="K32" i="2"/>
  <c r="AI30" i="2"/>
  <c r="S30" i="2"/>
  <c r="S32" i="2"/>
  <c r="S29" i="2"/>
  <c r="S34" i="2"/>
  <c r="S83" i="2"/>
  <c r="S33" i="2"/>
  <c r="S31" i="2"/>
  <c r="S59" i="2"/>
  <c r="Z4" i="2"/>
  <c r="Y4" i="2"/>
  <c r="Z5" i="2"/>
  <c r="AL3" i="2"/>
  <c r="AL43" i="2" s="1"/>
  <c r="V6" i="2"/>
  <c r="V51" i="2" s="1"/>
  <c r="V76" i="2" s="1"/>
  <c r="AK76" i="2"/>
  <c r="U63" i="2"/>
  <c r="V63" i="2" s="1"/>
  <c r="Z3" i="2"/>
  <c r="U6" i="2"/>
  <c r="U51" i="2" s="1"/>
  <c r="U76" i="2" s="1"/>
  <c r="S6" i="2"/>
  <c r="AL4" i="2"/>
  <c r="AL44" i="2" s="1"/>
  <c r="S44" i="2"/>
  <c r="Q78" i="2"/>
  <c r="Q80" i="2"/>
  <c r="M81" i="2"/>
  <c r="Q82" i="2"/>
  <c r="M83" i="2"/>
  <c r="Q84" i="2"/>
  <c r="AK78" i="2"/>
  <c r="R78" i="2"/>
  <c r="R80" i="2"/>
  <c r="N81" i="2"/>
  <c r="R82" i="2"/>
  <c r="N83" i="2"/>
  <c r="R84" i="2"/>
  <c r="K78" i="2"/>
  <c r="S78" i="2"/>
  <c r="K80" i="2"/>
  <c r="S80" i="2"/>
  <c r="O81" i="2"/>
  <c r="K82" i="2"/>
  <c r="S82" i="2"/>
  <c r="O83" i="2"/>
  <c r="K84" i="2"/>
  <c r="S84" i="2"/>
  <c r="L78" i="2"/>
  <c r="L80" i="2"/>
  <c r="P81" i="2"/>
  <c r="L82" i="2"/>
  <c r="P83" i="2"/>
  <c r="L84" i="2"/>
  <c r="Y3" i="2"/>
  <c r="M78" i="2"/>
  <c r="M80" i="2"/>
  <c r="Q81" i="2"/>
  <c r="M82" i="2"/>
  <c r="N184" i="2"/>
  <c r="N78" i="2"/>
  <c r="N80" i="2"/>
  <c r="R81" i="2"/>
  <c r="N82" i="2"/>
  <c r="O78" i="2"/>
  <c r="O80" i="2"/>
  <c r="K81" i="2"/>
  <c r="S81" i="2"/>
  <c r="O82" i="2"/>
  <c r="P78" i="2"/>
  <c r="P80" i="2"/>
  <c r="L81" i="2"/>
  <c r="P82" i="2"/>
  <c r="AM4" i="2"/>
  <c r="AL5" i="2"/>
  <c r="AM5" i="2" s="1"/>
  <c r="AN5" i="2" s="1"/>
  <c r="AO5" i="2" s="1"/>
  <c r="AP5" i="2" s="1"/>
  <c r="AQ5" i="2" s="1"/>
  <c r="AR5" i="2" s="1"/>
  <c r="AS5" i="2" s="1"/>
  <c r="AT5" i="2" s="1"/>
  <c r="AU5" i="2" s="1"/>
  <c r="T6" i="2"/>
  <c r="AU81" i="2"/>
  <c r="AI10" i="2"/>
  <c r="M46" i="2"/>
  <c r="R184" i="2"/>
  <c r="Q46" i="2"/>
  <c r="P46" i="2"/>
  <c r="O15" i="2"/>
  <c r="O40" i="2" s="1"/>
  <c r="AJ10" i="2"/>
  <c r="O46" i="2"/>
  <c r="P15" i="2"/>
  <c r="P40" i="2" s="1"/>
  <c r="Q76" i="2"/>
  <c r="AK43" i="2"/>
  <c r="P76" i="2"/>
  <c r="R59" i="2"/>
  <c r="R79" i="2" s="1"/>
  <c r="AK13" i="2"/>
  <c r="AK38" i="2" s="1"/>
  <c r="AK44" i="2"/>
  <c r="R76" i="2"/>
  <c r="AK45" i="2"/>
  <c r="AI46" i="2"/>
  <c r="AJ6" i="2"/>
  <c r="AJ46" i="2" s="1"/>
  <c r="AK6" i="2"/>
  <c r="N59" i="2"/>
  <c r="O76" i="2"/>
  <c r="O38" i="2"/>
  <c r="AK10" i="2"/>
  <c r="AK14" i="2"/>
  <c r="AK39" i="2" s="1"/>
  <c r="O39" i="2"/>
  <c r="AK12" i="2"/>
  <c r="P37" i="2"/>
  <c r="Q15" i="2"/>
  <c r="R15" i="2"/>
  <c r="O59" i="2"/>
  <c r="O79" i="2" s="1"/>
  <c r="P59" i="2"/>
  <c r="P79" i="2" s="1"/>
  <c r="Q59" i="2"/>
  <c r="Q79" i="2" s="1"/>
  <c r="AK59" i="2"/>
  <c r="AJ59" i="2"/>
  <c r="F118" i="2"/>
  <c r="G118" i="2"/>
  <c r="H118" i="2"/>
  <c r="I118" i="2"/>
  <c r="J118" i="2"/>
  <c r="K118" i="2"/>
  <c r="L118" i="2"/>
  <c r="M118" i="2"/>
  <c r="M12" i="1"/>
  <c r="L123" i="2"/>
  <c r="I132" i="2"/>
  <c r="H132" i="2"/>
  <c r="G123" i="2"/>
  <c r="L132" i="2"/>
  <c r="G132" i="2"/>
  <c r="M123" i="2"/>
  <c r="H123" i="2"/>
  <c r="K132" i="2"/>
  <c r="J132" i="2"/>
  <c r="K123" i="2"/>
  <c r="I123" i="2"/>
  <c r="J123" i="2"/>
  <c r="M172" i="2"/>
  <c r="E165" i="2"/>
  <c r="E166" i="2" s="1"/>
  <c r="I15" i="2"/>
  <c r="I40" i="2" s="1"/>
  <c r="J165" i="2"/>
  <c r="J166" i="2" s="1"/>
  <c r="M147" i="2"/>
  <c r="M168" i="2" s="1"/>
  <c r="F59" i="2"/>
  <c r="K165" i="2"/>
  <c r="K166" i="2" s="1"/>
  <c r="G165" i="2"/>
  <c r="G166" i="2" s="1"/>
  <c r="C165" i="2"/>
  <c r="C166" i="2" s="1"/>
  <c r="C168" i="2"/>
  <c r="D165" i="2"/>
  <c r="D166" i="2" s="1"/>
  <c r="D168" i="2"/>
  <c r="E59" i="2"/>
  <c r="E80" i="2"/>
  <c r="E168" i="2"/>
  <c r="F165" i="2"/>
  <c r="F166" i="2" s="1"/>
  <c r="G15" i="2"/>
  <c r="G40" i="2" s="1"/>
  <c r="G37" i="2"/>
  <c r="I37" i="2"/>
  <c r="J13" i="2"/>
  <c r="J38" i="2" s="1"/>
  <c r="J14" i="2"/>
  <c r="J39" i="2" s="1"/>
  <c r="E15" i="2"/>
  <c r="E40" i="2" s="1"/>
  <c r="F15" i="2"/>
  <c r="I165" i="2"/>
  <c r="I166" i="2" s="1"/>
  <c r="E38" i="2"/>
  <c r="D15" i="2"/>
  <c r="L15" i="2"/>
  <c r="J12" i="2"/>
  <c r="M15" i="2"/>
  <c r="C15" i="2"/>
  <c r="K15" i="2"/>
  <c r="L37" i="2"/>
  <c r="H15" i="2"/>
  <c r="C37" i="2"/>
  <c r="D37" i="2"/>
  <c r="AC76" i="2"/>
  <c r="AE76" i="2"/>
  <c r="AD76" i="2"/>
  <c r="AF76" i="2"/>
  <c r="AG76" i="2"/>
  <c r="AB76" i="2"/>
  <c r="AG78" i="2"/>
  <c r="AI82" i="2"/>
  <c r="AG80" i="2"/>
  <c r="AH80" i="2"/>
  <c r="AG81" i="2"/>
  <c r="AI80" i="2"/>
  <c r="AH83" i="2"/>
  <c r="AG82" i="2"/>
  <c r="AI83" i="2"/>
  <c r="AG83" i="2"/>
  <c r="AH81" i="2"/>
  <c r="AI81" i="2"/>
  <c r="AH84" i="2"/>
  <c r="AH78" i="2"/>
  <c r="AI84" i="2"/>
  <c r="D82" i="2"/>
  <c r="C84" i="2"/>
  <c r="I84" i="2"/>
  <c r="G81" i="2"/>
  <c r="E82" i="2"/>
  <c r="D83" i="2"/>
  <c r="H81" i="2"/>
  <c r="E83" i="2"/>
  <c r="I81" i="2"/>
  <c r="G82" i="2"/>
  <c r="D84" i="2"/>
  <c r="C81" i="2"/>
  <c r="H82" i="2"/>
  <c r="G83" i="2"/>
  <c r="E84" i="2"/>
  <c r="C82" i="2"/>
  <c r="I82" i="2"/>
  <c r="H83" i="2"/>
  <c r="D81" i="2"/>
  <c r="I83" i="2"/>
  <c r="G84" i="2"/>
  <c r="E81" i="2"/>
  <c r="C83" i="2"/>
  <c r="H84" i="2"/>
  <c r="H46" i="2"/>
  <c r="G80" i="2"/>
  <c r="H80" i="2"/>
  <c r="C78" i="2"/>
  <c r="D78" i="2"/>
  <c r="I80" i="2"/>
  <c r="E78" i="2"/>
  <c r="I46" i="2"/>
  <c r="K46" i="2"/>
  <c r="J44" i="2"/>
  <c r="J45" i="2"/>
  <c r="L46" i="2"/>
  <c r="G46" i="2"/>
  <c r="J43" i="2"/>
  <c r="M114" i="2"/>
  <c r="M115" i="2" s="1"/>
  <c r="M76" i="2"/>
  <c r="AI40" i="2"/>
  <c r="F38" i="2"/>
  <c r="J6" i="2"/>
  <c r="F6" i="2"/>
  <c r="F39" i="2"/>
  <c r="F37" i="2"/>
  <c r="M59" i="2"/>
  <c r="M79" i="2" s="1"/>
  <c r="G76" i="2"/>
  <c r="J58" i="2"/>
  <c r="AH76" i="2"/>
  <c r="K76" i="2"/>
  <c r="J75" i="2"/>
  <c r="H59" i="2"/>
  <c r="D59" i="2"/>
  <c r="J74" i="2"/>
  <c r="J51" i="2"/>
  <c r="J78" i="2" s="1"/>
  <c r="L76" i="2"/>
  <c r="J114" i="2"/>
  <c r="J115" i="2" s="1"/>
  <c r="G114" i="2"/>
  <c r="G115" i="2" s="1"/>
  <c r="H114" i="2"/>
  <c r="H115" i="2" s="1"/>
  <c r="F114" i="2"/>
  <c r="F115" i="2" s="1"/>
  <c r="I114" i="2"/>
  <c r="I115" i="2" s="1"/>
  <c r="L114" i="2"/>
  <c r="L115" i="2" s="1"/>
  <c r="K114" i="2"/>
  <c r="K115" i="2" s="1"/>
  <c r="AI76" i="2"/>
  <c r="F78" i="2"/>
  <c r="H76" i="2"/>
  <c r="C59" i="2"/>
  <c r="I76" i="2"/>
  <c r="I59" i="2"/>
  <c r="AG59" i="2"/>
  <c r="AH59" i="2"/>
  <c r="AH79" i="2" s="1"/>
  <c r="AI59" i="2"/>
  <c r="AI79" i="2" s="1"/>
  <c r="K59" i="2"/>
  <c r="K79" i="2" s="1"/>
  <c r="G59" i="2"/>
  <c r="L59" i="2"/>
  <c r="L79" i="2" s="1"/>
  <c r="R168" i="2" l="1"/>
  <c r="Q168" i="2"/>
  <c r="T72" i="2"/>
  <c r="T67" i="2"/>
  <c r="T68" i="2" s="1"/>
  <c r="S46" i="2"/>
  <c r="S40" i="2"/>
  <c r="S64" i="2"/>
  <c r="AM51" i="2"/>
  <c r="AN51" i="2" s="1"/>
  <c r="AO51" i="2" s="1"/>
  <c r="AP51" i="2" s="1"/>
  <c r="AQ51" i="2" s="1"/>
  <c r="AR51" i="2" s="1"/>
  <c r="AS51" i="2" s="1"/>
  <c r="AT51" i="2" s="1"/>
  <c r="AU51" i="2" s="1"/>
  <c r="AL63" i="2"/>
  <c r="AM3" i="2"/>
  <c r="AN3" i="2" s="1"/>
  <c r="AO3" i="2" s="1"/>
  <c r="AP3" i="2" s="1"/>
  <c r="AQ3" i="2" s="1"/>
  <c r="AR3" i="2" s="1"/>
  <c r="AS3" i="2" s="1"/>
  <c r="AT3" i="2" s="1"/>
  <c r="AU3" i="2" s="1"/>
  <c r="AK46" i="2"/>
  <c r="N64" i="2"/>
  <c r="N67" i="2" s="1"/>
  <c r="N68" i="2" s="1"/>
  <c r="N79" i="2"/>
  <c r="AG64" i="2"/>
  <c r="AG67" i="2" s="1"/>
  <c r="AG69" i="2" s="1"/>
  <c r="AG79" i="2"/>
  <c r="AJ64" i="2"/>
  <c r="AJ67" i="2" s="1"/>
  <c r="AJ68" i="2" s="1"/>
  <c r="AJ79" i="2"/>
  <c r="AK64" i="2"/>
  <c r="AK67" i="2" s="1"/>
  <c r="AK68" i="2" s="1"/>
  <c r="AK79" i="2"/>
  <c r="R16" i="2"/>
  <c r="S79" i="2"/>
  <c r="AL6" i="2"/>
  <c r="AL46" i="2" s="1"/>
  <c r="AL45" i="2"/>
  <c r="AM45" i="2"/>
  <c r="AM44" i="2"/>
  <c r="AN4" i="2"/>
  <c r="T78" i="2"/>
  <c r="P64" i="2"/>
  <c r="P67" i="2" s="1"/>
  <c r="P69" i="2" s="1"/>
  <c r="O64" i="2"/>
  <c r="O67" i="2" s="1"/>
  <c r="O69" i="2" s="1"/>
  <c r="R64" i="2"/>
  <c r="R67" i="2" s="1"/>
  <c r="R69" i="2" s="1"/>
  <c r="U69" i="2" s="1"/>
  <c r="V69" i="2" s="1"/>
  <c r="Q64" i="2"/>
  <c r="Q67" i="2" s="1"/>
  <c r="Q69" i="2" s="1"/>
  <c r="P16" i="2"/>
  <c r="M16" i="2"/>
  <c r="O16" i="2"/>
  <c r="L16" i="2"/>
  <c r="AK37" i="2"/>
  <c r="AK15" i="2"/>
  <c r="AK40" i="2" s="1"/>
  <c r="Q16" i="2"/>
  <c r="Q40" i="2"/>
  <c r="R40" i="2"/>
  <c r="L64" i="2"/>
  <c r="L67" i="2" s="1"/>
  <c r="C64" i="2"/>
  <c r="C72" i="2" s="1"/>
  <c r="C79" i="2"/>
  <c r="G64" i="2"/>
  <c r="G72" i="2" s="1"/>
  <c r="G79" i="2"/>
  <c r="F64" i="2"/>
  <c r="F67" i="2" s="1"/>
  <c r="F79" i="2"/>
  <c r="E64" i="2"/>
  <c r="E67" i="2" s="1"/>
  <c r="E169" i="2" s="1"/>
  <c r="E79" i="2"/>
  <c r="M64" i="2"/>
  <c r="M72" i="2" s="1"/>
  <c r="D64" i="2"/>
  <c r="D67" i="2" s="1"/>
  <c r="D79" i="2"/>
  <c r="I16" i="2"/>
  <c r="I79" i="2"/>
  <c r="H64" i="2"/>
  <c r="H67" i="2" s="1"/>
  <c r="H79" i="2"/>
  <c r="M165" i="2"/>
  <c r="M166" i="2" s="1"/>
  <c r="M173" i="2" s="1"/>
  <c r="F16" i="2"/>
  <c r="C16" i="2"/>
  <c r="E16" i="2"/>
  <c r="M40" i="2"/>
  <c r="G16" i="2"/>
  <c r="C40" i="2"/>
  <c r="D40" i="2"/>
  <c r="D16" i="2"/>
  <c r="K40" i="2"/>
  <c r="K16" i="2"/>
  <c r="H40" i="2"/>
  <c r="H16" i="2"/>
  <c r="L40" i="2"/>
  <c r="J15" i="2"/>
  <c r="J37" i="2"/>
  <c r="F82" i="2"/>
  <c r="AJ76" i="2"/>
  <c r="F81" i="2"/>
  <c r="K64" i="2"/>
  <c r="F84" i="2"/>
  <c r="J84" i="2"/>
  <c r="J81" i="2"/>
  <c r="AJ84" i="2"/>
  <c r="F83" i="2"/>
  <c r="J82" i="2"/>
  <c r="J83" i="2"/>
  <c r="N76" i="2"/>
  <c r="F80" i="2"/>
  <c r="J80" i="2"/>
  <c r="F40" i="2"/>
  <c r="J46" i="2"/>
  <c r="J76" i="2"/>
  <c r="AI64" i="2"/>
  <c r="J59" i="2"/>
  <c r="J79" i="2" s="1"/>
  <c r="AH64" i="2"/>
  <c r="AL76" i="2" l="1"/>
  <c r="U57" i="2"/>
  <c r="V57" i="2" s="1"/>
  <c r="AL57" i="2"/>
  <c r="T81" i="2"/>
  <c r="AM43" i="2"/>
  <c r="S67" i="2"/>
  <c r="AM6" i="2"/>
  <c r="T80" i="2"/>
  <c r="U54" i="2"/>
  <c r="T82" i="2"/>
  <c r="U55" i="2"/>
  <c r="T83" i="2"/>
  <c r="U56" i="2"/>
  <c r="T84" i="2"/>
  <c r="S72" i="2"/>
  <c r="AN45" i="2"/>
  <c r="AO4" i="2"/>
  <c r="AN44" i="2"/>
  <c r="AN43" i="2"/>
  <c r="AN6" i="2"/>
  <c r="AM46" i="2"/>
  <c r="U53" i="2"/>
  <c r="P72" i="2"/>
  <c r="U52" i="2"/>
  <c r="E72" i="2"/>
  <c r="O72" i="2"/>
  <c r="AJ82" i="2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J80" i="2"/>
  <c r="Q72" i="2"/>
  <c r="R72" i="2"/>
  <c r="AJ83" i="2"/>
  <c r="L72" i="2"/>
  <c r="H72" i="2"/>
  <c r="E69" i="2"/>
  <c r="M67" i="2"/>
  <c r="M68" i="2" s="1"/>
  <c r="C67" i="2"/>
  <c r="F117" i="2" s="1"/>
  <c r="D72" i="2"/>
  <c r="G67" i="2"/>
  <c r="G117" i="2" s="1"/>
  <c r="F72" i="2"/>
  <c r="F169" i="2"/>
  <c r="F69" i="2"/>
  <c r="D69" i="2"/>
  <c r="D169" i="2"/>
  <c r="J16" i="2"/>
  <c r="J40" i="2"/>
  <c r="L136" i="2"/>
  <c r="L147" i="2" s="1"/>
  <c r="L168" i="2" s="1"/>
  <c r="L169" i="2"/>
  <c r="H69" i="2"/>
  <c r="H169" i="2"/>
  <c r="AJ81" i="2"/>
  <c r="H136" i="2"/>
  <c r="H147" i="2" s="1"/>
  <c r="H168" i="2" s="1"/>
  <c r="L69" i="2"/>
  <c r="K67" i="2"/>
  <c r="K169" i="2" s="1"/>
  <c r="K72" i="2"/>
  <c r="N74" i="2"/>
  <c r="N75" i="2"/>
  <c r="AJ78" i="2"/>
  <c r="AH67" i="2"/>
  <c r="AI67" i="2"/>
  <c r="S68" i="2" l="1"/>
  <c r="U58" i="2"/>
  <c r="V58" i="2" s="1"/>
  <c r="AL58" i="2"/>
  <c r="C169" i="2"/>
  <c r="U80" i="2"/>
  <c r="U78" i="2"/>
  <c r="V56" i="2"/>
  <c r="AL56" i="2" s="1"/>
  <c r="U84" i="2"/>
  <c r="V53" i="2"/>
  <c r="U81" i="2"/>
  <c r="V55" i="2"/>
  <c r="V83" i="2" s="1"/>
  <c r="U83" i="2"/>
  <c r="V54" i="2"/>
  <c r="AL54" i="2" s="1"/>
  <c r="U82" i="2"/>
  <c r="AO45" i="2"/>
  <c r="AP4" i="2"/>
  <c r="AO44" i="2"/>
  <c r="AN46" i="2"/>
  <c r="AO43" i="2"/>
  <c r="AO6" i="2"/>
  <c r="AU82" i="2"/>
  <c r="V52" i="2"/>
  <c r="AL52" i="2" s="1"/>
  <c r="H117" i="2"/>
  <c r="M169" i="2"/>
  <c r="C69" i="2"/>
  <c r="G169" i="2"/>
  <c r="G69" i="2"/>
  <c r="L165" i="2"/>
  <c r="L166" i="2" s="1"/>
  <c r="H165" i="2"/>
  <c r="H166" i="2" s="1"/>
  <c r="K69" i="2"/>
  <c r="AI69" i="2"/>
  <c r="AH69" i="2"/>
  <c r="V81" i="2" l="1"/>
  <c r="AL53" i="2"/>
  <c r="AL55" i="2"/>
  <c r="T79" i="2"/>
  <c r="V80" i="2"/>
  <c r="V78" i="2"/>
  <c r="V84" i="2"/>
  <c r="V82" i="2"/>
  <c r="AP45" i="2"/>
  <c r="AQ4" i="2"/>
  <c r="AP44" i="2"/>
  <c r="AO46" i="2"/>
  <c r="AP43" i="2"/>
  <c r="AP6" i="2"/>
  <c r="AM52" i="2"/>
  <c r="AN52" i="2" s="1"/>
  <c r="U59" i="2"/>
  <c r="U79" i="2" s="1"/>
  <c r="U64" i="2" l="1"/>
  <c r="V64" i="2" s="1"/>
  <c r="AO52" i="2"/>
  <c r="AP52" i="2" s="1"/>
  <c r="AQ45" i="2"/>
  <c r="AR4" i="2"/>
  <c r="AQ44" i="2"/>
  <c r="AQ43" i="2"/>
  <c r="AQ6" i="2"/>
  <c r="AP46" i="2"/>
  <c r="V59" i="2"/>
  <c r="AL64" i="2" l="1"/>
  <c r="V79" i="2"/>
  <c r="AL59" i="2"/>
  <c r="AL79" i="2" s="1"/>
  <c r="U65" i="2"/>
  <c r="V65" i="2" s="1"/>
  <c r="AL65" i="2"/>
  <c r="AR45" i="2"/>
  <c r="AS4" i="2"/>
  <c r="AR44" i="2"/>
  <c r="AQ46" i="2"/>
  <c r="AQ52" i="2"/>
  <c r="AR43" i="2"/>
  <c r="AR6" i="2"/>
  <c r="U67" i="2" l="1"/>
  <c r="V67" i="2" s="1"/>
  <c r="AL67" i="2" s="1"/>
  <c r="AS45" i="2"/>
  <c r="AT4" i="2"/>
  <c r="AS44" i="2"/>
  <c r="AR52" i="2"/>
  <c r="AR46" i="2"/>
  <c r="AS43" i="2"/>
  <c r="AS6" i="2"/>
  <c r="I64" i="2"/>
  <c r="J63" i="2"/>
  <c r="U68" i="2" l="1"/>
  <c r="V68" i="2" s="1"/>
  <c r="AU45" i="2"/>
  <c r="AT45" i="2"/>
  <c r="AU4" i="2"/>
  <c r="AU44" i="2" s="1"/>
  <c r="AT44" i="2"/>
  <c r="AT43" i="2"/>
  <c r="AT6" i="2"/>
  <c r="AS52" i="2"/>
  <c r="AS46" i="2"/>
  <c r="I67" i="2"/>
  <c r="J67" i="2" s="1"/>
  <c r="M117" i="2" s="1"/>
  <c r="I72" i="2"/>
  <c r="J64" i="2"/>
  <c r="J72" i="2" s="1"/>
  <c r="AL68" i="2" l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T52" i="2"/>
  <c r="AT46" i="2"/>
  <c r="AU43" i="2"/>
  <c r="AU6" i="2"/>
  <c r="AU72" i="2" s="1"/>
  <c r="I169" i="2"/>
  <c r="L117" i="2"/>
  <c r="K117" i="2"/>
  <c r="I117" i="2"/>
  <c r="J117" i="2"/>
  <c r="I69" i="2"/>
  <c r="J69" i="2"/>
  <c r="J169" i="2"/>
  <c r="AU46" i="2" l="1"/>
  <c r="AU52" i="2"/>
  <c r="N72" i="2"/>
  <c r="AL78" i="2" l="1"/>
  <c r="AL87" i="2" l="1"/>
  <c r="AM60" i="2" s="1"/>
  <c r="N12" i="2" l="1"/>
  <c r="AJ12" i="2" s="1"/>
  <c r="AJ37" i="2" l="1"/>
  <c r="N37" i="2"/>
  <c r="N13" i="2"/>
  <c r="N6" i="2"/>
  <c r="N14" i="2"/>
  <c r="N15" i="2" l="1"/>
  <c r="N16" i="2" s="1"/>
  <c r="AJ14" i="2"/>
  <c r="AJ39" i="2" s="1"/>
  <c r="N46" i="2"/>
  <c r="R46" i="2"/>
  <c r="N38" i="2"/>
  <c r="AJ13" i="2"/>
  <c r="N39" i="2"/>
  <c r="N40" i="2" l="1"/>
  <c r="AJ38" i="2"/>
  <c r="AJ15" i="2"/>
  <c r="AJ40" i="2" s="1"/>
  <c r="AM53" i="2" l="1"/>
  <c r="AN53" i="2" s="1"/>
  <c r="AO53" i="2" s="1"/>
  <c r="AP53" i="2" s="1"/>
  <c r="AQ53" i="2" s="1"/>
  <c r="AR53" i="2" s="1"/>
  <c r="AS53" i="2" s="1"/>
  <c r="AT53" i="2" s="1"/>
  <c r="AU53" i="2" s="1"/>
  <c r="AM55" i="2"/>
  <c r="AN55" i="2" s="1"/>
  <c r="AO55" i="2" s="1"/>
  <c r="AP55" i="2" s="1"/>
  <c r="AQ55" i="2" s="1"/>
  <c r="AR55" i="2" s="1"/>
  <c r="AS55" i="2" s="1"/>
  <c r="AT55" i="2" s="1"/>
  <c r="AU55" i="2" s="1"/>
  <c r="AM56" i="2"/>
  <c r="AN56" i="2" s="1"/>
  <c r="AO56" i="2" s="1"/>
  <c r="AP56" i="2" s="1"/>
  <c r="AQ56" i="2" s="1"/>
  <c r="AR56" i="2" s="1"/>
  <c r="AS56" i="2" s="1"/>
  <c r="AT56" i="2" s="1"/>
  <c r="AU56" i="2" s="1"/>
  <c r="AM54" i="2"/>
  <c r="AN54" i="2" s="1"/>
  <c r="AO54" i="2" s="1"/>
  <c r="AP54" i="2" s="1"/>
  <c r="AQ54" i="2" s="1"/>
  <c r="AR54" i="2" s="1"/>
  <c r="AS54" i="2" s="1"/>
  <c r="AT54" i="2" s="1"/>
  <c r="AU54" i="2" s="1"/>
  <c r="AM57" i="2"/>
  <c r="AN57" i="2" s="1"/>
  <c r="AO57" i="2" s="1"/>
  <c r="AP57" i="2" s="1"/>
  <c r="AQ57" i="2" s="1"/>
  <c r="AR57" i="2" s="1"/>
  <c r="AS57" i="2" s="1"/>
  <c r="AT57" i="2" s="1"/>
  <c r="AU57" i="2" s="1"/>
  <c r="AM76" i="2"/>
  <c r="AM58" i="2" l="1"/>
  <c r="AM59" i="2" s="1"/>
  <c r="AM78" i="2"/>
  <c r="AM61" i="2" l="1"/>
  <c r="AM63" i="2" s="1"/>
  <c r="AM64" i="2" s="1"/>
  <c r="AM79" i="2"/>
  <c r="AM65" i="2" l="1"/>
  <c r="AM67" i="2" s="1"/>
  <c r="AM87" i="2" l="1"/>
  <c r="AM68" i="2"/>
  <c r="AN60" i="2" l="1"/>
  <c r="AQ76" i="2"/>
  <c r="AP76" i="2"/>
  <c r="AU76" i="2"/>
  <c r="AO76" i="2"/>
  <c r="AN78" i="2"/>
  <c r="AT76" i="2"/>
  <c r="AR76" i="2"/>
  <c r="AS76" i="2"/>
  <c r="AN76" i="2"/>
  <c r="AN58" i="2" l="1"/>
  <c r="AN59" i="2" s="1"/>
  <c r="AO58" i="2"/>
  <c r="AO59" i="2" s="1"/>
  <c r="AO78" i="2"/>
  <c r="AO79" i="2" l="1"/>
  <c r="AP58" i="2"/>
  <c r="AP59" i="2" s="1"/>
  <c r="AP78" i="2"/>
  <c r="AN61" i="2"/>
  <c r="AN63" i="2" s="1"/>
  <c r="AN64" i="2" s="1"/>
  <c r="AN79" i="2"/>
  <c r="AN65" i="2" l="1"/>
  <c r="AN67" i="2" s="1"/>
  <c r="AQ78" i="2"/>
  <c r="AQ58" i="2"/>
  <c r="AQ59" i="2" s="1"/>
  <c r="AP79" i="2"/>
  <c r="AO61" i="2"/>
  <c r="AP61" i="2" s="1"/>
  <c r="AN68" i="2" l="1"/>
  <c r="AN87" i="2"/>
  <c r="AQ61" i="2"/>
  <c r="AQ79" i="2"/>
  <c r="AR58" i="2"/>
  <c r="AR59" i="2" s="1"/>
  <c r="AR78" i="2"/>
  <c r="AO60" i="2" l="1"/>
  <c r="AO63" i="2" s="1"/>
  <c r="AO64" i="2" s="1"/>
  <c r="AS58" i="2"/>
  <c r="AS59" i="2" s="1"/>
  <c r="AS78" i="2"/>
  <c r="AR79" i="2"/>
  <c r="AR61" i="2"/>
  <c r="AT58" i="2" l="1"/>
  <c r="AT59" i="2" s="1"/>
  <c r="AT78" i="2"/>
  <c r="AS79" i="2"/>
  <c r="AS61" i="2"/>
  <c r="AO65" i="2"/>
  <c r="AO67" i="2" s="1"/>
  <c r="AO68" i="2" l="1"/>
  <c r="AO87" i="2"/>
  <c r="AT79" i="2"/>
  <c r="AT61" i="2"/>
  <c r="AU78" i="2"/>
  <c r="AU58" i="2"/>
  <c r="AU59" i="2" s="1"/>
  <c r="AU61" i="2" l="1"/>
  <c r="AU79" i="2"/>
  <c r="AP60" i="2"/>
  <c r="AP63" i="2" s="1"/>
  <c r="AP64" i="2" s="1"/>
  <c r="AP65" i="2" l="1"/>
  <c r="AP67" i="2" s="1"/>
  <c r="AP68" i="2" l="1"/>
  <c r="AP87" i="2"/>
  <c r="AQ60" i="2" l="1"/>
  <c r="AQ63" i="2" s="1"/>
  <c r="AQ64" i="2" s="1"/>
  <c r="AQ65" i="2" l="1"/>
  <c r="AQ67" i="2" s="1"/>
  <c r="AQ68" i="2" l="1"/>
  <c r="AQ87" i="2"/>
  <c r="AR60" i="2" l="1"/>
  <c r="AR63" i="2" s="1"/>
  <c r="AR64" i="2" s="1"/>
  <c r="AR65" i="2" l="1"/>
  <c r="AR67" i="2" s="1"/>
  <c r="AR68" i="2" s="1"/>
  <c r="AR87" i="2" l="1"/>
  <c r="AS60" i="2" l="1"/>
  <c r="AS63" i="2" s="1"/>
  <c r="AS64" i="2" s="1"/>
  <c r="AS65" i="2" l="1"/>
  <c r="AS67" i="2" s="1"/>
  <c r="AS68" i="2" l="1"/>
  <c r="AS87" i="2"/>
  <c r="AT60" i="2" l="1"/>
  <c r="AT63" i="2" s="1"/>
  <c r="AT64" i="2" s="1"/>
  <c r="AT65" i="2" l="1"/>
  <c r="AT67" i="2" s="1"/>
  <c r="AT68" i="2" l="1"/>
  <c r="AT87" i="2"/>
  <c r="AU60" i="2" l="1"/>
  <c r="AU63" i="2" s="1"/>
  <c r="AU64" i="2" s="1"/>
  <c r="AU65" i="2" l="1"/>
  <c r="AU67" i="2" s="1"/>
  <c r="AV67" i="2" l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DF67" i="2" s="1"/>
  <c r="DG67" i="2" s="1"/>
  <c r="DH67" i="2" s="1"/>
  <c r="DI67" i="2" s="1"/>
  <c r="DJ67" i="2" s="1"/>
  <c r="DK67" i="2" s="1"/>
  <c r="DL67" i="2" s="1"/>
  <c r="DM67" i="2" s="1"/>
  <c r="DN67" i="2" s="1"/>
  <c r="DO67" i="2" s="1"/>
  <c r="DP67" i="2" s="1"/>
  <c r="DQ67" i="2" s="1"/>
  <c r="DR67" i="2" s="1"/>
  <c r="DS67" i="2" s="1"/>
  <c r="DT67" i="2" s="1"/>
  <c r="DU67" i="2" s="1"/>
  <c r="DV67" i="2" s="1"/>
  <c r="DW67" i="2" s="1"/>
  <c r="DX67" i="2" s="1"/>
  <c r="DY67" i="2" s="1"/>
  <c r="DZ67" i="2" s="1"/>
  <c r="EA67" i="2" s="1"/>
  <c r="EB67" i="2" s="1"/>
  <c r="EC67" i="2" s="1"/>
  <c r="ED67" i="2" s="1"/>
  <c r="EE67" i="2" s="1"/>
  <c r="EF67" i="2" s="1"/>
  <c r="EG67" i="2" s="1"/>
  <c r="EH67" i="2" s="1"/>
  <c r="EI67" i="2" s="1"/>
  <c r="EJ67" i="2" s="1"/>
  <c r="EK67" i="2" s="1"/>
  <c r="EL67" i="2" s="1"/>
  <c r="EM67" i="2" s="1"/>
  <c r="EN67" i="2" s="1"/>
  <c r="EO67" i="2" s="1"/>
  <c r="EP67" i="2" s="1"/>
  <c r="EQ67" i="2" s="1"/>
  <c r="ER67" i="2" s="1"/>
  <c r="ES67" i="2" s="1"/>
  <c r="ET67" i="2" s="1"/>
  <c r="EU67" i="2" s="1"/>
  <c r="EV67" i="2" s="1"/>
  <c r="EW67" i="2" s="1"/>
  <c r="EX67" i="2" s="1"/>
  <c r="EY67" i="2" s="1"/>
  <c r="EZ67" i="2" s="1"/>
  <c r="FA67" i="2" s="1"/>
  <c r="FB67" i="2" s="1"/>
  <c r="FC67" i="2" s="1"/>
  <c r="FD67" i="2" s="1"/>
  <c r="FE67" i="2" s="1"/>
  <c r="FF67" i="2" s="1"/>
  <c r="FG67" i="2" s="1"/>
  <c r="FH67" i="2" s="1"/>
  <c r="FI67" i="2" s="1"/>
  <c r="FJ67" i="2" s="1"/>
  <c r="FK67" i="2" s="1"/>
  <c r="FL67" i="2" s="1"/>
  <c r="FM67" i="2" s="1"/>
  <c r="FN67" i="2" s="1"/>
  <c r="FO67" i="2" s="1"/>
  <c r="FP67" i="2" s="1"/>
  <c r="FQ67" i="2" s="1"/>
  <c r="FR67" i="2" s="1"/>
  <c r="FS67" i="2" s="1"/>
  <c r="FT67" i="2" s="1"/>
  <c r="FU67" i="2" s="1"/>
  <c r="FV67" i="2" s="1"/>
  <c r="FW67" i="2" s="1"/>
  <c r="FX67" i="2" s="1"/>
  <c r="FY67" i="2" s="1"/>
  <c r="FZ67" i="2" s="1"/>
  <c r="GA67" i="2" s="1"/>
  <c r="GB67" i="2" s="1"/>
  <c r="GC67" i="2" s="1"/>
  <c r="GD67" i="2" s="1"/>
  <c r="GE67" i="2" s="1"/>
  <c r="GF67" i="2" s="1"/>
  <c r="GG67" i="2" s="1"/>
  <c r="GH67" i="2" s="1"/>
  <c r="GI67" i="2" s="1"/>
  <c r="GJ67" i="2" s="1"/>
  <c r="GK67" i="2" s="1"/>
  <c r="GL67" i="2" s="1"/>
  <c r="GM67" i="2" s="1"/>
  <c r="GN67" i="2" s="1"/>
  <c r="GO67" i="2" s="1"/>
  <c r="GP67" i="2" s="1"/>
  <c r="GQ67" i="2" s="1"/>
  <c r="GR67" i="2" s="1"/>
  <c r="GS67" i="2" s="1"/>
  <c r="GT67" i="2" s="1"/>
  <c r="GU67" i="2" s="1"/>
  <c r="GV67" i="2" s="1"/>
  <c r="GW67" i="2" s="1"/>
  <c r="GX67" i="2" s="1"/>
  <c r="GY67" i="2" s="1"/>
  <c r="GZ67" i="2" s="1"/>
  <c r="HA67" i="2" s="1"/>
  <c r="HB67" i="2" s="1"/>
  <c r="HC67" i="2" s="1"/>
  <c r="HD67" i="2" s="1"/>
  <c r="HE67" i="2" s="1"/>
  <c r="HF67" i="2" s="1"/>
  <c r="HG67" i="2" s="1"/>
  <c r="HH67" i="2" s="1"/>
  <c r="HI67" i="2" s="1"/>
  <c r="HJ67" i="2" s="1"/>
  <c r="HK67" i="2" s="1"/>
  <c r="HL67" i="2" s="1"/>
  <c r="HM67" i="2" s="1"/>
  <c r="HN67" i="2" s="1"/>
  <c r="HO67" i="2" s="1"/>
  <c r="HP67" i="2" s="1"/>
  <c r="HQ67" i="2" s="1"/>
  <c r="HR67" i="2" s="1"/>
  <c r="HS67" i="2" s="1"/>
  <c r="HT67" i="2" s="1"/>
  <c r="HU67" i="2" s="1"/>
  <c r="HV67" i="2" s="1"/>
  <c r="HW67" i="2" s="1"/>
  <c r="HX67" i="2" s="1"/>
  <c r="HY67" i="2" s="1"/>
  <c r="HZ67" i="2" s="1"/>
  <c r="IA67" i="2" s="1"/>
  <c r="IB67" i="2" s="1"/>
  <c r="IC67" i="2" s="1"/>
  <c r="ID67" i="2" s="1"/>
  <c r="IE67" i="2" s="1"/>
  <c r="IF67" i="2" s="1"/>
  <c r="IG67" i="2" s="1"/>
  <c r="IH67" i="2" s="1"/>
  <c r="II67" i="2" s="1"/>
  <c r="IJ67" i="2" s="1"/>
  <c r="IK67" i="2" s="1"/>
  <c r="IL67" i="2" s="1"/>
  <c r="IM67" i="2" s="1"/>
  <c r="BA77" i="2" s="1"/>
  <c r="BA80" i="2" s="1"/>
  <c r="BA81" i="2" s="1"/>
  <c r="AU68" i="2"/>
  <c r="AU87" i="2"/>
  <c r="BA8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</authors>
  <commentList>
    <comment ref="D3" authorId="0" shapeId="0" xr:uid="{3FC36FE0-49D3-8746-A9BD-35DCED7583E8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-- AWS simple software to use
</t>
        </r>
        <r>
          <rPr>
            <sz val="10"/>
            <color rgb="FF000000"/>
            <rFont val="Tahoma"/>
            <family val="2"/>
          </rPr>
          <t xml:space="preserve">-- Payment Model is flexible for customers 
</t>
        </r>
        <r>
          <rPr>
            <sz val="10"/>
            <color rgb="FF000000"/>
            <rFont val="Tahoma"/>
            <family val="2"/>
          </rPr>
          <t>-- Is overall demand for AWS correlated w/ general economic sentiment???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jameelbrannon</author>
    <author>jameel</author>
    <author>tc={14FE80F9-6264-2A4A-99CB-EEF1FC083761}</author>
  </authors>
  <commentList>
    <comment ref="N6" authorId="0" shapeId="0" xr:uid="{632A0ED9-5909-E443-890F-8EFF0E0BC5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Guide between: </t>
        </r>
        <r>
          <rPr>
            <sz val="10"/>
            <color rgb="FF000000"/>
            <rFont val="Calibri"/>
            <family val="2"/>
            <scheme val="minor"/>
          </rPr>
          <t>$140.0 billion and $148.0 billion</t>
        </r>
      </text>
    </comment>
    <comment ref="B19" authorId="1" shapeId="0" xr:uid="{C0E65B4A-161F-F645-930E-C757FB9B7D61}">
      <text>
        <r>
          <rPr>
            <b/>
            <sz val="10"/>
            <color rgb="FF000000"/>
            <rFont val="Tahoma"/>
            <family val="2"/>
          </rPr>
          <t>jameel:</t>
        </r>
      </text>
    </comment>
    <comment ref="B28" authorId="1" shapeId="0" xr:uid="{D555789C-0CA6-3741-BBD0-17F0F7009F8B}">
      <text>
        <r>
          <rPr>
            <b/>
            <sz val="10"/>
            <color rgb="FF000000"/>
            <rFont val="Tahoma"/>
            <family val="2"/>
          </rPr>
          <t>jameel:</t>
        </r>
      </text>
    </comment>
    <comment ref="M38" authorId="0" shapeId="0" xr:uid="{2B009173-00E8-AB49-AE7C-882305337D7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Additional op costs in Europe (higher fuel costs moreso in U.S&gt; and primne day often has less profitability due to more discounts</t>
        </r>
      </text>
    </comment>
    <comment ref="M39" authorId="0" shapeId="0" xr:uid="{ECFDF212-992E-014A-B36A-60DB6B344E09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Margins lower due to SBC, energy costs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"they will fluctuate everytime we balance investments and negotiate prices w/ cust"</t>
        </r>
      </text>
    </comment>
    <comment ref="O45" authorId="2" shapeId="0" xr:uid="{14FE80F9-6264-2A4A-99CB-EEF1FC08376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Customer usage
</t>
      </text>
    </comment>
    <comment ref="M62" authorId="0" shapeId="0" xr:uid="{C85E9FED-09C1-1346-B042-30C362865B9C}">
      <text>
        <r>
          <rPr>
            <b/>
            <sz val="10"/>
            <color rgb="FF000000"/>
            <rFont val="Tahoma"/>
            <family val="2"/>
          </rPr>
          <t>jameelbrannon: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INcluded is: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Security gain os $1.1B</t>
        </r>
      </text>
    </comment>
  </commentList>
</comments>
</file>

<file path=xl/sharedStrings.xml><?xml version="1.0" encoding="utf-8"?>
<sst xmlns="http://schemas.openxmlformats.org/spreadsheetml/2006/main" count="223" uniqueCount="199">
  <si>
    <t>AMZN</t>
  </si>
  <si>
    <t>Price</t>
  </si>
  <si>
    <t>Shares</t>
  </si>
  <si>
    <t>MC</t>
  </si>
  <si>
    <t>Cash</t>
  </si>
  <si>
    <t>Debt</t>
  </si>
  <si>
    <t>EV</t>
  </si>
  <si>
    <t>Q222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</si>
  <si>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</si>
  <si>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</si>
  <si>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</si>
  <si>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</si>
  <si>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</si>
  <si>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</si>
  <si>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</si>
  <si>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</si>
  <si>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</si>
  <si>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</si>
  <si>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</si>
  <si>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Net Sales</t>
  </si>
  <si>
    <t>Product</t>
  </si>
  <si>
    <t>Service</t>
  </si>
  <si>
    <t>Costs</t>
  </si>
  <si>
    <t>Tech &amp; Content</t>
  </si>
  <si>
    <t>S&amp;M</t>
  </si>
  <si>
    <t>G&amp;A</t>
  </si>
  <si>
    <t>Other op</t>
  </si>
  <si>
    <t>Total Op E</t>
  </si>
  <si>
    <t>Op Income</t>
  </si>
  <si>
    <t>Interest income</t>
  </si>
  <si>
    <t>Interest expense</t>
  </si>
  <si>
    <t>Other income</t>
  </si>
  <si>
    <t>Total non-op income</t>
  </si>
  <si>
    <t>Income Before Taxes</t>
  </si>
  <si>
    <t>Taxes</t>
  </si>
  <si>
    <t xml:space="preserve">Net Income </t>
  </si>
  <si>
    <t>Equity Method</t>
  </si>
  <si>
    <t>Diluted</t>
  </si>
  <si>
    <t>Eps</t>
  </si>
  <si>
    <t>Fullfilment</t>
  </si>
  <si>
    <t>Revenue y/y</t>
  </si>
  <si>
    <t>Service y/y</t>
  </si>
  <si>
    <t>Product y/y</t>
  </si>
  <si>
    <t>Discount</t>
  </si>
  <si>
    <t>Terminal</t>
  </si>
  <si>
    <t>NPV</t>
  </si>
  <si>
    <t>Estimate</t>
  </si>
  <si>
    <t>Current</t>
  </si>
  <si>
    <t>TL</t>
  </si>
  <si>
    <t>TL + E</t>
  </si>
  <si>
    <t>Equity</t>
  </si>
  <si>
    <t>Securities</t>
  </si>
  <si>
    <t>Inventories</t>
  </si>
  <si>
    <t>A/R</t>
  </si>
  <si>
    <t xml:space="preserve">Current Assets </t>
  </si>
  <si>
    <t>PPE</t>
  </si>
  <si>
    <t>Op lease</t>
  </si>
  <si>
    <t>Goodwill</t>
  </si>
  <si>
    <t>OA</t>
  </si>
  <si>
    <t>TA</t>
  </si>
  <si>
    <t>A/P</t>
  </si>
  <si>
    <t>Accrued expenses</t>
  </si>
  <si>
    <t>Unearned revnue</t>
  </si>
  <si>
    <t>Current Liabilities</t>
  </si>
  <si>
    <t>LT Lease</t>
  </si>
  <si>
    <t>LTD</t>
  </si>
  <si>
    <t>Other LT</t>
  </si>
  <si>
    <t>Preferred stock</t>
  </si>
  <si>
    <t>Common</t>
  </si>
  <si>
    <t>Treasury</t>
  </si>
  <si>
    <t xml:space="preserve">Additional </t>
  </si>
  <si>
    <t>Accumalated Other</t>
  </si>
  <si>
    <t>Retained</t>
  </si>
  <si>
    <t xml:space="preserve">Net Cash </t>
  </si>
  <si>
    <t>Cash Burn q/q</t>
  </si>
  <si>
    <t>Cash + Restricted</t>
  </si>
  <si>
    <t>Net Income</t>
  </si>
  <si>
    <t>D&amp;A</t>
  </si>
  <si>
    <t>SBC</t>
  </si>
  <si>
    <t>Othe rop expense</t>
  </si>
  <si>
    <t>Other expense</t>
  </si>
  <si>
    <t>Deferred income tax</t>
  </si>
  <si>
    <t>Unearned revenue</t>
  </si>
  <si>
    <t>CFFO</t>
  </si>
  <si>
    <t>PPE Sales</t>
  </si>
  <si>
    <t>Acquisitions</t>
  </si>
  <si>
    <t>Purchases of securities</t>
  </si>
  <si>
    <t>CFFI</t>
  </si>
  <si>
    <t>Buybacks</t>
  </si>
  <si>
    <t>Proceeds from STD</t>
  </si>
  <si>
    <t>Repayments of STD</t>
  </si>
  <si>
    <t>Proceeds from LTD</t>
  </si>
  <si>
    <t>Repayments of LTD</t>
  </si>
  <si>
    <t>Principal Payments FL</t>
  </si>
  <si>
    <t>Principal Payments FO</t>
  </si>
  <si>
    <t>CFFF</t>
  </si>
  <si>
    <t>FX</t>
  </si>
  <si>
    <t>Net Cash Increase</t>
  </si>
  <si>
    <t>Cash Increase</t>
  </si>
  <si>
    <t>FCF</t>
  </si>
  <si>
    <t>NA</t>
  </si>
  <si>
    <t xml:space="preserve">International </t>
  </si>
  <si>
    <t>AWS</t>
  </si>
  <si>
    <t xml:space="preserve">Revenue </t>
  </si>
  <si>
    <t>NA OM%</t>
  </si>
  <si>
    <t>AWS OM %</t>
  </si>
  <si>
    <t>International OM %</t>
  </si>
  <si>
    <t>Consolidated OM%</t>
  </si>
  <si>
    <t>PR</t>
  </si>
  <si>
    <t xml:space="preserve">RIVIAN </t>
  </si>
  <si>
    <t>Consolidated OP I</t>
  </si>
  <si>
    <t>NA y/y</t>
  </si>
  <si>
    <t>Int'l y/y</t>
  </si>
  <si>
    <t>AWS y/y</t>
  </si>
  <si>
    <t>TR y/y</t>
  </si>
  <si>
    <t>GM</t>
  </si>
  <si>
    <t>Costs %</t>
  </si>
  <si>
    <t>Fullfilment  %</t>
  </si>
  <si>
    <t>T&amp;C %</t>
  </si>
  <si>
    <t>S&amp;M %</t>
  </si>
  <si>
    <t>G&amp;A %</t>
  </si>
  <si>
    <t xml:space="preserve">Tax Rate </t>
  </si>
  <si>
    <t>Delta</t>
  </si>
  <si>
    <t>Q123</t>
  </si>
  <si>
    <t>Q223</t>
  </si>
  <si>
    <t>Q323</t>
  </si>
  <si>
    <t>Q423</t>
  </si>
  <si>
    <t>NC</t>
  </si>
  <si>
    <t>Total V</t>
  </si>
  <si>
    <t>ROIC</t>
  </si>
  <si>
    <t>OpEx</t>
  </si>
  <si>
    <t>NA OpEx</t>
  </si>
  <si>
    <t>Int'l OpEx</t>
  </si>
  <si>
    <t>AWS OpEx</t>
  </si>
  <si>
    <t>NI</t>
  </si>
  <si>
    <t>Capex</t>
  </si>
  <si>
    <t>Sale of securities</t>
  </si>
  <si>
    <t xml:space="preserve">Mean </t>
  </si>
  <si>
    <t>11Y Cash CAGR</t>
  </si>
  <si>
    <t>OM</t>
  </si>
  <si>
    <t>LTD Debt Change q/q</t>
  </si>
  <si>
    <t>STD Change q/q</t>
  </si>
  <si>
    <t>LTD Debt Increase</t>
  </si>
  <si>
    <t>STD Debt Increase</t>
  </si>
  <si>
    <t>LTD Debt Decrease</t>
  </si>
  <si>
    <t>STD Debt Decrease</t>
  </si>
  <si>
    <t>Organic Debt Change</t>
  </si>
  <si>
    <t>ROE</t>
  </si>
  <si>
    <t>NWC</t>
  </si>
  <si>
    <t>Q3'22</t>
  </si>
  <si>
    <t>Q2'22</t>
  </si>
  <si>
    <t>Q1'22</t>
  </si>
  <si>
    <t>Q4'21</t>
  </si>
  <si>
    <t>Q3'21</t>
  </si>
  <si>
    <t>ER</t>
  </si>
  <si>
    <t>Video</t>
  </si>
  <si>
    <t>Benefits</t>
  </si>
  <si>
    <t>Exercise</t>
  </si>
  <si>
    <t xml:space="preserve">Comp: Azure, Google, IBM, Oracle, VMWare, Dell, Alibaba, Tencent, vCloud,Lumen, Blue Prism, </t>
  </si>
  <si>
    <t>Contains</t>
  </si>
  <si>
    <t>Crystal Dynamics deal to develop Tomb Raider</t>
  </si>
  <si>
    <t>AWS/AFI innovation</t>
  </si>
  <si>
    <t>Slalom collab</t>
  </si>
  <si>
    <t xml:space="preserve">$700M Equity Investment in Rivian </t>
  </si>
  <si>
    <t>Equity warrants</t>
  </si>
  <si>
    <t>Equity Invest. Revisions</t>
  </si>
  <si>
    <t>Fx</t>
  </si>
  <si>
    <t>Other, net</t>
  </si>
  <si>
    <t>Rivian Revenues</t>
  </si>
  <si>
    <t>Gp</t>
  </si>
  <si>
    <t>RIVN</t>
  </si>
  <si>
    <t>AMZN Ownership</t>
  </si>
  <si>
    <t>$m</t>
  </si>
  <si>
    <t>Rivian shares</t>
  </si>
  <si>
    <t>Rivian Valuation Change</t>
  </si>
  <si>
    <t>Total Other Income</t>
  </si>
  <si>
    <t>Q124</t>
  </si>
  <si>
    <t>Q224</t>
  </si>
  <si>
    <t>Q324</t>
  </si>
  <si>
    <t>Q424</t>
  </si>
  <si>
    <t>Q4'23</t>
  </si>
  <si>
    <t>Q3'23</t>
  </si>
  <si>
    <t>Q2'23</t>
  </si>
  <si>
    <t>Q1'23</t>
  </si>
  <si>
    <t>Q4'22</t>
  </si>
  <si>
    <t xml:space="preserve">Precision Medicine </t>
  </si>
  <si>
    <t xml:space="preserve">Choice hotels </t>
  </si>
  <si>
    <t>ONLINE STORES</t>
  </si>
  <si>
    <t>PHYSICAL STORES</t>
  </si>
  <si>
    <t>3RD PART SELLERS</t>
  </si>
  <si>
    <t>ADS</t>
  </si>
  <si>
    <t>SUBSCRIPTION</t>
  </si>
  <si>
    <t>OTHER</t>
  </si>
  <si>
    <t>3RD PARTY SELLERS</t>
  </si>
  <si>
    <t>Q1'24</t>
  </si>
  <si>
    <t>Q2'24</t>
  </si>
  <si>
    <t>EV/24E</t>
  </si>
  <si>
    <t>EV/25E</t>
  </si>
  <si>
    <t>4Q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</si>
</sst>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\X"/>
    <numFmt numFmtId="168" formatCode="0.0\x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Intel Clear"/>
      <family val="2"/>
    </font>
    <font>
      <sz val="11"/>
      <color theme="1"/>
      <name val="Intel Clear"/>
      <family val="2"/>
    </font>
    <font>
      <b/>
      <sz val="11"/>
      <color rgb="FF000000"/>
      <name val="Intel Clear"/>
      <family val="2"/>
    </font>
    <font>
      <sz val="11"/>
      <color rgb="FF000000"/>
      <name val="Intel Clear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1"/>
      <color rgb="FF0432FF"/>
      <name val="Intel Clear"/>
      <family val="2"/>
    </font>
    <font>
      <u/>
      <sz val="11"/>
      <color theme="1"/>
      <name val="Intel Clear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249977111117893"/>
      <name val="Intel Clear"/>
      <family val="2"/>
    </font>
    <font>
      <b/>
      <i/>
      <sz val="11"/>
      <color theme="0" tint="-0.249977111117893"/>
      <name val="Intel Clear"/>
      <family val="2"/>
    </font>
    <font>
      <b/>
      <i/>
      <sz val="11"/>
      <color theme="1"/>
      <name val="Intel Clear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1" fillId="0" borderId="0" xfId="0" applyNumberFormat="1" applyFont="1"/>
    <xf numFmtId="9" fontId="2" fillId="0" borderId="0" xfId="0" applyNumberFormat="1" applyFont="1"/>
    <xf numFmtId="1" fontId="2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1" fillId="0" borderId="0" xfId="0" applyNumberFormat="1" applyFont="1"/>
    <xf numFmtId="164" fontId="2" fillId="0" borderId="0" xfId="0" applyNumberFormat="1" applyFont="1"/>
    <xf numFmtId="9" fontId="8" fillId="0" borderId="0" xfId="0" applyNumberFormat="1" applyFont="1" applyAlignment="1">
      <alignment horizontal="right"/>
    </xf>
    <xf numFmtId="3" fontId="9" fillId="0" borderId="0" xfId="0" applyNumberFormat="1" applyFont="1"/>
    <xf numFmtId="10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1" fillId="0" borderId="0" xfId="0" applyFont="1"/>
    <xf numFmtId="0" fontId="10" fillId="0" borderId="0" xfId="1"/>
    <xf numFmtId="14" fontId="2" fillId="0" borderId="0" xfId="0" applyNumberFormat="1" applyFont="1"/>
    <xf numFmtId="14" fontId="10" fillId="0" borderId="0" xfId="1" applyNumberFormat="1"/>
    <xf numFmtId="2" fontId="2" fillId="0" borderId="0" xfId="0" applyNumberFormat="1" applyFont="1" applyAlignment="1">
      <alignment horizontal="left"/>
    </xf>
    <xf numFmtId="2" fontId="2" fillId="0" borderId="0" xfId="0" applyNumberFormat="1" applyFont="1"/>
    <xf numFmtId="43" fontId="1" fillId="0" borderId="0" xfId="2" applyFont="1" applyAlignment="1">
      <alignment horizontal="right"/>
    </xf>
    <xf numFmtId="0" fontId="10" fillId="0" borderId="0" xfId="1" applyAlignment="1">
      <alignment horizontal="left"/>
    </xf>
    <xf numFmtId="164" fontId="1" fillId="4" borderId="0" xfId="0" applyNumberFormat="1" applyFont="1" applyFill="1"/>
    <xf numFmtId="9" fontId="2" fillId="4" borderId="0" xfId="0" applyNumberFormat="1" applyFont="1" applyFill="1" applyAlignment="1">
      <alignment horizontal="right"/>
    </xf>
    <xf numFmtId="9" fontId="2" fillId="5" borderId="0" xfId="0" applyNumberFormat="1" applyFont="1" applyFill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3" fontId="2" fillId="4" borderId="0" xfId="0" applyNumberFormat="1" applyFont="1" applyFill="1"/>
    <xf numFmtId="3" fontId="2" fillId="2" borderId="0" xfId="0" applyNumberFormat="1" applyFont="1" applyFill="1"/>
    <xf numFmtId="164" fontId="12" fillId="2" borderId="0" xfId="0" applyNumberFormat="1" applyFont="1" applyFill="1"/>
    <xf numFmtId="164" fontId="13" fillId="3" borderId="0" xfId="0" applyNumberFormat="1" applyFont="1" applyFill="1"/>
    <xf numFmtId="3" fontId="12" fillId="2" borderId="0" xfId="0" applyNumberFormat="1" applyFont="1" applyFill="1"/>
    <xf numFmtId="3" fontId="13" fillId="3" borderId="0" xfId="0" applyNumberFormat="1" applyFont="1" applyFill="1"/>
    <xf numFmtId="1" fontId="12" fillId="2" borderId="0" xfId="0" applyNumberFormat="1" applyFont="1" applyFill="1"/>
    <xf numFmtId="1" fontId="13" fillId="3" borderId="0" xfId="0" applyNumberFormat="1" applyFont="1" applyFill="1"/>
    <xf numFmtId="9" fontId="12" fillId="2" borderId="0" xfId="0" applyNumberFormat="1" applyFont="1" applyFill="1"/>
    <xf numFmtId="9" fontId="13" fillId="3" borderId="0" xfId="0" applyNumberFormat="1" applyFont="1" applyFill="1"/>
    <xf numFmtId="1" fontId="2" fillId="0" borderId="0" xfId="0" applyNumberFormat="1" applyFont="1"/>
    <xf numFmtId="9" fontId="1" fillId="0" borderId="0" xfId="0" applyNumberFormat="1" applyFont="1" applyAlignment="1">
      <alignment horizontal="center"/>
    </xf>
    <xf numFmtId="3" fontId="2" fillId="2" borderId="4" xfId="0" applyNumberFormat="1" applyFont="1" applyFill="1" applyBorder="1"/>
    <xf numFmtId="164" fontId="2" fillId="2" borderId="3" xfId="0" applyNumberFormat="1" applyFont="1" applyFill="1" applyBorder="1"/>
    <xf numFmtId="3" fontId="1" fillId="2" borderId="5" xfId="0" applyNumberFormat="1" applyFont="1" applyFill="1" applyBorder="1"/>
    <xf numFmtId="9" fontId="2" fillId="2" borderId="6" xfId="0" applyNumberFormat="1" applyFont="1" applyFill="1" applyBorder="1"/>
    <xf numFmtId="164" fontId="2" fillId="2" borderId="6" xfId="0" applyNumberFormat="1" applyFont="1" applyFill="1" applyBorder="1"/>
    <xf numFmtId="3" fontId="2" fillId="2" borderId="5" xfId="0" applyNumberFormat="1" applyFont="1" applyFill="1" applyBorder="1"/>
    <xf numFmtId="3" fontId="2" fillId="2" borderId="6" xfId="0" applyNumberFormat="1" applyFont="1" applyFill="1" applyBorder="1"/>
    <xf numFmtId="9" fontId="2" fillId="2" borderId="5" xfId="0" applyNumberFormat="1" applyFont="1" applyFill="1" applyBorder="1"/>
    <xf numFmtId="9" fontId="1" fillId="2" borderId="5" xfId="0" applyNumberFormat="1" applyFont="1" applyFill="1" applyBorder="1"/>
    <xf numFmtId="3" fontId="2" fillId="2" borderId="2" xfId="0" applyNumberFormat="1" applyFont="1" applyFill="1" applyBorder="1"/>
    <xf numFmtId="9" fontId="2" fillId="2" borderId="1" xfId="0" applyNumberFormat="1" applyFont="1" applyFill="1" applyBorder="1"/>
    <xf numFmtId="3" fontId="14" fillId="2" borderId="0" xfId="0" applyNumberFormat="1" applyFont="1" applyFill="1" applyAlignment="1">
      <alignment horizontal="center"/>
    </xf>
    <xf numFmtId="168" fontId="2" fillId="0" borderId="0" xfId="0" applyNumberFormat="1" applyFont="1"/>
  </cellXfs>
  <cellStyles count="3">
    <cellStyle name="Comma" xfId="2" builtinId="3"/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26762</xdr:colOff>
      <xdr:row>0</xdr:row>
      <xdr:rowOff>0</xdr:rowOff>
    </xdr:from>
    <xdr:to>
      <xdr:col>20</xdr:col>
      <xdr:colOff>36383</xdr:colOff>
      <xdr:row>215</xdr:row>
      <xdr:rowOff>46181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277579-C167-5839-E10F-966E564910AB}"/>
            </a:ext>
          </a:extLst>
        </xdr:cNvPr>
        <xdr:cNvCxnSpPr/>
      </xdr:nvCxnSpPr>
      <xdr:spPr>
        <a:xfrm flipH="1">
          <a:off x="13708126" y="0"/>
          <a:ext cx="9621" cy="39496999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623455</xdr:colOff>
      <xdr:row>0</xdr:row>
      <xdr:rowOff>0</xdr:rowOff>
    </xdr:from>
    <xdr:to>
      <xdr:col>37</xdr:col>
      <xdr:colOff>6157</xdr:colOff>
      <xdr:row>154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74DBFD1-01D4-A14F-7106-7912F7823456}"/>
            </a:ext>
          </a:extLst>
        </xdr:cNvPr>
        <xdr:cNvCxnSpPr/>
      </xdr:nvCxnSpPr>
      <xdr:spPr>
        <a:xfrm flipH="1">
          <a:off x="24453273" y="0"/>
          <a:ext cx="40793" cy="2747818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4C49DF36-F2CD-A847-BF05-9B8AE051B2CD}" userId="jameel" providerId="Non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5" dT="2024-02-13T19:59:30.77" personId="{4C49DF36-F2CD-A847-BF05-9B8AE051B2CD}" id="{14FE80F9-6264-2A4A-99CB-EEF1FC083761}">
    <text xml:space="preserve">Customer usage
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ess.aboutamazon.com/2022/11/aws-and-slalom-expand-next-generation-strategic-collaboration" TargetMode="External"/><Relationship Id="rId13" Type="http://schemas.openxmlformats.org/officeDocument/2006/relationships/hyperlink" Target="https://s2.q4cdn.com/299287126/files/doc_financials/2022/q4/Q4-2022-Amazon-Earnings-Release.pdf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google.com/url?sa=t&amp;rct=j&amp;q=&amp;esrc=s&amp;source=web&amp;cd=&amp;cad=rja&amp;uact=8&amp;ved=2ahUKEwjcu7Suo6n8AhV2MEQIHU4LDlUQtwJ6BAgqEAI&amp;url=https%3A%2F%2Fwww.youtube.com%2Fwatch%3Fv%3Da9__D53WsUs&amp;usg=AOvVaw2i0PdHNdTgUAIlIL6Odxx_" TargetMode="External"/><Relationship Id="rId7" Type="http://schemas.openxmlformats.org/officeDocument/2006/relationships/hyperlink" Target="https://press.aboutamazon.com/2022/12/american-family-insurance-and-aws-team-up-to-drive-innovation-in-the-insurance-industry" TargetMode="External"/><Relationship Id="rId12" Type="http://schemas.openxmlformats.org/officeDocument/2006/relationships/hyperlink" Target="https://s2.q4cdn.com/299287126/files/doc_financials/2023/q1/Q1-2023-Amazon-Earnings-Release.pdf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en.wikipedia.org/wiki/Amazon_Web_Services" TargetMode="External"/><Relationship Id="rId16" Type="http://schemas.openxmlformats.org/officeDocument/2006/relationships/hyperlink" Target="https://ir.aboutamazon.com/news-release/news-release-details/2024/Amazon.com-Announces-First-Quarter-Results-68b9258cd/" TargetMode="External"/><Relationship Id="rId1" Type="http://schemas.openxmlformats.org/officeDocument/2006/relationships/hyperlink" Target="https://s2.q4cdn.com/299287126/files/doc_financials/2022/q3/Q3-2022-Amazon-Earnings-Release.pdf" TargetMode="External"/><Relationship Id="rId6" Type="http://schemas.openxmlformats.org/officeDocument/2006/relationships/hyperlink" Target="https://press.aboutamazon.com/2022/12/amazon-games-and-crystal-dynamics-strike-deal-to-develop-and-publish-next-major-entry-in-iconic-tomb-raider-series" TargetMode="External"/><Relationship Id="rId11" Type="http://schemas.openxmlformats.org/officeDocument/2006/relationships/hyperlink" Target="https://s2.q4cdn.com/299287126/files/doc_financials/2023/q2/Q2-2023-Amazon-Earnings-Release.pdf" TargetMode="External"/><Relationship Id="rId5" Type="http://schemas.openxmlformats.org/officeDocument/2006/relationships/hyperlink" Target="https://aws.amazon.com/getting-started/hands-on/build-web-app-s3-lambda-api-gateway-dynamodb/" TargetMode="External"/><Relationship Id="rId15" Type="http://schemas.openxmlformats.org/officeDocument/2006/relationships/hyperlink" Target="https://press.aboutamazon.com/aws/2024/1/choice-hotels-becomes-first-hotel-company-to-complete-total-data-center-migration-to-aws" TargetMode="External"/><Relationship Id="rId10" Type="http://schemas.openxmlformats.org/officeDocument/2006/relationships/hyperlink" Target="https://s2.q4cdn.com/299287126/files/doc_financials/2023/q3/AMZN-Q3-2023-Earnings-Release.pdf" TargetMode="External"/><Relationship Id="rId4" Type="http://schemas.openxmlformats.org/officeDocument/2006/relationships/hyperlink" Target="https://aws.amazon.com/application-hosting/benefits/" TargetMode="External"/><Relationship Id="rId9" Type="http://schemas.openxmlformats.org/officeDocument/2006/relationships/hyperlink" Target="https://s2.q4cdn.com/299287126/files/doc_financials/2023/q4/AMZN-Q4-2023-Earnings-Release.pdf" TargetMode="External"/><Relationship Id="rId14" Type="http://schemas.openxmlformats.org/officeDocument/2006/relationships/hyperlink" Target="https://press.aboutamazon.com/aws/2024/2/techbio-unicorn-owkin-teams-up-with-aws-to-advance-generative-ai-for-precision-medicin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23"/>
  <sheetViews>
    <sheetView topLeftCell="D1" zoomScale="125" zoomScaleNormal="150" workbookViewId="0">
      <selection activeCell="F46" sqref="F46"/>
    </sheetView>
  </sheetViews>
  <sheetFormatPr baseColWidth="10" defaultColWidth="8.83203125" defaultRowHeight="15" x14ac:dyDescent="0.2"/>
  <cols>
    <col min="1" max="1" width="1.1640625" style="1" customWidth="1"/>
    <col min="2" max="2" width="9" style="1" bestFit="1" customWidth="1"/>
    <col min="3" max="3" width="9.6640625" style="1" bestFit="1" customWidth="1"/>
    <col min="4" max="11" width="8.83203125" style="1"/>
    <col min="12" max="12" width="6.83203125" style="1" bestFit="1" customWidth="1"/>
    <col min="13" max="13" width="10.33203125" style="1" bestFit="1" customWidth="1"/>
    <col min="14" max="14" width="6" style="1" bestFit="1" customWidth="1"/>
    <col min="15" max="15" width="8.83203125" style="1"/>
    <col min="16" max="16" width="15.6640625" style="1" bestFit="1" customWidth="1"/>
    <col min="17" max="17" width="8.83203125" style="1"/>
    <col min="18" max="18" width="15.1640625" style="1" bestFit="1" customWidth="1"/>
    <col min="19" max="19" width="9" style="1" bestFit="1" customWidth="1"/>
    <col min="20" max="16384" width="8.83203125" style="1"/>
  </cols>
  <sheetData>
    <row r="3" spans="2:23" x14ac:dyDescent="0.2">
      <c r="D3" s="30" t="s">
        <v>102</v>
      </c>
      <c r="E3" s="30" t="s">
        <v>155</v>
      </c>
      <c r="F3" s="30" t="s">
        <v>157</v>
      </c>
      <c r="G3" s="30" t="s">
        <v>156</v>
      </c>
      <c r="H3" s="1" t="s">
        <v>158</v>
      </c>
    </row>
    <row r="6" spans="2:23" x14ac:dyDescent="0.2">
      <c r="L6" s="9" t="s">
        <v>0</v>
      </c>
      <c r="P6" s="29" t="s">
        <v>170</v>
      </c>
      <c r="R6" s="1" t="s">
        <v>171</v>
      </c>
    </row>
    <row r="7" spans="2:23" x14ac:dyDescent="0.2">
      <c r="B7" s="1" t="s">
        <v>109</v>
      </c>
      <c r="L7" s="1" t="s">
        <v>1</v>
      </c>
      <c r="M7" s="2">
        <v>193.88</v>
      </c>
      <c r="P7" s="2">
        <v>18.43</v>
      </c>
      <c r="R7" s="2">
        <f>+P7</f>
        <v>18.43</v>
      </c>
    </row>
    <row r="8" spans="2:23" x14ac:dyDescent="0.2">
      <c r="B8" s="29" t="s">
        <v>154</v>
      </c>
      <c r="C8" s="1" t="s">
        <v>108</v>
      </c>
      <c r="D8" s="1" t="s">
        <v>159</v>
      </c>
      <c r="L8" s="1" t="s">
        <v>2</v>
      </c>
      <c r="M8" s="2">
        <v>10495.566881000001</v>
      </c>
      <c r="N8" s="1" t="s">
        <v>177</v>
      </c>
      <c r="P8" s="2">
        <f>913130805+7825</f>
        <v>913138630</v>
      </c>
      <c r="R8" s="2">
        <v>150000000</v>
      </c>
      <c r="S8" s="8">
        <f>+R8/P8</f>
        <v>0.16426859522962028</v>
      </c>
      <c r="T8" s="2"/>
      <c r="U8" s="2"/>
      <c r="V8" s="2"/>
      <c r="W8" s="2"/>
    </row>
    <row r="9" spans="2:23" x14ac:dyDescent="0.2">
      <c r="B9" s="1" t="s">
        <v>195</v>
      </c>
      <c r="L9" s="1" t="s">
        <v>3</v>
      </c>
      <c r="M9" s="5">
        <f>+M7*M8</f>
        <v>2034880.5068882802</v>
      </c>
      <c r="P9" s="5">
        <f>+P7*P8</f>
        <v>16829144950.9</v>
      </c>
      <c r="R9" s="2">
        <f>+R7*R8</f>
        <v>2764500000</v>
      </c>
      <c r="S9" s="2"/>
      <c r="T9" s="2"/>
      <c r="U9" s="2"/>
      <c r="V9" s="2"/>
      <c r="W9" s="2"/>
    </row>
    <row r="10" spans="2:23" x14ac:dyDescent="0.2">
      <c r="B10" s="30" t="s">
        <v>194</v>
      </c>
      <c r="L10" s="1" t="s">
        <v>4</v>
      </c>
      <c r="M10" s="2">
        <f>73387+13393</f>
        <v>86780</v>
      </c>
      <c r="N10" s="1" t="str">
        <f>+N8</f>
        <v>Q224</v>
      </c>
      <c r="P10" s="2">
        <v>18133</v>
      </c>
      <c r="R10" s="2">
        <f>+P10</f>
        <v>18133</v>
      </c>
      <c r="S10" s="2"/>
      <c r="T10" s="2"/>
      <c r="U10" s="2"/>
      <c r="V10" s="2"/>
      <c r="W10" s="2"/>
    </row>
    <row r="11" spans="2:23" x14ac:dyDescent="0.2">
      <c r="B11" s="30" t="s">
        <v>180</v>
      </c>
      <c r="C11" s="31">
        <v>45330</v>
      </c>
      <c r="D11" s="30" t="s">
        <v>185</v>
      </c>
      <c r="L11" s="1" t="s">
        <v>5</v>
      </c>
      <c r="M11" s="2">
        <v>58314</v>
      </c>
      <c r="N11" s="1" t="str">
        <f>+N10</f>
        <v>Q224</v>
      </c>
      <c r="P11" s="2">
        <v>1226</v>
      </c>
      <c r="R11" s="2">
        <f>+P11</f>
        <v>1226</v>
      </c>
      <c r="S11" s="2"/>
      <c r="T11" s="2"/>
      <c r="U11" s="2"/>
      <c r="V11" s="2"/>
      <c r="W11" s="2"/>
    </row>
    <row r="12" spans="2:23" x14ac:dyDescent="0.2">
      <c r="B12" s="36" t="s">
        <v>181</v>
      </c>
      <c r="C12" s="31">
        <v>45320</v>
      </c>
      <c r="D12" s="30" t="s">
        <v>186</v>
      </c>
      <c r="L12" s="1" t="s">
        <v>6</v>
      </c>
      <c r="M12" s="2">
        <f>+M9-M10+M11</f>
        <v>2006414.5068882802</v>
      </c>
      <c r="P12" s="2">
        <f>+P9-P10+P11</f>
        <v>16829128043.9</v>
      </c>
      <c r="R12" s="2">
        <f>+P12</f>
        <v>16829128043.9</v>
      </c>
      <c r="S12" s="2"/>
      <c r="T12" s="2"/>
      <c r="U12" s="2"/>
      <c r="V12" s="2"/>
      <c r="W12" s="2"/>
    </row>
    <row r="13" spans="2:23" x14ac:dyDescent="0.2">
      <c r="B13" s="30" t="s">
        <v>182</v>
      </c>
    </row>
    <row r="14" spans="2:23" x14ac:dyDescent="0.2">
      <c r="B14" s="30" t="s">
        <v>183</v>
      </c>
      <c r="C14" s="32">
        <v>44910</v>
      </c>
      <c r="D14" s="1" t="s">
        <v>160</v>
      </c>
    </row>
    <row r="15" spans="2:23" x14ac:dyDescent="0.2">
      <c r="B15" s="30" t="s">
        <v>184</v>
      </c>
      <c r="C15" s="32">
        <v>44896</v>
      </c>
      <c r="D15" s="1" t="s">
        <v>161</v>
      </c>
    </row>
    <row r="16" spans="2:23" x14ac:dyDescent="0.2">
      <c r="B16" s="30" t="s">
        <v>149</v>
      </c>
      <c r="C16" s="32">
        <v>44925</v>
      </c>
      <c r="D16" s="1" t="s">
        <v>162</v>
      </c>
    </row>
    <row r="17" spans="2:3" x14ac:dyDescent="0.2">
      <c r="B17" s="1" t="s">
        <v>150</v>
      </c>
    </row>
    <row r="18" spans="2:3" x14ac:dyDescent="0.2">
      <c r="B18" s="1" t="s">
        <v>151</v>
      </c>
    </row>
    <row r="19" spans="2:3" x14ac:dyDescent="0.2">
      <c r="B19" s="1" t="s">
        <v>152</v>
      </c>
    </row>
    <row r="20" spans="2:3" x14ac:dyDescent="0.2">
      <c r="B20" s="1" t="s">
        <v>153</v>
      </c>
    </row>
    <row r="22" spans="2:3" x14ac:dyDescent="0.2">
      <c r="B22" s="29" t="s">
        <v>6</v>
      </c>
    </row>
    <row r="23" spans="2:3" x14ac:dyDescent="0.2">
      <c r="B23" s="31">
        <v>43511</v>
      </c>
      <c r="C23" s="1" t="s">
        <v>163</v>
      </c>
    </row>
  </sheetData>
  <hyperlinks>
    <hyperlink ref="B16" r:id="rId1" xr:uid="{2BA6B349-CF74-974B-B19D-8284DE0E40EC}"/>
    <hyperlink ref="D3" r:id="rId2" xr:uid="{B59F0072-3643-CF4A-B19D-28BEF3472CF7}"/>
    <hyperlink ref="E3" r:id="rId3" xr:uid="{815ADE35-4B92-794D-B9AC-B5D311F8A1CE}"/>
    <hyperlink ref="G3" r:id="rId4" xr:uid="{BF73B40D-EE3D-7249-B265-3A63EECB9942}"/>
    <hyperlink ref="F3" r:id="rId5" xr:uid="{F9642775-6194-CC42-8874-42EF7EC611EB}"/>
    <hyperlink ref="C14" r:id="rId6" display="https://press.aboutamazon.com/2022/12/amazon-games-and-crystal-dynamics-strike-deal-to-develop-and-publish-next-major-entry-in-iconic-tomb-raider-series" xr:uid="{634BF3A5-3CFF-9344-89D8-C7017096E12A}"/>
    <hyperlink ref="C15" r:id="rId7" display="https://press.aboutamazon.com/2022/12/american-family-insurance-and-aws-team-up-to-drive-innovation-in-the-insurance-industry" xr:uid="{3E58AD50-75F4-5F4E-B9B0-113D90EF26CC}"/>
    <hyperlink ref="C16" r:id="rId8" display="https://press.aboutamazon.com/2022/11/aws-and-slalom-expand-next-generation-strategic-collaboration" xr:uid="{3EA9DC51-688B-BF4C-A34A-4B224A1ABBDC}"/>
    <hyperlink ref="B11" r:id="rId9" xr:uid="{00C76CEF-564C-504F-9A8B-CABDDEBB3BFC}"/>
    <hyperlink ref="B12" r:id="rId10" xr:uid="{3B7FBCD9-F1AA-4341-94FD-CAFB609C9333}"/>
    <hyperlink ref="B13" r:id="rId11" xr:uid="{F2F813AA-1AEA-9F44-AE9E-24A859375311}"/>
    <hyperlink ref="B14" r:id="rId12" xr:uid="{BDB8852C-E89C-FF46-B346-350EE24637A9}"/>
    <hyperlink ref="B15" r:id="rId13" xr:uid="{FE2E4803-DD01-8242-A3F0-8A840FDD1839}"/>
    <hyperlink ref="D11" r:id="rId14" xr:uid="{5EBC30CF-CE28-474D-8A92-E0442D124F23}"/>
    <hyperlink ref="D12" r:id="rId15" xr:uid="{470948EF-2BA2-A04E-A934-7F4EB5523B20}"/>
    <hyperlink ref="B10" r:id="rId16" xr:uid="{3FE2AD2D-234A-AD4C-93EF-C483582C1B7F}"/>
  </hyperlinks>
  <pageMargins left="0.7" right="0.7" top="0.75" bottom="0.75" header="0.3" footer="0.3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1B74-384C-A044-8517-616352A76775}">
  <dimension ref="A1:KB191"/>
  <sheetViews>
    <sheetView tabSelected="1" zoomScale="110" zoomScaleNormal="110" workbookViewId="0">
      <pane xSplit="2" ySplit="2" topLeftCell="AT45" activePane="bottomRight" state="frozen"/>
      <selection pane="topRight" activeCell="C1" sqref="C1"/>
      <selection pane="bottomLeft" activeCell="A3" sqref="A3"/>
      <selection pane="bottomRight" activeCell="AY57" sqref="AY57"/>
    </sheetView>
  </sheetViews>
  <sheetFormatPr baseColWidth="10" defaultRowHeight="15" outlineLevelRow="1" x14ac:dyDescent="0.2"/>
  <cols>
    <col min="1" max="1" width="4" style="2" bestFit="1" customWidth="1"/>
    <col min="2" max="2" width="21.6640625" style="10" bestFit="1" customWidth="1"/>
    <col min="3" max="3" width="8" style="2" bestFit="1" customWidth="1"/>
    <col min="4" max="5" width="8.1640625" style="2" bestFit="1" customWidth="1"/>
    <col min="6" max="16" width="8.6640625" style="2" bestFit="1" customWidth="1"/>
    <col min="17" max="23" width="8.6640625" style="2" customWidth="1"/>
    <col min="24" max="24" width="8.5" style="2" bestFit="1" customWidth="1"/>
    <col min="25" max="26" width="7.33203125" style="2" bestFit="1" customWidth="1"/>
    <col min="27" max="28" width="7.5" style="2" bestFit="1" customWidth="1"/>
    <col min="29" max="41" width="8.6640625" style="2" bestFit="1" customWidth="1"/>
    <col min="42" max="47" width="10.33203125" style="2" bestFit="1" customWidth="1"/>
    <col min="48" max="50" width="7.33203125" style="2" bestFit="1" customWidth="1"/>
    <col min="51" max="51" width="8.5" style="2" bestFit="1" customWidth="1"/>
    <col min="52" max="52" width="8.83203125" style="2" bestFit="1" customWidth="1"/>
    <col min="53" max="53" width="10" style="2" bestFit="1" customWidth="1"/>
    <col min="54" max="54" width="10.6640625" style="2" bestFit="1" customWidth="1"/>
    <col min="55" max="58" width="9.1640625" style="2" bestFit="1" customWidth="1"/>
    <col min="59" max="59" width="9.33203125" style="2" bestFit="1" customWidth="1"/>
    <col min="60" max="61" width="9.1640625" style="2" bestFit="1" customWidth="1"/>
    <col min="62" max="240" width="8.5" style="2" bestFit="1" customWidth="1"/>
    <col min="241" max="16384" width="10.83203125" style="2"/>
  </cols>
  <sheetData>
    <row r="1" spans="1:288" s="3" customFormat="1" x14ac:dyDescent="0.2">
      <c r="A1" s="2"/>
      <c r="B1" s="18"/>
      <c r="AU1" s="3">
        <f>+AU2+200</f>
        <v>2233</v>
      </c>
    </row>
    <row r="2" spans="1:288" s="4" customFormat="1" x14ac:dyDescent="0.2">
      <c r="A2" s="4" t="s">
        <v>172</v>
      </c>
      <c r="B2" s="10"/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7</v>
      </c>
      <c r="M2" s="4" t="s">
        <v>17</v>
      </c>
      <c r="N2" s="4" t="s">
        <v>18</v>
      </c>
      <c r="O2" s="4" t="s">
        <v>123</v>
      </c>
      <c r="P2" s="4" t="s">
        <v>124</v>
      </c>
      <c r="Q2" s="4" t="s">
        <v>125</v>
      </c>
      <c r="R2" s="4" t="s">
        <v>126</v>
      </c>
      <c r="S2" s="4" t="s">
        <v>176</v>
      </c>
      <c r="T2" s="4" t="s">
        <v>177</v>
      </c>
      <c r="U2" s="4" t="s">
        <v>178</v>
      </c>
      <c r="V2" s="4" t="s">
        <v>179</v>
      </c>
      <c r="AA2" s="7">
        <v>2013</v>
      </c>
      <c r="AB2" s="7">
        <v>2014</v>
      </c>
      <c r="AC2" s="7">
        <v>2015</v>
      </c>
      <c r="AD2" s="7">
        <v>2016</v>
      </c>
      <c r="AE2" s="7">
        <v>2017</v>
      </c>
      <c r="AF2" s="7">
        <v>2018</v>
      </c>
      <c r="AG2" s="7">
        <f>+AF2+1</f>
        <v>2019</v>
      </c>
      <c r="AH2" s="7">
        <v>2020</v>
      </c>
      <c r="AI2" s="7">
        <f>+AH2+1</f>
        <v>2021</v>
      </c>
      <c r="AJ2" s="7">
        <f t="shared" ref="AJ2:AS2" si="0">+AI2+1</f>
        <v>2022</v>
      </c>
      <c r="AK2" s="7">
        <f t="shared" si="0"/>
        <v>2023</v>
      </c>
      <c r="AL2" s="7">
        <f t="shared" si="0"/>
        <v>2024</v>
      </c>
      <c r="AM2" s="7">
        <f t="shared" si="0"/>
        <v>2025</v>
      </c>
      <c r="AN2" s="7">
        <f t="shared" si="0"/>
        <v>2026</v>
      </c>
      <c r="AO2" s="7">
        <f t="shared" si="0"/>
        <v>2027</v>
      </c>
      <c r="AP2" s="7">
        <f t="shared" si="0"/>
        <v>2028</v>
      </c>
      <c r="AQ2" s="7">
        <f t="shared" si="0"/>
        <v>2029</v>
      </c>
      <c r="AR2" s="7">
        <f t="shared" si="0"/>
        <v>2030</v>
      </c>
      <c r="AS2" s="7">
        <f t="shared" si="0"/>
        <v>2031</v>
      </c>
      <c r="AT2" s="7">
        <f t="shared" ref="AT2" si="1">+AS2+1</f>
        <v>2032</v>
      </c>
      <c r="AU2" s="7">
        <f t="shared" ref="AU2" si="2">+AT2+1</f>
        <v>2033</v>
      </c>
      <c r="AV2" s="7">
        <f t="shared" ref="AV2:BA2" si="3">+AU2+1</f>
        <v>2034</v>
      </c>
      <c r="AW2" s="7">
        <f t="shared" si="3"/>
        <v>2035</v>
      </c>
      <c r="AX2" s="7">
        <f t="shared" si="3"/>
        <v>2036</v>
      </c>
      <c r="AY2" s="7">
        <f t="shared" si="3"/>
        <v>2037</v>
      </c>
      <c r="AZ2" s="7">
        <f t="shared" si="3"/>
        <v>2038</v>
      </c>
      <c r="BA2" s="7">
        <f t="shared" si="3"/>
        <v>2039</v>
      </c>
      <c r="BB2" s="7">
        <f t="shared" ref="BB2:DM2" si="4">+BA2+1</f>
        <v>2040</v>
      </c>
      <c r="BC2" s="7">
        <f t="shared" si="4"/>
        <v>2041</v>
      </c>
      <c r="BD2" s="7">
        <f t="shared" si="4"/>
        <v>2042</v>
      </c>
      <c r="BE2" s="7">
        <f t="shared" si="4"/>
        <v>2043</v>
      </c>
      <c r="BF2" s="7">
        <f t="shared" si="4"/>
        <v>2044</v>
      </c>
      <c r="BG2" s="7">
        <f t="shared" si="4"/>
        <v>2045</v>
      </c>
      <c r="BH2" s="7">
        <f t="shared" si="4"/>
        <v>2046</v>
      </c>
      <c r="BI2" s="7">
        <f t="shared" si="4"/>
        <v>2047</v>
      </c>
      <c r="BJ2" s="7">
        <f t="shared" si="4"/>
        <v>2048</v>
      </c>
      <c r="BK2" s="7">
        <f t="shared" si="4"/>
        <v>2049</v>
      </c>
      <c r="BL2" s="7">
        <f t="shared" si="4"/>
        <v>2050</v>
      </c>
      <c r="BM2" s="7">
        <f t="shared" si="4"/>
        <v>2051</v>
      </c>
      <c r="BN2" s="7">
        <f t="shared" si="4"/>
        <v>2052</v>
      </c>
      <c r="BO2" s="7">
        <f t="shared" si="4"/>
        <v>2053</v>
      </c>
      <c r="BP2" s="7">
        <f t="shared" si="4"/>
        <v>2054</v>
      </c>
      <c r="BQ2" s="7">
        <f t="shared" si="4"/>
        <v>2055</v>
      </c>
      <c r="BR2" s="7">
        <f t="shared" si="4"/>
        <v>2056</v>
      </c>
      <c r="BS2" s="7">
        <f t="shared" si="4"/>
        <v>2057</v>
      </c>
      <c r="BT2" s="7">
        <f t="shared" si="4"/>
        <v>2058</v>
      </c>
      <c r="BU2" s="7">
        <f t="shared" si="4"/>
        <v>2059</v>
      </c>
      <c r="BV2" s="7">
        <f t="shared" si="4"/>
        <v>2060</v>
      </c>
      <c r="BW2" s="7">
        <f t="shared" si="4"/>
        <v>2061</v>
      </c>
      <c r="BX2" s="7">
        <f t="shared" si="4"/>
        <v>2062</v>
      </c>
      <c r="BY2" s="7">
        <f t="shared" si="4"/>
        <v>2063</v>
      </c>
      <c r="BZ2" s="7">
        <f t="shared" si="4"/>
        <v>2064</v>
      </c>
      <c r="CA2" s="7">
        <f t="shared" si="4"/>
        <v>2065</v>
      </c>
      <c r="CB2" s="7">
        <f t="shared" si="4"/>
        <v>2066</v>
      </c>
      <c r="CC2" s="7">
        <f t="shared" si="4"/>
        <v>2067</v>
      </c>
      <c r="CD2" s="7">
        <f t="shared" si="4"/>
        <v>2068</v>
      </c>
      <c r="CE2" s="7">
        <f t="shared" si="4"/>
        <v>2069</v>
      </c>
      <c r="CF2" s="7">
        <f t="shared" si="4"/>
        <v>2070</v>
      </c>
      <c r="CG2" s="7">
        <f t="shared" si="4"/>
        <v>2071</v>
      </c>
      <c r="CH2" s="7">
        <f t="shared" si="4"/>
        <v>2072</v>
      </c>
      <c r="CI2" s="7">
        <f t="shared" si="4"/>
        <v>2073</v>
      </c>
      <c r="CJ2" s="7">
        <f t="shared" si="4"/>
        <v>2074</v>
      </c>
      <c r="CK2" s="7">
        <f t="shared" si="4"/>
        <v>2075</v>
      </c>
      <c r="CL2" s="7">
        <f t="shared" si="4"/>
        <v>2076</v>
      </c>
      <c r="CM2" s="7">
        <f t="shared" si="4"/>
        <v>2077</v>
      </c>
      <c r="CN2" s="7">
        <f t="shared" si="4"/>
        <v>2078</v>
      </c>
      <c r="CO2" s="7">
        <f t="shared" si="4"/>
        <v>2079</v>
      </c>
      <c r="CP2" s="7">
        <f t="shared" si="4"/>
        <v>2080</v>
      </c>
      <c r="CQ2" s="7">
        <f t="shared" si="4"/>
        <v>2081</v>
      </c>
      <c r="CR2" s="7">
        <f t="shared" si="4"/>
        <v>2082</v>
      </c>
      <c r="CS2" s="7">
        <f t="shared" si="4"/>
        <v>2083</v>
      </c>
      <c r="CT2" s="7">
        <f t="shared" si="4"/>
        <v>2084</v>
      </c>
      <c r="CU2" s="7">
        <f t="shared" si="4"/>
        <v>2085</v>
      </c>
      <c r="CV2" s="7">
        <f t="shared" si="4"/>
        <v>2086</v>
      </c>
      <c r="CW2" s="7">
        <f t="shared" si="4"/>
        <v>2087</v>
      </c>
      <c r="CX2" s="7">
        <f t="shared" si="4"/>
        <v>2088</v>
      </c>
      <c r="CY2" s="7">
        <f t="shared" si="4"/>
        <v>2089</v>
      </c>
      <c r="CZ2" s="7">
        <f t="shared" si="4"/>
        <v>2090</v>
      </c>
      <c r="DA2" s="7">
        <f t="shared" si="4"/>
        <v>2091</v>
      </c>
      <c r="DB2" s="7">
        <f t="shared" si="4"/>
        <v>2092</v>
      </c>
      <c r="DC2" s="7">
        <f t="shared" si="4"/>
        <v>2093</v>
      </c>
      <c r="DD2" s="7">
        <f t="shared" si="4"/>
        <v>2094</v>
      </c>
      <c r="DE2" s="7">
        <f t="shared" si="4"/>
        <v>2095</v>
      </c>
      <c r="DF2" s="7">
        <f t="shared" si="4"/>
        <v>2096</v>
      </c>
      <c r="DG2" s="7">
        <f t="shared" si="4"/>
        <v>2097</v>
      </c>
      <c r="DH2" s="7">
        <f t="shared" si="4"/>
        <v>2098</v>
      </c>
      <c r="DI2" s="7">
        <f t="shared" si="4"/>
        <v>2099</v>
      </c>
      <c r="DJ2" s="7">
        <f t="shared" si="4"/>
        <v>2100</v>
      </c>
      <c r="DK2" s="7">
        <f t="shared" si="4"/>
        <v>2101</v>
      </c>
      <c r="DL2" s="7">
        <f t="shared" si="4"/>
        <v>2102</v>
      </c>
      <c r="DM2" s="7">
        <f t="shared" si="4"/>
        <v>2103</v>
      </c>
      <c r="DN2" s="7">
        <f t="shared" ref="DN2:FY2" si="5">+DM2+1</f>
        <v>2104</v>
      </c>
      <c r="DO2" s="7">
        <f t="shared" si="5"/>
        <v>2105</v>
      </c>
      <c r="DP2" s="7">
        <f t="shared" si="5"/>
        <v>2106</v>
      </c>
      <c r="DQ2" s="7">
        <f t="shared" si="5"/>
        <v>2107</v>
      </c>
      <c r="DR2" s="7">
        <f t="shared" si="5"/>
        <v>2108</v>
      </c>
      <c r="DS2" s="7">
        <f t="shared" si="5"/>
        <v>2109</v>
      </c>
      <c r="DT2" s="7">
        <f t="shared" si="5"/>
        <v>2110</v>
      </c>
      <c r="DU2" s="7">
        <f t="shared" si="5"/>
        <v>2111</v>
      </c>
      <c r="DV2" s="7">
        <f t="shared" si="5"/>
        <v>2112</v>
      </c>
      <c r="DW2" s="7">
        <f t="shared" si="5"/>
        <v>2113</v>
      </c>
      <c r="DX2" s="7">
        <f t="shared" si="5"/>
        <v>2114</v>
      </c>
      <c r="DY2" s="7">
        <f t="shared" si="5"/>
        <v>2115</v>
      </c>
      <c r="DZ2" s="7">
        <f t="shared" si="5"/>
        <v>2116</v>
      </c>
      <c r="EA2" s="7">
        <f t="shared" si="5"/>
        <v>2117</v>
      </c>
      <c r="EB2" s="7">
        <f t="shared" si="5"/>
        <v>2118</v>
      </c>
      <c r="EC2" s="7">
        <f t="shared" si="5"/>
        <v>2119</v>
      </c>
      <c r="ED2" s="7">
        <f t="shared" si="5"/>
        <v>2120</v>
      </c>
      <c r="EE2" s="7">
        <f t="shared" si="5"/>
        <v>2121</v>
      </c>
      <c r="EF2" s="7">
        <f t="shared" si="5"/>
        <v>2122</v>
      </c>
      <c r="EG2" s="7">
        <f t="shared" si="5"/>
        <v>2123</v>
      </c>
      <c r="EH2" s="7">
        <f t="shared" si="5"/>
        <v>2124</v>
      </c>
      <c r="EI2" s="7">
        <f t="shared" si="5"/>
        <v>2125</v>
      </c>
      <c r="EJ2" s="7">
        <f t="shared" si="5"/>
        <v>2126</v>
      </c>
      <c r="EK2" s="7">
        <f t="shared" si="5"/>
        <v>2127</v>
      </c>
      <c r="EL2" s="7">
        <f t="shared" si="5"/>
        <v>2128</v>
      </c>
      <c r="EM2" s="7">
        <f t="shared" si="5"/>
        <v>2129</v>
      </c>
      <c r="EN2" s="7">
        <f t="shared" si="5"/>
        <v>2130</v>
      </c>
      <c r="EO2" s="7">
        <f t="shared" si="5"/>
        <v>2131</v>
      </c>
      <c r="EP2" s="7">
        <f t="shared" si="5"/>
        <v>2132</v>
      </c>
      <c r="EQ2" s="7">
        <f t="shared" si="5"/>
        <v>2133</v>
      </c>
      <c r="ER2" s="7">
        <f t="shared" si="5"/>
        <v>2134</v>
      </c>
      <c r="ES2" s="7">
        <f t="shared" si="5"/>
        <v>2135</v>
      </c>
      <c r="ET2" s="7">
        <f t="shared" si="5"/>
        <v>2136</v>
      </c>
      <c r="EU2" s="7">
        <f t="shared" si="5"/>
        <v>2137</v>
      </c>
      <c r="EV2" s="7">
        <f t="shared" si="5"/>
        <v>2138</v>
      </c>
      <c r="EW2" s="7">
        <f t="shared" si="5"/>
        <v>2139</v>
      </c>
      <c r="EX2" s="7">
        <f t="shared" si="5"/>
        <v>2140</v>
      </c>
      <c r="EY2" s="7">
        <f t="shared" si="5"/>
        <v>2141</v>
      </c>
      <c r="EZ2" s="7">
        <f t="shared" si="5"/>
        <v>2142</v>
      </c>
      <c r="FA2" s="7">
        <f t="shared" si="5"/>
        <v>2143</v>
      </c>
      <c r="FB2" s="7">
        <f t="shared" si="5"/>
        <v>2144</v>
      </c>
      <c r="FC2" s="7">
        <f t="shared" si="5"/>
        <v>2145</v>
      </c>
      <c r="FD2" s="7">
        <f t="shared" si="5"/>
        <v>2146</v>
      </c>
      <c r="FE2" s="7">
        <f t="shared" si="5"/>
        <v>2147</v>
      </c>
      <c r="FF2" s="7">
        <f t="shared" si="5"/>
        <v>2148</v>
      </c>
      <c r="FG2" s="7">
        <f t="shared" si="5"/>
        <v>2149</v>
      </c>
      <c r="FH2" s="7">
        <f t="shared" si="5"/>
        <v>2150</v>
      </c>
      <c r="FI2" s="7">
        <f t="shared" si="5"/>
        <v>2151</v>
      </c>
      <c r="FJ2" s="7">
        <f t="shared" si="5"/>
        <v>2152</v>
      </c>
      <c r="FK2" s="7">
        <f t="shared" si="5"/>
        <v>2153</v>
      </c>
      <c r="FL2" s="7">
        <f t="shared" si="5"/>
        <v>2154</v>
      </c>
      <c r="FM2" s="7">
        <f t="shared" si="5"/>
        <v>2155</v>
      </c>
      <c r="FN2" s="7">
        <f t="shared" si="5"/>
        <v>2156</v>
      </c>
      <c r="FO2" s="7">
        <f t="shared" si="5"/>
        <v>2157</v>
      </c>
      <c r="FP2" s="7">
        <f t="shared" si="5"/>
        <v>2158</v>
      </c>
      <c r="FQ2" s="7">
        <f t="shared" si="5"/>
        <v>2159</v>
      </c>
      <c r="FR2" s="7">
        <f t="shared" si="5"/>
        <v>2160</v>
      </c>
      <c r="FS2" s="7">
        <f t="shared" si="5"/>
        <v>2161</v>
      </c>
      <c r="FT2" s="7">
        <f t="shared" si="5"/>
        <v>2162</v>
      </c>
      <c r="FU2" s="7">
        <f t="shared" si="5"/>
        <v>2163</v>
      </c>
      <c r="FV2" s="7">
        <f t="shared" si="5"/>
        <v>2164</v>
      </c>
      <c r="FW2" s="7">
        <f t="shared" si="5"/>
        <v>2165</v>
      </c>
      <c r="FX2" s="7">
        <f t="shared" si="5"/>
        <v>2166</v>
      </c>
      <c r="FY2" s="7">
        <f t="shared" si="5"/>
        <v>2167</v>
      </c>
      <c r="FZ2" s="7">
        <f t="shared" ref="FZ2:IK2" si="6">+FY2+1</f>
        <v>2168</v>
      </c>
      <c r="GA2" s="7">
        <f t="shared" si="6"/>
        <v>2169</v>
      </c>
      <c r="GB2" s="7">
        <f t="shared" si="6"/>
        <v>2170</v>
      </c>
      <c r="GC2" s="7">
        <f t="shared" si="6"/>
        <v>2171</v>
      </c>
      <c r="GD2" s="7">
        <f t="shared" si="6"/>
        <v>2172</v>
      </c>
      <c r="GE2" s="7">
        <f t="shared" si="6"/>
        <v>2173</v>
      </c>
      <c r="GF2" s="7">
        <f t="shared" si="6"/>
        <v>2174</v>
      </c>
      <c r="GG2" s="7">
        <f t="shared" si="6"/>
        <v>2175</v>
      </c>
      <c r="GH2" s="7">
        <f t="shared" si="6"/>
        <v>2176</v>
      </c>
      <c r="GI2" s="7">
        <f t="shared" si="6"/>
        <v>2177</v>
      </c>
      <c r="GJ2" s="7">
        <f t="shared" si="6"/>
        <v>2178</v>
      </c>
      <c r="GK2" s="7">
        <f t="shared" si="6"/>
        <v>2179</v>
      </c>
      <c r="GL2" s="7">
        <f t="shared" si="6"/>
        <v>2180</v>
      </c>
      <c r="GM2" s="7">
        <f t="shared" si="6"/>
        <v>2181</v>
      </c>
      <c r="GN2" s="7">
        <f t="shared" si="6"/>
        <v>2182</v>
      </c>
      <c r="GO2" s="7">
        <f t="shared" si="6"/>
        <v>2183</v>
      </c>
      <c r="GP2" s="7">
        <f t="shared" si="6"/>
        <v>2184</v>
      </c>
      <c r="GQ2" s="7">
        <f t="shared" si="6"/>
        <v>2185</v>
      </c>
      <c r="GR2" s="7">
        <f t="shared" si="6"/>
        <v>2186</v>
      </c>
      <c r="GS2" s="7">
        <f t="shared" si="6"/>
        <v>2187</v>
      </c>
      <c r="GT2" s="7">
        <f t="shared" si="6"/>
        <v>2188</v>
      </c>
      <c r="GU2" s="7">
        <f t="shared" si="6"/>
        <v>2189</v>
      </c>
      <c r="GV2" s="7">
        <f t="shared" si="6"/>
        <v>2190</v>
      </c>
      <c r="GW2" s="7">
        <f t="shared" si="6"/>
        <v>2191</v>
      </c>
      <c r="GX2" s="7">
        <f t="shared" si="6"/>
        <v>2192</v>
      </c>
      <c r="GY2" s="7">
        <f t="shared" si="6"/>
        <v>2193</v>
      </c>
      <c r="GZ2" s="7">
        <f t="shared" si="6"/>
        <v>2194</v>
      </c>
      <c r="HA2" s="7">
        <f t="shared" si="6"/>
        <v>2195</v>
      </c>
      <c r="HB2" s="7">
        <f t="shared" si="6"/>
        <v>2196</v>
      </c>
      <c r="HC2" s="7">
        <f t="shared" si="6"/>
        <v>2197</v>
      </c>
      <c r="HD2" s="7">
        <f t="shared" si="6"/>
        <v>2198</v>
      </c>
      <c r="HE2" s="7">
        <f t="shared" si="6"/>
        <v>2199</v>
      </c>
      <c r="HF2" s="7">
        <f t="shared" si="6"/>
        <v>2200</v>
      </c>
      <c r="HG2" s="7">
        <f t="shared" si="6"/>
        <v>2201</v>
      </c>
      <c r="HH2" s="7">
        <f t="shared" si="6"/>
        <v>2202</v>
      </c>
      <c r="HI2" s="7">
        <f t="shared" si="6"/>
        <v>2203</v>
      </c>
      <c r="HJ2" s="7">
        <f t="shared" si="6"/>
        <v>2204</v>
      </c>
      <c r="HK2" s="7">
        <f t="shared" si="6"/>
        <v>2205</v>
      </c>
      <c r="HL2" s="7">
        <f t="shared" si="6"/>
        <v>2206</v>
      </c>
      <c r="HM2" s="7">
        <f t="shared" si="6"/>
        <v>2207</v>
      </c>
      <c r="HN2" s="7">
        <f t="shared" si="6"/>
        <v>2208</v>
      </c>
      <c r="HO2" s="7">
        <f t="shared" si="6"/>
        <v>2209</v>
      </c>
      <c r="HP2" s="7">
        <f t="shared" si="6"/>
        <v>2210</v>
      </c>
      <c r="HQ2" s="7">
        <f t="shared" si="6"/>
        <v>2211</v>
      </c>
      <c r="HR2" s="7">
        <f t="shared" si="6"/>
        <v>2212</v>
      </c>
      <c r="HS2" s="7">
        <f t="shared" si="6"/>
        <v>2213</v>
      </c>
      <c r="HT2" s="7">
        <f t="shared" si="6"/>
        <v>2214</v>
      </c>
      <c r="HU2" s="7">
        <f t="shared" si="6"/>
        <v>2215</v>
      </c>
      <c r="HV2" s="7">
        <f t="shared" si="6"/>
        <v>2216</v>
      </c>
      <c r="HW2" s="7">
        <f t="shared" si="6"/>
        <v>2217</v>
      </c>
      <c r="HX2" s="7">
        <f t="shared" si="6"/>
        <v>2218</v>
      </c>
      <c r="HY2" s="7">
        <f t="shared" si="6"/>
        <v>2219</v>
      </c>
      <c r="HZ2" s="7">
        <f t="shared" si="6"/>
        <v>2220</v>
      </c>
      <c r="IA2" s="7">
        <f t="shared" si="6"/>
        <v>2221</v>
      </c>
      <c r="IB2" s="7">
        <f t="shared" si="6"/>
        <v>2222</v>
      </c>
      <c r="IC2" s="7">
        <f t="shared" si="6"/>
        <v>2223</v>
      </c>
      <c r="ID2" s="7">
        <f t="shared" si="6"/>
        <v>2224</v>
      </c>
      <c r="IE2" s="7">
        <f t="shared" si="6"/>
        <v>2225</v>
      </c>
      <c r="IF2" s="7">
        <f t="shared" si="6"/>
        <v>2226</v>
      </c>
      <c r="IG2" s="7">
        <f t="shared" si="6"/>
        <v>2227</v>
      </c>
      <c r="IH2" s="7">
        <f t="shared" si="6"/>
        <v>2228</v>
      </c>
      <c r="II2" s="7">
        <f t="shared" si="6"/>
        <v>2229</v>
      </c>
      <c r="IJ2" s="7">
        <f t="shared" si="6"/>
        <v>2230</v>
      </c>
      <c r="IK2" s="7">
        <f t="shared" si="6"/>
        <v>2231</v>
      </c>
      <c r="IL2" s="7">
        <f t="shared" ref="IL2:IM2" si="7">+IK2+1</f>
        <v>2232</v>
      </c>
      <c r="IM2" s="7">
        <f t="shared" si="7"/>
        <v>2233</v>
      </c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</row>
    <row r="3" spans="1:288" s="4" customFormat="1" hidden="1" outlineLevel="1" x14ac:dyDescent="0.2">
      <c r="B3" s="10" t="s">
        <v>100</v>
      </c>
      <c r="C3" s="4">
        <v>46127</v>
      </c>
      <c r="D3" s="4">
        <v>55436</v>
      </c>
      <c r="E3" s="4">
        <v>59373</v>
      </c>
      <c r="F3" s="4">
        <f>+AH3-SUM(C3:E3)</f>
        <v>75346</v>
      </c>
      <c r="G3" s="4">
        <v>64366</v>
      </c>
      <c r="H3" s="4">
        <v>67550</v>
      </c>
      <c r="I3" s="4">
        <v>65557</v>
      </c>
      <c r="J3" s="4">
        <f>+AI3-SUM(G3:I3)</f>
        <v>82360</v>
      </c>
      <c r="K3" s="4">
        <v>69244</v>
      </c>
      <c r="L3" s="4">
        <v>74430</v>
      </c>
      <c r="M3" s="4">
        <v>78843</v>
      </c>
      <c r="N3" s="4">
        <v>93363</v>
      </c>
      <c r="O3" s="4">
        <v>76881</v>
      </c>
      <c r="P3" s="4">
        <v>82546</v>
      </c>
      <c r="Q3" s="4">
        <v>87887</v>
      </c>
      <c r="R3" s="4">
        <v>105514</v>
      </c>
      <c r="S3" s="4">
        <f>+O3*1.1</f>
        <v>84569.1</v>
      </c>
      <c r="T3" s="4">
        <f t="shared" ref="T3:V3" si="8">+P3*1.1</f>
        <v>90800.6</v>
      </c>
      <c r="U3" s="4">
        <f t="shared" si="8"/>
        <v>96675.700000000012</v>
      </c>
      <c r="V3" s="4">
        <f t="shared" si="8"/>
        <v>116065.40000000001</v>
      </c>
      <c r="X3" s="4">
        <f t="shared" ref="X3" si="9">+AI3-AH3</f>
        <v>43551</v>
      </c>
      <c r="Y3" s="4">
        <f t="shared" ref="Y3" si="10">+AJ3-AI3</f>
        <v>36047</v>
      </c>
      <c r="Z3" s="4">
        <f>+AK3-AJ3</f>
        <v>36948</v>
      </c>
      <c r="AH3" s="4">
        <v>236282</v>
      </c>
      <c r="AI3" s="4">
        <v>279833</v>
      </c>
      <c r="AJ3" s="4">
        <f>SUM(K3:N3)</f>
        <v>315880</v>
      </c>
      <c r="AK3" s="4">
        <f>SUM(O3:R3)</f>
        <v>352828</v>
      </c>
      <c r="AL3" s="4">
        <f>SUM(S3:V3)</f>
        <v>388110.80000000005</v>
      </c>
      <c r="AM3" s="4">
        <f>+AL3*1.1</f>
        <v>426921.88000000006</v>
      </c>
      <c r="AN3" s="4">
        <f t="shared" ref="AN3:AU3" si="11">+AM3*1.1</f>
        <v>469614.06800000009</v>
      </c>
      <c r="AO3" s="4">
        <f t="shared" si="11"/>
        <v>516575.47480000014</v>
      </c>
      <c r="AP3" s="4">
        <f t="shared" si="11"/>
        <v>568233.02228000015</v>
      </c>
      <c r="AQ3" s="4">
        <f t="shared" si="11"/>
        <v>625056.32450800017</v>
      </c>
      <c r="AR3" s="4">
        <f t="shared" si="11"/>
        <v>687561.95695880021</v>
      </c>
      <c r="AS3" s="4">
        <f t="shared" si="11"/>
        <v>756318.15265468031</v>
      </c>
      <c r="AT3" s="4">
        <f t="shared" si="11"/>
        <v>831949.9679201484</v>
      </c>
      <c r="AU3" s="4">
        <f t="shared" si="11"/>
        <v>915144.96471216332</v>
      </c>
    </row>
    <row r="4" spans="1:288" s="4" customFormat="1" hidden="1" outlineLevel="1" x14ac:dyDescent="0.2">
      <c r="B4" s="10" t="s">
        <v>101</v>
      </c>
      <c r="C4" s="4">
        <v>19106</v>
      </c>
      <c r="D4" s="4">
        <v>22668</v>
      </c>
      <c r="E4" s="4">
        <v>25171</v>
      </c>
      <c r="F4" s="4">
        <v>37467</v>
      </c>
      <c r="G4" s="4">
        <v>30649</v>
      </c>
      <c r="H4" s="4">
        <v>30721</v>
      </c>
      <c r="I4" s="4">
        <v>29145</v>
      </c>
      <c r="J4" s="4">
        <f>+AI4-SUM(G4:I4)</f>
        <v>37272</v>
      </c>
      <c r="K4" s="4">
        <v>28759</v>
      </c>
      <c r="L4" s="4">
        <v>27065</v>
      </c>
      <c r="M4" s="4">
        <v>27720</v>
      </c>
      <c r="N4" s="4">
        <v>34463</v>
      </c>
      <c r="O4" s="4">
        <v>29123</v>
      </c>
      <c r="P4" s="4">
        <v>29697</v>
      </c>
      <c r="Q4" s="4">
        <v>32137</v>
      </c>
      <c r="R4" s="4">
        <v>40243</v>
      </c>
      <c r="S4" s="4">
        <f>+O4*(1+O44)</f>
        <v>29491.607114294653</v>
      </c>
      <c r="T4" s="4">
        <f t="shared" ref="T4:V4" si="12">+P4*(1+P44)</f>
        <v>32584.955071125074</v>
      </c>
      <c r="U4" s="4">
        <f t="shared" si="12"/>
        <v>37257.819949494951</v>
      </c>
      <c r="V4" s="4">
        <f t="shared" si="12"/>
        <v>46992.39906566462</v>
      </c>
      <c r="X4" s="4">
        <f t="shared" ref="X4:Y4" si="13">+AI4-AH4</f>
        <v>23375</v>
      </c>
      <c r="Y4" s="4">
        <f t="shared" si="13"/>
        <v>-9780</v>
      </c>
      <c r="Z4" s="4">
        <f>+AK4-AJ4</f>
        <v>13193</v>
      </c>
      <c r="AH4" s="4">
        <v>104412</v>
      </c>
      <c r="AI4" s="4">
        <v>127787</v>
      </c>
      <c r="AJ4" s="4">
        <f t="shared" ref="AJ4:AJ9" si="14">SUM(K4:N4)</f>
        <v>118007</v>
      </c>
      <c r="AK4" s="4">
        <f t="shared" ref="AK4:AK9" si="15">SUM(O4:R4)</f>
        <v>131200</v>
      </c>
      <c r="AL4" s="4">
        <f>SUM(S4:V4)</f>
        <v>146326.78120057931</v>
      </c>
      <c r="AM4" s="4">
        <f>+AL4*1.09</f>
        <v>159496.19150863145</v>
      </c>
      <c r="AN4" s="4">
        <f t="shared" ref="AN4:AU4" si="16">+AM4*1.09</f>
        <v>173850.84874440829</v>
      </c>
      <c r="AO4" s="4">
        <f t="shared" si="16"/>
        <v>189497.42513140503</v>
      </c>
      <c r="AP4" s="4">
        <f t="shared" si="16"/>
        <v>206552.19339323152</v>
      </c>
      <c r="AQ4" s="4">
        <f t="shared" si="16"/>
        <v>225141.89079862236</v>
      </c>
      <c r="AR4" s="4">
        <f t="shared" si="16"/>
        <v>245404.6609704984</v>
      </c>
      <c r="AS4" s="4">
        <f t="shared" si="16"/>
        <v>267491.08045784326</v>
      </c>
      <c r="AT4" s="4">
        <f t="shared" si="16"/>
        <v>291565.27769904915</v>
      </c>
      <c r="AU4" s="4">
        <f t="shared" si="16"/>
        <v>317806.15269196359</v>
      </c>
    </row>
    <row r="5" spans="1:288" s="4" customFormat="1" hidden="1" outlineLevel="1" x14ac:dyDescent="0.2">
      <c r="B5" s="10" t="s">
        <v>102</v>
      </c>
      <c r="C5" s="4">
        <v>10219</v>
      </c>
      <c r="D5" s="4">
        <v>10808</v>
      </c>
      <c r="E5" s="4">
        <v>11601</v>
      </c>
      <c r="F5" s="4">
        <v>12742</v>
      </c>
      <c r="G5" s="4">
        <v>13503</v>
      </c>
      <c r="H5" s="4">
        <v>14809</v>
      </c>
      <c r="I5" s="4">
        <v>16110</v>
      </c>
      <c r="J5" s="4">
        <f>+AI5-SUM(G5:I5)</f>
        <v>17780</v>
      </c>
      <c r="K5" s="4">
        <v>18441</v>
      </c>
      <c r="L5" s="4">
        <v>19739</v>
      </c>
      <c r="M5" s="4">
        <v>20538</v>
      </c>
      <c r="N5" s="4">
        <v>21378</v>
      </c>
      <c r="O5" s="4">
        <v>21354</v>
      </c>
      <c r="P5" s="4">
        <v>22140</v>
      </c>
      <c r="Q5" s="4">
        <v>23059</v>
      </c>
      <c r="R5" s="4">
        <v>24204</v>
      </c>
      <c r="S5" s="4">
        <f>+O5*(1+O45)</f>
        <v>24727.146900927284</v>
      </c>
      <c r="T5" s="4">
        <f t="shared" ref="T5" si="17">+P5*(1+P45)</f>
        <v>24833.051319722374</v>
      </c>
      <c r="U5" s="4">
        <f t="shared" ref="U5" si="18">+Q5*(1+Q45)</f>
        <v>25889.447901450971</v>
      </c>
      <c r="V5" s="4">
        <f t="shared" ref="V5" si="19">+R5*(1+R45)</f>
        <v>27403.574515857425</v>
      </c>
      <c r="X5" s="4">
        <v>2.5</v>
      </c>
      <c r="Z5" s="4">
        <f>+AK4-140000</f>
        <v>-8800</v>
      </c>
      <c r="AH5" s="4">
        <v>45370</v>
      </c>
      <c r="AI5" s="4">
        <v>62202</v>
      </c>
      <c r="AJ5" s="4">
        <f t="shared" si="14"/>
        <v>80096</v>
      </c>
      <c r="AK5" s="4">
        <f t="shared" si="15"/>
        <v>90757</v>
      </c>
      <c r="AL5" s="4">
        <f>SUM(S5:V5)</f>
        <v>102853.22063795806</v>
      </c>
      <c r="AM5" s="4">
        <f>+AL5*1.13</f>
        <v>116224.1393208926</v>
      </c>
      <c r="AN5" s="4">
        <f t="shared" ref="AN5:AU5" si="20">+AM5*1.13</f>
        <v>131333.27743260862</v>
      </c>
      <c r="AO5" s="4">
        <f t="shared" si="20"/>
        <v>148406.60349884772</v>
      </c>
      <c r="AP5" s="4">
        <f t="shared" si="20"/>
        <v>167699.4619536979</v>
      </c>
      <c r="AQ5" s="4">
        <f t="shared" si="20"/>
        <v>189500.3920076786</v>
      </c>
      <c r="AR5" s="4">
        <f t="shared" si="20"/>
        <v>214135.4429686768</v>
      </c>
      <c r="AS5" s="4">
        <f t="shared" si="20"/>
        <v>241973.05055460476</v>
      </c>
      <c r="AT5" s="4">
        <f t="shared" si="20"/>
        <v>273429.54712670337</v>
      </c>
      <c r="AU5" s="4">
        <f t="shared" si="20"/>
        <v>308975.38825317478</v>
      </c>
    </row>
    <row r="6" spans="1:288" s="11" customFormat="1" hidden="1" outlineLevel="1" x14ac:dyDescent="0.2">
      <c r="B6" s="13" t="s">
        <v>103</v>
      </c>
      <c r="C6" s="11">
        <f t="shared" ref="C6:K6" si="21">+SUM(C3:C5)</f>
        <v>75452</v>
      </c>
      <c r="D6" s="11">
        <f t="shared" si="21"/>
        <v>88912</v>
      </c>
      <c r="E6" s="11">
        <f t="shared" si="21"/>
        <v>96145</v>
      </c>
      <c r="F6" s="11">
        <f t="shared" si="21"/>
        <v>125555</v>
      </c>
      <c r="G6" s="11">
        <f t="shared" si="21"/>
        <v>108518</v>
      </c>
      <c r="H6" s="11">
        <f t="shared" si="21"/>
        <v>113080</v>
      </c>
      <c r="I6" s="11">
        <f>+SUM(I3:I5)</f>
        <v>110812</v>
      </c>
      <c r="J6" s="11">
        <f t="shared" si="21"/>
        <v>137412</v>
      </c>
      <c r="K6" s="11">
        <f t="shared" si="21"/>
        <v>116444</v>
      </c>
      <c r="L6" s="11">
        <f>+SUM(L3:L5)</f>
        <v>121234</v>
      </c>
      <c r="M6" s="11">
        <f>+SUM(M3:M5)</f>
        <v>127101</v>
      </c>
      <c r="N6" s="11">
        <f>+SUM(N3:N5)</f>
        <v>149204</v>
      </c>
      <c r="O6" s="11">
        <f>+SUM(O3:O5)</f>
        <v>127358</v>
      </c>
      <c r="P6" s="11">
        <f t="shared" ref="P6:V6" si="22">+SUM(P3:P5)</f>
        <v>134383</v>
      </c>
      <c r="Q6" s="11">
        <f t="shared" si="22"/>
        <v>143083</v>
      </c>
      <c r="R6" s="11">
        <f t="shared" si="22"/>
        <v>169961</v>
      </c>
      <c r="S6" s="11">
        <f t="shared" si="22"/>
        <v>138787.85401522194</v>
      </c>
      <c r="T6" s="11">
        <f t="shared" si="22"/>
        <v>148218.60639084745</v>
      </c>
      <c r="U6" s="11">
        <f t="shared" si="22"/>
        <v>159822.96785094595</v>
      </c>
      <c r="V6" s="11">
        <f t="shared" si="22"/>
        <v>190461.37358152206</v>
      </c>
      <c r="Z6" s="11">
        <f>8.8/4</f>
        <v>2.2000000000000002</v>
      </c>
      <c r="AH6" s="11">
        <f t="shared" ref="AH6" si="23">+SUM(AH3:AH5)</f>
        <v>386064</v>
      </c>
      <c r="AI6" s="11">
        <f>+SUM(AI3:AI5)</f>
        <v>469822</v>
      </c>
      <c r="AJ6" s="11">
        <f t="shared" ref="AJ6:AU6" si="24">+SUM(AJ3:AJ5)</f>
        <v>513983</v>
      </c>
      <c r="AK6" s="11">
        <f t="shared" si="24"/>
        <v>574785</v>
      </c>
      <c r="AL6" s="11">
        <f t="shared" si="24"/>
        <v>637290.80183853745</v>
      </c>
      <c r="AM6" s="11">
        <f t="shared" si="24"/>
        <v>702642.21082952421</v>
      </c>
      <c r="AN6" s="11">
        <f t="shared" si="24"/>
        <v>774798.19417701708</v>
      </c>
      <c r="AO6" s="11">
        <f t="shared" si="24"/>
        <v>854479.50343025289</v>
      </c>
      <c r="AP6" s="11">
        <f t="shared" si="24"/>
        <v>942484.67762692948</v>
      </c>
      <c r="AQ6" s="11">
        <f t="shared" si="24"/>
        <v>1039698.6073143012</v>
      </c>
      <c r="AR6" s="11">
        <f t="shared" si="24"/>
        <v>1147102.0608979755</v>
      </c>
      <c r="AS6" s="11">
        <f t="shared" si="24"/>
        <v>1265782.2836671283</v>
      </c>
      <c r="AT6" s="11">
        <f t="shared" si="24"/>
        <v>1396944.792745901</v>
      </c>
      <c r="AU6" s="11">
        <f t="shared" si="24"/>
        <v>1541926.5056573018</v>
      </c>
    </row>
    <row r="7" spans="1:288" s="4" customFormat="1" hidden="1" outlineLevel="1" x14ac:dyDescent="0.2">
      <c r="B7" s="10" t="s">
        <v>131</v>
      </c>
      <c r="C7" s="4">
        <v>44815</v>
      </c>
      <c r="D7" s="4">
        <v>53295</v>
      </c>
      <c r="E7" s="4">
        <v>57121</v>
      </c>
      <c r="F7" s="4">
        <v>72400</v>
      </c>
      <c r="G7" s="4">
        <v>60916</v>
      </c>
      <c r="H7" s="4">
        <v>64403</v>
      </c>
      <c r="I7" s="4">
        <v>64677</v>
      </c>
      <c r="J7" s="4">
        <v>82566</v>
      </c>
      <c r="K7" s="4">
        <v>70812</v>
      </c>
      <c r="L7" s="4">
        <v>75057</v>
      </c>
      <c r="M7" s="4">
        <v>79255</v>
      </c>
      <c r="N7" s="4">
        <v>93603</v>
      </c>
      <c r="O7" s="4">
        <v>75983</v>
      </c>
      <c r="P7" s="4">
        <v>79335</v>
      </c>
      <c r="Q7" s="4">
        <v>83580</v>
      </c>
      <c r="R7" s="4">
        <v>99053</v>
      </c>
      <c r="AF7" s="7"/>
      <c r="AG7" s="7"/>
      <c r="AH7" s="7"/>
      <c r="AI7" s="7">
        <f>SUM(G7:J7)</f>
        <v>272562</v>
      </c>
      <c r="AJ7" s="4">
        <f t="shared" si="14"/>
        <v>318727</v>
      </c>
      <c r="AK7" s="4">
        <f t="shared" si="15"/>
        <v>337951</v>
      </c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288" s="4" customFormat="1" hidden="1" outlineLevel="1" x14ac:dyDescent="0.2">
      <c r="B8" s="10" t="s">
        <v>132</v>
      </c>
      <c r="C8" s="4">
        <v>19504</v>
      </c>
      <c r="D8" s="4">
        <v>22323</v>
      </c>
      <c r="E8" s="4">
        <v>24764</v>
      </c>
      <c r="F8" s="4">
        <v>37104</v>
      </c>
      <c r="G8" s="4">
        <v>29397</v>
      </c>
      <c r="H8" s="4">
        <v>30359</v>
      </c>
      <c r="I8" s="4">
        <v>30056</v>
      </c>
      <c r="J8" s="4">
        <v>38899</v>
      </c>
      <c r="K8" s="4">
        <v>30040</v>
      </c>
      <c r="L8" s="4">
        <v>28836</v>
      </c>
      <c r="M8" s="4">
        <v>30186</v>
      </c>
      <c r="N8" s="4">
        <v>36691</v>
      </c>
      <c r="O8" s="4">
        <v>30370</v>
      </c>
      <c r="P8" s="4">
        <v>30592</v>
      </c>
      <c r="Q8" s="4">
        <v>32232</v>
      </c>
      <c r="R8" s="4">
        <v>40662</v>
      </c>
      <c r="AF8" s="7"/>
      <c r="AG8" s="7"/>
      <c r="AH8" s="7"/>
      <c r="AI8" s="7">
        <f t="shared" ref="AI8:AI9" si="25">SUM(G8:J8)</f>
        <v>128711</v>
      </c>
      <c r="AJ8" s="4">
        <f t="shared" si="14"/>
        <v>125753</v>
      </c>
      <c r="AK8" s="4">
        <f t="shared" si="15"/>
        <v>133856</v>
      </c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288" s="4" customFormat="1" hidden="1" outlineLevel="1" x14ac:dyDescent="0.2">
      <c r="B9" s="10" t="s">
        <v>133</v>
      </c>
      <c r="C9" s="4">
        <v>7144</v>
      </c>
      <c r="D9" s="4">
        <v>7451</v>
      </c>
      <c r="E9" s="4">
        <v>8066</v>
      </c>
      <c r="F9" s="4">
        <v>9178</v>
      </c>
      <c r="G9" s="4">
        <v>9340</v>
      </c>
      <c r="H9" s="4">
        <v>10616</v>
      </c>
      <c r="I9" s="4">
        <v>11227</v>
      </c>
      <c r="J9" s="4">
        <v>12487</v>
      </c>
      <c r="K9" s="4">
        <v>11923</v>
      </c>
      <c r="L9" s="4">
        <v>14024</v>
      </c>
      <c r="M9" s="4">
        <v>15135</v>
      </c>
      <c r="N9" s="4">
        <v>16173</v>
      </c>
      <c r="O9" s="4">
        <v>16231</v>
      </c>
      <c r="P9" s="4">
        <v>16775</v>
      </c>
      <c r="Q9" s="4">
        <v>16083</v>
      </c>
      <c r="R9" s="4">
        <v>17037</v>
      </c>
      <c r="AF9" s="7"/>
      <c r="AG9" s="7"/>
      <c r="AH9" s="7"/>
      <c r="AI9" s="7">
        <f t="shared" si="25"/>
        <v>43670</v>
      </c>
      <c r="AJ9" s="4">
        <f t="shared" si="14"/>
        <v>57255</v>
      </c>
      <c r="AK9" s="4">
        <f t="shared" si="15"/>
        <v>66126</v>
      </c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288" s="11" customFormat="1" hidden="1" outlineLevel="1" x14ac:dyDescent="0.2">
      <c r="B10" s="13" t="s">
        <v>130</v>
      </c>
      <c r="C10" s="11">
        <f t="shared" ref="C10:L10" si="26">SUM(C7:C9)</f>
        <v>71463</v>
      </c>
      <c r="D10" s="11">
        <f t="shared" si="26"/>
        <v>83069</v>
      </c>
      <c r="E10" s="11">
        <f t="shared" si="26"/>
        <v>89951</v>
      </c>
      <c r="F10" s="11">
        <f t="shared" si="26"/>
        <v>118682</v>
      </c>
      <c r="G10" s="11">
        <f t="shared" si="26"/>
        <v>99653</v>
      </c>
      <c r="H10" s="11">
        <f t="shared" si="26"/>
        <v>105378</v>
      </c>
      <c r="I10" s="11">
        <f t="shared" si="26"/>
        <v>105960</v>
      </c>
      <c r="J10" s="11">
        <f t="shared" si="26"/>
        <v>133952</v>
      </c>
      <c r="K10" s="11">
        <f t="shared" si="26"/>
        <v>112775</v>
      </c>
      <c r="L10" s="11">
        <f t="shared" si="26"/>
        <v>117917</v>
      </c>
      <c r="M10" s="11">
        <f>SUM(M7:M9)</f>
        <v>124576</v>
      </c>
      <c r="N10" s="11">
        <f t="shared" ref="N10:R10" si="27">SUM(N7:N9)</f>
        <v>146467</v>
      </c>
      <c r="O10" s="11">
        <f t="shared" si="27"/>
        <v>122584</v>
      </c>
      <c r="P10" s="11">
        <f t="shared" si="27"/>
        <v>126702</v>
      </c>
      <c r="Q10" s="11">
        <f t="shared" si="27"/>
        <v>131895</v>
      </c>
      <c r="R10" s="11">
        <f t="shared" si="27"/>
        <v>156752</v>
      </c>
      <c r="AF10" s="12"/>
      <c r="AG10" s="12"/>
      <c r="AH10" s="12"/>
      <c r="AI10" s="11">
        <f t="shared" ref="AI10:AK10" si="28">SUM(AI7:AI9)</f>
        <v>444943</v>
      </c>
      <c r="AJ10" s="11">
        <f t="shared" si="28"/>
        <v>501735</v>
      </c>
      <c r="AK10" s="11">
        <f t="shared" si="28"/>
        <v>537933</v>
      </c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288" s="11" customFormat="1" hidden="1" outlineLevel="1" x14ac:dyDescent="0.2">
      <c r="B11" s="10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35"/>
    </row>
    <row r="12" spans="1:288" s="4" customFormat="1" hidden="1" outlineLevel="1" x14ac:dyDescent="0.2">
      <c r="B12" s="10" t="s">
        <v>100</v>
      </c>
      <c r="C12" s="4">
        <f t="shared" ref="C12:L14" si="29">+C3-C7</f>
        <v>1312</v>
      </c>
      <c r="D12" s="4">
        <f t="shared" si="29"/>
        <v>2141</v>
      </c>
      <c r="E12" s="4">
        <f t="shared" si="29"/>
        <v>2252</v>
      </c>
      <c r="F12" s="4">
        <f t="shared" si="29"/>
        <v>2946</v>
      </c>
      <c r="G12" s="4">
        <f t="shared" si="29"/>
        <v>3450</v>
      </c>
      <c r="H12" s="4">
        <f t="shared" si="29"/>
        <v>3147</v>
      </c>
      <c r="I12" s="4">
        <f t="shared" si="29"/>
        <v>880</v>
      </c>
      <c r="J12" s="4">
        <f t="shared" si="29"/>
        <v>-206</v>
      </c>
      <c r="K12" s="4">
        <f t="shared" si="29"/>
        <v>-1568</v>
      </c>
      <c r="L12" s="4">
        <f t="shared" si="29"/>
        <v>-627</v>
      </c>
      <c r="M12" s="4">
        <f>+M3-M7</f>
        <v>-412</v>
      </c>
      <c r="N12" s="4">
        <f t="shared" ref="N12:R12" si="30">+N3-N7</f>
        <v>-240</v>
      </c>
      <c r="O12" s="4">
        <f>+O3-O7</f>
        <v>898</v>
      </c>
      <c r="P12" s="4">
        <f t="shared" si="30"/>
        <v>3211</v>
      </c>
      <c r="Q12" s="4">
        <f t="shared" si="30"/>
        <v>4307</v>
      </c>
      <c r="R12" s="4">
        <f t="shared" si="30"/>
        <v>6461</v>
      </c>
      <c r="AF12" s="7"/>
      <c r="AG12" s="7"/>
      <c r="AH12" s="7">
        <v>8651</v>
      </c>
      <c r="AI12" s="7">
        <v>7271</v>
      </c>
      <c r="AJ12" s="7">
        <f>+SUM(K12:N12)</f>
        <v>-2847</v>
      </c>
      <c r="AK12" s="7">
        <f>SUM(O12:R12)</f>
        <v>14877</v>
      </c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</row>
    <row r="13" spans="1:288" s="4" customFormat="1" hidden="1" outlineLevel="1" x14ac:dyDescent="0.2">
      <c r="B13" s="10" t="s">
        <v>101</v>
      </c>
      <c r="C13" s="4">
        <f t="shared" si="29"/>
        <v>-398</v>
      </c>
      <c r="D13" s="4">
        <f t="shared" si="29"/>
        <v>345</v>
      </c>
      <c r="E13" s="4">
        <f t="shared" si="29"/>
        <v>407</v>
      </c>
      <c r="F13" s="4">
        <f t="shared" si="29"/>
        <v>363</v>
      </c>
      <c r="G13" s="4">
        <f t="shared" si="29"/>
        <v>1252</v>
      </c>
      <c r="H13" s="4">
        <f t="shared" si="29"/>
        <v>362</v>
      </c>
      <c r="I13" s="4">
        <f t="shared" si="29"/>
        <v>-911</v>
      </c>
      <c r="J13" s="4">
        <f t="shared" si="29"/>
        <v>-1627</v>
      </c>
      <c r="K13" s="4">
        <f t="shared" si="29"/>
        <v>-1281</v>
      </c>
      <c r="L13" s="4">
        <f t="shared" si="29"/>
        <v>-1771</v>
      </c>
      <c r="M13" s="4">
        <f t="shared" ref="M13:R14" si="31">+M4-M8</f>
        <v>-2466</v>
      </c>
      <c r="N13" s="4">
        <f t="shared" si="31"/>
        <v>-2228</v>
      </c>
      <c r="O13" s="4">
        <f t="shared" si="31"/>
        <v>-1247</v>
      </c>
      <c r="P13" s="4">
        <f t="shared" si="31"/>
        <v>-895</v>
      </c>
      <c r="Q13" s="4">
        <f t="shared" si="31"/>
        <v>-95</v>
      </c>
      <c r="R13" s="4">
        <f t="shared" si="31"/>
        <v>-419</v>
      </c>
      <c r="AF13" s="7"/>
      <c r="AG13" s="7"/>
      <c r="AH13" s="7">
        <v>717</v>
      </c>
      <c r="AI13" s="7">
        <v>924</v>
      </c>
      <c r="AJ13" s="7">
        <f t="shared" ref="AJ13:AJ14" si="32">+SUM(K13:N13)</f>
        <v>-7746</v>
      </c>
      <c r="AK13" s="7">
        <f t="shared" ref="AK13:AK14" si="33">SUM(O13:R13)</f>
        <v>-2656</v>
      </c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</row>
    <row r="14" spans="1:288" s="4" customFormat="1" hidden="1" outlineLevel="1" x14ac:dyDescent="0.2">
      <c r="B14" s="10" t="s">
        <v>102</v>
      </c>
      <c r="C14" s="4">
        <f t="shared" si="29"/>
        <v>3075</v>
      </c>
      <c r="D14" s="4">
        <f t="shared" si="29"/>
        <v>3357</v>
      </c>
      <c r="E14" s="4">
        <f t="shared" si="29"/>
        <v>3535</v>
      </c>
      <c r="F14" s="4">
        <f t="shared" si="29"/>
        <v>3564</v>
      </c>
      <c r="G14" s="4">
        <f t="shared" si="29"/>
        <v>4163</v>
      </c>
      <c r="H14" s="4">
        <f t="shared" si="29"/>
        <v>4193</v>
      </c>
      <c r="I14" s="4">
        <f t="shared" si="29"/>
        <v>4883</v>
      </c>
      <c r="J14" s="4">
        <f t="shared" si="29"/>
        <v>5293</v>
      </c>
      <c r="K14" s="4">
        <f t="shared" si="29"/>
        <v>6518</v>
      </c>
      <c r="L14" s="4">
        <f t="shared" si="29"/>
        <v>5715</v>
      </c>
      <c r="M14" s="4">
        <f t="shared" si="31"/>
        <v>5403</v>
      </c>
      <c r="N14" s="4">
        <f t="shared" si="31"/>
        <v>5205</v>
      </c>
      <c r="O14" s="4">
        <f t="shared" si="31"/>
        <v>5123</v>
      </c>
      <c r="P14" s="4">
        <f t="shared" si="31"/>
        <v>5365</v>
      </c>
      <c r="Q14" s="4">
        <f t="shared" si="31"/>
        <v>6976</v>
      </c>
      <c r="R14" s="4">
        <f t="shared" si="31"/>
        <v>7167</v>
      </c>
      <c r="AF14" s="7"/>
      <c r="AG14" s="7"/>
      <c r="AH14" s="7">
        <v>13531</v>
      </c>
      <c r="AI14" s="7">
        <v>18532</v>
      </c>
      <c r="AJ14" s="7">
        <f t="shared" si="32"/>
        <v>22841</v>
      </c>
      <c r="AK14" s="7">
        <f t="shared" si="33"/>
        <v>24631</v>
      </c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</row>
    <row r="15" spans="1:288" s="11" customFormat="1" hidden="1" outlineLevel="1" x14ac:dyDescent="0.2">
      <c r="B15" s="13" t="s">
        <v>110</v>
      </c>
      <c r="C15" s="11">
        <f t="shared" ref="C15:L15" si="34">+SUM(C12:C14)</f>
        <v>3989</v>
      </c>
      <c r="D15" s="11">
        <f t="shared" si="34"/>
        <v>5843</v>
      </c>
      <c r="E15" s="11">
        <f t="shared" si="34"/>
        <v>6194</v>
      </c>
      <c r="F15" s="11">
        <f t="shared" si="34"/>
        <v>6873</v>
      </c>
      <c r="G15" s="11">
        <f t="shared" si="34"/>
        <v>8865</v>
      </c>
      <c r="H15" s="11">
        <f t="shared" si="34"/>
        <v>7702</v>
      </c>
      <c r="I15" s="11">
        <f t="shared" si="34"/>
        <v>4852</v>
      </c>
      <c r="J15" s="11">
        <f t="shared" si="34"/>
        <v>3460</v>
      </c>
      <c r="K15" s="11">
        <f t="shared" si="34"/>
        <v>3669</v>
      </c>
      <c r="L15" s="11">
        <f t="shared" si="34"/>
        <v>3317</v>
      </c>
      <c r="M15" s="11">
        <f>+SUM(M12:M14)</f>
        <v>2525</v>
      </c>
      <c r="N15" s="11">
        <f t="shared" ref="N15:R15" si="35">+SUM(N12:N14)</f>
        <v>2737</v>
      </c>
      <c r="O15" s="11">
        <f t="shared" si="35"/>
        <v>4774</v>
      </c>
      <c r="P15" s="11">
        <f t="shared" si="35"/>
        <v>7681</v>
      </c>
      <c r="Q15" s="11">
        <f t="shared" si="35"/>
        <v>11188</v>
      </c>
      <c r="R15" s="11">
        <f t="shared" si="35"/>
        <v>13209</v>
      </c>
      <c r="AH15" s="12">
        <v>13531</v>
      </c>
      <c r="AI15" s="11">
        <f>+SUM(AI12:AI14)</f>
        <v>26727</v>
      </c>
      <c r="AJ15" s="11">
        <f t="shared" ref="AJ15:AK15" si="36">+SUM(AJ12:AJ14)</f>
        <v>12248</v>
      </c>
      <c r="AK15" s="11">
        <f t="shared" si="36"/>
        <v>36852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288" s="11" customFormat="1" hidden="1" outlineLevel="1" x14ac:dyDescent="0.2">
      <c r="B16" s="13"/>
      <c r="C16" s="20" t="str">
        <f t="shared" ref="C16:K16" si="37">IF(C15=C59,"m","n")</f>
        <v>m</v>
      </c>
      <c r="D16" s="20" t="str">
        <f t="shared" si="37"/>
        <v>m</v>
      </c>
      <c r="E16" s="20" t="str">
        <f t="shared" si="37"/>
        <v>m</v>
      </c>
      <c r="F16" s="20" t="str">
        <f t="shared" si="37"/>
        <v>m</v>
      </c>
      <c r="G16" s="20" t="str">
        <f t="shared" si="37"/>
        <v>m</v>
      </c>
      <c r="H16" s="20" t="str">
        <f t="shared" si="37"/>
        <v>m</v>
      </c>
      <c r="I16" s="20" t="str">
        <f t="shared" si="37"/>
        <v>m</v>
      </c>
      <c r="J16" s="20" t="str">
        <f t="shared" si="37"/>
        <v>m</v>
      </c>
      <c r="K16" s="20" t="str">
        <f t="shared" si="37"/>
        <v>m</v>
      </c>
      <c r="L16" s="20" t="str">
        <f>IF(L15=L59,"m","n")</f>
        <v>m</v>
      </c>
      <c r="M16" s="20" t="str">
        <f>IF(M15=M59,"m","n")</f>
        <v>m</v>
      </c>
      <c r="N16" s="20" t="str">
        <f t="shared" ref="N16:R16" si="38">IF(N15=N59,"m","n")</f>
        <v>m</v>
      </c>
      <c r="O16" s="20" t="str">
        <f t="shared" si="38"/>
        <v>m</v>
      </c>
      <c r="P16" s="20" t="str">
        <f t="shared" si="38"/>
        <v>m</v>
      </c>
      <c r="Q16" s="20" t="str">
        <f t="shared" si="38"/>
        <v>m</v>
      </c>
      <c r="R16" s="20" t="str">
        <f t="shared" si="38"/>
        <v>m</v>
      </c>
      <c r="AH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2:50" s="11" customFormat="1" collapsed="1" x14ac:dyDescent="0.2">
      <c r="B17" s="13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AH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2:50" s="11" customFormat="1" x14ac:dyDescent="0.2">
      <c r="B18" s="13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AH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2:50" s="4" customFormat="1" x14ac:dyDescent="0.2">
      <c r="B19" s="10" t="s">
        <v>187</v>
      </c>
      <c r="C19" s="19"/>
      <c r="D19" s="19"/>
      <c r="E19" s="19"/>
      <c r="F19" s="19"/>
      <c r="G19" s="19"/>
      <c r="H19" s="19"/>
      <c r="I19" s="19"/>
      <c r="J19" s="19"/>
      <c r="K19" s="19">
        <v>51129</v>
      </c>
      <c r="L19" s="19">
        <v>50855</v>
      </c>
      <c r="M19" s="19">
        <v>53489</v>
      </c>
      <c r="N19" s="19"/>
      <c r="O19" s="19">
        <v>51096</v>
      </c>
      <c r="P19" s="19">
        <v>52966</v>
      </c>
      <c r="Q19" s="19">
        <v>57267</v>
      </c>
      <c r="R19" s="4">
        <f t="shared" ref="R19:R25" si="39">+AK19-SUM(O19:Q19)</f>
        <v>70543</v>
      </c>
      <c r="S19" s="4">
        <v>51096</v>
      </c>
      <c r="T19" s="4">
        <v>55392</v>
      </c>
      <c r="AI19" s="4">
        <v>222075</v>
      </c>
      <c r="AJ19" s="4">
        <v>220004</v>
      </c>
      <c r="AK19" s="4">
        <v>231872</v>
      </c>
    </row>
    <row r="20" spans="2:50" s="4" customFormat="1" x14ac:dyDescent="0.2">
      <c r="B20" s="10" t="s">
        <v>188</v>
      </c>
      <c r="C20" s="19"/>
      <c r="D20" s="19"/>
      <c r="E20" s="19"/>
      <c r="F20" s="19"/>
      <c r="G20" s="19"/>
      <c r="H20" s="19"/>
      <c r="I20" s="19"/>
      <c r="J20" s="19"/>
      <c r="K20" s="19">
        <v>4591</v>
      </c>
      <c r="L20" s="19">
        <v>4721</v>
      </c>
      <c r="M20" s="19">
        <v>4694</v>
      </c>
      <c r="N20" s="19"/>
      <c r="O20" s="19">
        <v>4895</v>
      </c>
      <c r="P20" s="19">
        <v>5024</v>
      </c>
      <c r="Q20" s="19">
        <v>4959</v>
      </c>
      <c r="R20" s="4">
        <f t="shared" si="39"/>
        <v>5152</v>
      </c>
      <c r="S20" s="4">
        <v>4895</v>
      </c>
      <c r="T20" s="4">
        <v>5206</v>
      </c>
      <c r="AI20" s="4">
        <v>17075</v>
      </c>
      <c r="AJ20" s="4">
        <v>18963</v>
      </c>
      <c r="AK20" s="4">
        <v>20030</v>
      </c>
    </row>
    <row r="21" spans="2:50" s="4" customFormat="1" x14ac:dyDescent="0.2">
      <c r="B21" s="10" t="s">
        <v>189</v>
      </c>
      <c r="C21" s="19"/>
      <c r="D21" s="19"/>
      <c r="E21" s="19"/>
      <c r="F21" s="19"/>
      <c r="G21" s="19"/>
      <c r="H21" s="19"/>
      <c r="I21" s="19"/>
      <c r="J21" s="19"/>
      <c r="K21" s="19">
        <v>25335</v>
      </c>
      <c r="L21" s="19">
        <v>27376</v>
      </c>
      <c r="M21" s="19">
        <v>28666</v>
      </c>
      <c r="N21" s="19"/>
      <c r="O21" s="19">
        <v>29820</v>
      </c>
      <c r="P21" s="19">
        <v>32332</v>
      </c>
      <c r="Q21" s="19">
        <v>34342</v>
      </c>
      <c r="R21" s="4">
        <f t="shared" si="39"/>
        <v>43559</v>
      </c>
      <c r="S21" s="4">
        <v>29820</v>
      </c>
      <c r="T21" s="4">
        <v>36201</v>
      </c>
      <c r="AI21" s="4">
        <v>103366</v>
      </c>
      <c r="AJ21" s="4">
        <v>117716</v>
      </c>
      <c r="AK21" s="4">
        <v>140053</v>
      </c>
    </row>
    <row r="22" spans="2:50" s="4" customFormat="1" x14ac:dyDescent="0.2">
      <c r="B22" s="10" t="s">
        <v>190</v>
      </c>
      <c r="C22" s="19"/>
      <c r="D22" s="19"/>
      <c r="E22" s="19"/>
      <c r="F22" s="19"/>
      <c r="G22" s="19"/>
      <c r="H22" s="19"/>
      <c r="I22" s="19"/>
      <c r="J22" s="19"/>
      <c r="K22" s="19">
        <v>8410</v>
      </c>
      <c r="L22" s="19">
        <v>8716</v>
      </c>
      <c r="M22" s="19">
        <v>8903</v>
      </c>
      <c r="N22" s="19"/>
      <c r="O22" s="19">
        <v>9509</v>
      </c>
      <c r="P22" s="19">
        <v>9894</v>
      </c>
      <c r="Q22" s="19">
        <v>10170</v>
      </c>
      <c r="R22" s="4">
        <f t="shared" si="39"/>
        <v>17333</v>
      </c>
      <c r="S22" s="4">
        <v>9509</v>
      </c>
      <c r="T22" s="4">
        <v>12771</v>
      </c>
      <c r="AI22" s="4">
        <v>31160</v>
      </c>
      <c r="AJ22" s="4">
        <v>37739</v>
      </c>
      <c r="AK22" s="4">
        <v>46906</v>
      </c>
    </row>
    <row r="23" spans="2:50" s="4" customFormat="1" x14ac:dyDescent="0.2">
      <c r="B23" s="10" t="s">
        <v>191</v>
      </c>
      <c r="C23" s="19"/>
      <c r="D23" s="19"/>
      <c r="E23" s="19"/>
      <c r="F23" s="19"/>
      <c r="G23" s="19"/>
      <c r="H23" s="19"/>
      <c r="I23" s="19"/>
      <c r="J23" s="19"/>
      <c r="K23" s="19">
        <v>7877</v>
      </c>
      <c r="L23" s="19">
        <v>8757</v>
      </c>
      <c r="M23" s="19">
        <v>9548</v>
      </c>
      <c r="N23" s="19"/>
      <c r="O23" s="19">
        <v>9657</v>
      </c>
      <c r="P23" s="19">
        <v>10683</v>
      </c>
      <c r="Q23" s="19">
        <v>12060</v>
      </c>
      <c r="R23" s="4">
        <f t="shared" si="39"/>
        <v>7809</v>
      </c>
      <c r="S23" s="4">
        <v>9657</v>
      </c>
      <c r="T23" s="4">
        <v>10866</v>
      </c>
      <c r="AI23" s="4">
        <v>31768</v>
      </c>
      <c r="AJ23" s="4">
        <v>35218</v>
      </c>
      <c r="AK23" s="4">
        <v>40209</v>
      </c>
    </row>
    <row r="24" spans="2:50" s="4" customFormat="1" x14ac:dyDescent="0.2">
      <c r="B24" s="10" t="s">
        <v>102</v>
      </c>
      <c r="C24" s="19"/>
      <c r="D24" s="19"/>
      <c r="E24" s="19"/>
      <c r="F24" s="19"/>
      <c r="G24" s="19"/>
      <c r="H24" s="19"/>
      <c r="I24" s="19"/>
      <c r="J24" s="19"/>
      <c r="K24" s="19">
        <v>18441</v>
      </c>
      <c r="L24" s="19">
        <v>19739</v>
      </c>
      <c r="M24" s="19">
        <v>20538</v>
      </c>
      <c r="N24" s="19"/>
      <c r="O24" s="19">
        <v>21354</v>
      </c>
      <c r="P24" s="19">
        <v>22140</v>
      </c>
      <c r="Q24" s="19">
        <v>23059</v>
      </c>
      <c r="R24" s="4">
        <f t="shared" si="39"/>
        <v>24204</v>
      </c>
      <c r="S24" s="4">
        <v>21354</v>
      </c>
      <c r="T24" s="4">
        <v>26281</v>
      </c>
      <c r="AI24" s="4">
        <v>62202</v>
      </c>
      <c r="AJ24" s="4">
        <v>80096</v>
      </c>
      <c r="AK24" s="4">
        <v>90757</v>
      </c>
    </row>
    <row r="25" spans="2:50" s="4" customFormat="1" x14ac:dyDescent="0.2">
      <c r="B25" s="10" t="s">
        <v>192</v>
      </c>
      <c r="C25" s="19"/>
      <c r="D25" s="19"/>
      <c r="E25" s="19"/>
      <c r="F25" s="19"/>
      <c r="G25" s="19"/>
      <c r="H25" s="19"/>
      <c r="I25" s="19"/>
      <c r="J25" s="19"/>
      <c r="K25" s="19">
        <v>661</v>
      </c>
      <c r="L25" s="19">
        <v>1070</v>
      </c>
      <c r="M25" s="19">
        <v>1263</v>
      </c>
      <c r="N25" s="19"/>
      <c r="O25" s="19">
        <v>1027</v>
      </c>
      <c r="P25" s="19">
        <v>1344</v>
      </c>
      <c r="Q25" s="19">
        <v>1226</v>
      </c>
      <c r="R25" s="4">
        <f t="shared" si="39"/>
        <v>1361</v>
      </c>
      <c r="S25" s="4">
        <v>1027</v>
      </c>
      <c r="T25" s="4">
        <v>1260</v>
      </c>
      <c r="AI25" s="4">
        <v>2176</v>
      </c>
      <c r="AJ25" s="4">
        <v>4247</v>
      </c>
      <c r="AK25" s="4">
        <v>4958</v>
      </c>
    </row>
    <row r="26" spans="2:50" s="11" customFormat="1" x14ac:dyDescent="0.2">
      <c r="B26" s="13"/>
      <c r="C26" s="20"/>
      <c r="D26" s="20"/>
      <c r="E26" s="20"/>
      <c r="F26" s="20"/>
      <c r="G26" s="20"/>
      <c r="H26" s="20"/>
      <c r="I26" s="20"/>
      <c r="J26" s="20"/>
      <c r="K26" s="11" t="b">
        <f>+SUM(K19:K25)=K51</f>
        <v>1</v>
      </c>
      <c r="L26" s="11" t="b">
        <f>+SUM(L19:L25)=L51</f>
        <v>1</v>
      </c>
      <c r="M26" s="11" t="b">
        <f>+SUM(M19:M25)=M51</f>
        <v>1</v>
      </c>
      <c r="N26" s="20"/>
      <c r="O26" s="11" t="b">
        <f t="shared" ref="O26:T26" si="40">+SUM(O19:O25)=O51</f>
        <v>1</v>
      </c>
      <c r="P26" s="11" t="b">
        <f t="shared" si="40"/>
        <v>1</v>
      </c>
      <c r="Q26" s="11" t="b">
        <f t="shared" si="40"/>
        <v>1</v>
      </c>
      <c r="R26" s="11" t="b">
        <f t="shared" si="40"/>
        <v>1</v>
      </c>
      <c r="S26" s="11" t="b">
        <f t="shared" si="40"/>
        <v>1</v>
      </c>
      <c r="T26" s="11" t="b">
        <f t="shared" si="40"/>
        <v>1</v>
      </c>
      <c r="AH26" s="12"/>
      <c r="AI26" s="11" t="b">
        <f>+SUM(AI19:AI25)=AI51</f>
        <v>1</v>
      </c>
      <c r="AJ26" s="11" t="b">
        <f>+SUM(AJ19:AJ25)=AJ51</f>
        <v>1</v>
      </c>
      <c r="AK26" s="11" t="b">
        <f>+SUM(AK19:AK25)=AK51</f>
        <v>1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s="11" customFormat="1" x14ac:dyDescent="0.2">
      <c r="B27" s="13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AH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2:50" s="4" customFormat="1" x14ac:dyDescent="0.2">
      <c r="B28" s="10" t="s">
        <v>187</v>
      </c>
      <c r="C28" s="19"/>
      <c r="D28" s="19"/>
      <c r="E28" s="19"/>
      <c r="F28" s="19"/>
      <c r="G28" s="19"/>
      <c r="H28" s="19"/>
      <c r="I28" s="19"/>
      <c r="J28" s="19"/>
      <c r="K28" s="15">
        <f>+K19/K$51</f>
        <v>0.43908659956717394</v>
      </c>
      <c r="L28" s="15">
        <f>+L19/L$51</f>
        <v>0.41947803421482421</v>
      </c>
      <c r="M28" s="15">
        <f>+M19/M$51</f>
        <v>0.42083854572347973</v>
      </c>
      <c r="N28" s="19"/>
      <c r="O28" s="15">
        <f t="shared" ref="O28:T28" si="41">+O19/O$51</f>
        <v>0.40119976758428993</v>
      </c>
      <c r="P28" s="15">
        <f t="shared" si="41"/>
        <v>0.39414211619029194</v>
      </c>
      <c r="Q28" s="15">
        <f t="shared" si="41"/>
        <v>0.4002362265258626</v>
      </c>
      <c r="R28" s="15">
        <f t="shared" si="41"/>
        <v>0.4150540418095916</v>
      </c>
      <c r="S28" s="15">
        <f t="shared" si="41"/>
        <v>0.40119976758428993</v>
      </c>
      <c r="T28" s="15">
        <f t="shared" si="41"/>
        <v>0.37432844293369916</v>
      </c>
      <c r="AH28" s="7"/>
      <c r="AI28" s="39">
        <f>+AI19/AI$51</f>
        <v>0.47267901460553147</v>
      </c>
      <c r="AJ28" s="39">
        <f>+AJ19/AJ$51</f>
        <v>0.42803750318590306</v>
      </c>
      <c r="AK28" s="39">
        <f>+AK19/AK$51</f>
        <v>0.40340649112276766</v>
      </c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</row>
    <row r="29" spans="2:50" s="4" customFormat="1" x14ac:dyDescent="0.2">
      <c r="B29" s="10" t="s">
        <v>188</v>
      </c>
      <c r="C29" s="19"/>
      <c r="D29" s="19"/>
      <c r="E29" s="19"/>
      <c r="F29" s="19"/>
      <c r="G29" s="19"/>
      <c r="H29" s="19"/>
      <c r="I29" s="19"/>
      <c r="J29" s="19"/>
      <c r="K29" s="15">
        <f t="shared" ref="K29" si="42">+K20/K$51</f>
        <v>3.9426677201058018E-2</v>
      </c>
      <c r="L29" s="15">
        <f t="shared" ref="L29:M29" si="43">+L20/L$51</f>
        <v>3.8941221109589717E-2</v>
      </c>
      <c r="M29" s="15">
        <f t="shared" si="43"/>
        <v>3.6931259392136963E-2</v>
      </c>
      <c r="N29" s="19"/>
      <c r="O29" s="15">
        <f t="shared" ref="O29:Q29" si="44">+O20/O$51</f>
        <v>3.8434962860597686E-2</v>
      </c>
      <c r="P29" s="15">
        <f t="shared" si="44"/>
        <v>3.7385681224559653E-2</v>
      </c>
      <c r="Q29" s="15">
        <f t="shared" si="44"/>
        <v>3.4658205377298489E-2</v>
      </c>
      <c r="R29" s="15">
        <f t="shared" ref="R29" si="45">+R20/R$51</f>
        <v>3.0312836474249975E-2</v>
      </c>
      <c r="S29" s="15">
        <f t="shared" ref="S29:T29" si="46">+S20/S$51</f>
        <v>3.8434962860597686E-2</v>
      </c>
      <c r="T29" s="15">
        <f t="shared" si="46"/>
        <v>3.5181143015468617E-2</v>
      </c>
      <c r="AH29" s="7"/>
      <c r="AI29" s="15">
        <f t="shared" ref="AI29:AK34" si="47">+AI20/AI$51</f>
        <v>3.6343551387546774E-2</v>
      </c>
      <c r="AJ29" s="15">
        <f t="shared" si="47"/>
        <v>3.68942163456768E-2</v>
      </c>
      <c r="AK29" s="15">
        <f t="shared" si="47"/>
        <v>3.4847812660386057E-2</v>
      </c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</row>
    <row r="30" spans="2:50" s="4" customFormat="1" x14ac:dyDescent="0.2">
      <c r="B30" s="10" t="s">
        <v>193</v>
      </c>
      <c r="C30" s="19"/>
      <c r="D30" s="19"/>
      <c r="E30" s="19"/>
      <c r="F30" s="19"/>
      <c r="G30" s="19"/>
      <c r="H30" s="19"/>
      <c r="I30" s="19"/>
      <c r="J30" s="19"/>
      <c r="K30" s="15">
        <f t="shared" ref="K30" si="48">+K21/K$51</f>
        <v>0.21757239531448594</v>
      </c>
      <c r="L30" s="15">
        <f t="shared" ref="L30:M30" si="49">+L21/L$51</f>
        <v>0.22581124107098668</v>
      </c>
      <c r="M30" s="15">
        <f t="shared" si="49"/>
        <v>0.22553717122603284</v>
      </c>
      <c r="N30" s="19"/>
      <c r="O30" s="15">
        <f t="shared" ref="O30:Q30" si="50">+O21/O$51</f>
        <v>0.2341431241068484</v>
      </c>
      <c r="P30" s="15">
        <f t="shared" si="50"/>
        <v>0.24059590870869083</v>
      </c>
      <c r="Q30" s="15">
        <f t="shared" si="50"/>
        <v>0.24001453701697617</v>
      </c>
      <c r="R30" s="15">
        <f t="shared" ref="R30" si="51">+R21/R$51</f>
        <v>0.25628820729461466</v>
      </c>
      <c r="S30" s="15">
        <f t="shared" ref="S30:T30" si="52">+S21/S$51</f>
        <v>0.2341431241068484</v>
      </c>
      <c r="T30" s="15">
        <f t="shared" si="52"/>
        <v>0.24463936963176711</v>
      </c>
      <c r="AH30" s="7"/>
      <c r="AI30" s="15">
        <f t="shared" si="47"/>
        <v>0.22001098288287904</v>
      </c>
      <c r="AJ30" s="15">
        <f t="shared" si="47"/>
        <v>0.22902703007687025</v>
      </c>
      <c r="AK30" s="15">
        <f t="shared" si="47"/>
        <v>0.24366154301173482</v>
      </c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</row>
    <row r="31" spans="2:50" s="4" customFormat="1" x14ac:dyDescent="0.2">
      <c r="B31" s="10" t="s">
        <v>190</v>
      </c>
      <c r="C31" s="19"/>
      <c r="D31" s="19"/>
      <c r="E31" s="19"/>
      <c r="F31" s="19"/>
      <c r="G31" s="19"/>
      <c r="H31" s="19"/>
      <c r="I31" s="19"/>
      <c r="J31" s="19"/>
      <c r="K31" s="15">
        <f t="shared" ref="K31" si="53">+K22/K$51</f>
        <v>7.2223558105183605E-2</v>
      </c>
      <c r="L31" s="15">
        <f t="shared" ref="L31:M31" si="54">+L22/L$51</f>
        <v>7.1894023128825243E-2</v>
      </c>
      <c r="M31" s="15">
        <f t="shared" si="54"/>
        <v>7.0046655809159641E-2</v>
      </c>
      <c r="N31" s="19"/>
      <c r="O31" s="15">
        <f t="shared" ref="O31:Q31" si="55">+O22/O$51</f>
        <v>7.4663546852180462E-2</v>
      </c>
      <c r="P31" s="15">
        <f t="shared" si="55"/>
        <v>7.3625384163175406E-2</v>
      </c>
      <c r="Q31" s="15">
        <f t="shared" si="55"/>
        <v>7.1077626272862598E-2</v>
      </c>
      <c r="R31" s="15">
        <f t="shared" ref="R31" si="56">+R22/R$51</f>
        <v>0.1019822194503445</v>
      </c>
      <c r="S31" s="15">
        <f t="shared" ref="S31:T31" si="57">+S22/S$51</f>
        <v>7.4663546852180462E-2</v>
      </c>
      <c r="T31" s="15">
        <f t="shared" si="57"/>
        <v>8.6303952641288845E-2</v>
      </c>
      <c r="AH31" s="7"/>
      <c r="AI31" s="15">
        <f t="shared" si="47"/>
        <v>6.632299040913367E-2</v>
      </c>
      <c r="AJ31" s="15">
        <f t="shared" si="47"/>
        <v>7.3424607428650368E-2</v>
      </c>
      <c r="AK31" s="15">
        <f t="shared" si="47"/>
        <v>8.1606165783727827E-2</v>
      </c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</row>
    <row r="32" spans="2:50" s="4" customFormat="1" x14ac:dyDescent="0.2">
      <c r="B32" s="10" t="s">
        <v>191</v>
      </c>
      <c r="C32" s="19"/>
      <c r="D32" s="19"/>
      <c r="E32" s="19"/>
      <c r="F32" s="19"/>
      <c r="G32" s="19"/>
      <c r="H32" s="19"/>
      <c r="I32" s="19"/>
      <c r="J32" s="19"/>
      <c r="K32" s="15">
        <f t="shared" ref="K32" si="58">+K23/K$51</f>
        <v>6.7646250558208235E-2</v>
      </c>
      <c r="L32" s="15">
        <f t="shared" ref="L32:M32" si="59">+L23/L$51</f>
        <v>7.2232212085718533E-2</v>
      </c>
      <c r="M32" s="15">
        <f t="shared" si="59"/>
        <v>7.5121360178126054E-2</v>
      </c>
      <c r="N32" s="19"/>
      <c r="O32" s="15">
        <f t="shared" ref="O32:Q32" si="60">+O23/O$51</f>
        <v>7.5825625402408961E-2</v>
      </c>
      <c r="P32" s="15">
        <f t="shared" si="60"/>
        <v>7.9496662524277631E-2</v>
      </c>
      <c r="Q32" s="15">
        <f t="shared" si="60"/>
        <v>8.4286742659854766E-2</v>
      </c>
      <c r="R32" s="15">
        <f t="shared" ref="R32" si="61">+R23/R$51</f>
        <v>4.594583463265102E-2</v>
      </c>
      <c r="S32" s="15">
        <f t="shared" ref="S32:T32" si="62">+S23/S$51</f>
        <v>7.5825625402408961E-2</v>
      </c>
      <c r="T32" s="15">
        <f t="shared" si="62"/>
        <v>7.3430330389182105E-2</v>
      </c>
      <c r="AH32" s="7"/>
      <c r="AI32" s="15">
        <f t="shared" si="47"/>
        <v>6.7617097539067986E-2</v>
      </c>
      <c r="AJ32" s="15">
        <f t="shared" si="47"/>
        <v>6.8519775945897046E-2</v>
      </c>
      <c r="AK32" s="15">
        <f t="shared" si="47"/>
        <v>6.9954852684047081E-2</v>
      </c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</row>
    <row r="33" spans="2:50" s="4" customFormat="1" x14ac:dyDescent="0.2">
      <c r="B33" s="10" t="s">
        <v>102</v>
      </c>
      <c r="C33" s="19"/>
      <c r="D33" s="19"/>
      <c r="E33" s="19"/>
      <c r="F33" s="19"/>
      <c r="G33" s="19"/>
      <c r="H33" s="19"/>
      <c r="I33" s="19"/>
      <c r="J33" s="19"/>
      <c r="K33" s="15">
        <f t="shared" ref="K33" si="63">+K24/K$51</f>
        <v>0.15836797087011784</v>
      </c>
      <c r="L33" s="15">
        <f t="shared" ref="L33:M33" si="64">+L24/L$51</f>
        <v>0.16281736146625533</v>
      </c>
      <c r="M33" s="15">
        <f t="shared" si="64"/>
        <v>0.16158802841834446</v>
      </c>
      <c r="N33" s="19"/>
      <c r="O33" s="15">
        <f t="shared" ref="O33:Q33" si="65">+O24/O$51</f>
        <v>0.16766909028094035</v>
      </c>
      <c r="P33" s="15">
        <f t="shared" si="65"/>
        <v>0.16475298214803955</v>
      </c>
      <c r="Q33" s="15">
        <f t="shared" si="65"/>
        <v>0.16115820887177373</v>
      </c>
      <c r="R33" s="15">
        <f t="shared" ref="R33" si="66">+R24/R$51</f>
        <v>0.14240914092056414</v>
      </c>
      <c r="S33" s="15">
        <f t="shared" ref="S33:T33" si="67">+S24/S$51</f>
        <v>0.16766909028094035</v>
      </c>
      <c r="T33" s="15">
        <f t="shared" si="67"/>
        <v>0.1776019246234212</v>
      </c>
      <c r="AH33" s="7"/>
      <c r="AI33" s="38">
        <f t="shared" si="47"/>
        <v>0.13239482186870771</v>
      </c>
      <c r="AJ33" s="38">
        <f t="shared" si="47"/>
        <v>0.15583394781539467</v>
      </c>
      <c r="AK33" s="38">
        <f t="shared" si="47"/>
        <v>0.15789730072983812</v>
      </c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</row>
    <row r="34" spans="2:50" s="4" customFormat="1" x14ac:dyDescent="0.2">
      <c r="B34" s="10" t="s">
        <v>192</v>
      </c>
      <c r="C34" s="19"/>
      <c r="D34" s="19"/>
      <c r="E34" s="19"/>
      <c r="F34" s="19"/>
      <c r="G34" s="19"/>
      <c r="H34" s="19"/>
      <c r="I34" s="19"/>
      <c r="J34" s="19"/>
      <c r="K34" s="15">
        <f t="shared" ref="K34" si="68">+K25/K$51</f>
        <v>5.6765483837724574E-3</v>
      </c>
      <c r="L34" s="15">
        <f t="shared" ref="L34:M34" si="69">+L25/L$51</f>
        <v>8.8259069238002547E-3</v>
      </c>
      <c r="M34" s="15">
        <f t="shared" si="69"/>
        <v>9.9369792527202773E-3</v>
      </c>
      <c r="N34" s="19"/>
      <c r="O34" s="15">
        <f t="shared" ref="O34:Q34" si="70">+O25/O$51</f>
        <v>8.063882912734183E-3</v>
      </c>
      <c r="P34" s="15">
        <f t="shared" si="70"/>
        <v>1.0001265040965003E-2</v>
      </c>
      <c r="Q34" s="15">
        <f t="shared" si="70"/>
        <v>8.5684532753716371E-3</v>
      </c>
      <c r="R34" s="15">
        <f t="shared" ref="R34" si="71">+R25/R$51</f>
        <v>8.0077194179841264E-3</v>
      </c>
      <c r="S34" s="15">
        <f t="shared" ref="S34:T34" si="72">+S25/S$51</f>
        <v>8.063882912734183E-3</v>
      </c>
      <c r="T34" s="15">
        <f t="shared" si="72"/>
        <v>8.5148367651729662E-3</v>
      </c>
      <c r="AH34" s="7"/>
      <c r="AI34" s="15">
        <f t="shared" si="47"/>
        <v>4.6315413071333399E-3</v>
      </c>
      <c r="AJ34" s="15">
        <f t="shared" si="47"/>
        <v>8.2629192016078351E-3</v>
      </c>
      <c r="AK34" s="15">
        <f t="shared" si="47"/>
        <v>8.6258340074984556E-3</v>
      </c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</row>
    <row r="35" spans="2:50" s="11" customFormat="1" x14ac:dyDescent="0.2">
      <c r="B35" s="13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AH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2:50" s="11" customFormat="1" x14ac:dyDescent="0.2">
      <c r="B36" s="13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AH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50" s="4" customFormat="1" x14ac:dyDescent="0.2">
      <c r="B37" s="10" t="s">
        <v>104</v>
      </c>
      <c r="C37" s="17">
        <f t="shared" ref="C37:M37" si="73">+C12/C3</f>
        <v>2.8443211134476554E-2</v>
      </c>
      <c r="D37" s="17">
        <f t="shared" si="73"/>
        <v>3.8621112634389207E-2</v>
      </c>
      <c r="E37" s="17">
        <f t="shared" si="73"/>
        <v>3.7929698684587274E-2</v>
      </c>
      <c r="F37" s="17">
        <f t="shared" si="73"/>
        <v>3.9099620417805854E-2</v>
      </c>
      <c r="G37" s="17">
        <f t="shared" si="73"/>
        <v>5.3599726563713763E-2</v>
      </c>
      <c r="H37" s="17">
        <f t="shared" si="73"/>
        <v>4.6587712805329383E-2</v>
      </c>
      <c r="I37" s="17">
        <f t="shared" si="73"/>
        <v>1.3423433043000747E-2</v>
      </c>
      <c r="J37" s="17">
        <f t="shared" si="73"/>
        <v>-2.5012141816415736E-3</v>
      </c>
      <c r="K37" s="17">
        <f t="shared" si="73"/>
        <v>-2.2644561261625555E-2</v>
      </c>
      <c r="L37" s="17">
        <f t="shared" si="73"/>
        <v>-8.4240225715437322E-3</v>
      </c>
      <c r="M37" s="17">
        <f t="shared" si="73"/>
        <v>-5.2255748766536023E-3</v>
      </c>
      <c r="N37" s="17">
        <f t="shared" ref="N37" si="74">+N12/N3</f>
        <v>-2.5706114842068057E-3</v>
      </c>
      <c r="O37" s="17">
        <f t="shared" ref="O37:R37" si="75">+O12/O3</f>
        <v>1.1680389172877564E-2</v>
      </c>
      <c r="P37" s="17">
        <f t="shared" si="75"/>
        <v>3.8899522690378698E-2</v>
      </c>
      <c r="Q37" s="17">
        <f t="shared" si="75"/>
        <v>4.9006110118675117E-2</v>
      </c>
      <c r="R37" s="17">
        <f t="shared" si="75"/>
        <v>6.1233580377959326E-2</v>
      </c>
      <c r="S37" s="17">
        <f t="shared" ref="S37:T37" si="76">+S12/S3</f>
        <v>0</v>
      </c>
      <c r="T37" s="17">
        <f t="shared" si="76"/>
        <v>0</v>
      </c>
      <c r="AE37" s="11"/>
      <c r="AF37" s="17"/>
      <c r="AG37" s="17"/>
      <c r="AH37" s="17">
        <f t="shared" ref="AH37:AI40" si="77">+AH12/AH3</f>
        <v>3.6613030192735797E-2</v>
      </c>
      <c r="AI37" s="17">
        <f t="shared" si="77"/>
        <v>2.5983354357777676E-2</v>
      </c>
      <c r="AJ37" s="17">
        <f t="shared" ref="AJ37:AK37" si="78">+AJ12/AJ3</f>
        <v>-9.0129162973280989E-3</v>
      </c>
      <c r="AK37" s="17">
        <f t="shared" si="78"/>
        <v>4.2165020916707291E-2</v>
      </c>
      <c r="AL37" s="17"/>
      <c r="AM37" s="17"/>
      <c r="AN37" s="17"/>
      <c r="AO37" s="17"/>
      <c r="AP37" s="17"/>
      <c r="AQ37" s="17"/>
      <c r="AR37" s="17"/>
      <c r="AS37" s="17"/>
      <c r="AT37" s="7"/>
      <c r="AU37" s="7"/>
      <c r="AV37" s="7"/>
      <c r="AW37" s="7"/>
      <c r="AX37" s="7"/>
    </row>
    <row r="38" spans="2:50" s="4" customFormat="1" x14ac:dyDescent="0.2">
      <c r="B38" s="10" t="s">
        <v>106</v>
      </c>
      <c r="C38" s="17">
        <f t="shared" ref="C38:M38" si="79">+C13/C4</f>
        <v>-2.0831152517533758E-2</v>
      </c>
      <c r="D38" s="17">
        <f t="shared" si="79"/>
        <v>1.5219692959237693E-2</v>
      </c>
      <c r="E38" s="17">
        <f t="shared" si="79"/>
        <v>1.6169401295141234E-2</v>
      </c>
      <c r="F38" s="17">
        <f t="shared" si="79"/>
        <v>9.6885259027944589E-3</v>
      </c>
      <c r="G38" s="17">
        <f t="shared" si="79"/>
        <v>4.084961988971908E-2</v>
      </c>
      <c r="H38" s="17">
        <f t="shared" si="79"/>
        <v>1.178347059015006E-2</v>
      </c>
      <c r="I38" s="17">
        <f t="shared" si="79"/>
        <v>-3.1257505575570423E-2</v>
      </c>
      <c r="J38" s="17">
        <f t="shared" si="79"/>
        <v>-4.3652071259927025E-2</v>
      </c>
      <c r="K38" s="17">
        <f t="shared" si="79"/>
        <v>-4.4542577975590247E-2</v>
      </c>
      <c r="L38" s="17">
        <f t="shared" si="79"/>
        <v>-6.5435063735451687E-2</v>
      </c>
      <c r="M38" s="17">
        <f t="shared" si="79"/>
        <v>-8.8961038961038963E-2</v>
      </c>
      <c r="N38" s="17">
        <f t="shared" ref="N38" si="80">+N13/N4</f>
        <v>-6.4649043902155937E-2</v>
      </c>
      <c r="O38" s="17">
        <f t="shared" ref="O38:R38" si="81">+O13/O4</f>
        <v>-4.2818390962469526E-2</v>
      </c>
      <c r="P38" s="17">
        <f t="shared" si="81"/>
        <v>-3.0137724349260868E-2</v>
      </c>
      <c r="Q38" s="17">
        <f t="shared" si="81"/>
        <v>-2.9560942216137163E-3</v>
      </c>
      <c r="R38" s="17">
        <f t="shared" si="81"/>
        <v>-1.0411748627090425E-2</v>
      </c>
      <c r="S38" s="17">
        <f t="shared" ref="S38:T38" si="82">+S13/S4</f>
        <v>0</v>
      </c>
      <c r="T38" s="17">
        <f t="shared" si="82"/>
        <v>0</v>
      </c>
      <c r="AF38" s="17"/>
      <c r="AG38" s="17"/>
      <c r="AH38" s="17">
        <f t="shared" si="77"/>
        <v>6.8670267785312031E-3</v>
      </c>
      <c r="AI38" s="17">
        <f t="shared" si="77"/>
        <v>7.2307824739605746E-3</v>
      </c>
      <c r="AJ38" s="17">
        <f t="shared" ref="AJ38:AK38" si="83">+AJ13/AJ4</f>
        <v>-6.5640173887989692E-2</v>
      </c>
      <c r="AK38" s="17">
        <f t="shared" si="83"/>
        <v>-2.0243902439024391E-2</v>
      </c>
      <c r="AL38" s="17"/>
      <c r="AM38" s="17"/>
      <c r="AN38" s="17"/>
      <c r="AO38" s="17"/>
      <c r="AP38" s="17"/>
      <c r="AQ38" s="17"/>
      <c r="AR38" s="17"/>
      <c r="AS38" s="17"/>
      <c r="AT38" s="7"/>
      <c r="AU38" s="7"/>
      <c r="AV38" s="7"/>
      <c r="AW38" s="7"/>
      <c r="AX38" s="7"/>
    </row>
    <row r="39" spans="2:50" s="15" customFormat="1" x14ac:dyDescent="0.2">
      <c r="B39" s="14" t="s">
        <v>105</v>
      </c>
      <c r="C39" s="22">
        <f t="shared" ref="C39:M39" si="84">+C14/C5</f>
        <v>0.30091006947842253</v>
      </c>
      <c r="D39" s="22">
        <f t="shared" si="84"/>
        <v>0.31060325684678014</v>
      </c>
      <c r="E39" s="22">
        <f t="shared" si="84"/>
        <v>0.30471511076631325</v>
      </c>
      <c r="F39" s="22">
        <f t="shared" si="84"/>
        <v>0.27970491288651705</v>
      </c>
      <c r="G39" s="22">
        <f t="shared" si="84"/>
        <v>0.30830185884618233</v>
      </c>
      <c r="H39" s="22">
        <f t="shared" si="84"/>
        <v>0.28313863191302585</v>
      </c>
      <c r="I39" s="22">
        <f t="shared" si="84"/>
        <v>0.3031036623215394</v>
      </c>
      <c r="J39" s="22">
        <f t="shared" si="84"/>
        <v>0.29769403824521934</v>
      </c>
      <c r="K39" s="22">
        <f t="shared" si="84"/>
        <v>0.35345154818068436</v>
      </c>
      <c r="L39" s="22">
        <f t="shared" si="84"/>
        <v>0.28952834490095747</v>
      </c>
      <c r="M39" s="22">
        <f t="shared" si="84"/>
        <v>0.26307332749050538</v>
      </c>
      <c r="N39" s="22">
        <f t="shared" ref="N39" si="85">+N14/N5</f>
        <v>0.24347460005613247</v>
      </c>
      <c r="O39" s="22">
        <f t="shared" ref="O39:R39" si="86">+O14/O5</f>
        <v>0.23990821391776718</v>
      </c>
      <c r="P39" s="22">
        <f t="shared" si="86"/>
        <v>0.2423215898825655</v>
      </c>
      <c r="Q39" s="22">
        <f t="shared" si="86"/>
        <v>0.30252829697731903</v>
      </c>
      <c r="R39" s="22">
        <f t="shared" si="86"/>
        <v>0.29610808130887456</v>
      </c>
      <c r="S39" s="22">
        <f t="shared" ref="S39:T39" si="87">+S14/S5</f>
        <v>0</v>
      </c>
      <c r="T39" s="22">
        <f t="shared" si="87"/>
        <v>0</v>
      </c>
      <c r="AF39" s="17"/>
      <c r="AG39" s="17"/>
      <c r="AH39" s="17">
        <f t="shared" si="77"/>
        <v>0.29823672029975756</v>
      </c>
      <c r="AI39" s="17">
        <f t="shared" si="77"/>
        <v>0.29793254236198191</v>
      </c>
      <c r="AJ39" s="17">
        <f t="shared" ref="AJ39:AK39" si="88">+AJ14/AJ5</f>
        <v>0.28517029564522572</v>
      </c>
      <c r="AK39" s="17">
        <f t="shared" si="88"/>
        <v>0.27139504390845887</v>
      </c>
      <c r="AL39" s="17"/>
      <c r="AM39" s="17"/>
      <c r="AN39" s="17"/>
      <c r="AO39" s="17"/>
      <c r="AP39" s="17"/>
      <c r="AQ39" s="17"/>
      <c r="AR39" s="17"/>
      <c r="AS39" s="17"/>
    </row>
    <row r="40" spans="2:50" s="4" customFormat="1" x14ac:dyDescent="0.2">
      <c r="B40" s="10" t="s">
        <v>107</v>
      </c>
      <c r="C40" s="17">
        <f t="shared" ref="C40:M40" si="89">+C15/C6</f>
        <v>5.2868048560674334E-2</v>
      </c>
      <c r="D40" s="17">
        <f t="shared" si="89"/>
        <v>6.5716663667446468E-2</v>
      </c>
      <c r="E40" s="17">
        <f t="shared" si="89"/>
        <v>6.4423526964480726E-2</v>
      </c>
      <c r="F40" s="17">
        <f t="shared" si="89"/>
        <v>5.4740950181195493E-2</v>
      </c>
      <c r="G40" s="17">
        <f t="shared" si="89"/>
        <v>8.1691516614755155E-2</v>
      </c>
      <c r="H40" s="17">
        <f t="shared" si="89"/>
        <v>6.8111071807569867E-2</v>
      </c>
      <c r="I40" s="17">
        <f t="shared" si="89"/>
        <v>4.3785871566256365E-2</v>
      </c>
      <c r="J40" s="17">
        <f t="shared" si="89"/>
        <v>2.5179751404535267E-2</v>
      </c>
      <c r="K40" s="17">
        <f t="shared" si="89"/>
        <v>3.1508708048504003E-2</v>
      </c>
      <c r="L40" s="17">
        <f t="shared" si="89"/>
        <v>2.7360311463780786E-2</v>
      </c>
      <c r="M40" s="17">
        <f t="shared" si="89"/>
        <v>1.986609074672898E-2</v>
      </c>
      <c r="N40" s="17">
        <f t="shared" ref="N40" si="90">+N15/N6</f>
        <v>1.8344012224873328E-2</v>
      </c>
      <c r="O40" s="17">
        <f t="shared" ref="O40:R40" si="91">+O15/O6</f>
        <v>3.7484885126964934E-2</v>
      </c>
      <c r="P40" s="17">
        <f t="shared" si="91"/>
        <v>5.7157527365812637E-2</v>
      </c>
      <c r="Q40" s="17">
        <f t="shared" si="91"/>
        <v>7.8192377850618167E-2</v>
      </c>
      <c r="R40" s="17">
        <f t="shared" si="91"/>
        <v>7.771782938438819E-2</v>
      </c>
      <c r="S40" s="17">
        <f t="shared" ref="S40:T40" si="92">+S15/S6</f>
        <v>0</v>
      </c>
      <c r="T40" s="17">
        <f t="shared" si="92"/>
        <v>0</v>
      </c>
      <c r="AF40" s="17"/>
      <c r="AG40" s="17"/>
      <c r="AH40" s="17">
        <f t="shared" si="77"/>
        <v>3.5048592979402382E-2</v>
      </c>
      <c r="AI40" s="17">
        <f t="shared" si="77"/>
        <v>5.6887502075254032E-2</v>
      </c>
      <c r="AJ40" s="17">
        <f t="shared" ref="AJ40:AK40" si="93">+AJ15/AJ6</f>
        <v>2.3829581912242232E-2</v>
      </c>
      <c r="AK40" s="17">
        <f t="shared" si="93"/>
        <v>6.4114407996033296E-2</v>
      </c>
      <c r="AL40" s="17"/>
      <c r="AM40" s="17"/>
      <c r="AN40" s="17"/>
      <c r="AO40" s="17"/>
      <c r="AP40" s="17"/>
      <c r="AQ40" s="17"/>
      <c r="AR40" s="17"/>
      <c r="AS40" s="17"/>
      <c r="AT40" s="7"/>
      <c r="AU40" s="7"/>
      <c r="AV40" s="7"/>
      <c r="AW40" s="7"/>
      <c r="AX40" s="7"/>
    </row>
    <row r="41" spans="2:50" s="11" customFormat="1" x14ac:dyDescent="0.2">
      <c r="B41" s="13"/>
      <c r="AH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2:50" s="11" customFormat="1" x14ac:dyDescent="0.2">
      <c r="B42" s="10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2:50" s="21" customFormat="1" x14ac:dyDescent="0.2">
      <c r="B43" s="14" t="s">
        <v>111</v>
      </c>
      <c r="G43" s="21">
        <f t="shared" ref="G43:T46" si="94">IFERROR((G3/C3)-1,0)</f>
        <v>0.39540832917813851</v>
      </c>
      <c r="H43" s="21">
        <f t="shared" si="94"/>
        <v>0.21852225990331187</v>
      </c>
      <c r="I43" s="21">
        <f t="shared" si="94"/>
        <v>0.10415508732925738</v>
      </c>
      <c r="J43" s="21">
        <f t="shared" si="94"/>
        <v>9.3090542298197576E-2</v>
      </c>
      <c r="K43" s="21">
        <f t="shared" si="94"/>
        <v>7.5785352515303162E-2</v>
      </c>
      <c r="L43" s="21">
        <f t="shared" si="94"/>
        <v>0.10185048112509243</v>
      </c>
      <c r="M43" s="21">
        <f t="shared" si="94"/>
        <v>0.20266333114694079</v>
      </c>
      <c r="N43" s="21">
        <f t="shared" si="94"/>
        <v>0.13359640602234091</v>
      </c>
      <c r="O43" s="21">
        <f t="shared" si="94"/>
        <v>0.11029114435907794</v>
      </c>
      <c r="P43" s="21">
        <f t="shared" si="94"/>
        <v>0.10904205293564417</v>
      </c>
      <c r="Q43" s="21">
        <f t="shared" si="94"/>
        <v>0.11470897860304663</v>
      </c>
      <c r="R43" s="21">
        <f t="shared" si="94"/>
        <v>0.13014791726915376</v>
      </c>
      <c r="S43" s="21">
        <f t="shared" si="94"/>
        <v>0.10000000000000009</v>
      </c>
      <c r="T43" s="21">
        <f t="shared" si="94"/>
        <v>0.10000000000000009</v>
      </c>
      <c r="U43" s="25"/>
      <c r="V43" s="25"/>
      <c r="W43" s="25"/>
      <c r="X43" s="25"/>
      <c r="Y43" s="25"/>
      <c r="Z43" s="25"/>
      <c r="AI43" s="21">
        <f t="shared" ref="AI43:AU43" si="95">+AI3/AH3-1</f>
        <v>0.1843178913332375</v>
      </c>
      <c r="AJ43" s="21">
        <f t="shared" si="95"/>
        <v>0.12881611532592663</v>
      </c>
      <c r="AK43" s="21">
        <f t="shared" si="95"/>
        <v>0.11696846903887548</v>
      </c>
      <c r="AL43" s="21">
        <f t="shared" si="95"/>
        <v>0.10000000000000009</v>
      </c>
      <c r="AM43" s="21">
        <f t="shared" si="95"/>
        <v>0.10000000000000009</v>
      </c>
      <c r="AN43" s="21">
        <f t="shared" si="95"/>
        <v>0.10000000000000009</v>
      </c>
      <c r="AO43" s="21">
        <f t="shared" si="95"/>
        <v>0.10000000000000009</v>
      </c>
      <c r="AP43" s="21">
        <f t="shared" si="95"/>
        <v>0.10000000000000009</v>
      </c>
      <c r="AQ43" s="21">
        <f t="shared" si="95"/>
        <v>0.10000000000000009</v>
      </c>
      <c r="AR43" s="21">
        <f t="shared" si="95"/>
        <v>0.10000000000000009</v>
      </c>
      <c r="AS43" s="21">
        <f t="shared" si="95"/>
        <v>0.10000000000000009</v>
      </c>
      <c r="AT43" s="21">
        <f t="shared" si="95"/>
        <v>0.10000000000000009</v>
      </c>
      <c r="AU43" s="21">
        <f t="shared" si="95"/>
        <v>0.10000000000000009</v>
      </c>
    </row>
    <row r="44" spans="2:50" s="11" customFormat="1" x14ac:dyDescent="0.2">
      <c r="B44" s="10" t="s">
        <v>112</v>
      </c>
      <c r="G44" s="15">
        <f t="shared" si="94"/>
        <v>0.60415576258766879</v>
      </c>
      <c r="H44" s="15">
        <f t="shared" si="94"/>
        <v>0.35525851420504684</v>
      </c>
      <c r="I44" s="15">
        <f t="shared" si="94"/>
        <v>0.15788010011521192</v>
      </c>
      <c r="J44" s="15">
        <f t="shared" si="94"/>
        <v>-5.2045800304267864E-3</v>
      </c>
      <c r="K44" s="15">
        <f t="shared" si="94"/>
        <v>-6.1665959737674969E-2</v>
      </c>
      <c r="L44" s="15">
        <f t="shared" si="94"/>
        <v>-0.11900654275576972</v>
      </c>
      <c r="M44" s="15">
        <f t="shared" si="94"/>
        <v>-4.8893463715903196E-2</v>
      </c>
      <c r="N44" s="15">
        <f t="shared" si="94"/>
        <v>-7.5364885168491047E-2</v>
      </c>
      <c r="O44" s="15">
        <f t="shared" si="94"/>
        <v>1.2656907402899931E-2</v>
      </c>
      <c r="P44" s="15">
        <f t="shared" si="94"/>
        <v>9.7247367448734634E-2</v>
      </c>
      <c r="Q44" s="15">
        <f t="shared" si="94"/>
        <v>0.15934343434343434</v>
      </c>
      <c r="R44" s="15">
        <f t="shared" si="94"/>
        <v>0.16771610132605974</v>
      </c>
      <c r="S44" s="15">
        <f t="shared" si="94"/>
        <v>1.2656907402899931E-2</v>
      </c>
      <c r="T44" s="15">
        <f t="shared" si="94"/>
        <v>9.7247367448734634E-2</v>
      </c>
      <c r="U44" s="25"/>
      <c r="V44" s="25"/>
      <c r="W44" s="25"/>
      <c r="X44" s="25"/>
      <c r="Y44" s="25"/>
      <c r="Z44" s="25"/>
      <c r="AF44" s="12"/>
      <c r="AG44" s="12"/>
      <c r="AH44" s="12"/>
      <c r="AI44" s="21">
        <f t="shared" ref="AI44" si="96">+AI4/AH4-1</f>
        <v>0.22387273493468185</v>
      </c>
      <c r="AJ44" s="21">
        <f t="shared" ref="AJ44:AU44" si="97">+AJ4/AI4-1</f>
        <v>-7.6533606704907386E-2</v>
      </c>
      <c r="AK44" s="21">
        <f t="shared" si="97"/>
        <v>0.11179845263416577</v>
      </c>
      <c r="AL44" s="21">
        <f t="shared" si="97"/>
        <v>0.11529558841904963</v>
      </c>
      <c r="AM44" s="21">
        <f t="shared" si="97"/>
        <v>9.000000000000008E-2</v>
      </c>
      <c r="AN44" s="21">
        <f t="shared" si="97"/>
        <v>9.000000000000008E-2</v>
      </c>
      <c r="AO44" s="21">
        <f t="shared" si="97"/>
        <v>9.000000000000008E-2</v>
      </c>
      <c r="AP44" s="21">
        <f t="shared" si="97"/>
        <v>9.000000000000008E-2</v>
      </c>
      <c r="AQ44" s="21">
        <f t="shared" si="97"/>
        <v>9.000000000000008E-2</v>
      </c>
      <c r="AR44" s="21">
        <f t="shared" si="97"/>
        <v>9.000000000000008E-2</v>
      </c>
      <c r="AS44" s="21">
        <f t="shared" si="97"/>
        <v>9.000000000000008E-2</v>
      </c>
      <c r="AT44" s="21">
        <f t="shared" si="97"/>
        <v>9.000000000000008E-2</v>
      </c>
      <c r="AU44" s="21">
        <f t="shared" si="97"/>
        <v>9.000000000000008E-2</v>
      </c>
      <c r="AV44" s="12"/>
      <c r="AW44" s="12"/>
      <c r="AX44" s="12"/>
    </row>
    <row r="45" spans="2:50" s="11" customFormat="1" x14ac:dyDescent="0.2">
      <c r="B45" s="13" t="s">
        <v>113</v>
      </c>
      <c r="G45" s="21">
        <f t="shared" si="94"/>
        <v>0.32136216850963883</v>
      </c>
      <c r="H45" s="21">
        <f t="shared" si="94"/>
        <v>0.37018874907475952</v>
      </c>
      <c r="I45" s="21">
        <f t="shared" si="94"/>
        <v>0.3886733902249806</v>
      </c>
      <c r="J45" s="21">
        <f t="shared" si="94"/>
        <v>0.39538533982106427</v>
      </c>
      <c r="K45" s="21">
        <f t="shared" si="94"/>
        <v>0.36569651188624741</v>
      </c>
      <c r="L45" s="21">
        <f t="shared" si="94"/>
        <v>0.33290566547369838</v>
      </c>
      <c r="M45" s="21">
        <f t="shared" si="94"/>
        <v>0.27486033519553077</v>
      </c>
      <c r="N45" s="21">
        <f t="shared" si="94"/>
        <v>0.20236220472440936</v>
      </c>
      <c r="O45" s="21">
        <f t="shared" si="94"/>
        <v>0.157963234097934</v>
      </c>
      <c r="P45" s="21">
        <f t="shared" si="94"/>
        <v>0.12163736764780375</v>
      </c>
      <c r="Q45" s="21">
        <f t="shared" si="94"/>
        <v>0.1227480767358069</v>
      </c>
      <c r="R45" s="21">
        <f t="shared" si="94"/>
        <v>0.13219197305641317</v>
      </c>
      <c r="S45" s="21">
        <f t="shared" si="94"/>
        <v>0.157963234097934</v>
      </c>
      <c r="T45" s="21">
        <f t="shared" si="94"/>
        <v>0.12163736764780375</v>
      </c>
      <c r="U45" s="25"/>
      <c r="V45" s="25"/>
      <c r="W45" s="25"/>
      <c r="X45" s="25"/>
      <c r="Y45" s="25"/>
      <c r="Z45" s="25"/>
      <c r="AF45" s="12"/>
      <c r="AG45" s="12"/>
      <c r="AH45" s="12"/>
      <c r="AI45" s="21">
        <f t="shared" ref="AI45" si="98">+AI5/AH5-1</f>
        <v>0.37099404893101173</v>
      </c>
      <c r="AJ45" s="21">
        <f t="shared" ref="AJ45:AU45" si="99">+AJ5/AI5-1</f>
        <v>0.28767563743931057</v>
      </c>
      <c r="AK45" s="21">
        <f t="shared" si="99"/>
        <v>0.13310277666799841</v>
      </c>
      <c r="AL45" s="21">
        <f t="shared" si="99"/>
        <v>0.13328140681113365</v>
      </c>
      <c r="AM45" s="21">
        <f t="shared" si="99"/>
        <v>0.12999999999999989</v>
      </c>
      <c r="AN45" s="21">
        <f t="shared" si="99"/>
        <v>0.12999999999999989</v>
      </c>
      <c r="AO45" s="21">
        <f t="shared" si="99"/>
        <v>0.12999999999999989</v>
      </c>
      <c r="AP45" s="21">
        <f t="shared" si="99"/>
        <v>0.12999999999999989</v>
      </c>
      <c r="AQ45" s="21">
        <f t="shared" si="99"/>
        <v>0.12999999999999989</v>
      </c>
      <c r="AR45" s="21">
        <f t="shared" si="99"/>
        <v>0.12999999999999989</v>
      </c>
      <c r="AS45" s="21">
        <f t="shared" si="99"/>
        <v>0.12999999999999989</v>
      </c>
      <c r="AT45" s="21">
        <f t="shared" si="99"/>
        <v>0.12999999999999989</v>
      </c>
      <c r="AU45" s="21">
        <f t="shared" si="99"/>
        <v>0.12999999999999989</v>
      </c>
      <c r="AV45" s="12"/>
      <c r="AW45" s="12"/>
      <c r="AX45" s="12"/>
    </row>
    <row r="46" spans="2:50" s="11" customFormat="1" x14ac:dyDescent="0.2">
      <c r="B46" s="10" t="s">
        <v>114</v>
      </c>
      <c r="G46" s="15">
        <f t="shared" si="94"/>
        <v>0.43823888034777081</v>
      </c>
      <c r="H46" s="15">
        <f t="shared" si="94"/>
        <v>0.27181932697498645</v>
      </c>
      <c r="I46" s="15">
        <f t="shared" si="94"/>
        <v>0.15255083467679031</v>
      </c>
      <c r="J46" s="15">
        <f t="shared" si="94"/>
        <v>9.4436701047349692E-2</v>
      </c>
      <c r="K46" s="15">
        <f t="shared" si="94"/>
        <v>7.3038574245747334E-2</v>
      </c>
      <c r="L46" s="15">
        <f t="shared" si="94"/>
        <v>7.2108241952600016E-2</v>
      </c>
      <c r="M46" s="15">
        <f t="shared" si="94"/>
        <v>0.14699671515720314</v>
      </c>
      <c r="N46" s="15">
        <f t="shared" si="94"/>
        <v>8.5814921549791867E-2</v>
      </c>
      <c r="O46" s="15">
        <f t="shared" si="94"/>
        <v>9.3727456975026602E-2</v>
      </c>
      <c r="P46" s="15">
        <f t="shared" si="94"/>
        <v>0.10845967302901816</v>
      </c>
      <c r="Q46" s="15">
        <f t="shared" si="94"/>
        <v>0.125742519728405</v>
      </c>
      <c r="R46" s="15">
        <f t="shared" si="94"/>
        <v>0.13911825420230017</v>
      </c>
      <c r="S46" s="15">
        <f t="shared" si="94"/>
        <v>8.9745866103597249E-2</v>
      </c>
      <c r="T46" s="15">
        <f t="shared" si="94"/>
        <v>0.10295652270635003</v>
      </c>
      <c r="U46" s="25"/>
      <c r="V46" s="25"/>
      <c r="W46" s="25"/>
      <c r="X46" s="25"/>
      <c r="Y46" s="25"/>
      <c r="Z46" s="25"/>
      <c r="AF46" s="12"/>
      <c r="AG46" s="12"/>
      <c r="AH46" s="12"/>
      <c r="AI46" s="21">
        <f t="shared" ref="AI46" si="100">+AI6/AH6-1</f>
        <v>0.21695366571345676</v>
      </c>
      <c r="AJ46" s="21">
        <f t="shared" ref="AJ46:AU46" si="101">+AJ6/AI6-1</f>
        <v>9.399517263985091E-2</v>
      </c>
      <c r="AK46" s="21">
        <f t="shared" si="101"/>
        <v>0.1182957412988368</v>
      </c>
      <c r="AL46" s="21">
        <f t="shared" si="101"/>
        <v>0.10874640402678826</v>
      </c>
      <c r="AM46" s="21">
        <f t="shared" si="101"/>
        <v>0.10254566487144134</v>
      </c>
      <c r="AN46" s="21">
        <f t="shared" si="101"/>
        <v>0.10269235499288754</v>
      </c>
      <c r="AO46" s="21">
        <f t="shared" si="101"/>
        <v>0.10284137192378529</v>
      </c>
      <c r="AP46" s="21">
        <f t="shared" si="101"/>
        <v>0.10299272696815476</v>
      </c>
      <c r="AQ46" s="21">
        <f t="shared" si="101"/>
        <v>0.10314642985193712</v>
      </c>
      <c r="AR46" s="21">
        <f t="shared" si="101"/>
        <v>0.10330248865208502</v>
      </c>
      <c r="AS46" s="21">
        <f t="shared" si="101"/>
        <v>0.10346090972606881</v>
      </c>
      <c r="AT46" s="21">
        <f t="shared" si="101"/>
        <v>0.10362169764201368</v>
      </c>
      <c r="AU46" s="21">
        <f t="shared" si="101"/>
        <v>0.10378485510971247</v>
      </c>
      <c r="AV46" s="12"/>
      <c r="AW46" s="12"/>
      <c r="AX46" s="12"/>
    </row>
    <row r="47" spans="2:50" s="11" customFormat="1" x14ac:dyDescent="0.2">
      <c r="B47" s="10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2:50" s="4" customFormat="1" x14ac:dyDescent="0.2">
      <c r="B48" s="10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</row>
    <row r="49" spans="2:47" x14ac:dyDescent="0.2">
      <c r="B49" s="10" t="s">
        <v>20</v>
      </c>
      <c r="C49" s="2">
        <v>41841</v>
      </c>
      <c r="D49" s="2">
        <v>50244</v>
      </c>
      <c r="E49" s="2">
        <v>52774</v>
      </c>
      <c r="F49" s="2">
        <v>71056</v>
      </c>
      <c r="G49" s="2">
        <v>57491</v>
      </c>
      <c r="H49" s="2">
        <v>58004</v>
      </c>
      <c r="I49" s="2">
        <v>54876</v>
      </c>
      <c r="J49" s="2">
        <f t="shared" ref="J49:J68" si="102">+AI49-SUM(G49:I49)</f>
        <v>71416</v>
      </c>
      <c r="K49" s="2">
        <v>56455</v>
      </c>
      <c r="L49" s="2">
        <v>56575</v>
      </c>
      <c r="M49" s="2">
        <v>59340</v>
      </c>
      <c r="N49" s="2">
        <v>70531</v>
      </c>
      <c r="O49" s="2">
        <v>56981</v>
      </c>
      <c r="P49" s="2">
        <v>59032</v>
      </c>
      <c r="Q49" s="2">
        <v>63171</v>
      </c>
      <c r="R49" s="2">
        <v>76703</v>
      </c>
      <c r="S49" s="2">
        <v>56981</v>
      </c>
      <c r="T49" s="2">
        <v>61569</v>
      </c>
      <c r="AA49" s="2">
        <v>60903</v>
      </c>
      <c r="AB49" s="2">
        <v>70080</v>
      </c>
      <c r="AC49" s="2">
        <v>79268</v>
      </c>
      <c r="AD49" s="2">
        <v>94665</v>
      </c>
      <c r="AE49" s="2">
        <v>118573</v>
      </c>
      <c r="AF49" s="2">
        <v>141915</v>
      </c>
      <c r="AG49" s="2">
        <v>160408</v>
      </c>
      <c r="AH49" s="2">
        <v>215915</v>
      </c>
      <c r="AI49" s="2">
        <v>241787</v>
      </c>
      <c r="AJ49" s="2">
        <v>242901</v>
      </c>
      <c r="AK49" s="2">
        <v>255887</v>
      </c>
    </row>
    <row r="50" spans="2:47" x14ac:dyDescent="0.2">
      <c r="B50" s="10" t="s">
        <v>21</v>
      </c>
      <c r="C50" s="2">
        <v>33611</v>
      </c>
      <c r="D50" s="2">
        <v>38668</v>
      </c>
      <c r="E50" s="2">
        <v>43371</v>
      </c>
      <c r="F50" s="2">
        <v>54499</v>
      </c>
      <c r="G50" s="2">
        <v>51027</v>
      </c>
      <c r="H50" s="2">
        <v>55076</v>
      </c>
      <c r="I50" s="2">
        <v>55936</v>
      </c>
      <c r="J50" s="2">
        <f t="shared" si="102"/>
        <v>65996</v>
      </c>
      <c r="K50" s="2">
        <v>59989</v>
      </c>
      <c r="L50" s="2">
        <v>64659</v>
      </c>
      <c r="M50" s="2">
        <v>67761</v>
      </c>
      <c r="N50" s="2">
        <v>78673</v>
      </c>
      <c r="O50" s="2">
        <v>70377</v>
      </c>
      <c r="P50" s="2">
        <v>75351</v>
      </c>
      <c r="Q50" s="2">
        <v>79912</v>
      </c>
      <c r="R50" s="2">
        <v>93258</v>
      </c>
      <c r="S50" s="2">
        <v>70377</v>
      </c>
      <c r="T50" s="2">
        <v>86408</v>
      </c>
      <c r="AA50" s="2">
        <v>13549</v>
      </c>
      <c r="AB50" s="2">
        <v>18908</v>
      </c>
      <c r="AC50" s="2">
        <v>27738</v>
      </c>
      <c r="AD50" s="2">
        <v>41322</v>
      </c>
      <c r="AE50" s="2">
        <v>59293</v>
      </c>
      <c r="AF50" s="2">
        <v>90972</v>
      </c>
      <c r="AG50" s="2">
        <v>120114</v>
      </c>
      <c r="AH50" s="2">
        <v>170149</v>
      </c>
      <c r="AI50" s="2">
        <v>228035</v>
      </c>
      <c r="AJ50" s="2">
        <v>271082</v>
      </c>
      <c r="AK50" s="2">
        <v>318898</v>
      </c>
    </row>
    <row r="51" spans="2:47" s="5" customFormat="1" x14ac:dyDescent="0.2">
      <c r="B51" s="13" t="s">
        <v>19</v>
      </c>
      <c r="C51" s="5">
        <f t="shared" ref="C51:I51" si="103">+SUM(C49:C50)</f>
        <v>75452</v>
      </c>
      <c r="D51" s="5">
        <f t="shared" si="103"/>
        <v>88912</v>
      </c>
      <c r="E51" s="5">
        <f t="shared" si="103"/>
        <v>96145</v>
      </c>
      <c r="F51" s="5">
        <f t="shared" si="103"/>
        <v>125555</v>
      </c>
      <c r="G51" s="5">
        <f t="shared" si="103"/>
        <v>108518</v>
      </c>
      <c r="H51" s="5">
        <f t="shared" si="103"/>
        <v>113080</v>
      </c>
      <c r="I51" s="5">
        <f t="shared" si="103"/>
        <v>110812</v>
      </c>
      <c r="J51" s="5">
        <f t="shared" si="102"/>
        <v>137412</v>
      </c>
      <c r="K51" s="5">
        <f t="shared" ref="K51:R51" si="104">+SUM(K49:K50)</f>
        <v>116444</v>
      </c>
      <c r="L51" s="5">
        <f t="shared" si="104"/>
        <v>121234</v>
      </c>
      <c r="M51" s="5">
        <f t="shared" si="104"/>
        <v>127101</v>
      </c>
      <c r="N51" s="5">
        <f t="shared" si="104"/>
        <v>149204</v>
      </c>
      <c r="O51" s="5">
        <f t="shared" si="104"/>
        <v>127358</v>
      </c>
      <c r="P51" s="5">
        <f t="shared" si="104"/>
        <v>134383</v>
      </c>
      <c r="Q51" s="5">
        <f t="shared" si="104"/>
        <v>143083</v>
      </c>
      <c r="R51" s="5">
        <f t="shared" si="104"/>
        <v>169961</v>
      </c>
      <c r="S51" s="5">
        <f t="shared" ref="S51:T51" si="105">+SUM(S49:S50)</f>
        <v>127358</v>
      </c>
      <c r="T51" s="5">
        <f t="shared" si="105"/>
        <v>147977</v>
      </c>
      <c r="U51" s="5">
        <f>+U6</f>
        <v>159822.96785094595</v>
      </c>
      <c r="V51" s="5">
        <f>+V6</f>
        <v>190461.37358152206</v>
      </c>
      <c r="X51" s="8"/>
      <c r="AA51" s="5">
        <f t="shared" ref="AA51:AF51" si="106">+SUM(AA49:AA50)</f>
        <v>74452</v>
      </c>
      <c r="AB51" s="5">
        <f t="shared" si="106"/>
        <v>88988</v>
      </c>
      <c r="AC51" s="5">
        <f t="shared" si="106"/>
        <v>107006</v>
      </c>
      <c r="AD51" s="5">
        <f t="shared" si="106"/>
        <v>135987</v>
      </c>
      <c r="AE51" s="5">
        <f t="shared" si="106"/>
        <v>177866</v>
      </c>
      <c r="AF51" s="5">
        <f t="shared" si="106"/>
        <v>232887</v>
      </c>
      <c r="AG51" s="5">
        <f>+SUM(AG49:AG50)</f>
        <v>280522</v>
      </c>
      <c r="AH51" s="5">
        <f>+SUM(AH49:AH50)</f>
        <v>386064</v>
      </c>
      <c r="AI51" s="5">
        <f>+SUM(AI49:AI50)</f>
        <v>469822</v>
      </c>
      <c r="AJ51" s="5">
        <f>+SUM(AJ49:AJ50)</f>
        <v>513983</v>
      </c>
      <c r="AK51" s="5">
        <f>+SUM(AK49:AK50)</f>
        <v>574785</v>
      </c>
      <c r="AL51" s="5">
        <f>SUM(S51:V51)</f>
        <v>625619.34143246803</v>
      </c>
      <c r="AM51" s="5">
        <f>+AL51*1.09</f>
        <v>681925.08216139022</v>
      </c>
      <c r="AN51" s="5">
        <f t="shared" ref="AN51:AU51" si="107">+AM51*1.09</f>
        <v>743298.33955591545</v>
      </c>
      <c r="AO51" s="5">
        <f t="shared" si="107"/>
        <v>810195.19011594786</v>
      </c>
      <c r="AP51" s="5">
        <f t="shared" si="107"/>
        <v>883112.7572263832</v>
      </c>
      <c r="AQ51" s="5">
        <f t="shared" si="107"/>
        <v>962592.90537675773</v>
      </c>
      <c r="AR51" s="5">
        <f t="shared" si="107"/>
        <v>1049226.266860666</v>
      </c>
      <c r="AS51" s="5">
        <f t="shared" si="107"/>
        <v>1143656.630878126</v>
      </c>
      <c r="AT51" s="5">
        <f t="shared" si="107"/>
        <v>1246585.7276571575</v>
      </c>
      <c r="AU51" s="5">
        <f t="shared" si="107"/>
        <v>1358778.4431463017</v>
      </c>
    </row>
    <row r="52" spans="2:47" x14ac:dyDescent="0.2">
      <c r="B52" s="10" t="s">
        <v>22</v>
      </c>
      <c r="C52" s="2">
        <v>44257</v>
      </c>
      <c r="D52" s="2">
        <v>52660</v>
      </c>
      <c r="E52" s="2">
        <v>57106</v>
      </c>
      <c r="F52" s="2">
        <v>79284</v>
      </c>
      <c r="G52" s="2">
        <v>62403</v>
      </c>
      <c r="H52" s="2">
        <v>64176</v>
      </c>
      <c r="I52" s="2">
        <v>62930</v>
      </c>
      <c r="J52" s="2">
        <f t="shared" si="102"/>
        <v>82835</v>
      </c>
      <c r="K52" s="2">
        <v>66499</v>
      </c>
      <c r="L52" s="2">
        <v>66424</v>
      </c>
      <c r="M52" s="2">
        <v>70268</v>
      </c>
      <c r="N52" s="2">
        <v>85640</v>
      </c>
      <c r="O52" s="2">
        <v>67791</v>
      </c>
      <c r="P52" s="2">
        <v>69373</v>
      </c>
      <c r="Q52" s="2">
        <v>75022</v>
      </c>
      <c r="R52" s="2">
        <v>92553</v>
      </c>
      <c r="S52" s="2">
        <v>67791</v>
      </c>
      <c r="T52" s="2">
        <v>69373</v>
      </c>
      <c r="U52" s="2">
        <f>+U$51*(T52/T$51)</f>
        <v>74926.500393464346</v>
      </c>
      <c r="V52" s="2">
        <f>+V$51*(U52/U$51)</f>
        <v>89290.071223709965</v>
      </c>
      <c r="AG52" s="2">
        <v>165536</v>
      </c>
      <c r="AH52" s="2">
        <v>233307</v>
      </c>
      <c r="AI52" s="2">
        <v>272344</v>
      </c>
      <c r="AJ52" s="2">
        <v>288831</v>
      </c>
      <c r="AK52" s="2">
        <v>304739</v>
      </c>
      <c r="AL52" s="2">
        <f t="shared" ref="AL52:AL68" si="108">SUM(S52:V52)</f>
        <v>301380.57161717431</v>
      </c>
      <c r="AM52" s="2">
        <f>+AM$51*(AL52/AL$51)</f>
        <v>328504.82306272001</v>
      </c>
      <c r="AN52" s="2">
        <f>+AN$51*(AM52/AM$51)</f>
        <v>358070.25713836483</v>
      </c>
      <c r="AO52" s="2">
        <f>+AO$51*(AN52/AN$51)</f>
        <v>390296.5802808177</v>
      </c>
      <c r="AP52" s="2">
        <f>+AP$51*(AO52/AO$51)</f>
        <v>425423.27250609128</v>
      </c>
      <c r="AQ52" s="2">
        <f t="shared" ref="AQ52:AU52" si="109">+AQ$51*(AP52/AP$51)</f>
        <v>463711.3670316395</v>
      </c>
      <c r="AR52" s="2">
        <f t="shared" si="109"/>
        <v>505445.39006448706</v>
      </c>
      <c r="AS52" s="2">
        <f t="shared" si="109"/>
        <v>550935.47517029091</v>
      </c>
      <c r="AT52" s="2">
        <f t="shared" si="109"/>
        <v>600519.66793561715</v>
      </c>
      <c r="AU52" s="2">
        <f t="shared" si="109"/>
        <v>654566.4380498227</v>
      </c>
    </row>
    <row r="53" spans="2:47" x14ac:dyDescent="0.2">
      <c r="B53" s="10" t="s">
        <v>39</v>
      </c>
      <c r="C53" s="2">
        <v>11531</v>
      </c>
      <c r="D53" s="2">
        <v>13806</v>
      </c>
      <c r="E53" s="2">
        <v>14705</v>
      </c>
      <c r="F53" s="2">
        <v>18474</v>
      </c>
      <c r="G53" s="2">
        <v>16530</v>
      </c>
      <c r="H53" s="2">
        <v>17638</v>
      </c>
      <c r="I53" s="2">
        <v>18498</v>
      </c>
      <c r="J53" s="2">
        <f t="shared" si="102"/>
        <v>22445</v>
      </c>
      <c r="K53" s="2">
        <v>20271</v>
      </c>
      <c r="L53" s="2">
        <v>20342</v>
      </c>
      <c r="M53" s="2">
        <v>20583</v>
      </c>
      <c r="N53" s="2">
        <v>23103</v>
      </c>
      <c r="O53" s="2">
        <v>20905</v>
      </c>
      <c r="P53" s="2">
        <v>21305</v>
      </c>
      <c r="Q53" s="2">
        <v>22314</v>
      </c>
      <c r="R53" s="2">
        <v>26095</v>
      </c>
      <c r="S53" s="2">
        <v>20905</v>
      </c>
      <c r="T53" s="2">
        <v>21305</v>
      </c>
      <c r="U53" s="2">
        <f t="shared" ref="U53:V53" si="110">+U$51*(T53/T$51)</f>
        <v>23010.524135942771</v>
      </c>
      <c r="V53" s="2">
        <f t="shared" si="110"/>
        <v>27421.690966530794</v>
      </c>
      <c r="AG53" s="2">
        <v>40232</v>
      </c>
      <c r="AH53" s="2">
        <v>58517</v>
      </c>
      <c r="AI53" s="2">
        <v>75111</v>
      </c>
      <c r="AJ53" s="2">
        <v>84299</v>
      </c>
      <c r="AK53" s="2">
        <v>90619</v>
      </c>
      <c r="AL53" s="2">
        <f t="shared" si="108"/>
        <v>92642.215102473565</v>
      </c>
      <c r="AM53" s="2">
        <f t="shared" ref="AM53:AM57" si="111">+AM$51*(AL53/AL$51)</f>
        <v>100980.01446169619</v>
      </c>
      <c r="AN53" s="2">
        <f t="shared" ref="AN53:AU53" si="112">+AN$51*(AM53/AM$51)</f>
        <v>110068.21576324887</v>
      </c>
      <c r="AO53" s="2">
        <f t="shared" si="112"/>
        <v>119974.35518194127</v>
      </c>
      <c r="AP53" s="2">
        <f t="shared" si="112"/>
        <v>130772.04714831598</v>
      </c>
      <c r="AQ53" s="2">
        <f t="shared" si="112"/>
        <v>142541.53139166444</v>
      </c>
      <c r="AR53" s="2">
        <f t="shared" si="112"/>
        <v>155370.26921691422</v>
      </c>
      <c r="AS53" s="2">
        <f t="shared" si="112"/>
        <v>169353.59344643654</v>
      </c>
      <c r="AT53" s="2">
        <f t="shared" si="112"/>
        <v>184595.41685661583</v>
      </c>
      <c r="AU53" s="2">
        <f t="shared" si="112"/>
        <v>201209.00437371127</v>
      </c>
    </row>
    <row r="54" spans="2:47" x14ac:dyDescent="0.2">
      <c r="B54" s="10" t="s">
        <v>23</v>
      </c>
      <c r="C54" s="2">
        <v>9325</v>
      </c>
      <c r="D54" s="2">
        <v>10388</v>
      </c>
      <c r="E54" s="2">
        <v>10976</v>
      </c>
      <c r="F54" s="2">
        <v>12049</v>
      </c>
      <c r="G54" s="2">
        <v>12488</v>
      </c>
      <c r="H54" s="2">
        <v>13871</v>
      </c>
      <c r="I54" s="2">
        <v>14380</v>
      </c>
      <c r="J54" s="2">
        <f t="shared" si="102"/>
        <v>15313</v>
      </c>
      <c r="K54" s="2">
        <v>14842</v>
      </c>
      <c r="L54" s="2">
        <v>18072</v>
      </c>
      <c r="M54" s="2">
        <v>19485</v>
      </c>
      <c r="N54" s="2">
        <v>20814</v>
      </c>
      <c r="O54" s="2">
        <v>20450</v>
      </c>
      <c r="P54" s="2">
        <v>21931</v>
      </c>
      <c r="Q54" s="2">
        <v>21203</v>
      </c>
      <c r="R54" s="2">
        <v>22038</v>
      </c>
      <c r="S54" s="2">
        <v>20450</v>
      </c>
      <c r="T54" s="2">
        <v>21931</v>
      </c>
      <c r="U54" s="2">
        <f t="shared" ref="U54:V54" si="113">+U$51*(T54/T$51)</f>
        <v>23686.637166175118</v>
      </c>
      <c r="V54" s="2">
        <f t="shared" si="113"/>
        <v>28227.416314808113</v>
      </c>
      <c r="AG54" s="2">
        <v>35931</v>
      </c>
      <c r="AH54" s="2">
        <v>42740</v>
      </c>
      <c r="AI54" s="2">
        <v>56052</v>
      </c>
      <c r="AJ54" s="2">
        <v>73213</v>
      </c>
      <c r="AK54" s="2">
        <v>85622</v>
      </c>
      <c r="AL54" s="2">
        <f t="shared" si="108"/>
        <v>94295.053480983232</v>
      </c>
      <c r="AM54" s="2">
        <f t="shared" si="111"/>
        <v>102781.60829427173</v>
      </c>
      <c r="AN54" s="2">
        <f t="shared" ref="AN54:AU54" si="114">+AN$51*(AM54/AM$51)</f>
        <v>112031.9530407562</v>
      </c>
      <c r="AO54" s="2">
        <f t="shared" si="114"/>
        <v>122114.82881442427</v>
      </c>
      <c r="AP54" s="2">
        <f t="shared" si="114"/>
        <v>133105.16340772246</v>
      </c>
      <c r="AQ54" s="2">
        <f t="shared" si="114"/>
        <v>145084.62811441749</v>
      </c>
      <c r="AR54" s="2">
        <f t="shared" si="114"/>
        <v>158142.24464471507</v>
      </c>
      <c r="AS54" s="2">
        <f t="shared" si="114"/>
        <v>172375.04666273942</v>
      </c>
      <c r="AT54" s="2">
        <f t="shared" si="114"/>
        <v>187888.80086238601</v>
      </c>
      <c r="AU54" s="2">
        <f t="shared" si="114"/>
        <v>204798.79294000074</v>
      </c>
    </row>
    <row r="55" spans="2:47" x14ac:dyDescent="0.2">
      <c r="B55" s="10" t="s">
        <v>24</v>
      </c>
      <c r="C55" s="2">
        <v>4828</v>
      </c>
      <c r="D55" s="2">
        <v>4345</v>
      </c>
      <c r="E55" s="2">
        <v>5434</v>
      </c>
      <c r="F55" s="2">
        <v>7403</v>
      </c>
      <c r="G55" s="2">
        <v>6207</v>
      </c>
      <c r="H55" s="2">
        <v>7524</v>
      </c>
      <c r="I55" s="2">
        <v>8010</v>
      </c>
      <c r="J55" s="2">
        <f t="shared" si="102"/>
        <v>10810</v>
      </c>
      <c r="K55" s="2">
        <v>8320</v>
      </c>
      <c r="L55" s="2">
        <v>10086</v>
      </c>
      <c r="M55" s="2">
        <v>11014</v>
      </c>
      <c r="N55" s="2">
        <v>12818</v>
      </c>
      <c r="O55" s="2">
        <v>10172</v>
      </c>
      <c r="P55" s="2">
        <v>10745</v>
      </c>
      <c r="Q55" s="2">
        <v>10551</v>
      </c>
      <c r="R55" s="2">
        <v>12902</v>
      </c>
      <c r="S55" s="2">
        <v>10172</v>
      </c>
      <c r="T55" s="2">
        <v>10745</v>
      </c>
      <c r="U55" s="2">
        <f t="shared" ref="U55:V55" si="115">+U$51*(T55/T$51)</f>
        <v>11605.166948636708</v>
      </c>
      <c r="V55" s="2">
        <f t="shared" si="115"/>
        <v>13829.902343833532</v>
      </c>
      <c r="AG55" s="42">
        <v>18878</v>
      </c>
      <c r="AH55" s="42">
        <v>22008</v>
      </c>
      <c r="AI55" s="42">
        <v>32551</v>
      </c>
      <c r="AJ55" s="42">
        <v>42238</v>
      </c>
      <c r="AK55" s="42">
        <v>44370</v>
      </c>
      <c r="AL55" s="2">
        <f t="shared" si="108"/>
        <v>46352.069292470245</v>
      </c>
      <c r="AM55" s="2">
        <f t="shared" si="111"/>
        <v>50523.755528792572</v>
      </c>
      <c r="AN55" s="2">
        <f t="shared" ref="AN55:AU55" si="116">+AN$51*(AM55/AM$51)</f>
        <v>55070.893526383908</v>
      </c>
      <c r="AO55" s="2">
        <f t="shared" si="116"/>
        <v>60027.273943758468</v>
      </c>
      <c r="AP55" s="2">
        <f t="shared" si="116"/>
        <v>65429.728598696733</v>
      </c>
      <c r="AQ55" s="2">
        <f t="shared" si="116"/>
        <v>71318.404172579438</v>
      </c>
      <c r="AR55" s="2">
        <f t="shared" si="116"/>
        <v>77737.060548111593</v>
      </c>
      <c r="AS55" s="2">
        <f t="shared" si="116"/>
        <v>84733.39599744165</v>
      </c>
      <c r="AT55" s="2">
        <f t="shared" si="116"/>
        <v>92359.401637211398</v>
      </c>
      <c r="AU55" s="2">
        <f t="shared" si="116"/>
        <v>100671.74778456043</v>
      </c>
    </row>
    <row r="56" spans="2:47" x14ac:dyDescent="0.2">
      <c r="B56" s="10" t="s">
        <v>25</v>
      </c>
      <c r="C56" s="2">
        <v>1452</v>
      </c>
      <c r="D56" s="2">
        <v>1580</v>
      </c>
      <c r="E56" s="2">
        <v>1668</v>
      </c>
      <c r="F56" s="2">
        <v>1968</v>
      </c>
      <c r="G56" s="2">
        <v>1987</v>
      </c>
      <c r="H56" s="2">
        <v>2158</v>
      </c>
      <c r="I56" s="2">
        <v>2153</v>
      </c>
      <c r="J56" s="2">
        <f t="shared" si="102"/>
        <v>2525</v>
      </c>
      <c r="K56" s="2">
        <v>2594</v>
      </c>
      <c r="L56" s="2">
        <v>2903</v>
      </c>
      <c r="M56" s="2">
        <v>3061</v>
      </c>
      <c r="N56" s="2">
        <v>3333</v>
      </c>
      <c r="O56" s="2">
        <v>3043</v>
      </c>
      <c r="P56" s="2">
        <v>3202</v>
      </c>
      <c r="Q56" s="2">
        <v>2561</v>
      </c>
      <c r="R56" s="2">
        <v>3010</v>
      </c>
      <c r="S56" s="2">
        <v>3043</v>
      </c>
      <c r="T56" s="2">
        <v>3202</v>
      </c>
      <c r="U56" s="2">
        <f t="shared" ref="U56:V56" si="117">+U$51*(T56/T$51)</f>
        <v>3458.3289501660993</v>
      </c>
      <c r="V56" s="2">
        <f t="shared" si="117"/>
        <v>4121.2980274504389</v>
      </c>
      <c r="AG56" s="2">
        <v>5203</v>
      </c>
      <c r="AH56" s="2">
        <v>6668</v>
      </c>
      <c r="AI56" s="2">
        <v>8823</v>
      </c>
      <c r="AJ56" s="2">
        <v>11891</v>
      </c>
      <c r="AK56" s="2">
        <v>11816</v>
      </c>
      <c r="AL56" s="2">
        <f t="shared" si="108"/>
        <v>13824.626977616537</v>
      </c>
      <c r="AM56" s="2">
        <f t="shared" si="111"/>
        <v>15068.843405602027</v>
      </c>
      <c r="AN56" s="2">
        <f t="shared" ref="AN56:AU56" si="118">+AN$51*(AM56/AM$51)</f>
        <v>16425.039312106212</v>
      </c>
      <c r="AO56" s="2">
        <f t="shared" si="118"/>
        <v>17903.292850195769</v>
      </c>
      <c r="AP56" s="2">
        <f t="shared" si="118"/>
        <v>19514.589206713386</v>
      </c>
      <c r="AQ56" s="2">
        <f t="shared" si="118"/>
        <v>21270.902235317593</v>
      </c>
      <c r="AR56" s="2">
        <f t="shared" si="118"/>
        <v>23185.283436496178</v>
      </c>
      <c r="AS56" s="2">
        <f t="shared" si="118"/>
        <v>25271.958945780836</v>
      </c>
      <c r="AT56" s="2">
        <f t="shared" si="118"/>
        <v>27546.435250901111</v>
      </c>
      <c r="AU56" s="2">
        <f t="shared" si="118"/>
        <v>30025.614423482213</v>
      </c>
    </row>
    <row r="57" spans="2:47" x14ac:dyDescent="0.2">
      <c r="B57" s="10" t="s">
        <v>26</v>
      </c>
      <c r="C57" s="2">
        <v>70</v>
      </c>
      <c r="D57" s="2">
        <v>290</v>
      </c>
      <c r="E57" s="2">
        <v>62</v>
      </c>
      <c r="F57" s="2">
        <v>-496</v>
      </c>
      <c r="G57" s="2">
        <v>38</v>
      </c>
      <c r="H57" s="2">
        <v>11</v>
      </c>
      <c r="I57" s="2">
        <v>-11</v>
      </c>
      <c r="J57" s="2">
        <f t="shared" si="102"/>
        <v>24</v>
      </c>
      <c r="K57" s="2">
        <v>249</v>
      </c>
      <c r="L57" s="2">
        <v>90</v>
      </c>
      <c r="M57" s="2">
        <v>165</v>
      </c>
      <c r="N57" s="2">
        <v>759</v>
      </c>
      <c r="O57" s="2">
        <v>223</v>
      </c>
      <c r="P57" s="2">
        <v>146</v>
      </c>
      <c r="Q57" s="2">
        <v>244</v>
      </c>
      <c r="R57" s="2">
        <v>154</v>
      </c>
      <c r="S57" s="2">
        <v>223</v>
      </c>
      <c r="T57" s="2">
        <v>146</v>
      </c>
      <c r="U57" s="2">
        <f t="shared" ref="U57:V57" si="119">+U$51*(T57/T$51)</f>
        <v>157.6877035366179</v>
      </c>
      <c r="V57" s="2">
        <f t="shared" si="119"/>
        <v>187.9167745183523</v>
      </c>
      <c r="AG57" s="2">
        <v>201</v>
      </c>
      <c r="AH57" s="2">
        <v>-75</v>
      </c>
      <c r="AI57" s="2">
        <v>62</v>
      </c>
      <c r="AJ57" s="2">
        <v>1263</v>
      </c>
      <c r="AK57" s="2">
        <v>767</v>
      </c>
      <c r="AL57" s="2">
        <f t="shared" si="108"/>
        <v>714.60447805497017</v>
      </c>
      <c r="AM57" s="2">
        <f t="shared" si="111"/>
        <v>778.91888107991758</v>
      </c>
      <c r="AN57" s="2">
        <f t="shared" ref="AN57:AU57" si="120">+AN$51*(AM57/AM$51)</f>
        <v>849.02158037711024</v>
      </c>
      <c r="AO57" s="2">
        <f t="shared" si="120"/>
        <v>925.43352261105019</v>
      </c>
      <c r="AP57" s="2">
        <f t="shared" si="120"/>
        <v>1008.7225396460448</v>
      </c>
      <c r="AQ57" s="2">
        <f t="shared" si="120"/>
        <v>1099.5075682141887</v>
      </c>
      <c r="AR57" s="2">
        <f t="shared" si="120"/>
        <v>1198.4632493534659</v>
      </c>
      <c r="AS57" s="2">
        <f t="shared" si="120"/>
        <v>1306.3249417952779</v>
      </c>
      <c r="AT57" s="2">
        <f t="shared" si="120"/>
        <v>1423.8941865568531</v>
      </c>
      <c r="AU57" s="2">
        <f t="shared" si="120"/>
        <v>1552.0446633469699</v>
      </c>
    </row>
    <row r="58" spans="2:47" x14ac:dyDescent="0.2">
      <c r="B58" s="10" t="s">
        <v>27</v>
      </c>
      <c r="C58" s="2">
        <f t="shared" ref="C58:I58" si="121">+SUM(C52:C57)</f>
        <v>71463</v>
      </c>
      <c r="D58" s="2">
        <f t="shared" si="121"/>
        <v>83069</v>
      </c>
      <c r="E58" s="2">
        <f t="shared" si="121"/>
        <v>89951</v>
      </c>
      <c r="F58" s="2">
        <f t="shared" si="121"/>
        <v>118682</v>
      </c>
      <c r="G58" s="2">
        <f t="shared" si="121"/>
        <v>99653</v>
      </c>
      <c r="H58" s="2">
        <f t="shared" si="121"/>
        <v>105378</v>
      </c>
      <c r="I58" s="2">
        <f t="shared" si="121"/>
        <v>105960</v>
      </c>
      <c r="J58" s="2">
        <f t="shared" si="102"/>
        <v>133952</v>
      </c>
      <c r="K58" s="2">
        <f t="shared" ref="K58:R58" si="122">+SUM(K52:K57)</f>
        <v>112775</v>
      </c>
      <c r="L58" s="2">
        <f t="shared" si="122"/>
        <v>117917</v>
      </c>
      <c r="M58" s="2">
        <f t="shared" si="122"/>
        <v>124576</v>
      </c>
      <c r="N58" s="2">
        <f t="shared" si="122"/>
        <v>146467</v>
      </c>
      <c r="O58" s="2">
        <f t="shared" si="122"/>
        <v>122584</v>
      </c>
      <c r="P58" s="2">
        <f t="shared" si="122"/>
        <v>126702</v>
      </c>
      <c r="Q58" s="2">
        <f t="shared" si="122"/>
        <v>131895</v>
      </c>
      <c r="R58" s="2">
        <f t="shared" si="122"/>
        <v>156752</v>
      </c>
      <c r="S58" s="2">
        <f t="shared" ref="S58:T58" si="123">+SUM(S52:S57)</f>
        <v>122584</v>
      </c>
      <c r="T58" s="2">
        <f t="shared" si="123"/>
        <v>126702</v>
      </c>
      <c r="U58" s="2">
        <f t="shared" ref="U58:V58" si="124">+T58</f>
        <v>126702</v>
      </c>
      <c r="V58" s="2">
        <f t="shared" si="124"/>
        <v>126702</v>
      </c>
      <c r="AG58" s="2">
        <f t="shared" ref="AG58:AO58" si="125">+SUM(AG52:AG57)</f>
        <v>265981</v>
      </c>
      <c r="AH58" s="2">
        <f t="shared" si="125"/>
        <v>363165</v>
      </c>
      <c r="AI58" s="2">
        <f t="shared" si="125"/>
        <v>444943</v>
      </c>
      <c r="AJ58" s="2">
        <f t="shared" si="125"/>
        <v>501735</v>
      </c>
      <c r="AK58" s="2">
        <f t="shared" si="125"/>
        <v>537933</v>
      </c>
      <c r="AL58" s="2">
        <f t="shared" si="108"/>
        <v>502690</v>
      </c>
      <c r="AM58" s="2">
        <f t="shared" si="125"/>
        <v>598637.96363416244</v>
      </c>
      <c r="AN58" s="2">
        <f t="shared" si="125"/>
        <v>652515.3803612371</v>
      </c>
      <c r="AO58" s="2">
        <f t="shared" si="125"/>
        <v>711241.76459374849</v>
      </c>
      <c r="AP58" s="2">
        <f t="shared" ref="AP58:AS58" si="126">+SUM(AP52:AP57)</f>
        <v>775253.52340718592</v>
      </c>
      <c r="AQ58" s="2">
        <f t="shared" si="126"/>
        <v>845026.34051383275</v>
      </c>
      <c r="AR58" s="2">
        <f t="shared" si="126"/>
        <v>921078.7111600776</v>
      </c>
      <c r="AS58" s="2">
        <f t="shared" si="126"/>
        <v>1003975.7951644846</v>
      </c>
      <c r="AT58" s="2">
        <f t="shared" ref="AT58:AU58" si="127">+SUM(AT52:AT57)</f>
        <v>1094333.6167292884</v>
      </c>
      <c r="AU58" s="2">
        <f t="shared" si="127"/>
        <v>1192823.6422349245</v>
      </c>
    </row>
    <row r="59" spans="2:47" x14ac:dyDescent="0.2">
      <c r="B59" s="10" t="s">
        <v>28</v>
      </c>
      <c r="C59" s="2">
        <f t="shared" ref="C59:I59" si="128">+C51-C58</f>
        <v>3989</v>
      </c>
      <c r="D59" s="2">
        <f t="shared" si="128"/>
        <v>5843</v>
      </c>
      <c r="E59" s="2">
        <f t="shared" si="128"/>
        <v>6194</v>
      </c>
      <c r="F59" s="2">
        <f t="shared" si="128"/>
        <v>6873</v>
      </c>
      <c r="G59" s="2">
        <f t="shared" si="128"/>
        <v>8865</v>
      </c>
      <c r="H59" s="2">
        <f t="shared" si="128"/>
        <v>7702</v>
      </c>
      <c r="I59" s="2">
        <f t="shared" si="128"/>
        <v>4852</v>
      </c>
      <c r="J59" s="2">
        <f t="shared" si="102"/>
        <v>3460</v>
      </c>
      <c r="K59" s="2">
        <f t="shared" ref="K59:R59" si="129">+K51-K58</f>
        <v>3669</v>
      </c>
      <c r="L59" s="2">
        <f t="shared" si="129"/>
        <v>3317</v>
      </c>
      <c r="M59" s="2">
        <f t="shared" si="129"/>
        <v>2525</v>
      </c>
      <c r="N59" s="2">
        <f t="shared" si="129"/>
        <v>2737</v>
      </c>
      <c r="O59" s="2">
        <f t="shared" si="129"/>
        <v>4774</v>
      </c>
      <c r="P59" s="2">
        <f t="shared" si="129"/>
        <v>7681</v>
      </c>
      <c r="Q59" s="2">
        <f t="shared" si="129"/>
        <v>11188</v>
      </c>
      <c r="R59" s="2">
        <f t="shared" si="129"/>
        <v>13209</v>
      </c>
      <c r="S59" s="2">
        <f t="shared" ref="S59:T59" si="130">+S51-S58</f>
        <v>4774</v>
      </c>
      <c r="T59" s="2">
        <f t="shared" si="130"/>
        <v>21275</v>
      </c>
      <c r="U59" s="2">
        <f t="shared" ref="U59:V59" si="131">+T59</f>
        <v>21275</v>
      </c>
      <c r="V59" s="2">
        <f t="shared" si="131"/>
        <v>21275</v>
      </c>
      <c r="AG59" s="2">
        <f t="shared" ref="AG59:AK59" si="132">+AG51-AG58</f>
        <v>14541</v>
      </c>
      <c r="AH59" s="2">
        <f t="shared" si="132"/>
        <v>22899</v>
      </c>
      <c r="AI59" s="2">
        <f t="shared" si="132"/>
        <v>24879</v>
      </c>
      <c r="AJ59" s="2">
        <f t="shared" si="132"/>
        <v>12248</v>
      </c>
      <c r="AK59" s="2">
        <f t="shared" si="132"/>
        <v>36852</v>
      </c>
      <c r="AL59" s="2">
        <f t="shared" si="108"/>
        <v>68599</v>
      </c>
      <c r="AM59" s="2">
        <f>+AM51-AM58</f>
        <v>83287.11852722778</v>
      </c>
      <c r="AN59" s="2">
        <f>+AN51-AN58</f>
        <v>90782.959194678348</v>
      </c>
      <c r="AO59" s="2">
        <f>+AO51-AO58</f>
        <v>98953.425522199366</v>
      </c>
      <c r="AP59" s="2">
        <f t="shared" ref="AP59:AS59" si="133">+AP51-AP58</f>
        <v>107859.23381919728</v>
      </c>
      <c r="AQ59" s="2">
        <f t="shared" si="133"/>
        <v>117566.56486292498</v>
      </c>
      <c r="AR59" s="2">
        <f t="shared" si="133"/>
        <v>128147.55570058839</v>
      </c>
      <c r="AS59" s="2">
        <f t="shared" si="133"/>
        <v>139680.83571364137</v>
      </c>
      <c r="AT59" s="2">
        <f t="shared" ref="AT59:AU59" si="134">+AT51-AT58</f>
        <v>152252.1109278691</v>
      </c>
      <c r="AU59" s="2">
        <f t="shared" si="134"/>
        <v>165954.80091137718</v>
      </c>
    </row>
    <row r="60" spans="2:47" x14ac:dyDescent="0.2">
      <c r="B60" s="10" t="s">
        <v>29</v>
      </c>
      <c r="C60" s="2">
        <v>202</v>
      </c>
      <c r="D60" s="2">
        <v>135</v>
      </c>
      <c r="E60" s="2">
        <v>118</v>
      </c>
      <c r="F60" s="2">
        <v>100</v>
      </c>
      <c r="G60" s="2">
        <v>105</v>
      </c>
      <c r="H60" s="2">
        <v>106</v>
      </c>
      <c r="I60" s="2">
        <v>119</v>
      </c>
      <c r="J60" s="2">
        <f t="shared" si="102"/>
        <v>118</v>
      </c>
      <c r="K60" s="2">
        <v>108</v>
      </c>
      <c r="L60" s="2">
        <v>159</v>
      </c>
      <c r="M60" s="2">
        <v>277</v>
      </c>
      <c r="N60" s="2">
        <v>445</v>
      </c>
      <c r="O60" s="2">
        <v>611</v>
      </c>
      <c r="P60" s="2">
        <v>661</v>
      </c>
      <c r="Q60" s="2">
        <v>776</v>
      </c>
      <c r="R60" s="2">
        <v>901</v>
      </c>
      <c r="S60" s="2">
        <v>611</v>
      </c>
      <c r="T60" s="2">
        <v>661</v>
      </c>
      <c r="U60" s="2">
        <f t="shared" ref="U60:V60" si="135">+T60</f>
        <v>661</v>
      </c>
      <c r="V60" s="2">
        <f t="shared" si="135"/>
        <v>661</v>
      </c>
      <c r="AG60" s="2">
        <v>832</v>
      </c>
      <c r="AH60" s="2">
        <v>555</v>
      </c>
      <c r="AI60" s="2">
        <v>448</v>
      </c>
      <c r="AJ60" s="2">
        <v>989</v>
      </c>
      <c r="AK60" s="2">
        <v>2949</v>
      </c>
      <c r="AL60" s="2">
        <f t="shared" si="108"/>
        <v>2594</v>
      </c>
      <c r="AM60" s="26">
        <f>+AL87*$BA$74</f>
        <v>2780.1</v>
      </c>
      <c r="AN60" s="26">
        <f t="shared" ref="AN60:AU60" si="136">+AM87*$BA$74</f>
        <v>5110.6377967321296</v>
      </c>
      <c r="AO60" s="26">
        <f t="shared" si="136"/>
        <v>7710.8984739158714</v>
      </c>
      <c r="AP60" s="26">
        <f t="shared" si="136"/>
        <v>10606.866882522821</v>
      </c>
      <c r="AQ60" s="26">
        <f t="shared" si="136"/>
        <v>13826.915253974816</v>
      </c>
      <c r="AR60" s="26">
        <f t="shared" si="136"/>
        <v>17402.019454006429</v>
      </c>
      <c r="AS60" s="26">
        <f t="shared" si="136"/>
        <v>21365.99473899135</v>
      </c>
      <c r="AT60" s="26">
        <f t="shared" si="136"/>
        <v>25755.752771083771</v>
      </c>
      <c r="AU60" s="26">
        <f t="shared" si="136"/>
        <v>30611.581806629805</v>
      </c>
    </row>
    <row r="61" spans="2:47" x14ac:dyDescent="0.2">
      <c r="B61" s="10" t="s">
        <v>30</v>
      </c>
      <c r="C61" s="2">
        <v>-402</v>
      </c>
      <c r="D61" s="2">
        <v>-403</v>
      </c>
      <c r="E61" s="2">
        <v>-428</v>
      </c>
      <c r="F61" s="2">
        <v>-414</v>
      </c>
      <c r="G61" s="2">
        <v>-399</v>
      </c>
      <c r="H61" s="2">
        <v>-435</v>
      </c>
      <c r="I61" s="2">
        <v>-493</v>
      </c>
      <c r="J61" s="2">
        <f t="shared" si="102"/>
        <v>-482</v>
      </c>
      <c r="K61" s="2">
        <v>-472</v>
      </c>
      <c r="L61" s="2">
        <v>-584</v>
      </c>
      <c r="M61" s="2">
        <v>-617</v>
      </c>
      <c r="N61" s="2">
        <v>-694</v>
      </c>
      <c r="O61" s="2">
        <v>-823</v>
      </c>
      <c r="P61" s="2">
        <v>-840</v>
      </c>
      <c r="Q61" s="2">
        <v>-806</v>
      </c>
      <c r="R61" s="2">
        <v>-713</v>
      </c>
      <c r="S61" s="2">
        <v>-823</v>
      </c>
      <c r="T61" s="2">
        <v>-840</v>
      </c>
      <c r="U61" s="2">
        <f t="shared" ref="U61:V63" si="137">+T61</f>
        <v>-840</v>
      </c>
      <c r="V61" s="2">
        <f t="shared" si="137"/>
        <v>-840</v>
      </c>
      <c r="AG61" s="2">
        <v>-1600</v>
      </c>
      <c r="AH61" s="2">
        <v>-1647</v>
      </c>
      <c r="AI61" s="2">
        <v>-1809</v>
      </c>
      <c r="AJ61" s="2">
        <v>-2367</v>
      </c>
      <c r="AK61" s="2">
        <v>-3182</v>
      </c>
      <c r="AL61" s="2">
        <f t="shared" si="108"/>
        <v>-3343</v>
      </c>
      <c r="AM61" s="2">
        <f t="shared" ref="AM61" si="138">+AM$59*(AL61/AL$59)</f>
        <v>-4058.7885717943768</v>
      </c>
      <c r="AN61" s="2">
        <f t="shared" ref="AN61" si="139">+AN$59*(AM61/AM$59)</f>
        <v>-4424.0795432558743</v>
      </c>
      <c r="AO61" s="2">
        <f t="shared" ref="AO61" si="140">+AO$59*(AN61/AN$59)</f>
        <v>-4822.246702148901</v>
      </c>
      <c r="AP61" s="2">
        <f t="shared" ref="AP61" si="141">+AP$59*(AO61/AO$59)</f>
        <v>-5256.2489053423005</v>
      </c>
      <c r="AQ61" s="2">
        <f t="shared" ref="AQ61" si="142">+AQ$59*(AP61/AP$59)</f>
        <v>-5729.311306823105</v>
      </c>
      <c r="AR61" s="2">
        <f t="shared" ref="AR61" si="143">+AR$59*(AQ61/AQ$59)</f>
        <v>-6244.9493244371924</v>
      </c>
      <c r="AS61" s="2">
        <f t="shared" ref="AS61" si="144">+AS$59*(AR61/AR$59)</f>
        <v>-6806.9947636365414</v>
      </c>
      <c r="AT61" s="2">
        <f t="shared" ref="AT61" si="145">+AT$59*(AS61/AS$59)</f>
        <v>-7419.6242923638301</v>
      </c>
      <c r="AU61" s="2">
        <f t="shared" ref="AU61" si="146">+AU$59*(AT61/AT$59)</f>
        <v>-8087.3904786765679</v>
      </c>
    </row>
    <row r="62" spans="2:47" x14ac:dyDescent="0.2">
      <c r="B62" s="10" t="s">
        <v>31</v>
      </c>
      <c r="C62" s="2">
        <v>-406</v>
      </c>
      <c r="D62" s="2">
        <v>646</v>
      </c>
      <c r="E62" s="2">
        <v>925</v>
      </c>
      <c r="F62" s="2">
        <v>1206</v>
      </c>
      <c r="G62" s="2">
        <v>1697</v>
      </c>
      <c r="H62" s="2">
        <v>1261</v>
      </c>
      <c r="I62" s="2">
        <v>-163</v>
      </c>
      <c r="J62" s="2">
        <f t="shared" si="102"/>
        <v>11838</v>
      </c>
      <c r="K62" s="2">
        <v>-8570</v>
      </c>
      <c r="L62" s="2">
        <v>-5545</v>
      </c>
      <c r="M62" s="2">
        <v>759</v>
      </c>
      <c r="N62" s="2">
        <v>-3450</v>
      </c>
      <c r="O62" s="2">
        <v>-443</v>
      </c>
      <c r="P62" s="2">
        <v>61</v>
      </c>
      <c r="Q62" s="2">
        <v>1031</v>
      </c>
      <c r="R62" s="2">
        <v>289</v>
      </c>
      <c r="S62" s="2">
        <v>-443</v>
      </c>
      <c r="T62" s="2">
        <v>61</v>
      </c>
      <c r="U62" s="2">
        <f t="shared" si="137"/>
        <v>61</v>
      </c>
      <c r="V62" s="2">
        <f t="shared" si="137"/>
        <v>61</v>
      </c>
      <c r="AG62" s="2">
        <v>203</v>
      </c>
      <c r="AH62" s="2">
        <v>2371</v>
      </c>
      <c r="AI62" s="2">
        <v>14633</v>
      </c>
      <c r="AJ62" s="2">
        <v>-16806</v>
      </c>
      <c r="AK62" s="2">
        <v>938</v>
      </c>
      <c r="AL62" s="2">
        <f t="shared" si="108"/>
        <v>-260</v>
      </c>
      <c r="AM62" s="2">
        <f>+AL62</f>
        <v>-260</v>
      </c>
      <c r="AN62" s="2">
        <f t="shared" ref="AN62:AU62" si="147">+AM62</f>
        <v>-260</v>
      </c>
      <c r="AO62" s="2">
        <f t="shared" si="147"/>
        <v>-260</v>
      </c>
      <c r="AP62" s="2">
        <f t="shared" si="147"/>
        <v>-260</v>
      </c>
      <c r="AQ62" s="2">
        <f t="shared" si="147"/>
        <v>-260</v>
      </c>
      <c r="AR62" s="2">
        <f t="shared" si="147"/>
        <v>-260</v>
      </c>
      <c r="AS62" s="2">
        <f t="shared" si="147"/>
        <v>-260</v>
      </c>
      <c r="AT62" s="2">
        <f t="shared" si="147"/>
        <v>-260</v>
      </c>
      <c r="AU62" s="2">
        <f t="shared" si="147"/>
        <v>-260</v>
      </c>
    </row>
    <row r="63" spans="2:47" x14ac:dyDescent="0.2">
      <c r="B63" s="10" t="s">
        <v>32</v>
      </c>
      <c r="C63" s="2">
        <f t="shared" ref="C63:I63" si="148">+SUM(C60:C62)</f>
        <v>-606</v>
      </c>
      <c r="D63" s="2">
        <f t="shared" si="148"/>
        <v>378</v>
      </c>
      <c r="E63" s="2">
        <f t="shared" si="148"/>
        <v>615</v>
      </c>
      <c r="F63" s="2">
        <f t="shared" si="148"/>
        <v>892</v>
      </c>
      <c r="G63" s="2">
        <f t="shared" si="148"/>
        <v>1403</v>
      </c>
      <c r="H63" s="2">
        <f t="shared" si="148"/>
        <v>932</v>
      </c>
      <c r="I63" s="2">
        <f t="shared" si="148"/>
        <v>-537</v>
      </c>
      <c r="J63" s="2">
        <f t="shared" si="102"/>
        <v>11474</v>
      </c>
      <c r="K63" s="2">
        <f t="shared" ref="K63:R63" si="149">+SUM(K60:K62)</f>
        <v>-8934</v>
      </c>
      <c r="L63" s="2">
        <f t="shared" si="149"/>
        <v>-5970</v>
      </c>
      <c r="M63" s="2">
        <f t="shared" si="149"/>
        <v>419</v>
      </c>
      <c r="N63" s="2">
        <f t="shared" si="149"/>
        <v>-3699</v>
      </c>
      <c r="O63" s="2">
        <f t="shared" si="149"/>
        <v>-655</v>
      </c>
      <c r="P63" s="2">
        <f t="shared" si="149"/>
        <v>-118</v>
      </c>
      <c r="Q63" s="2">
        <f t="shared" si="149"/>
        <v>1001</v>
      </c>
      <c r="R63" s="2">
        <f t="shared" si="149"/>
        <v>477</v>
      </c>
      <c r="S63" s="2">
        <f t="shared" ref="S63:T63" si="150">+SUM(S60:S62)</f>
        <v>-655</v>
      </c>
      <c r="T63" s="2">
        <f t="shared" si="150"/>
        <v>-118</v>
      </c>
      <c r="U63" s="2">
        <f t="shared" si="137"/>
        <v>-118</v>
      </c>
      <c r="V63" s="2">
        <f t="shared" si="137"/>
        <v>-118</v>
      </c>
      <c r="AG63" s="2">
        <f>+SUM(AG60:AG62)</f>
        <v>-565</v>
      </c>
      <c r="AH63" s="2">
        <f>+SUM(AH60:AH62)</f>
        <v>1279</v>
      </c>
      <c r="AI63" s="2">
        <f>+SUM(AI60:AI62)</f>
        <v>13272</v>
      </c>
      <c r="AJ63" s="2">
        <f>+SUM(AJ60:AJ62)</f>
        <v>-18184</v>
      </c>
      <c r="AK63" s="2">
        <f>+SUM(AK60:AK62)</f>
        <v>705</v>
      </c>
      <c r="AL63" s="2">
        <f t="shared" si="108"/>
        <v>-1009</v>
      </c>
      <c r="AM63" s="2">
        <f t="shared" ref="AM63" si="151">+SUM(AM60:AM62)</f>
        <v>-1538.6885717943769</v>
      </c>
      <c r="AN63" s="2">
        <f t="shared" ref="AN63:AU63" si="152">+SUM(AN60:AN62)</f>
        <v>426.55825347625523</v>
      </c>
      <c r="AO63" s="2">
        <f t="shared" si="152"/>
        <v>2628.6517717669703</v>
      </c>
      <c r="AP63" s="2">
        <f t="shared" si="152"/>
        <v>5090.6179771805209</v>
      </c>
      <c r="AQ63" s="2">
        <f t="shared" si="152"/>
        <v>7837.6039471517106</v>
      </c>
      <c r="AR63" s="2">
        <f t="shared" si="152"/>
        <v>10897.070129569238</v>
      </c>
      <c r="AS63" s="2">
        <f t="shared" si="152"/>
        <v>14298.999975354809</v>
      </c>
      <c r="AT63" s="2">
        <f t="shared" si="152"/>
        <v>18076.12847871994</v>
      </c>
      <c r="AU63" s="2">
        <f t="shared" si="152"/>
        <v>22264.191327953238</v>
      </c>
    </row>
    <row r="64" spans="2:47" x14ac:dyDescent="0.2">
      <c r="B64" s="10" t="s">
        <v>33</v>
      </c>
      <c r="C64" s="2">
        <f t="shared" ref="C64:I64" si="153">+C59+C63</f>
        <v>3383</v>
      </c>
      <c r="D64" s="2">
        <f t="shared" si="153"/>
        <v>6221</v>
      </c>
      <c r="E64" s="2">
        <f t="shared" si="153"/>
        <v>6809</v>
      </c>
      <c r="F64" s="2">
        <f t="shared" si="153"/>
        <v>7765</v>
      </c>
      <c r="G64" s="2">
        <f t="shared" si="153"/>
        <v>10268</v>
      </c>
      <c r="H64" s="2">
        <f t="shared" si="153"/>
        <v>8634</v>
      </c>
      <c r="I64" s="2">
        <f t="shared" si="153"/>
        <v>4315</v>
      </c>
      <c r="J64" s="2">
        <f t="shared" si="102"/>
        <v>14934</v>
      </c>
      <c r="K64" s="2">
        <f t="shared" ref="K64:R64" si="154">+K59+K63</f>
        <v>-5265</v>
      </c>
      <c r="L64" s="2">
        <f t="shared" si="154"/>
        <v>-2653</v>
      </c>
      <c r="M64" s="2">
        <f t="shared" si="154"/>
        <v>2944</v>
      </c>
      <c r="N64" s="2">
        <f t="shared" si="154"/>
        <v>-962</v>
      </c>
      <c r="O64" s="2">
        <f t="shared" si="154"/>
        <v>4119</v>
      </c>
      <c r="P64" s="2">
        <f t="shared" si="154"/>
        <v>7563</v>
      </c>
      <c r="Q64" s="2">
        <f t="shared" si="154"/>
        <v>12189</v>
      </c>
      <c r="R64" s="2">
        <f t="shared" si="154"/>
        <v>13686</v>
      </c>
      <c r="S64" s="2">
        <f t="shared" ref="S64:T64" si="155">+S59+S63</f>
        <v>4119</v>
      </c>
      <c r="T64" s="2">
        <f t="shared" si="155"/>
        <v>21157</v>
      </c>
      <c r="U64" s="2">
        <f t="shared" ref="U64:V64" si="156">+T64</f>
        <v>21157</v>
      </c>
      <c r="V64" s="2">
        <f t="shared" si="156"/>
        <v>21157</v>
      </c>
      <c r="AG64" s="2">
        <f>+AG59+AG63</f>
        <v>13976</v>
      </c>
      <c r="AH64" s="2">
        <f>+AH59+AH63</f>
        <v>24178</v>
      </c>
      <c r="AI64" s="2">
        <f>+AI59+AI63</f>
        <v>38151</v>
      </c>
      <c r="AJ64" s="2">
        <f>+AJ59+AJ63</f>
        <v>-5936</v>
      </c>
      <c r="AK64" s="2">
        <f>+AK59+AK63</f>
        <v>37557</v>
      </c>
      <c r="AL64" s="2">
        <f t="shared" si="108"/>
        <v>67590</v>
      </c>
      <c r="AM64" s="2">
        <f t="shared" ref="AM64:AS64" si="157">+AM59+AM63</f>
        <v>81748.429955433399</v>
      </c>
      <c r="AN64" s="2">
        <f t="shared" si="157"/>
        <v>91209.517448154598</v>
      </c>
      <c r="AO64" s="2">
        <f t="shared" si="157"/>
        <v>101582.07729396634</v>
      </c>
      <c r="AP64" s="2">
        <f t="shared" si="157"/>
        <v>112949.8517963778</v>
      </c>
      <c r="AQ64" s="2">
        <f t="shared" si="157"/>
        <v>125404.16881007669</v>
      </c>
      <c r="AR64" s="2">
        <f t="shared" si="157"/>
        <v>139044.62583015763</v>
      </c>
      <c r="AS64" s="2">
        <f t="shared" si="157"/>
        <v>153979.83568899619</v>
      </c>
      <c r="AT64" s="2">
        <f t="shared" ref="AT64:AU64" si="158">+AT59+AT63</f>
        <v>170328.23940658904</v>
      </c>
      <c r="AU64" s="2">
        <f t="shared" si="158"/>
        <v>188218.99223933043</v>
      </c>
    </row>
    <row r="65" spans="2:247" x14ac:dyDescent="0.2">
      <c r="B65" s="10" t="s">
        <v>34</v>
      </c>
      <c r="C65" s="2">
        <v>-744</v>
      </c>
      <c r="D65" s="2">
        <v>-984</v>
      </c>
      <c r="E65" s="2">
        <v>-569</v>
      </c>
      <c r="F65" s="2">
        <v>-566</v>
      </c>
      <c r="G65" s="2">
        <v>-2156</v>
      </c>
      <c r="H65" s="2">
        <v>-868</v>
      </c>
      <c r="I65" s="2">
        <v>-1155</v>
      </c>
      <c r="J65" s="2">
        <f t="shared" si="102"/>
        <v>-612</v>
      </c>
      <c r="K65" s="2">
        <v>1422</v>
      </c>
      <c r="L65" s="2">
        <v>637</v>
      </c>
      <c r="M65" s="2">
        <v>-69</v>
      </c>
      <c r="N65" s="2">
        <v>1227</v>
      </c>
      <c r="O65" s="2">
        <v>-948</v>
      </c>
      <c r="P65" s="2">
        <v>-804</v>
      </c>
      <c r="Q65" s="2">
        <v>-2306</v>
      </c>
      <c r="R65" s="2">
        <v>-3062</v>
      </c>
      <c r="S65" s="2">
        <v>-948</v>
      </c>
      <c r="T65" s="2">
        <v>-804</v>
      </c>
      <c r="U65" s="2">
        <f t="shared" ref="U65:V65" si="159">+T65</f>
        <v>-804</v>
      </c>
      <c r="V65" s="2">
        <f t="shared" si="159"/>
        <v>-804</v>
      </c>
      <c r="AG65" s="2">
        <v>-2374</v>
      </c>
      <c r="AH65" s="2">
        <v>-2863</v>
      </c>
      <c r="AI65" s="2">
        <v>-4791</v>
      </c>
      <c r="AJ65" s="2">
        <v>3217</v>
      </c>
      <c r="AK65" s="2">
        <v>-7120</v>
      </c>
      <c r="AL65" s="2">
        <f t="shared" si="108"/>
        <v>-3360</v>
      </c>
      <c r="AM65" s="2">
        <f>+AM64*(AL65/AL64)</f>
        <v>-4063.8367310290901</v>
      </c>
      <c r="AN65" s="2">
        <f t="shared" ref="AN65:AU65" si="160">+AN64*(AM65/AM64)</f>
        <v>-4534.1615420298776</v>
      </c>
      <c r="AO65" s="2">
        <f t="shared" si="160"/>
        <v>-5049.7970070680112</v>
      </c>
      <c r="AP65" s="2">
        <f t="shared" si="160"/>
        <v>-5614.9060813112792</v>
      </c>
      <c r="AQ65" s="2">
        <f t="shared" si="160"/>
        <v>-6234.0288090228969</v>
      </c>
      <c r="AR65" s="2">
        <f t="shared" si="160"/>
        <v>-6912.1163306602984</v>
      </c>
      <c r="AS65" s="2">
        <f t="shared" si="160"/>
        <v>-7654.5679525821433</v>
      </c>
      <c r="AT65" s="2">
        <f t="shared" si="160"/>
        <v>-8467.2715550545799</v>
      </c>
      <c r="AU65" s="2">
        <f t="shared" si="160"/>
        <v>-9356.6476390612534</v>
      </c>
    </row>
    <row r="66" spans="2:247" x14ac:dyDescent="0.2">
      <c r="B66" s="10" t="s">
        <v>36</v>
      </c>
      <c r="C66" s="2">
        <v>-104</v>
      </c>
      <c r="D66" s="2">
        <v>6</v>
      </c>
      <c r="E66" s="2">
        <v>91</v>
      </c>
      <c r="F66" s="2">
        <v>23</v>
      </c>
      <c r="G66" s="2">
        <v>-5</v>
      </c>
      <c r="H66" s="2">
        <v>12</v>
      </c>
      <c r="I66" s="2">
        <v>-4</v>
      </c>
      <c r="J66" s="2">
        <f t="shared" si="102"/>
        <v>1</v>
      </c>
      <c r="K66" s="2">
        <v>-1</v>
      </c>
      <c r="L66" s="2">
        <v>-12</v>
      </c>
      <c r="M66" s="2">
        <v>-3</v>
      </c>
      <c r="N66" s="2">
        <v>13</v>
      </c>
      <c r="O66" s="2">
        <v>1</v>
      </c>
      <c r="P66" s="2">
        <v>-9</v>
      </c>
      <c r="Q66" s="2">
        <v>-4</v>
      </c>
      <c r="R66" s="2">
        <v>0</v>
      </c>
      <c r="S66" s="2">
        <v>1</v>
      </c>
      <c r="T66" s="2">
        <v>-9</v>
      </c>
      <c r="AG66" s="2">
        <v>-14</v>
      </c>
      <c r="AH66" s="2">
        <v>16</v>
      </c>
      <c r="AI66" s="2">
        <v>4</v>
      </c>
      <c r="AJ66" s="2">
        <v>-3</v>
      </c>
      <c r="AK66" s="2">
        <v>-12</v>
      </c>
      <c r="AL66" s="2">
        <f t="shared" si="108"/>
        <v>-8</v>
      </c>
    </row>
    <row r="67" spans="2:247" x14ac:dyDescent="0.2">
      <c r="B67" s="10" t="s">
        <v>35</v>
      </c>
      <c r="C67" s="2">
        <f t="shared" ref="C67:I67" si="161">+SUM(C64:C66)</f>
        <v>2535</v>
      </c>
      <c r="D67" s="2">
        <f t="shared" si="161"/>
        <v>5243</v>
      </c>
      <c r="E67" s="2">
        <f t="shared" si="161"/>
        <v>6331</v>
      </c>
      <c r="F67" s="2">
        <f t="shared" si="161"/>
        <v>7222</v>
      </c>
      <c r="G67" s="2">
        <f t="shared" si="161"/>
        <v>8107</v>
      </c>
      <c r="H67" s="2">
        <f t="shared" si="161"/>
        <v>7778</v>
      </c>
      <c r="I67" s="2">
        <f t="shared" si="161"/>
        <v>3156</v>
      </c>
      <c r="J67" s="2">
        <f t="shared" si="102"/>
        <v>14323</v>
      </c>
      <c r="K67" s="2">
        <f t="shared" ref="K67:R67" si="162">+SUM(K64:K66)</f>
        <v>-3844</v>
      </c>
      <c r="L67" s="2">
        <f t="shared" si="162"/>
        <v>-2028</v>
      </c>
      <c r="M67" s="2">
        <f t="shared" si="162"/>
        <v>2872</v>
      </c>
      <c r="N67" s="2">
        <f t="shared" si="162"/>
        <v>278</v>
      </c>
      <c r="O67" s="2">
        <f t="shared" si="162"/>
        <v>3172</v>
      </c>
      <c r="P67" s="2">
        <f t="shared" si="162"/>
        <v>6750</v>
      </c>
      <c r="Q67" s="2">
        <f t="shared" si="162"/>
        <v>9879</v>
      </c>
      <c r="R67" s="2">
        <f t="shared" si="162"/>
        <v>10624</v>
      </c>
      <c r="S67" s="2">
        <f t="shared" ref="S67:T67" si="163">+SUM(S64:S66)</f>
        <v>3172</v>
      </c>
      <c r="T67" s="2">
        <f t="shared" si="163"/>
        <v>20344</v>
      </c>
      <c r="U67" s="2">
        <f t="shared" ref="U67:V67" si="164">+T67</f>
        <v>20344</v>
      </c>
      <c r="V67" s="2">
        <f t="shared" si="164"/>
        <v>20344</v>
      </c>
      <c r="AG67" s="2">
        <f>+SUM(AG64:AG66)</f>
        <v>11588</v>
      </c>
      <c r="AH67" s="2">
        <f>+SUM(AH64:AH66)</f>
        <v>21331</v>
      </c>
      <c r="AI67" s="2">
        <f>+SUM(AI64:AI66)</f>
        <v>33364</v>
      </c>
      <c r="AJ67" s="2">
        <f>+SUM(AJ64:AJ66)</f>
        <v>-2722</v>
      </c>
      <c r="AK67" s="2">
        <f>+SUM(AK64:AK66)</f>
        <v>30425</v>
      </c>
      <c r="AL67" s="2">
        <f t="shared" si="108"/>
        <v>64204</v>
      </c>
      <c r="AM67" s="2">
        <f t="shared" ref="AM67:AS67" si="165">+SUM(AM64:AM66)</f>
        <v>77684.593224404307</v>
      </c>
      <c r="AN67" s="2">
        <f>+SUM(AN64:AN66)</f>
        <v>86675.355906124722</v>
      </c>
      <c r="AO67" s="2">
        <f t="shared" si="165"/>
        <v>96532.280286898327</v>
      </c>
      <c r="AP67" s="2">
        <f t="shared" si="165"/>
        <v>107334.94571506653</v>
      </c>
      <c r="AQ67" s="2">
        <f t="shared" si="165"/>
        <v>119170.14000105379</v>
      </c>
      <c r="AR67" s="2">
        <f t="shared" si="165"/>
        <v>132132.50949949733</v>
      </c>
      <c r="AS67" s="2">
        <f t="shared" si="165"/>
        <v>146325.26773641404</v>
      </c>
      <c r="AT67" s="2">
        <f t="shared" ref="AT67:AU67" si="166">+SUM(AT64:AT66)</f>
        <v>161860.96785153446</v>
      </c>
      <c r="AU67" s="2">
        <f t="shared" si="166"/>
        <v>178862.34460026916</v>
      </c>
      <c r="AV67" s="2">
        <f t="shared" ref="AV67:CA67" si="167">+AU67*(1+$BA$75)</f>
        <v>180650.96804627185</v>
      </c>
      <c r="AW67" s="2">
        <f t="shared" si="167"/>
        <v>182457.47772673456</v>
      </c>
      <c r="AX67" s="2">
        <f t="shared" si="167"/>
        <v>184282.05250400191</v>
      </c>
      <c r="AY67" s="2">
        <f t="shared" si="167"/>
        <v>186124.87302904195</v>
      </c>
      <c r="AZ67" s="2">
        <f t="shared" si="167"/>
        <v>187986.12175933237</v>
      </c>
      <c r="BA67" s="2">
        <f t="shared" si="167"/>
        <v>189865.9829769257</v>
      </c>
      <c r="BB67" s="2">
        <f t="shared" si="167"/>
        <v>191764.64280669496</v>
      </c>
      <c r="BC67" s="2">
        <f t="shared" si="167"/>
        <v>193682.28923476191</v>
      </c>
      <c r="BD67" s="2">
        <f t="shared" si="167"/>
        <v>195619.11212710952</v>
      </c>
      <c r="BE67" s="2">
        <f t="shared" si="167"/>
        <v>197575.3032483806</v>
      </c>
      <c r="BF67" s="2">
        <f t="shared" si="167"/>
        <v>199551.0562808644</v>
      </c>
      <c r="BG67" s="2">
        <f t="shared" si="167"/>
        <v>201546.56684367306</v>
      </c>
      <c r="BH67" s="2">
        <f t="shared" si="167"/>
        <v>203562.03251210978</v>
      </c>
      <c r="BI67" s="2">
        <f t="shared" si="167"/>
        <v>205597.65283723088</v>
      </c>
      <c r="BJ67" s="2">
        <f t="shared" si="167"/>
        <v>207653.62936560321</v>
      </c>
      <c r="BK67" s="2">
        <f t="shared" si="167"/>
        <v>209730.16565925925</v>
      </c>
      <c r="BL67" s="2">
        <f t="shared" si="167"/>
        <v>211827.46731585186</v>
      </c>
      <c r="BM67" s="2">
        <f t="shared" si="167"/>
        <v>213945.74198901036</v>
      </c>
      <c r="BN67" s="2">
        <f t="shared" si="167"/>
        <v>216085.19940890046</v>
      </c>
      <c r="BO67" s="2">
        <f t="shared" si="167"/>
        <v>218246.05140298945</v>
      </c>
      <c r="BP67" s="2">
        <f t="shared" si="167"/>
        <v>220428.51191701935</v>
      </c>
      <c r="BQ67" s="2">
        <f t="shared" si="167"/>
        <v>222632.79703618956</v>
      </c>
      <c r="BR67" s="2">
        <f t="shared" si="167"/>
        <v>224859.12500655145</v>
      </c>
      <c r="BS67" s="2">
        <f t="shared" si="167"/>
        <v>227107.71625661696</v>
      </c>
      <c r="BT67" s="2">
        <f t="shared" si="167"/>
        <v>229378.79341918312</v>
      </c>
      <c r="BU67" s="2">
        <f t="shared" si="167"/>
        <v>231672.58135337496</v>
      </c>
      <c r="BV67" s="2">
        <f t="shared" si="167"/>
        <v>233989.30716690872</v>
      </c>
      <c r="BW67" s="2">
        <f t="shared" si="167"/>
        <v>236329.20023857782</v>
      </c>
      <c r="BX67" s="2">
        <f t="shared" si="167"/>
        <v>238692.49224096359</v>
      </c>
      <c r="BY67" s="2">
        <f t="shared" si="167"/>
        <v>241079.41716337323</v>
      </c>
      <c r="BZ67" s="2">
        <f t="shared" si="167"/>
        <v>243490.21133500696</v>
      </c>
      <c r="CA67" s="2">
        <f t="shared" si="167"/>
        <v>245925.11344835703</v>
      </c>
      <c r="CB67" s="2">
        <f t="shared" ref="CB67:DG67" si="168">+CA67*(1+$BA$75)</f>
        <v>248384.36458284062</v>
      </c>
      <c r="CC67" s="2">
        <f t="shared" si="168"/>
        <v>250868.20822866901</v>
      </c>
      <c r="CD67" s="2">
        <f t="shared" si="168"/>
        <v>253376.8903109557</v>
      </c>
      <c r="CE67" s="2">
        <f t="shared" si="168"/>
        <v>255910.65921406526</v>
      </c>
      <c r="CF67" s="2">
        <f t="shared" si="168"/>
        <v>258469.76580620592</v>
      </c>
      <c r="CG67" s="2">
        <f t="shared" si="168"/>
        <v>261054.46346426799</v>
      </c>
      <c r="CH67" s="2">
        <f t="shared" si="168"/>
        <v>263665.00809891068</v>
      </c>
      <c r="CI67" s="2">
        <f t="shared" si="168"/>
        <v>266301.65817989979</v>
      </c>
      <c r="CJ67" s="2">
        <f t="shared" si="168"/>
        <v>268964.67476169881</v>
      </c>
      <c r="CK67" s="2">
        <f t="shared" si="168"/>
        <v>271654.32150931581</v>
      </c>
      <c r="CL67" s="2">
        <f t="shared" si="168"/>
        <v>274370.86472440895</v>
      </c>
      <c r="CM67" s="2">
        <f t="shared" si="168"/>
        <v>277114.57337165304</v>
      </c>
      <c r="CN67" s="2">
        <f t="shared" si="168"/>
        <v>279885.71910536959</v>
      </c>
      <c r="CO67" s="2">
        <f t="shared" si="168"/>
        <v>282684.57629642327</v>
      </c>
      <c r="CP67" s="2">
        <f t="shared" si="168"/>
        <v>285511.42205938749</v>
      </c>
      <c r="CQ67" s="2">
        <f t="shared" si="168"/>
        <v>288366.53627998137</v>
      </c>
      <c r="CR67" s="2">
        <f t="shared" si="168"/>
        <v>291250.20164278121</v>
      </c>
      <c r="CS67" s="2">
        <f t="shared" si="168"/>
        <v>294162.70365920902</v>
      </c>
      <c r="CT67" s="2">
        <f t="shared" si="168"/>
        <v>297104.33069580112</v>
      </c>
      <c r="CU67" s="2">
        <f t="shared" si="168"/>
        <v>300075.37400275911</v>
      </c>
      <c r="CV67" s="2">
        <f t="shared" si="168"/>
        <v>303076.12774278672</v>
      </c>
      <c r="CW67" s="2">
        <f t="shared" si="168"/>
        <v>306106.88902021461</v>
      </c>
      <c r="CX67" s="2">
        <f t="shared" si="168"/>
        <v>309167.95791041676</v>
      </c>
      <c r="CY67" s="2">
        <f t="shared" si="168"/>
        <v>312259.63748952094</v>
      </c>
      <c r="CZ67" s="2">
        <f t="shared" si="168"/>
        <v>315382.23386441614</v>
      </c>
      <c r="DA67" s="2">
        <f t="shared" si="168"/>
        <v>318536.05620306032</v>
      </c>
      <c r="DB67" s="2">
        <f t="shared" si="168"/>
        <v>321721.41676509095</v>
      </c>
      <c r="DC67" s="2">
        <f t="shared" si="168"/>
        <v>324938.63093274186</v>
      </c>
      <c r="DD67" s="2">
        <f t="shared" si="168"/>
        <v>328188.0172420693</v>
      </c>
      <c r="DE67" s="2">
        <f t="shared" si="168"/>
        <v>331469.89741449</v>
      </c>
      <c r="DF67" s="2">
        <f t="shared" si="168"/>
        <v>334784.59638863488</v>
      </c>
      <c r="DG67" s="2">
        <f t="shared" si="168"/>
        <v>338132.44235252123</v>
      </c>
      <c r="DH67" s="2">
        <f t="shared" ref="DH67:EM67" si="169">+DG67*(1+$BA$75)</f>
        <v>341513.76677604642</v>
      </c>
      <c r="DI67" s="2">
        <f t="shared" si="169"/>
        <v>344928.90444380691</v>
      </c>
      <c r="DJ67" s="2">
        <f t="shared" si="169"/>
        <v>348378.19348824496</v>
      </c>
      <c r="DK67" s="2">
        <f t="shared" si="169"/>
        <v>351861.97542312741</v>
      </c>
      <c r="DL67" s="2">
        <f t="shared" si="169"/>
        <v>355380.59517735871</v>
      </c>
      <c r="DM67" s="2">
        <f t="shared" si="169"/>
        <v>358934.40112913231</v>
      </c>
      <c r="DN67" s="2">
        <f t="shared" si="169"/>
        <v>362523.74514042365</v>
      </c>
      <c r="DO67" s="2">
        <f t="shared" si="169"/>
        <v>366148.98259182787</v>
      </c>
      <c r="DP67" s="2">
        <f t="shared" si="169"/>
        <v>369810.47241774615</v>
      </c>
      <c r="DQ67" s="2">
        <f t="shared" si="169"/>
        <v>373508.5771419236</v>
      </c>
      <c r="DR67" s="2">
        <f t="shared" si="169"/>
        <v>377243.66291334282</v>
      </c>
      <c r="DS67" s="2">
        <f t="shared" si="169"/>
        <v>381016.09954247624</v>
      </c>
      <c r="DT67" s="2">
        <f t="shared" si="169"/>
        <v>384826.26053790102</v>
      </c>
      <c r="DU67" s="2">
        <f t="shared" si="169"/>
        <v>388674.52314328001</v>
      </c>
      <c r="DV67" s="2">
        <f t="shared" si="169"/>
        <v>392561.26837471279</v>
      </c>
      <c r="DW67" s="2">
        <f t="shared" si="169"/>
        <v>396486.88105845993</v>
      </c>
      <c r="DX67" s="2">
        <f t="shared" si="169"/>
        <v>400451.74986904452</v>
      </c>
      <c r="DY67" s="2">
        <f t="shared" si="169"/>
        <v>404456.26736773498</v>
      </c>
      <c r="DZ67" s="2">
        <f t="shared" si="169"/>
        <v>408500.83004141232</v>
      </c>
      <c r="EA67" s="2">
        <f t="shared" si="169"/>
        <v>412585.83834182646</v>
      </c>
      <c r="EB67" s="2">
        <f t="shared" si="169"/>
        <v>416711.69672524475</v>
      </c>
      <c r="EC67" s="2">
        <f t="shared" si="169"/>
        <v>420878.81369249721</v>
      </c>
      <c r="ED67" s="2">
        <f t="shared" si="169"/>
        <v>425087.60182942217</v>
      </c>
      <c r="EE67" s="2">
        <f t="shared" si="169"/>
        <v>429338.47784771642</v>
      </c>
      <c r="EF67" s="2">
        <f t="shared" si="169"/>
        <v>433631.86262619362</v>
      </c>
      <c r="EG67" s="2">
        <f t="shared" si="169"/>
        <v>437968.18125245557</v>
      </c>
      <c r="EH67" s="2">
        <f t="shared" si="169"/>
        <v>442347.86306498013</v>
      </c>
      <c r="EI67" s="2">
        <f t="shared" si="169"/>
        <v>446771.34169562993</v>
      </c>
      <c r="EJ67" s="2">
        <f t="shared" si="169"/>
        <v>451239.05511258624</v>
      </c>
      <c r="EK67" s="2">
        <f t="shared" si="169"/>
        <v>455751.4456637121</v>
      </c>
      <c r="EL67" s="2">
        <f t="shared" si="169"/>
        <v>460308.96012034925</v>
      </c>
      <c r="EM67" s="2">
        <f t="shared" si="169"/>
        <v>464912.04972155276</v>
      </c>
      <c r="EN67" s="2">
        <f t="shared" ref="EN67:FS67" si="170">+EM67*(1+$BA$75)</f>
        <v>469561.1702187683</v>
      </c>
      <c r="EO67" s="2">
        <f t="shared" si="170"/>
        <v>474256.78192095598</v>
      </c>
      <c r="EP67" s="2">
        <f t="shared" si="170"/>
        <v>478999.34974016552</v>
      </c>
      <c r="EQ67" s="2">
        <f t="shared" si="170"/>
        <v>483789.34323756717</v>
      </c>
      <c r="ER67" s="2">
        <f t="shared" si="170"/>
        <v>488627.23666994285</v>
      </c>
      <c r="ES67" s="2">
        <f t="shared" si="170"/>
        <v>493513.50903664227</v>
      </c>
      <c r="ET67" s="2">
        <f t="shared" si="170"/>
        <v>498448.64412700868</v>
      </c>
      <c r="EU67" s="2">
        <f t="shared" si="170"/>
        <v>503433.13056827878</v>
      </c>
      <c r="EV67" s="2">
        <f t="shared" si="170"/>
        <v>508467.46187396155</v>
      </c>
      <c r="EW67" s="2">
        <f t="shared" si="170"/>
        <v>513552.13649270119</v>
      </c>
      <c r="EX67" s="2">
        <f t="shared" si="170"/>
        <v>518687.65785762819</v>
      </c>
      <c r="EY67" s="2">
        <f t="shared" si="170"/>
        <v>523874.53443620447</v>
      </c>
      <c r="EZ67" s="2">
        <f t="shared" si="170"/>
        <v>529113.27978056658</v>
      </c>
      <c r="FA67" s="2">
        <f t="shared" si="170"/>
        <v>534404.41257837228</v>
      </c>
      <c r="FB67" s="2">
        <f t="shared" si="170"/>
        <v>539748.45670415601</v>
      </c>
      <c r="FC67" s="2">
        <f t="shared" si="170"/>
        <v>545145.94127119752</v>
      </c>
      <c r="FD67" s="2">
        <f t="shared" si="170"/>
        <v>550597.40068390954</v>
      </c>
      <c r="FE67" s="2">
        <f t="shared" si="170"/>
        <v>556103.37469074863</v>
      </c>
      <c r="FF67" s="2">
        <f t="shared" si="170"/>
        <v>561664.40843765612</v>
      </c>
      <c r="FG67" s="2">
        <f t="shared" si="170"/>
        <v>567281.05252203264</v>
      </c>
      <c r="FH67" s="2">
        <f t="shared" si="170"/>
        <v>572953.86304725299</v>
      </c>
      <c r="FI67" s="2">
        <f t="shared" si="170"/>
        <v>578683.40167772549</v>
      </c>
      <c r="FJ67" s="2">
        <f t="shared" si="170"/>
        <v>584470.23569450271</v>
      </c>
      <c r="FK67" s="2">
        <f t="shared" si="170"/>
        <v>590314.93805144774</v>
      </c>
      <c r="FL67" s="2">
        <f t="shared" si="170"/>
        <v>596218.08743196225</v>
      </c>
      <c r="FM67" s="2">
        <f t="shared" si="170"/>
        <v>602180.26830628188</v>
      </c>
      <c r="FN67" s="2">
        <f t="shared" si="170"/>
        <v>608202.07098934473</v>
      </c>
      <c r="FO67" s="2">
        <f t="shared" si="170"/>
        <v>614284.09169923817</v>
      </c>
      <c r="FP67" s="2">
        <f t="shared" si="170"/>
        <v>620426.93261623057</v>
      </c>
      <c r="FQ67" s="2">
        <f t="shared" si="170"/>
        <v>626631.20194239286</v>
      </c>
      <c r="FR67" s="2">
        <f t="shared" si="170"/>
        <v>632897.51396181679</v>
      </c>
      <c r="FS67" s="2">
        <f t="shared" si="170"/>
        <v>639226.48910143494</v>
      </c>
      <c r="FT67" s="2">
        <f t="shared" ref="FT67:GY67" si="171">+FS67*(1+$BA$75)</f>
        <v>645618.75399244926</v>
      </c>
      <c r="FU67" s="2">
        <f t="shared" si="171"/>
        <v>652074.94153237378</v>
      </c>
      <c r="FV67" s="2">
        <f t="shared" si="171"/>
        <v>658595.6909476975</v>
      </c>
      <c r="FW67" s="2">
        <f t="shared" si="171"/>
        <v>665181.64785717451</v>
      </c>
      <c r="FX67" s="2">
        <f t="shared" si="171"/>
        <v>671833.46433574625</v>
      </c>
      <c r="FY67" s="2">
        <f t="shared" si="171"/>
        <v>678551.79897910368</v>
      </c>
      <c r="FZ67" s="2">
        <f t="shared" si="171"/>
        <v>685337.31696889468</v>
      </c>
      <c r="GA67" s="2">
        <f t="shared" si="171"/>
        <v>692190.69013858365</v>
      </c>
      <c r="GB67" s="2">
        <f t="shared" si="171"/>
        <v>699112.59703996952</v>
      </c>
      <c r="GC67" s="2">
        <f t="shared" si="171"/>
        <v>706103.72301036923</v>
      </c>
      <c r="GD67" s="2">
        <f t="shared" si="171"/>
        <v>713164.76024047297</v>
      </c>
      <c r="GE67" s="2">
        <f t="shared" si="171"/>
        <v>720296.40784287767</v>
      </c>
      <c r="GF67" s="2">
        <f t="shared" si="171"/>
        <v>727499.37192130648</v>
      </c>
      <c r="GG67" s="2">
        <f t="shared" si="171"/>
        <v>734774.36564051954</v>
      </c>
      <c r="GH67" s="2">
        <f t="shared" si="171"/>
        <v>742122.10929692478</v>
      </c>
      <c r="GI67" s="2">
        <f t="shared" si="171"/>
        <v>749543.33038989408</v>
      </c>
      <c r="GJ67" s="2">
        <f t="shared" si="171"/>
        <v>757038.76369379298</v>
      </c>
      <c r="GK67" s="2">
        <f t="shared" si="171"/>
        <v>764609.15133073088</v>
      </c>
      <c r="GL67" s="2">
        <f t="shared" si="171"/>
        <v>772255.24284403818</v>
      </c>
      <c r="GM67" s="2">
        <f t="shared" si="171"/>
        <v>779977.7952724786</v>
      </c>
      <c r="GN67" s="2">
        <f t="shared" si="171"/>
        <v>787777.57322520344</v>
      </c>
      <c r="GO67" s="2">
        <f t="shared" si="171"/>
        <v>795655.34895745548</v>
      </c>
      <c r="GP67" s="2">
        <f t="shared" si="171"/>
        <v>803611.90244703006</v>
      </c>
      <c r="GQ67" s="2">
        <f t="shared" si="171"/>
        <v>811648.0214715004</v>
      </c>
      <c r="GR67" s="2">
        <f t="shared" si="171"/>
        <v>819764.5016862154</v>
      </c>
      <c r="GS67" s="2">
        <f t="shared" si="171"/>
        <v>827962.1467030776</v>
      </c>
      <c r="GT67" s="2">
        <f t="shared" si="171"/>
        <v>836241.76817010844</v>
      </c>
      <c r="GU67" s="2">
        <f t="shared" si="171"/>
        <v>844604.18585180957</v>
      </c>
      <c r="GV67" s="2">
        <f t="shared" si="171"/>
        <v>853050.22771032772</v>
      </c>
      <c r="GW67" s="2">
        <f t="shared" si="171"/>
        <v>861580.72998743097</v>
      </c>
      <c r="GX67" s="2">
        <f t="shared" si="171"/>
        <v>870196.53728730534</v>
      </c>
      <c r="GY67" s="2">
        <f t="shared" si="171"/>
        <v>878898.50266017835</v>
      </c>
      <c r="GZ67" s="2">
        <f t="shared" ref="GZ67:IF67" si="172">+GY67*(1+$BA$75)</f>
        <v>887687.48768678016</v>
      </c>
      <c r="HA67" s="2">
        <f t="shared" si="172"/>
        <v>896564.36256364803</v>
      </c>
      <c r="HB67" s="2">
        <f t="shared" si="172"/>
        <v>905530.0061892845</v>
      </c>
      <c r="HC67" s="2">
        <f t="shared" si="172"/>
        <v>914585.30625117733</v>
      </c>
      <c r="HD67" s="2">
        <f t="shared" si="172"/>
        <v>923731.1593136891</v>
      </c>
      <c r="HE67" s="2">
        <f t="shared" si="172"/>
        <v>932968.47090682597</v>
      </c>
      <c r="HF67" s="2">
        <f t="shared" si="172"/>
        <v>942298.15561589424</v>
      </c>
      <c r="HG67" s="2">
        <f t="shared" si="172"/>
        <v>951721.13717205322</v>
      </c>
      <c r="HH67" s="2">
        <f t="shared" si="172"/>
        <v>961238.34854377375</v>
      </c>
      <c r="HI67" s="2">
        <f t="shared" si="172"/>
        <v>970850.73202921147</v>
      </c>
      <c r="HJ67" s="2">
        <f t="shared" si="172"/>
        <v>980559.23934950365</v>
      </c>
      <c r="HK67" s="2">
        <f t="shared" si="172"/>
        <v>990364.83174299868</v>
      </c>
      <c r="HL67" s="2">
        <f t="shared" si="172"/>
        <v>1000268.4800604287</v>
      </c>
      <c r="HM67" s="2">
        <f t="shared" si="172"/>
        <v>1010271.164861033</v>
      </c>
      <c r="HN67" s="2">
        <f t="shared" si="172"/>
        <v>1020373.8765096433</v>
      </c>
      <c r="HO67" s="2">
        <f t="shared" si="172"/>
        <v>1030577.6152747397</v>
      </c>
      <c r="HP67" s="2">
        <f t="shared" si="172"/>
        <v>1040883.3914274871</v>
      </c>
      <c r="HQ67" s="2">
        <f t="shared" si="172"/>
        <v>1051292.225341762</v>
      </c>
      <c r="HR67" s="2">
        <f t="shared" si="172"/>
        <v>1061805.1475951795</v>
      </c>
      <c r="HS67" s="2">
        <f t="shared" si="172"/>
        <v>1072423.1990711314</v>
      </c>
      <c r="HT67" s="2">
        <f t="shared" si="172"/>
        <v>1083147.4310618427</v>
      </c>
      <c r="HU67" s="2">
        <f t="shared" si="172"/>
        <v>1093978.9053724611</v>
      </c>
      <c r="HV67" s="2">
        <f t="shared" si="172"/>
        <v>1104918.6944261857</v>
      </c>
      <c r="HW67" s="2">
        <f t="shared" si="172"/>
        <v>1115967.8813704476</v>
      </c>
      <c r="HX67" s="2">
        <f t="shared" si="172"/>
        <v>1127127.5601841521</v>
      </c>
      <c r="HY67" s="2">
        <f t="shared" si="172"/>
        <v>1138398.8357859936</v>
      </c>
      <c r="HZ67" s="2">
        <f t="shared" si="172"/>
        <v>1149782.8241438535</v>
      </c>
      <c r="IA67" s="2">
        <f t="shared" si="172"/>
        <v>1161280.6523852921</v>
      </c>
      <c r="IB67" s="2">
        <f t="shared" si="172"/>
        <v>1172893.4589091451</v>
      </c>
      <c r="IC67" s="2">
        <f t="shared" si="172"/>
        <v>1184622.3934982365</v>
      </c>
      <c r="ID67" s="2">
        <f t="shared" si="172"/>
        <v>1196468.617433219</v>
      </c>
      <c r="IE67" s="2">
        <f t="shared" si="172"/>
        <v>1208433.3036075511</v>
      </c>
      <c r="IF67" s="2">
        <f t="shared" si="172"/>
        <v>1220517.6366436267</v>
      </c>
      <c r="IG67" s="2">
        <f t="shared" ref="IG67:IM67" si="173">+IF67*(1+$BA$75)</f>
        <v>1232722.813010063</v>
      </c>
      <c r="IH67" s="2">
        <f t="shared" si="173"/>
        <v>1245050.0411401636</v>
      </c>
      <c r="II67" s="2">
        <f t="shared" si="173"/>
        <v>1257500.5415515653</v>
      </c>
      <c r="IJ67" s="2">
        <f t="shared" si="173"/>
        <v>1270075.546967081</v>
      </c>
      <c r="IK67" s="2">
        <f t="shared" si="173"/>
        <v>1282776.3024367518</v>
      </c>
      <c r="IL67" s="2">
        <f t="shared" si="173"/>
        <v>1295604.0654611194</v>
      </c>
      <c r="IM67" s="2">
        <f t="shared" si="173"/>
        <v>1308560.1061157307</v>
      </c>
    </row>
    <row r="68" spans="2:247" s="34" customFormat="1" x14ac:dyDescent="0.2">
      <c r="B68" s="33" t="s">
        <v>38</v>
      </c>
      <c r="C68" s="34">
        <v>5.01</v>
      </c>
      <c r="D68" s="34">
        <v>10.3</v>
      </c>
      <c r="E68" s="34">
        <v>12.37</v>
      </c>
      <c r="F68" s="34">
        <v>14.09</v>
      </c>
      <c r="G68" s="34">
        <v>15.79</v>
      </c>
      <c r="H68" s="34">
        <v>0.76</v>
      </c>
      <c r="I68" s="34">
        <v>0.31</v>
      </c>
      <c r="J68" s="34">
        <f t="shared" si="102"/>
        <v>47.95</v>
      </c>
      <c r="K68" s="34">
        <v>-7.56</v>
      </c>
      <c r="L68" s="34">
        <v>-0.2</v>
      </c>
      <c r="M68" s="34">
        <f>+M67/M69</f>
        <v>0.27799825767108705</v>
      </c>
      <c r="N68" s="34">
        <f>+N67/N69</f>
        <v>2.6969344198680637E-2</v>
      </c>
      <c r="O68" s="34">
        <v>0.31</v>
      </c>
      <c r="P68" s="34">
        <v>0.65</v>
      </c>
      <c r="Q68" s="34">
        <v>0.94</v>
      </c>
      <c r="R68" s="34">
        <v>1</v>
      </c>
      <c r="S68" s="34">
        <f>+S69/S67</f>
        <v>3.2619798234552331</v>
      </c>
      <c r="T68" s="34">
        <f>+T69/T67</f>
        <v>0.51361580810066854</v>
      </c>
      <c r="U68" s="2">
        <f t="shared" ref="U68:V68" si="174">+T68</f>
        <v>0.51361580810066854</v>
      </c>
      <c r="V68" s="2">
        <f t="shared" si="174"/>
        <v>0.51361580810066854</v>
      </c>
      <c r="AG68" s="34">
        <v>23.01</v>
      </c>
      <c r="AH68" s="34">
        <v>41.83</v>
      </c>
      <c r="AI68" s="34">
        <v>64.81</v>
      </c>
      <c r="AJ68" s="34">
        <f>+AJ67/AJ69</f>
        <v>-0.2671508489547551</v>
      </c>
      <c r="AK68" s="34">
        <f>+AK67/AK69</f>
        <v>2.8998284407167367</v>
      </c>
      <c r="AL68" s="2">
        <f t="shared" si="108"/>
        <v>4.8028272477572393</v>
      </c>
      <c r="AM68" s="34">
        <f t="shared" ref="AM68:AU68" si="175">+AM67/AM69</f>
        <v>5.8112528980921194</v>
      </c>
      <c r="AN68" s="34">
        <f t="shared" si="175"/>
        <v>6.4838134859976355</v>
      </c>
      <c r="AO68" s="34">
        <f t="shared" si="175"/>
        <v>7.221167934241703</v>
      </c>
      <c r="AP68" s="34">
        <f t="shared" si="175"/>
        <v>8.0292692342668008</v>
      </c>
      <c r="AQ68" s="34">
        <f t="shared" si="175"/>
        <v>8.9146096118015397</v>
      </c>
      <c r="AR68" s="34">
        <f>+AR67/AR69</f>
        <v>9.8842691567305483</v>
      </c>
      <c r="AS68" s="34">
        <f t="shared" si="175"/>
        <v>10.945968832468735</v>
      </c>
      <c r="AT68" s="34">
        <f t="shared" si="175"/>
        <v>12.108128259075887</v>
      </c>
      <c r="AU68" s="34">
        <f t="shared" si="175"/>
        <v>13.379928699830504</v>
      </c>
    </row>
    <row r="69" spans="2:247" x14ac:dyDescent="0.2">
      <c r="B69" s="10" t="s">
        <v>37</v>
      </c>
      <c r="C69" s="2">
        <f t="shared" ref="C69" si="176">+C67/C68</f>
        <v>505.98802395209583</v>
      </c>
      <c r="D69" s="2">
        <f t="shared" ref="D69:E69" si="177">+D67/D68</f>
        <v>509.02912621359218</v>
      </c>
      <c r="E69" s="2">
        <f t="shared" si="177"/>
        <v>511.80274858528702</v>
      </c>
      <c r="F69" s="2">
        <f t="shared" ref="F69" si="178">+F67/F68</f>
        <v>512.56210078069557</v>
      </c>
      <c r="G69" s="2">
        <f t="shared" ref="G69:L69" si="179">+G67/G68</f>
        <v>513.4262191260292</v>
      </c>
      <c r="H69" s="2">
        <f t="shared" si="179"/>
        <v>10234.21052631579</v>
      </c>
      <c r="I69" s="2">
        <f t="shared" si="179"/>
        <v>10180.645161290322</v>
      </c>
      <c r="J69" s="2">
        <f t="shared" si="179"/>
        <v>298.7069864442127</v>
      </c>
      <c r="K69" s="2">
        <f t="shared" si="179"/>
        <v>508.46560846560851</v>
      </c>
      <c r="L69" s="2">
        <f t="shared" si="179"/>
        <v>10140</v>
      </c>
      <c r="M69" s="2">
        <v>10331</v>
      </c>
      <c r="N69" s="2">
        <v>10308</v>
      </c>
      <c r="O69" s="2">
        <f t="shared" ref="O69:P69" si="180">+O67/O68</f>
        <v>10232.258064516129</v>
      </c>
      <c r="P69" s="2">
        <f t="shared" si="180"/>
        <v>10384.615384615385</v>
      </c>
      <c r="Q69" s="2">
        <f t="shared" ref="Q69:R69" si="181">+Q67/Q68</f>
        <v>10509.574468085108</v>
      </c>
      <c r="R69" s="2">
        <f t="shared" si="181"/>
        <v>10624</v>
      </c>
      <c r="S69" s="2">
        <v>10347</v>
      </c>
      <c r="T69" s="2">
        <v>10449</v>
      </c>
      <c r="U69" s="2">
        <f t="shared" ref="U69:V69" si="182">+T69</f>
        <v>10449</v>
      </c>
      <c r="V69" s="2">
        <f t="shared" si="182"/>
        <v>10449</v>
      </c>
      <c r="AG69" s="2">
        <f>+AG67/AG68</f>
        <v>503.60712733594085</v>
      </c>
      <c r="AH69" s="2">
        <f>+AH67/AH68</f>
        <v>509.9450155390868</v>
      </c>
      <c r="AI69" s="2">
        <f>+AI67/AI68</f>
        <v>514.79709921308438</v>
      </c>
      <c r="AJ69" s="2">
        <v>10189</v>
      </c>
      <c r="AK69" s="2">
        <v>10492</v>
      </c>
      <c r="AL69" s="5">
        <f>+AL67/AL68</f>
        <v>13367.959472200699</v>
      </c>
      <c r="AM69" s="2">
        <f t="shared" ref="AM69:AS69" si="183">+AL69</f>
        <v>13367.959472200699</v>
      </c>
      <c r="AN69" s="2">
        <f t="shared" si="183"/>
        <v>13367.959472200699</v>
      </c>
      <c r="AO69" s="2">
        <f t="shared" si="183"/>
        <v>13367.959472200699</v>
      </c>
      <c r="AP69" s="2">
        <f t="shared" si="183"/>
        <v>13367.959472200699</v>
      </c>
      <c r="AQ69" s="2">
        <f t="shared" si="183"/>
        <v>13367.959472200699</v>
      </c>
      <c r="AR69" s="2">
        <f t="shared" si="183"/>
        <v>13367.959472200699</v>
      </c>
      <c r="AS69" s="2">
        <f t="shared" si="183"/>
        <v>13367.959472200699</v>
      </c>
      <c r="AT69" s="2">
        <f t="shared" ref="AT69:AU69" si="184">+AS69</f>
        <v>13367.959472200699</v>
      </c>
      <c r="AU69" s="2">
        <f t="shared" si="184"/>
        <v>13367.959472200699</v>
      </c>
    </row>
    <row r="72" spans="2:247" x14ac:dyDescent="0.2">
      <c r="B72" s="10" t="s">
        <v>121</v>
      </c>
      <c r="C72" s="6">
        <f t="shared" ref="C72:S72" si="185">+ABS(C65/C64)</f>
        <v>0.21992314513745195</v>
      </c>
      <c r="D72" s="6">
        <f t="shared" si="185"/>
        <v>0.1581739270213792</v>
      </c>
      <c r="E72" s="6">
        <f t="shared" si="185"/>
        <v>8.3565868703186955E-2</v>
      </c>
      <c r="F72" s="6">
        <f t="shared" si="185"/>
        <v>7.2891178364455897E-2</v>
      </c>
      <c r="G72" s="6">
        <f t="shared" si="185"/>
        <v>0.20997273081417997</v>
      </c>
      <c r="H72" s="6">
        <f t="shared" si="185"/>
        <v>0.1005327773917072</v>
      </c>
      <c r="I72" s="6">
        <f t="shared" si="185"/>
        <v>0.26767091541135574</v>
      </c>
      <c r="J72" s="6">
        <f t="shared" si="185"/>
        <v>4.0980313378867012E-2</v>
      </c>
      <c r="K72" s="6">
        <f t="shared" si="185"/>
        <v>0.27008547008547007</v>
      </c>
      <c r="L72" s="6">
        <f t="shared" si="185"/>
        <v>0.24010554089709762</v>
      </c>
      <c r="M72" s="6">
        <f t="shared" si="185"/>
        <v>2.34375E-2</v>
      </c>
      <c r="N72" s="6">
        <f t="shared" si="185"/>
        <v>1.2754677754677755</v>
      </c>
      <c r="O72" s="6">
        <f t="shared" si="185"/>
        <v>0.23015294974508377</v>
      </c>
      <c r="P72" s="6">
        <f t="shared" si="185"/>
        <v>0.10630702102340341</v>
      </c>
      <c r="Q72" s="6">
        <f t="shared" si="185"/>
        <v>0.18918697185987365</v>
      </c>
      <c r="R72" s="6">
        <f t="shared" si="185"/>
        <v>0.22373228116323249</v>
      </c>
      <c r="S72" s="6">
        <f t="shared" si="185"/>
        <v>0.23015294974508377</v>
      </c>
      <c r="T72" s="6">
        <f t="shared" ref="T72" si="186">+ABS(T65/T64)</f>
        <v>3.8001607033133239E-2</v>
      </c>
      <c r="U72" s="6"/>
      <c r="V72" s="6"/>
      <c r="W72" s="6"/>
      <c r="X72" s="6"/>
      <c r="Y72" s="6"/>
      <c r="Z72" s="6"/>
      <c r="AB72" s="6"/>
      <c r="AD72" s="6"/>
      <c r="AK72" s="6">
        <f>_xlfn.RRI(10,AA51,AK51)</f>
        <v>0.2267693184610482</v>
      </c>
      <c r="AU72" s="6">
        <f>_xlfn.RRI(10,AL51,AU51)</f>
        <v>8.0646990036416177E-2</v>
      </c>
    </row>
    <row r="73" spans="2:247" x14ac:dyDescent="0.2">
      <c r="AD73" s="6"/>
    </row>
    <row r="74" spans="2:247" s="6" customFormat="1" x14ac:dyDescent="0.2">
      <c r="B74" s="16" t="s">
        <v>41</v>
      </c>
      <c r="G74" s="6">
        <f t="shared" ref="G74:T76" si="187">+G49/C49-1</f>
        <v>0.37403503740350375</v>
      </c>
      <c r="H74" s="6">
        <f t="shared" si="187"/>
        <v>0.15444630204601539</v>
      </c>
      <c r="I74" s="6">
        <f t="shared" si="187"/>
        <v>3.9830219426232549E-2</v>
      </c>
      <c r="J74" s="6">
        <f t="shared" si="187"/>
        <v>5.0664264805224679E-3</v>
      </c>
      <c r="K74" s="6">
        <f t="shared" si="187"/>
        <v>-1.8020211859247515E-2</v>
      </c>
      <c r="L74" s="6">
        <f t="shared" si="187"/>
        <v>-2.4636231984001111E-2</v>
      </c>
      <c r="M74" s="6">
        <f t="shared" si="187"/>
        <v>8.1347036956046281E-2</v>
      </c>
      <c r="N74" s="24">
        <f t="shared" si="187"/>
        <v>-1.2392181023860194E-2</v>
      </c>
      <c r="O74" s="24">
        <f t="shared" si="187"/>
        <v>9.317155256398868E-3</v>
      </c>
      <c r="P74" s="24">
        <f t="shared" si="187"/>
        <v>4.342907644719407E-2</v>
      </c>
      <c r="Q74" s="24">
        <f t="shared" si="187"/>
        <v>6.4560161779575242E-2</v>
      </c>
      <c r="R74" s="24">
        <f t="shared" si="187"/>
        <v>8.7507620762501626E-2</v>
      </c>
      <c r="S74" s="24">
        <f t="shared" si="187"/>
        <v>0</v>
      </c>
      <c r="T74" s="24">
        <f t="shared" si="187"/>
        <v>4.2976690608483636E-2</v>
      </c>
      <c r="U74" s="24"/>
      <c r="V74" s="24"/>
      <c r="W74" s="24"/>
      <c r="X74" s="24"/>
      <c r="Y74" s="24"/>
      <c r="Z74" s="24"/>
      <c r="AH74" s="6">
        <f t="shared" ref="AH74:AI76" si="188">+AH49/AG49-1</f>
        <v>0.34603635728891335</v>
      </c>
      <c r="AI74" s="6">
        <f t="shared" si="188"/>
        <v>0.11982493110714865</v>
      </c>
      <c r="AZ74" s="54" t="s">
        <v>129</v>
      </c>
      <c r="BA74" s="55">
        <v>0.03</v>
      </c>
      <c r="BB74" s="43"/>
      <c r="BC74" s="43"/>
      <c r="BD74" s="43"/>
      <c r="BE74" s="43"/>
      <c r="BF74" s="43"/>
      <c r="BG74" s="43"/>
      <c r="BH74" s="43"/>
      <c r="BI74" s="43"/>
    </row>
    <row r="75" spans="2:247" s="6" customFormat="1" x14ac:dyDescent="0.2">
      <c r="B75" s="16" t="s">
        <v>42</v>
      </c>
      <c r="G75" s="6">
        <f t="shared" si="187"/>
        <v>0.5181636964089138</v>
      </c>
      <c r="H75" s="6">
        <f t="shared" si="187"/>
        <v>0.42433019551049966</v>
      </c>
      <c r="I75" s="6">
        <f t="shared" si="187"/>
        <v>0.28970971386410271</v>
      </c>
      <c r="J75" s="6">
        <f t="shared" si="187"/>
        <v>0.21095799922934355</v>
      </c>
      <c r="K75" s="6">
        <f t="shared" si="187"/>
        <v>0.17563250827993016</v>
      </c>
      <c r="L75" s="6">
        <f t="shared" si="187"/>
        <v>0.17399593289273008</v>
      </c>
      <c r="M75" s="6">
        <f t="shared" si="187"/>
        <v>0.21140231693363853</v>
      </c>
      <c r="N75" s="24">
        <f t="shared" si="187"/>
        <v>0.19208739923631746</v>
      </c>
      <c r="O75" s="24">
        <f t="shared" si="187"/>
        <v>0.17316508026471511</v>
      </c>
      <c r="P75" s="24">
        <f t="shared" si="187"/>
        <v>0.16535981069920669</v>
      </c>
      <c r="Q75" s="24">
        <f t="shared" si="187"/>
        <v>0.179321438585617</v>
      </c>
      <c r="R75" s="24">
        <f t="shared" si="187"/>
        <v>0.1853876170986235</v>
      </c>
      <c r="S75" s="24">
        <f t="shared" si="187"/>
        <v>0</v>
      </c>
      <c r="T75" s="24">
        <f t="shared" si="187"/>
        <v>0.14673992382317413</v>
      </c>
      <c r="U75" s="24"/>
      <c r="V75" s="24"/>
      <c r="W75" s="24"/>
      <c r="X75" s="24"/>
      <c r="Y75" s="24"/>
      <c r="Z75" s="24"/>
      <c r="AH75" s="6">
        <f t="shared" si="188"/>
        <v>0.41656259886441216</v>
      </c>
      <c r="AI75" s="6">
        <f t="shared" si="188"/>
        <v>0.34020770030972858</v>
      </c>
      <c r="AZ75" s="56" t="s">
        <v>44</v>
      </c>
      <c r="BA75" s="57">
        <v>0.01</v>
      </c>
      <c r="BB75" s="65"/>
      <c r="BC75" s="65"/>
      <c r="BD75" s="65"/>
      <c r="BE75" s="65"/>
      <c r="BF75" s="65"/>
      <c r="BG75" s="65"/>
      <c r="BH75" s="65"/>
      <c r="BI75" s="65"/>
    </row>
    <row r="76" spans="2:247" s="8" customFormat="1" x14ac:dyDescent="0.2">
      <c r="B76" s="14" t="s">
        <v>40</v>
      </c>
      <c r="G76" s="8">
        <f t="shared" si="187"/>
        <v>0.43823888034777081</v>
      </c>
      <c r="H76" s="8">
        <f t="shared" si="187"/>
        <v>0.27181932697498645</v>
      </c>
      <c r="I76" s="8">
        <f t="shared" si="187"/>
        <v>0.15255083467679031</v>
      </c>
      <c r="J76" s="8">
        <f t="shared" si="187"/>
        <v>9.4436701047349692E-2</v>
      </c>
      <c r="K76" s="8">
        <f t="shared" si="187"/>
        <v>7.3038574245747334E-2</v>
      </c>
      <c r="L76" s="8">
        <f t="shared" si="187"/>
        <v>7.2108241952600016E-2</v>
      </c>
      <c r="M76" s="8">
        <f t="shared" si="187"/>
        <v>0.14699671515720314</v>
      </c>
      <c r="N76" s="23">
        <f t="shared" si="187"/>
        <v>8.5814921549791867E-2</v>
      </c>
      <c r="O76" s="23">
        <f t="shared" si="187"/>
        <v>9.3727456975026602E-2</v>
      </c>
      <c r="P76" s="23">
        <f t="shared" si="187"/>
        <v>0.10845967302901816</v>
      </c>
      <c r="Q76" s="23">
        <f t="shared" si="187"/>
        <v>0.125742519728405</v>
      </c>
      <c r="R76" s="23">
        <f t="shared" si="187"/>
        <v>0.13911825420230017</v>
      </c>
      <c r="S76" s="23">
        <f>+S51/O51-1</f>
        <v>0</v>
      </c>
      <c r="T76" s="23">
        <f>+T51/P51-1</f>
        <v>0.10115862869559389</v>
      </c>
      <c r="U76" s="23">
        <f>+U51/Q51-1</f>
        <v>0.1169948061680699</v>
      </c>
      <c r="V76" s="23">
        <f>+V51/R51-1</f>
        <v>0.12061810404458706</v>
      </c>
      <c r="W76" s="23"/>
      <c r="X76" s="23"/>
      <c r="Y76" s="23"/>
      <c r="Z76" s="23"/>
      <c r="AB76" s="6">
        <f t="shared" ref="AB76:AG76" si="189">+AB51/AA51-1</f>
        <v>0.1952398861011122</v>
      </c>
      <c r="AC76" s="6">
        <f t="shared" si="189"/>
        <v>0.20247673843664304</v>
      </c>
      <c r="AD76" s="6">
        <f t="shared" si="189"/>
        <v>0.27083528026465808</v>
      </c>
      <c r="AE76" s="6">
        <f t="shared" si="189"/>
        <v>0.30796326119408479</v>
      </c>
      <c r="AF76" s="6">
        <f t="shared" si="189"/>
        <v>0.3093396152159491</v>
      </c>
      <c r="AG76" s="6">
        <f t="shared" si="189"/>
        <v>0.20454125820676983</v>
      </c>
      <c r="AH76" s="6">
        <f t="shared" si="188"/>
        <v>0.37623430604373276</v>
      </c>
      <c r="AI76" s="6">
        <f t="shared" si="188"/>
        <v>0.21695366571345676</v>
      </c>
      <c r="AJ76" s="6">
        <f>+AJ51/AI51-1</f>
        <v>9.399517263985091E-2</v>
      </c>
      <c r="AK76" s="6">
        <f>+AK51/AJ51-1</f>
        <v>0.1182957412988368</v>
      </c>
      <c r="AL76" s="6">
        <f>+AL51/AK51-1</f>
        <v>8.8440619418509669E-2</v>
      </c>
      <c r="AM76" s="6">
        <f t="shared" ref="AM76:AU76" si="190">+AM51/AL51-1</f>
        <v>9.000000000000008E-2</v>
      </c>
      <c r="AN76" s="6">
        <f t="shared" si="190"/>
        <v>9.000000000000008E-2</v>
      </c>
      <c r="AO76" s="6">
        <f t="shared" si="190"/>
        <v>9.000000000000008E-2</v>
      </c>
      <c r="AP76" s="6">
        <f t="shared" si="190"/>
        <v>9.000000000000008E-2</v>
      </c>
      <c r="AQ76" s="6">
        <f t="shared" si="190"/>
        <v>9.000000000000008E-2</v>
      </c>
      <c r="AR76" s="6">
        <f t="shared" si="190"/>
        <v>9.000000000000008E-2</v>
      </c>
      <c r="AS76" s="6">
        <f t="shared" si="190"/>
        <v>9.000000000000008E-2</v>
      </c>
      <c r="AT76" s="6">
        <f t="shared" si="190"/>
        <v>9.000000000000008E-2</v>
      </c>
      <c r="AU76" s="6">
        <f t="shared" si="190"/>
        <v>9.000000000000008E-2</v>
      </c>
      <c r="AZ76" s="56" t="s">
        <v>43</v>
      </c>
      <c r="BA76" s="58">
        <v>7.0000000000000007E-2</v>
      </c>
      <c r="BB76" s="44"/>
      <c r="BC76" s="44"/>
      <c r="BD76" s="44"/>
      <c r="BE76" s="44"/>
      <c r="BF76" s="44"/>
      <c r="BG76" s="45"/>
      <c r="BH76" s="44"/>
      <c r="BI76" s="44"/>
    </row>
    <row r="77" spans="2:247" s="8" customFormat="1" x14ac:dyDescent="0.2">
      <c r="B77" s="14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Z77" s="59" t="s">
        <v>45</v>
      </c>
      <c r="BA77" s="60">
        <f>NPV(BA76,AL67:KB67)</f>
        <v>2305152.4590282622</v>
      </c>
      <c r="BB77" s="46"/>
      <c r="BC77" s="46"/>
      <c r="BD77" s="46"/>
      <c r="BE77" s="46"/>
      <c r="BF77" s="46"/>
      <c r="BG77" s="47"/>
      <c r="BH77" s="46"/>
      <c r="BI77" s="46"/>
    </row>
    <row r="78" spans="2:247" s="8" customFormat="1" x14ac:dyDescent="0.2">
      <c r="B78" s="16" t="s">
        <v>115</v>
      </c>
      <c r="C78" s="24">
        <f t="shared" ref="C78:J78" si="191">(C51-C52)/C51</f>
        <v>0.41344165827280921</v>
      </c>
      <c r="D78" s="24">
        <f t="shared" si="191"/>
        <v>0.40772899046247973</v>
      </c>
      <c r="E78" s="24">
        <f t="shared" si="191"/>
        <v>0.40604295595194756</v>
      </c>
      <c r="F78" s="24">
        <f t="shared" si="191"/>
        <v>0.36853171916689897</v>
      </c>
      <c r="G78" s="24">
        <f t="shared" si="191"/>
        <v>0.42495254243535635</v>
      </c>
      <c r="H78" s="24">
        <f t="shared" si="191"/>
        <v>0.43247258577997877</v>
      </c>
      <c r="I78" s="24">
        <f t="shared" si="191"/>
        <v>0.43210121647475003</v>
      </c>
      <c r="J78" s="24">
        <f t="shared" si="191"/>
        <v>0.39717783017494834</v>
      </c>
      <c r="K78" s="24">
        <f t="shared" ref="K78:V78" si="192">(K51-K52)/K51</f>
        <v>0.42891862182680085</v>
      </c>
      <c r="L78" s="24">
        <f t="shared" si="192"/>
        <v>0.4521008957883102</v>
      </c>
      <c r="M78" s="24">
        <f t="shared" si="192"/>
        <v>0.44714833085498934</v>
      </c>
      <c r="N78" s="24">
        <f t="shared" si="192"/>
        <v>0.42602075011393797</v>
      </c>
      <c r="O78" s="24">
        <f t="shared" si="192"/>
        <v>0.46771306082067871</v>
      </c>
      <c r="P78" s="24">
        <f t="shared" si="192"/>
        <v>0.48376654785203488</v>
      </c>
      <c r="Q78" s="24">
        <f t="shared" si="192"/>
        <v>0.47567495789157344</v>
      </c>
      <c r="R78" s="24">
        <f t="shared" si="192"/>
        <v>0.45544566106342044</v>
      </c>
      <c r="S78" s="37">
        <f t="shared" si="192"/>
        <v>0.46771306082067871</v>
      </c>
      <c r="T78" s="24">
        <f t="shared" si="192"/>
        <v>0.53119065800766341</v>
      </c>
      <c r="U78" s="24">
        <f t="shared" si="192"/>
        <v>0.5311906580076633</v>
      </c>
      <c r="V78" s="24">
        <f t="shared" si="192"/>
        <v>0.53119065800766341</v>
      </c>
      <c r="W78" s="23"/>
      <c r="X78" s="23"/>
      <c r="Y78" s="23"/>
      <c r="Z78" s="23"/>
      <c r="AG78" s="23">
        <f t="shared" ref="AG78:AU78" si="193">(AG51-AG52)/AG51</f>
        <v>0.40990011478600608</v>
      </c>
      <c r="AH78" s="23">
        <f t="shared" si="193"/>
        <v>0.3956779186870571</v>
      </c>
      <c r="AI78" s="23">
        <f t="shared" si="193"/>
        <v>0.42032514441639601</v>
      </c>
      <c r="AJ78" s="23">
        <f t="shared" si="193"/>
        <v>0.43805339865326287</v>
      </c>
      <c r="AK78" s="23">
        <f t="shared" si="193"/>
        <v>0.46982088955000567</v>
      </c>
      <c r="AL78" s="23">
        <f t="shared" si="193"/>
        <v>0.51826845550025791</v>
      </c>
      <c r="AM78" s="23">
        <f t="shared" si="193"/>
        <v>0.51826845550025791</v>
      </c>
      <c r="AN78" s="23">
        <f t="shared" si="193"/>
        <v>0.51826845550025802</v>
      </c>
      <c r="AO78" s="23">
        <f t="shared" si="193"/>
        <v>0.51826845550025791</v>
      </c>
      <c r="AP78" s="23">
        <f t="shared" si="193"/>
        <v>0.51826845550025802</v>
      </c>
      <c r="AQ78" s="23">
        <f t="shared" si="193"/>
        <v>0.51826845550025802</v>
      </c>
      <c r="AR78" s="23">
        <f t="shared" si="193"/>
        <v>0.51826845550025813</v>
      </c>
      <c r="AS78" s="23">
        <f t="shared" si="193"/>
        <v>0.51826845550025802</v>
      </c>
      <c r="AT78" s="23">
        <f t="shared" si="193"/>
        <v>0.51826845550025802</v>
      </c>
      <c r="AU78" s="23">
        <f t="shared" si="193"/>
        <v>0.51826845550025802</v>
      </c>
      <c r="AZ78" s="61" t="s">
        <v>127</v>
      </c>
      <c r="BA78" s="60">
        <f>Main!M10-Main!M11</f>
        <v>28466</v>
      </c>
      <c r="BB78" s="46"/>
      <c r="BC78" s="46"/>
      <c r="BD78" s="46"/>
      <c r="BE78" s="46"/>
      <c r="BF78" s="46"/>
      <c r="BG78" s="47"/>
      <c r="BH78" s="46"/>
      <c r="BI78" s="46"/>
    </row>
    <row r="79" spans="2:247" s="8" customFormat="1" x14ac:dyDescent="0.2">
      <c r="B79" s="16" t="s">
        <v>139</v>
      </c>
      <c r="C79" s="24">
        <f t="shared" ref="C79:J79" si="194">+C59/C51</f>
        <v>5.2868048560674334E-2</v>
      </c>
      <c r="D79" s="24">
        <f t="shared" si="194"/>
        <v>6.5716663667446468E-2</v>
      </c>
      <c r="E79" s="24">
        <f t="shared" si="194"/>
        <v>6.4423526964480726E-2</v>
      </c>
      <c r="F79" s="24">
        <f t="shared" si="194"/>
        <v>5.4740950181195493E-2</v>
      </c>
      <c r="G79" s="24">
        <f t="shared" si="194"/>
        <v>8.1691516614755155E-2</v>
      </c>
      <c r="H79" s="24">
        <f t="shared" si="194"/>
        <v>6.8111071807569867E-2</v>
      </c>
      <c r="I79" s="24">
        <f t="shared" si="194"/>
        <v>4.3785871566256365E-2</v>
      </c>
      <c r="J79" s="24">
        <f t="shared" si="194"/>
        <v>2.5179751404535267E-2</v>
      </c>
      <c r="K79" s="24">
        <f t="shared" ref="K79:V79" si="195">+K59/K51</f>
        <v>3.1508708048504003E-2</v>
      </c>
      <c r="L79" s="24">
        <f t="shared" si="195"/>
        <v>2.7360311463780786E-2</v>
      </c>
      <c r="M79" s="24">
        <f t="shared" si="195"/>
        <v>1.986609074672898E-2</v>
      </c>
      <c r="N79" s="24">
        <f t="shared" si="195"/>
        <v>1.8344012224873328E-2</v>
      </c>
      <c r="O79" s="24">
        <f t="shared" si="195"/>
        <v>3.7484885126964934E-2</v>
      </c>
      <c r="P79" s="24">
        <f t="shared" si="195"/>
        <v>5.7157527365812637E-2</v>
      </c>
      <c r="Q79" s="24">
        <f t="shared" si="195"/>
        <v>7.8192377850618167E-2</v>
      </c>
      <c r="R79" s="24">
        <f t="shared" si="195"/>
        <v>7.771782938438819E-2</v>
      </c>
      <c r="S79" s="37">
        <f t="shared" si="195"/>
        <v>3.7484885126964934E-2</v>
      </c>
      <c r="T79" s="24">
        <f t="shared" si="195"/>
        <v>0.14377234299924987</v>
      </c>
      <c r="U79" s="24">
        <f t="shared" si="195"/>
        <v>0.13311603636244251</v>
      </c>
      <c r="V79" s="24">
        <f t="shared" si="195"/>
        <v>0.11170243918719712</v>
      </c>
      <c r="W79" s="23"/>
      <c r="X79" s="23"/>
      <c r="Y79" s="23"/>
      <c r="Z79" s="23"/>
      <c r="AG79" s="24">
        <f>+AG59/AG51</f>
        <v>5.1835506662579051E-2</v>
      </c>
      <c r="AH79" s="24">
        <f t="shared" ref="AH79:AU79" si="196">+AH59/AH51</f>
        <v>5.9313999751336569E-2</v>
      </c>
      <c r="AI79" s="24">
        <f t="shared" si="196"/>
        <v>5.2954097509269465E-2</v>
      </c>
      <c r="AJ79" s="24">
        <f t="shared" si="196"/>
        <v>2.3829581912242232E-2</v>
      </c>
      <c r="AK79" s="24">
        <f t="shared" si="196"/>
        <v>6.4114407996033296E-2</v>
      </c>
      <c r="AL79" s="24">
        <f>+AL59/AL51</f>
        <v>0.10964974299376719</v>
      </c>
      <c r="AM79" s="24">
        <f t="shared" si="196"/>
        <v>0.12213529125992222</v>
      </c>
      <c r="AN79" s="24">
        <f t="shared" si="196"/>
        <v>0.12213529125992229</v>
      </c>
      <c r="AO79" s="24">
        <f t="shared" si="196"/>
        <v>0.12213529125992224</v>
      </c>
      <c r="AP79" s="24">
        <f t="shared" si="196"/>
        <v>0.1221352912599222</v>
      </c>
      <c r="AQ79" s="24">
        <f t="shared" si="196"/>
        <v>0.12213529125992215</v>
      </c>
      <c r="AR79" s="24">
        <f t="shared" si="196"/>
        <v>0.12213529125992229</v>
      </c>
      <c r="AS79" s="24">
        <f t="shared" si="196"/>
        <v>0.1221352912599223</v>
      </c>
      <c r="AT79" s="24">
        <f t="shared" si="196"/>
        <v>0.1221352912599223</v>
      </c>
      <c r="AU79" s="24">
        <f t="shared" si="196"/>
        <v>0.12213529125992219</v>
      </c>
      <c r="AZ79" s="61"/>
      <c r="BA79" s="60"/>
      <c r="BB79" s="46"/>
      <c r="BC79" s="46"/>
      <c r="BD79" s="46"/>
      <c r="BE79" s="46"/>
      <c r="BF79" s="46"/>
      <c r="BG79" s="47"/>
      <c r="BH79" s="46"/>
      <c r="BI79" s="46"/>
    </row>
    <row r="80" spans="2:247" s="6" customFormat="1" x14ac:dyDescent="0.2">
      <c r="B80" s="16" t="s">
        <v>116</v>
      </c>
      <c r="C80" s="24">
        <f t="shared" ref="C80:J80" si="197">+C52/C51</f>
        <v>0.58655834172719079</v>
      </c>
      <c r="D80" s="24">
        <f t="shared" si="197"/>
        <v>0.59227100953752021</v>
      </c>
      <c r="E80" s="24">
        <f t="shared" si="197"/>
        <v>0.59395704404805238</v>
      </c>
      <c r="F80" s="24">
        <f t="shared" si="197"/>
        <v>0.63146828083310103</v>
      </c>
      <c r="G80" s="24">
        <f t="shared" si="197"/>
        <v>0.5750474575646437</v>
      </c>
      <c r="H80" s="24">
        <f t="shared" si="197"/>
        <v>0.56752741422002118</v>
      </c>
      <c r="I80" s="24">
        <f t="shared" si="197"/>
        <v>0.56789878352525003</v>
      </c>
      <c r="J80" s="24">
        <f t="shared" si="197"/>
        <v>0.60282216982505166</v>
      </c>
      <c r="K80" s="24">
        <f t="shared" ref="K80:V80" si="198">+K52/K51</f>
        <v>0.57108137817319915</v>
      </c>
      <c r="L80" s="24">
        <f t="shared" si="198"/>
        <v>0.54789910421168975</v>
      </c>
      <c r="M80" s="24">
        <f t="shared" si="198"/>
        <v>0.55285166914501072</v>
      </c>
      <c r="N80" s="24">
        <f t="shared" si="198"/>
        <v>0.57397924988606208</v>
      </c>
      <c r="O80" s="24">
        <f t="shared" si="198"/>
        <v>0.53228693917932124</v>
      </c>
      <c r="P80" s="24">
        <f t="shared" si="198"/>
        <v>0.51623345214796512</v>
      </c>
      <c r="Q80" s="24">
        <f t="shared" si="198"/>
        <v>0.52432504210842656</v>
      </c>
      <c r="R80" s="24">
        <f t="shared" si="198"/>
        <v>0.54455433893657956</v>
      </c>
      <c r="S80" s="24">
        <f t="shared" si="198"/>
        <v>0.53228693917932124</v>
      </c>
      <c r="T80" s="24">
        <f t="shared" si="198"/>
        <v>0.46880934199233665</v>
      </c>
      <c r="U80" s="24">
        <f t="shared" si="198"/>
        <v>0.46880934199233665</v>
      </c>
      <c r="V80" s="24">
        <f t="shared" si="198"/>
        <v>0.46880934199233665</v>
      </c>
      <c r="W80" s="24"/>
      <c r="X80" s="24"/>
      <c r="Y80" s="24"/>
      <c r="Z80" s="24"/>
      <c r="AG80" s="24">
        <f>+AG52/AG51</f>
        <v>0.59009988521399392</v>
      </c>
      <c r="AH80" s="24">
        <f>+AH52/AH51</f>
        <v>0.60432208131294296</v>
      </c>
      <c r="AI80" s="24">
        <f>+AI52/AI51</f>
        <v>0.57967485558360399</v>
      </c>
      <c r="AJ80" s="27">
        <f>+AJ52/AJ51</f>
        <v>0.56194660134673713</v>
      </c>
      <c r="AK80" s="27">
        <v>0.57008747832909901</v>
      </c>
      <c r="AL80" s="27">
        <v>0.57008747832909901</v>
      </c>
      <c r="AM80" s="27">
        <v>0.57008747832909901</v>
      </c>
      <c r="AN80" s="27">
        <v>0.57008747832909901</v>
      </c>
      <c r="AO80" s="27">
        <v>0.57008747832909901</v>
      </c>
      <c r="AP80" s="27">
        <v>0.57008747832909901</v>
      </c>
      <c r="AQ80" s="27">
        <v>0.57008747832909901</v>
      </c>
      <c r="AR80" s="27">
        <v>0.57008747832909901</v>
      </c>
      <c r="AS80" s="27">
        <v>0.57008747832909901</v>
      </c>
      <c r="AT80" s="27">
        <v>0.57008747832909901</v>
      </c>
      <c r="AU80" s="27">
        <v>0.57008747832909901</v>
      </c>
      <c r="AZ80" s="62" t="s">
        <v>128</v>
      </c>
      <c r="BA80" s="60">
        <f>SUM(BA77:BA78)</f>
        <v>2333618.4590282622</v>
      </c>
      <c r="BB80" s="46"/>
      <c r="BC80" s="46"/>
      <c r="BD80" s="46"/>
      <c r="BE80" s="46"/>
      <c r="BF80" s="46"/>
      <c r="BG80" s="47"/>
      <c r="BH80" s="46"/>
      <c r="BI80" s="46"/>
    </row>
    <row r="81" spans="2:61" s="6" customFormat="1" x14ac:dyDescent="0.2">
      <c r="B81" s="16" t="s">
        <v>117</v>
      </c>
      <c r="C81" s="24">
        <f t="shared" ref="C81:J81" si="199">+C53/C51</f>
        <v>0.15282563749138525</v>
      </c>
      <c r="D81" s="24">
        <f t="shared" si="199"/>
        <v>0.15527712794673384</v>
      </c>
      <c r="E81" s="24">
        <f t="shared" si="199"/>
        <v>0.15294607103853555</v>
      </c>
      <c r="F81" s="24">
        <f t="shared" si="199"/>
        <v>0.1471387041535582</v>
      </c>
      <c r="G81" s="24">
        <f t="shared" si="199"/>
        <v>0.15232495991448422</v>
      </c>
      <c r="H81" s="24">
        <f t="shared" si="199"/>
        <v>0.15597806862398303</v>
      </c>
      <c r="I81" s="24">
        <f t="shared" si="199"/>
        <v>0.16693137927300292</v>
      </c>
      <c r="J81" s="24">
        <f t="shared" si="199"/>
        <v>0.16334090181352429</v>
      </c>
      <c r="K81" s="24">
        <f t="shared" ref="K81:V81" si="200">+K53/K51</f>
        <v>0.17408367970870117</v>
      </c>
      <c r="L81" s="24">
        <f t="shared" si="200"/>
        <v>0.1677912136859297</v>
      </c>
      <c r="M81" s="24">
        <f t="shared" si="200"/>
        <v>0.16194207756036538</v>
      </c>
      <c r="N81" s="24">
        <f t="shared" si="200"/>
        <v>0.15484169325219163</v>
      </c>
      <c r="O81" s="24">
        <f t="shared" si="200"/>
        <v>0.16414359521977417</v>
      </c>
      <c r="P81" s="24">
        <f t="shared" si="200"/>
        <v>0.15853939858464242</v>
      </c>
      <c r="Q81" s="24">
        <f t="shared" si="200"/>
        <v>0.15595144077213924</v>
      </c>
      <c r="R81" s="24">
        <f t="shared" si="200"/>
        <v>0.15353522278640394</v>
      </c>
      <c r="S81" s="24">
        <f t="shared" si="200"/>
        <v>0.16414359521977417</v>
      </c>
      <c r="T81" s="24">
        <f t="shared" si="200"/>
        <v>0.14397507720794447</v>
      </c>
      <c r="U81" s="24">
        <f t="shared" si="200"/>
        <v>0.14397507720794447</v>
      </c>
      <c r="V81" s="24">
        <f t="shared" si="200"/>
        <v>0.14397507720794447</v>
      </c>
      <c r="W81" s="24"/>
      <c r="X81" s="24"/>
      <c r="Y81" s="24"/>
      <c r="Z81" s="24"/>
      <c r="AG81" s="24">
        <f>+AG53/AG51</f>
        <v>0.14341834152045116</v>
      </c>
      <c r="AH81" s="24">
        <f>+AH53/AH51</f>
        <v>0.15157331426913673</v>
      </c>
      <c r="AI81" s="24">
        <f>+AI53/AI51</f>
        <v>0.15987118525739535</v>
      </c>
      <c r="AJ81" s="27">
        <f>+AJ53/AJ51</f>
        <v>0.16401126107283703</v>
      </c>
      <c r="AK81" s="27">
        <v>0.16</v>
      </c>
      <c r="AL81" s="27">
        <f>+AK81-0.001</f>
        <v>0.159</v>
      </c>
      <c r="AM81" s="27">
        <f t="shared" ref="AM81:AU81" si="201">+AL81-0.001</f>
        <v>0.158</v>
      </c>
      <c r="AN81" s="27">
        <f t="shared" si="201"/>
        <v>0.157</v>
      </c>
      <c r="AO81" s="27">
        <f t="shared" si="201"/>
        <v>0.156</v>
      </c>
      <c r="AP81" s="27">
        <f t="shared" si="201"/>
        <v>0.155</v>
      </c>
      <c r="AQ81" s="27">
        <f t="shared" si="201"/>
        <v>0.154</v>
      </c>
      <c r="AR81" s="27">
        <f t="shared" si="201"/>
        <v>0.153</v>
      </c>
      <c r="AS81" s="27">
        <f t="shared" si="201"/>
        <v>0.152</v>
      </c>
      <c r="AT81" s="27">
        <f t="shared" si="201"/>
        <v>0.151</v>
      </c>
      <c r="AU81" s="27">
        <f t="shared" si="201"/>
        <v>0.15</v>
      </c>
      <c r="AZ81" s="59" t="s">
        <v>46</v>
      </c>
      <c r="BA81" s="60">
        <f>+BA80/Main!$M$8</f>
        <v>222.34325077312249</v>
      </c>
      <c r="BB81" s="46"/>
      <c r="BC81" s="46"/>
      <c r="BD81" s="46"/>
      <c r="BE81" s="46"/>
      <c r="BF81" s="46"/>
      <c r="BG81" s="47"/>
      <c r="BH81" s="46"/>
      <c r="BI81" s="46"/>
    </row>
    <row r="82" spans="2:61" s="6" customFormat="1" x14ac:dyDescent="0.2">
      <c r="B82" s="16" t="s">
        <v>118</v>
      </c>
      <c r="C82" s="24">
        <f t="shared" ref="C82:J82" si="202">+C54/C51</f>
        <v>0.12358850660022266</v>
      </c>
      <c r="D82" s="24">
        <f t="shared" si="202"/>
        <v>0.11683462299802051</v>
      </c>
      <c r="E82" s="24">
        <f t="shared" si="202"/>
        <v>0.11416090280305788</v>
      </c>
      <c r="F82" s="24">
        <f t="shared" si="202"/>
        <v>9.5965911353590061E-2</v>
      </c>
      <c r="G82" s="24">
        <f t="shared" si="202"/>
        <v>0.11507768296503806</v>
      </c>
      <c r="H82" s="24">
        <f t="shared" si="202"/>
        <v>0.12266536964980544</v>
      </c>
      <c r="I82" s="24">
        <f t="shared" si="202"/>
        <v>0.12976933906075155</v>
      </c>
      <c r="J82" s="24">
        <f t="shared" si="202"/>
        <v>0.11143859342706605</v>
      </c>
      <c r="K82" s="24">
        <f t="shared" ref="K82:V82" si="203">+K54/K51</f>
        <v>0.12746041015423723</v>
      </c>
      <c r="L82" s="24">
        <f t="shared" si="203"/>
        <v>0.14906709338964316</v>
      </c>
      <c r="M82" s="24">
        <f t="shared" si="203"/>
        <v>0.15330327849505512</v>
      </c>
      <c r="N82" s="24">
        <f t="shared" si="203"/>
        <v>0.13950028149379373</v>
      </c>
      <c r="O82" s="24">
        <f t="shared" si="203"/>
        <v>0.16057098886603119</v>
      </c>
      <c r="P82" s="24">
        <f t="shared" si="203"/>
        <v>0.16319772590282997</v>
      </c>
      <c r="Q82" s="24">
        <f t="shared" si="203"/>
        <v>0.14818671680073803</v>
      </c>
      <c r="R82" s="24">
        <f t="shared" si="203"/>
        <v>0.12966504080347843</v>
      </c>
      <c r="S82" s="24">
        <f t="shared" si="203"/>
        <v>0.16057098886603119</v>
      </c>
      <c r="T82" s="24">
        <f t="shared" si="203"/>
        <v>0.14820546436270501</v>
      </c>
      <c r="U82" s="24">
        <f t="shared" si="203"/>
        <v>0.14820546436270501</v>
      </c>
      <c r="V82" s="24">
        <f t="shared" si="203"/>
        <v>0.14820546436270501</v>
      </c>
      <c r="W82" s="24"/>
      <c r="X82" s="24"/>
      <c r="Y82" s="24"/>
      <c r="Z82" s="24"/>
      <c r="AG82" s="24">
        <f>+AG54/AG51</f>
        <v>0.12808621070718162</v>
      </c>
      <c r="AH82" s="24">
        <f>+AH54/AH51</f>
        <v>0.11070703303079282</v>
      </c>
      <c r="AI82" s="24">
        <f>+AI54/AI51</f>
        <v>0.11930475797216818</v>
      </c>
      <c r="AJ82" s="27">
        <f>+AJ54/AJ51</f>
        <v>0.14244245432241923</v>
      </c>
      <c r="AK82" s="27">
        <f>+AJ82-0.001</f>
        <v>0.14144245432241923</v>
      </c>
      <c r="AL82" s="27">
        <f>+AK82-0.001</f>
        <v>0.14044245432241922</v>
      </c>
      <c r="AM82" s="27">
        <f t="shared" ref="AM82:AU82" si="204">+AL82-0.001</f>
        <v>0.13944245432241922</v>
      </c>
      <c r="AN82" s="27">
        <f t="shared" si="204"/>
        <v>0.13844245432241922</v>
      </c>
      <c r="AO82" s="27">
        <f t="shared" si="204"/>
        <v>0.13744245432241922</v>
      </c>
      <c r="AP82" s="27">
        <f t="shared" si="204"/>
        <v>0.13644245432241922</v>
      </c>
      <c r="AQ82" s="27">
        <f t="shared" si="204"/>
        <v>0.13544245432241922</v>
      </c>
      <c r="AR82" s="27">
        <f t="shared" si="204"/>
        <v>0.13444245432241922</v>
      </c>
      <c r="AS82" s="27">
        <f t="shared" si="204"/>
        <v>0.13344245432241922</v>
      </c>
      <c r="AT82" s="27">
        <f t="shared" si="204"/>
        <v>0.13244245432241922</v>
      </c>
      <c r="AU82" s="27">
        <f t="shared" si="204"/>
        <v>0.13144245432241922</v>
      </c>
      <c r="AZ82" s="59" t="s">
        <v>47</v>
      </c>
      <c r="BA82" s="60">
        <f>+Main!M7</f>
        <v>193.88</v>
      </c>
      <c r="BB82" s="48"/>
      <c r="BC82" s="48"/>
      <c r="BD82" s="48"/>
      <c r="BE82" s="48"/>
      <c r="BF82" s="48"/>
      <c r="BG82" s="49"/>
      <c r="BH82" s="48"/>
      <c r="BI82" s="48"/>
    </row>
    <row r="83" spans="2:61" s="6" customFormat="1" x14ac:dyDescent="0.2">
      <c r="B83" s="16" t="s">
        <v>119</v>
      </c>
      <c r="C83" s="24">
        <f t="shared" ref="C83:J83" si="205">+C55/C51</f>
        <v>6.3987700789906163E-2</v>
      </c>
      <c r="D83" s="24">
        <f t="shared" si="205"/>
        <v>4.8868544178513586E-2</v>
      </c>
      <c r="E83" s="24">
        <f t="shared" si="205"/>
        <v>5.6518799729575124E-2</v>
      </c>
      <c r="F83" s="24">
        <f t="shared" si="205"/>
        <v>5.8962207797379637E-2</v>
      </c>
      <c r="G83" s="24">
        <f t="shared" si="205"/>
        <v>5.7197884221972389E-2</v>
      </c>
      <c r="H83" s="24">
        <f t="shared" si="205"/>
        <v>6.6536964980544747E-2</v>
      </c>
      <c r="I83" s="24">
        <f t="shared" si="205"/>
        <v>7.2284590116593869E-2</v>
      </c>
      <c r="J83" s="24">
        <f t="shared" si="205"/>
        <v>7.8668529677175206E-2</v>
      </c>
      <c r="K83" s="24">
        <f t="shared" ref="K83:V83" si="206">+K55/K51</f>
        <v>7.1450654391810656E-2</v>
      </c>
      <c r="L83" s="24">
        <f t="shared" si="206"/>
        <v>8.3194483395747074E-2</v>
      </c>
      <c r="M83" s="24">
        <f t="shared" si="206"/>
        <v>8.6655494449296225E-2</v>
      </c>
      <c r="N83" s="24">
        <f t="shared" si="206"/>
        <v>8.5909224953754595E-2</v>
      </c>
      <c r="O83" s="24">
        <f t="shared" si="206"/>
        <v>7.9869344681920251E-2</v>
      </c>
      <c r="P83" s="24">
        <f t="shared" si="206"/>
        <v>7.9958030405631667E-2</v>
      </c>
      <c r="Q83" s="24">
        <f t="shared" si="206"/>
        <v>7.3740416401668965E-2</v>
      </c>
      <c r="R83" s="24">
        <f t="shared" si="206"/>
        <v>7.5911532645724603E-2</v>
      </c>
      <c r="S83" s="24">
        <f t="shared" si="206"/>
        <v>7.9869344681920251E-2</v>
      </c>
      <c r="T83" s="24">
        <f t="shared" si="206"/>
        <v>7.2612635747447238E-2</v>
      </c>
      <c r="U83" s="24">
        <f t="shared" si="206"/>
        <v>7.2612635747447238E-2</v>
      </c>
      <c r="V83" s="24">
        <f t="shared" si="206"/>
        <v>7.2612635747447238E-2</v>
      </c>
      <c r="W83" s="24"/>
      <c r="X83" s="24"/>
      <c r="Y83" s="24"/>
      <c r="Z83" s="24"/>
      <c r="AG83" s="24">
        <f>+AG55/AG51</f>
        <v>6.7295969656568824E-2</v>
      </c>
      <c r="AH83" s="24">
        <f>+AH55/AH51</f>
        <v>5.7006092254134028E-2</v>
      </c>
      <c r="AI83" s="24">
        <f>+AI55/AI51</f>
        <v>6.9283686161993263E-2</v>
      </c>
      <c r="AJ83" s="27">
        <f>+AJ55/AJ51</f>
        <v>8.2177815219569517E-2</v>
      </c>
      <c r="AK83" s="27">
        <v>7.0000000000000007E-2</v>
      </c>
      <c r="AL83" s="27">
        <f>+AK83-0.001</f>
        <v>6.9000000000000006E-2</v>
      </c>
      <c r="AM83" s="27">
        <f t="shared" ref="AM83:AU83" si="207">+AL83-0.001</f>
        <v>6.8000000000000005E-2</v>
      </c>
      <c r="AN83" s="27">
        <f t="shared" si="207"/>
        <v>6.7000000000000004E-2</v>
      </c>
      <c r="AO83" s="27">
        <f t="shared" si="207"/>
        <v>6.6000000000000003E-2</v>
      </c>
      <c r="AP83" s="27">
        <f t="shared" si="207"/>
        <v>6.5000000000000002E-2</v>
      </c>
      <c r="AQ83" s="27">
        <f t="shared" si="207"/>
        <v>6.4000000000000001E-2</v>
      </c>
      <c r="AR83" s="27">
        <f t="shared" si="207"/>
        <v>6.3E-2</v>
      </c>
      <c r="AS83" s="27">
        <f t="shared" si="207"/>
        <v>6.2E-2</v>
      </c>
      <c r="AT83" s="27">
        <f t="shared" si="207"/>
        <v>6.0999999999999999E-2</v>
      </c>
      <c r="AU83" s="27">
        <f t="shared" si="207"/>
        <v>0.06</v>
      </c>
      <c r="AZ83" s="63" t="s">
        <v>122</v>
      </c>
      <c r="BA83" s="64">
        <f>+BA81/BA82-1</f>
        <v>0.14680859693172321</v>
      </c>
      <c r="BB83" s="50"/>
      <c r="BC83" s="50"/>
      <c r="BD83" s="50"/>
      <c r="BE83" s="50"/>
      <c r="BF83" s="50"/>
      <c r="BG83" s="51"/>
      <c r="BH83" s="50"/>
      <c r="BI83" s="50"/>
    </row>
    <row r="84" spans="2:61" s="6" customFormat="1" x14ac:dyDescent="0.2">
      <c r="B84" s="16" t="s">
        <v>120</v>
      </c>
      <c r="C84" s="24">
        <f t="shared" ref="C84:J84" si="208">+C56/C51</f>
        <v>1.924402268992207E-2</v>
      </c>
      <c r="D84" s="24">
        <f t="shared" si="208"/>
        <v>1.7770379701277667E-2</v>
      </c>
      <c r="E84" s="24">
        <f t="shared" si="208"/>
        <v>1.7348796089240209E-2</v>
      </c>
      <c r="F84" s="24">
        <f t="shared" si="208"/>
        <v>1.5674405638963003E-2</v>
      </c>
      <c r="G84" s="24">
        <f t="shared" si="208"/>
        <v>1.8310326397464015E-2</v>
      </c>
      <c r="H84" s="24">
        <f t="shared" si="208"/>
        <v>1.9083834453484258E-2</v>
      </c>
      <c r="I84" s="24">
        <f t="shared" si="208"/>
        <v>1.9429303685521423E-2</v>
      </c>
      <c r="J84" s="24">
        <f t="shared" si="208"/>
        <v>1.8375396617471545E-2</v>
      </c>
      <c r="K84" s="24">
        <f t="shared" ref="K84:V84" si="209">+K56/K51</f>
        <v>2.2276802583215967E-2</v>
      </c>
      <c r="L84" s="24">
        <f t="shared" si="209"/>
        <v>2.3945427850273027E-2</v>
      </c>
      <c r="M84" s="24">
        <f t="shared" si="209"/>
        <v>2.4083209416133625E-2</v>
      </c>
      <c r="N84" s="24">
        <f t="shared" si="209"/>
        <v>2.2338543202595106E-2</v>
      </c>
      <c r="O84" s="24">
        <f t="shared" si="209"/>
        <v>2.3893277218549287E-2</v>
      </c>
      <c r="P84" s="24">
        <f t="shared" si="209"/>
        <v>2.3827418646703825E-2</v>
      </c>
      <c r="Q84" s="24">
        <f t="shared" si="209"/>
        <v>1.7898702151897851E-2</v>
      </c>
      <c r="R84" s="24">
        <f t="shared" si="209"/>
        <v>1.7709945222727567E-2</v>
      </c>
      <c r="S84" s="24">
        <f t="shared" si="209"/>
        <v>2.3893277218549287E-2</v>
      </c>
      <c r="T84" s="24">
        <f t="shared" si="209"/>
        <v>2.1638497874669711E-2</v>
      </c>
      <c r="U84" s="24">
        <f t="shared" si="209"/>
        <v>2.1638497874669711E-2</v>
      </c>
      <c r="V84" s="24">
        <f t="shared" si="209"/>
        <v>2.1638497874669711E-2</v>
      </c>
      <c r="W84" s="24"/>
      <c r="X84" s="24"/>
      <c r="Y84" s="24"/>
      <c r="Z84" s="24"/>
      <c r="AG84" s="24">
        <f>+AG56/AG51</f>
        <v>1.8547564896870834E-2</v>
      </c>
      <c r="AH84" s="24">
        <f>+AH56/AH51</f>
        <v>1.7271747689502258E-2</v>
      </c>
      <c r="AI84" s="24">
        <f>+AI56/AI51</f>
        <v>1.8779452643767215E-2</v>
      </c>
      <c r="AJ84" s="27">
        <f>+AJ56/AJ51</f>
        <v>2.3135006410717866E-2</v>
      </c>
      <c r="AK84" s="27">
        <v>2.2010299051950399E-2</v>
      </c>
      <c r="AL84" s="27">
        <f>+AK84-0.002</f>
        <v>2.0010299051950398E-2</v>
      </c>
      <c r="AM84" s="27">
        <f t="shared" ref="AM84" si="210">+AL84-0.002</f>
        <v>1.8010299051950396E-2</v>
      </c>
      <c r="AN84" s="27">
        <f>+AM84</f>
        <v>1.8010299051950396E-2</v>
      </c>
      <c r="AO84" s="27">
        <f t="shared" ref="AO84:AU84" si="211">+AN84</f>
        <v>1.8010299051950396E-2</v>
      </c>
      <c r="AP84" s="27">
        <f t="shared" si="211"/>
        <v>1.8010299051950396E-2</v>
      </c>
      <c r="AQ84" s="27">
        <f t="shared" si="211"/>
        <v>1.8010299051950396E-2</v>
      </c>
      <c r="AR84" s="27">
        <f t="shared" si="211"/>
        <v>1.8010299051950396E-2</v>
      </c>
      <c r="AS84" s="27">
        <f t="shared" si="211"/>
        <v>1.8010299051950396E-2</v>
      </c>
      <c r="AT84" s="27">
        <f t="shared" si="211"/>
        <v>1.8010299051950396E-2</v>
      </c>
      <c r="AU84" s="27">
        <f t="shared" si="211"/>
        <v>1.8010299051950396E-2</v>
      </c>
    </row>
    <row r="85" spans="2:61" s="6" customFormat="1" x14ac:dyDescent="0.2">
      <c r="B85" s="16"/>
      <c r="BA85" s="52"/>
      <c r="BE85" s="2"/>
      <c r="BF85" s="5"/>
      <c r="BG85" s="20"/>
    </row>
    <row r="86" spans="2:61" x14ac:dyDescent="0.2">
      <c r="AZ86" s="2" t="s">
        <v>6</v>
      </c>
      <c r="BA86" s="2">
        <f>+Main!M12</f>
        <v>2006414.5068882802</v>
      </c>
      <c r="BB86" s="40"/>
      <c r="BE86" s="5"/>
      <c r="BF86" s="5"/>
      <c r="BG86" s="53"/>
    </row>
    <row r="87" spans="2:61" s="5" customFormat="1" x14ac:dyDescent="0.2">
      <c r="B87" s="13" t="s">
        <v>73</v>
      </c>
      <c r="F87" s="5">
        <f t="shared" ref="F87:S87" si="212">+SUM(F88:F89)-F104</f>
        <v>52580</v>
      </c>
      <c r="G87" s="5">
        <f t="shared" si="212"/>
        <v>41402</v>
      </c>
      <c r="H87" s="5">
        <f t="shared" si="212"/>
        <v>39615</v>
      </c>
      <c r="I87" s="5">
        <f t="shared" si="212"/>
        <v>28933</v>
      </c>
      <c r="J87" s="5">
        <f t="shared" si="212"/>
        <v>47305</v>
      </c>
      <c r="K87" s="5">
        <f t="shared" si="212"/>
        <v>18829</v>
      </c>
      <c r="L87" s="5">
        <f t="shared" si="212"/>
        <v>2657</v>
      </c>
      <c r="M87" s="5">
        <f t="shared" si="212"/>
        <v>47305</v>
      </c>
      <c r="N87" s="5">
        <f t="shared" si="212"/>
        <v>0</v>
      </c>
      <c r="O87" s="5">
        <f t="shared" si="212"/>
        <v>0</v>
      </c>
      <c r="P87" s="5">
        <f t="shared" si="212"/>
        <v>0</v>
      </c>
      <c r="Q87" s="5">
        <f t="shared" si="212"/>
        <v>0</v>
      </c>
      <c r="R87" s="5">
        <f t="shared" si="212"/>
        <v>85074</v>
      </c>
      <c r="S87" s="5">
        <f t="shared" si="212"/>
        <v>28466</v>
      </c>
      <c r="AK87" s="5">
        <f>+S87</f>
        <v>28466</v>
      </c>
      <c r="AL87" s="5">
        <f t="shared" ref="AL87:AU87" si="213">+AK87+AL67</f>
        <v>92670</v>
      </c>
      <c r="AM87" s="5">
        <f t="shared" si="213"/>
        <v>170354.59322440432</v>
      </c>
      <c r="AN87" s="5">
        <f t="shared" si="213"/>
        <v>257029.94913052904</v>
      </c>
      <c r="AO87" s="5">
        <f t="shared" si="213"/>
        <v>353562.22941742738</v>
      </c>
      <c r="AP87" s="5">
        <f t="shared" si="213"/>
        <v>460897.1751324939</v>
      </c>
      <c r="AQ87" s="5">
        <f t="shared" si="213"/>
        <v>580067.31513354764</v>
      </c>
      <c r="AR87" s="5">
        <f t="shared" si="213"/>
        <v>712199.82463304501</v>
      </c>
      <c r="AS87" s="5">
        <f t="shared" si="213"/>
        <v>858525.0923694591</v>
      </c>
      <c r="AT87" s="5">
        <f t="shared" si="213"/>
        <v>1020386.0602209936</v>
      </c>
      <c r="AU87" s="5">
        <f t="shared" si="213"/>
        <v>1199248.4048212627</v>
      </c>
      <c r="AZ87" s="5" t="s">
        <v>196</v>
      </c>
      <c r="BA87" s="66">
        <f>+$BA$86/AL67</f>
        <v>31.250615333753039</v>
      </c>
      <c r="BB87" s="41"/>
    </row>
    <row r="88" spans="2:61" x14ac:dyDescent="0.2">
      <c r="B88" s="10" t="s">
        <v>4</v>
      </c>
      <c r="F88" s="2">
        <v>42122</v>
      </c>
      <c r="G88" s="2">
        <v>33834</v>
      </c>
      <c r="H88" s="2">
        <v>40380</v>
      </c>
      <c r="I88" s="2">
        <v>29944</v>
      </c>
      <c r="J88" s="2">
        <v>36220</v>
      </c>
      <c r="K88" s="2">
        <v>36393</v>
      </c>
      <c r="L88" s="2">
        <v>37478</v>
      </c>
      <c r="M88" s="2">
        <v>36220</v>
      </c>
      <c r="R88" s="2">
        <v>72852</v>
      </c>
      <c r="S88" s="2">
        <v>73387</v>
      </c>
      <c r="AZ88" s="5" t="s">
        <v>197</v>
      </c>
      <c r="BA88" s="66">
        <f>+$BA$86/AM67</f>
        <v>25.827701782416916</v>
      </c>
      <c r="BB88" s="41"/>
    </row>
    <row r="89" spans="2:61" x14ac:dyDescent="0.2">
      <c r="B89" s="10" t="s">
        <v>51</v>
      </c>
      <c r="F89" s="2">
        <v>42274</v>
      </c>
      <c r="G89" s="2">
        <v>39436</v>
      </c>
      <c r="H89" s="2">
        <v>49514</v>
      </c>
      <c r="I89" s="2">
        <v>49044</v>
      </c>
      <c r="J89" s="2">
        <v>59829</v>
      </c>
      <c r="K89" s="2">
        <v>29992</v>
      </c>
      <c r="L89" s="2">
        <v>23232</v>
      </c>
      <c r="M89" s="2">
        <v>59829</v>
      </c>
      <c r="R89" s="2">
        <v>12222</v>
      </c>
      <c r="S89" s="2">
        <v>13393</v>
      </c>
    </row>
    <row r="90" spans="2:61" x14ac:dyDescent="0.2">
      <c r="B90" s="10" t="s">
        <v>52</v>
      </c>
      <c r="F90" s="2">
        <v>23795</v>
      </c>
      <c r="G90" s="2">
        <v>23849</v>
      </c>
      <c r="H90" s="2">
        <v>24119</v>
      </c>
      <c r="I90" s="2">
        <v>30933</v>
      </c>
      <c r="J90" s="2">
        <v>32640</v>
      </c>
      <c r="K90" s="2">
        <v>34987</v>
      </c>
      <c r="L90" s="5">
        <v>38153</v>
      </c>
      <c r="M90" s="2">
        <v>32640</v>
      </c>
      <c r="S90" s="2">
        <v>33318</v>
      </c>
      <c r="AZ90" s="5" t="s">
        <v>198</v>
      </c>
    </row>
    <row r="91" spans="2:61" x14ac:dyDescent="0.2">
      <c r="B91" s="10" t="s">
        <v>53</v>
      </c>
      <c r="F91" s="2">
        <v>24542</v>
      </c>
      <c r="G91" s="2">
        <v>24289</v>
      </c>
      <c r="H91" s="2">
        <v>26835</v>
      </c>
      <c r="I91" s="2">
        <v>28610</v>
      </c>
      <c r="J91" s="2">
        <v>32891</v>
      </c>
      <c r="K91" s="2">
        <v>32504</v>
      </c>
      <c r="L91" s="2">
        <v>34804</v>
      </c>
      <c r="M91" s="2">
        <v>32891</v>
      </c>
      <c r="S91" s="2">
        <v>52253</v>
      </c>
    </row>
    <row r="92" spans="2:61" s="5" customFormat="1" x14ac:dyDescent="0.2">
      <c r="B92" s="13" t="s">
        <v>54</v>
      </c>
      <c r="F92" s="5">
        <f t="shared" ref="F92:L92" si="214">+SUM(F88:F91)</f>
        <v>132733</v>
      </c>
      <c r="G92" s="5">
        <f t="shared" si="214"/>
        <v>121408</v>
      </c>
      <c r="H92" s="5">
        <f t="shared" si="214"/>
        <v>140848</v>
      </c>
      <c r="I92" s="5">
        <f t="shared" si="214"/>
        <v>138531</v>
      </c>
      <c r="J92" s="5">
        <f t="shared" si="214"/>
        <v>161580</v>
      </c>
      <c r="K92" s="5">
        <f t="shared" si="214"/>
        <v>133876</v>
      </c>
      <c r="L92" s="5">
        <f t="shared" si="214"/>
        <v>133667</v>
      </c>
      <c r="M92" s="5">
        <f t="shared" ref="M92" si="215">+SUM(M88:M91)</f>
        <v>161580</v>
      </c>
      <c r="S92" s="5">
        <f t="shared" ref="S92" si="216">+SUM(S88:S91)</f>
        <v>172351</v>
      </c>
    </row>
    <row r="93" spans="2:61" x14ac:dyDescent="0.2">
      <c r="B93" s="10" t="s">
        <v>55</v>
      </c>
      <c r="F93" s="2">
        <v>113114</v>
      </c>
      <c r="G93" s="2">
        <v>121461</v>
      </c>
      <c r="H93" s="2">
        <v>133502</v>
      </c>
      <c r="I93" s="2">
        <v>147152</v>
      </c>
      <c r="J93" s="2">
        <v>160281</v>
      </c>
      <c r="K93" s="2">
        <v>168468</v>
      </c>
      <c r="L93" s="2">
        <v>173706</v>
      </c>
      <c r="M93" s="2">
        <v>160281</v>
      </c>
      <c r="S93" s="2">
        <v>204177</v>
      </c>
    </row>
    <row r="94" spans="2:61" x14ac:dyDescent="0.2">
      <c r="B94" s="10" t="s">
        <v>56</v>
      </c>
      <c r="F94" s="2">
        <v>37553</v>
      </c>
      <c r="G94" s="2">
        <v>39328</v>
      </c>
      <c r="H94" s="2">
        <v>43346</v>
      </c>
      <c r="I94" s="2">
        <v>52151</v>
      </c>
      <c r="J94" s="2">
        <v>56082</v>
      </c>
      <c r="K94" s="2">
        <v>56161</v>
      </c>
      <c r="L94" s="2">
        <v>58430</v>
      </c>
      <c r="M94" s="2">
        <v>56082</v>
      </c>
      <c r="S94" s="2">
        <v>72513</v>
      </c>
    </row>
    <row r="95" spans="2:61" x14ac:dyDescent="0.2">
      <c r="B95" s="10" t="s">
        <v>57</v>
      </c>
      <c r="F95" s="2">
        <v>15017</v>
      </c>
      <c r="G95" s="2">
        <v>15220</v>
      </c>
      <c r="H95" s="2">
        <v>15350</v>
      </c>
      <c r="I95" s="2">
        <v>15345</v>
      </c>
      <c r="J95" s="2">
        <v>15371</v>
      </c>
      <c r="K95" s="2">
        <v>20229</v>
      </c>
      <c r="L95" s="2">
        <v>20195</v>
      </c>
      <c r="M95" s="2">
        <v>15371</v>
      </c>
      <c r="S95" s="2">
        <v>22789</v>
      </c>
    </row>
    <row r="96" spans="2:61" x14ac:dyDescent="0.2">
      <c r="B96" s="10" t="s">
        <v>58</v>
      </c>
      <c r="F96" s="2">
        <v>22778</v>
      </c>
      <c r="G96" s="2">
        <v>25660</v>
      </c>
      <c r="H96" s="2">
        <v>27273</v>
      </c>
      <c r="I96" s="2">
        <v>29227</v>
      </c>
      <c r="J96" s="2">
        <v>27235</v>
      </c>
      <c r="K96" s="2">
        <v>32033</v>
      </c>
      <c r="L96" s="2">
        <v>33730</v>
      </c>
      <c r="M96" s="2">
        <v>27235</v>
      </c>
      <c r="S96" s="2">
        <v>56024</v>
      </c>
    </row>
    <row r="97" spans="2:19" s="5" customFormat="1" x14ac:dyDescent="0.2">
      <c r="B97" s="13" t="s">
        <v>59</v>
      </c>
      <c r="F97" s="5">
        <f t="shared" ref="F97:L97" si="217">+SUM(F92:F96)</f>
        <v>321195</v>
      </c>
      <c r="G97" s="5">
        <f t="shared" si="217"/>
        <v>323077</v>
      </c>
      <c r="H97" s="5">
        <f t="shared" si="217"/>
        <v>360319</v>
      </c>
      <c r="I97" s="5">
        <f t="shared" si="217"/>
        <v>382406</v>
      </c>
      <c r="J97" s="5">
        <f t="shared" si="217"/>
        <v>420549</v>
      </c>
      <c r="K97" s="5">
        <f t="shared" si="217"/>
        <v>410767</v>
      </c>
      <c r="L97" s="5">
        <f t="shared" si="217"/>
        <v>419728</v>
      </c>
      <c r="M97" s="5">
        <f t="shared" ref="M97" si="218">+SUM(M92:M96)</f>
        <v>420549</v>
      </c>
      <c r="S97" s="5">
        <f t="shared" ref="S97" si="219">+SUM(S92:S96)</f>
        <v>527854</v>
      </c>
    </row>
    <row r="99" spans="2:19" x14ac:dyDescent="0.2">
      <c r="B99" s="10" t="s">
        <v>60</v>
      </c>
      <c r="F99" s="2">
        <v>72539</v>
      </c>
      <c r="G99" s="2">
        <v>63926</v>
      </c>
      <c r="H99" s="2">
        <v>66090</v>
      </c>
      <c r="I99" s="2">
        <v>71474</v>
      </c>
      <c r="J99" s="2">
        <v>78664</v>
      </c>
      <c r="K99" s="2">
        <v>68547</v>
      </c>
      <c r="L99" s="2">
        <v>71219</v>
      </c>
      <c r="M99" s="2">
        <v>78664</v>
      </c>
      <c r="S99" s="2">
        <v>84981</v>
      </c>
    </row>
    <row r="100" spans="2:19" x14ac:dyDescent="0.2">
      <c r="B100" s="10" t="s">
        <v>61</v>
      </c>
      <c r="F100" s="2">
        <v>44138</v>
      </c>
      <c r="G100" s="2">
        <v>40939</v>
      </c>
      <c r="H100" s="2">
        <v>41007</v>
      </c>
      <c r="I100" s="2">
        <v>41546</v>
      </c>
      <c r="J100" s="2">
        <v>51775</v>
      </c>
      <c r="K100" s="2">
        <v>58141</v>
      </c>
      <c r="L100" s="2">
        <v>56254</v>
      </c>
      <c r="M100" s="2">
        <v>51775</v>
      </c>
      <c r="S100" s="2">
        <v>64709</v>
      </c>
    </row>
    <row r="101" spans="2:19" x14ac:dyDescent="0.2">
      <c r="B101" s="10" t="s">
        <v>62</v>
      </c>
      <c r="F101" s="2">
        <v>9708</v>
      </c>
      <c r="G101" s="2">
        <v>10539</v>
      </c>
      <c r="H101" s="2">
        <v>10695</v>
      </c>
      <c r="I101" s="2">
        <v>10974</v>
      </c>
      <c r="J101" s="2">
        <v>11827</v>
      </c>
      <c r="K101" s="2">
        <v>12820</v>
      </c>
      <c r="L101" s="2">
        <v>12818</v>
      </c>
      <c r="M101" s="2">
        <v>11827</v>
      </c>
      <c r="S101" s="2">
        <v>15227</v>
      </c>
    </row>
    <row r="102" spans="2:19" s="5" customFormat="1" x14ac:dyDescent="0.2">
      <c r="B102" s="13" t="s">
        <v>63</v>
      </c>
      <c r="F102" s="5">
        <f t="shared" ref="F102:L102" si="220">+SUM(F99:F101)</f>
        <v>126385</v>
      </c>
      <c r="G102" s="5">
        <f t="shared" si="220"/>
        <v>115404</v>
      </c>
      <c r="H102" s="5">
        <f t="shared" si="220"/>
        <v>117792</v>
      </c>
      <c r="I102" s="5">
        <f t="shared" si="220"/>
        <v>123994</v>
      </c>
      <c r="J102" s="5">
        <f t="shared" si="220"/>
        <v>142266</v>
      </c>
      <c r="K102" s="5">
        <f t="shared" si="220"/>
        <v>139508</v>
      </c>
      <c r="L102" s="5">
        <f t="shared" si="220"/>
        <v>140291</v>
      </c>
      <c r="M102" s="5">
        <f t="shared" ref="M102" si="221">+SUM(M99:M101)</f>
        <v>142266</v>
      </c>
      <c r="S102" s="5">
        <f t="shared" ref="S102" si="222">+SUM(S99:S101)</f>
        <v>164917</v>
      </c>
    </row>
    <row r="103" spans="2:19" x14ac:dyDescent="0.2">
      <c r="B103" s="10" t="s">
        <v>64</v>
      </c>
      <c r="F103" s="2">
        <v>52573</v>
      </c>
      <c r="G103" s="2">
        <v>53067</v>
      </c>
      <c r="H103" s="2">
        <v>56297</v>
      </c>
      <c r="I103" s="2">
        <v>63848</v>
      </c>
      <c r="J103" s="2">
        <v>67651</v>
      </c>
      <c r="K103" s="2">
        <v>65731</v>
      </c>
      <c r="L103" s="2">
        <v>66524</v>
      </c>
      <c r="M103" s="2">
        <v>67651</v>
      </c>
      <c r="S103" s="2">
        <v>77297</v>
      </c>
    </row>
    <row r="104" spans="2:19" x14ac:dyDescent="0.2">
      <c r="B104" s="10" t="s">
        <v>65</v>
      </c>
      <c r="F104" s="2">
        <v>31816</v>
      </c>
      <c r="G104" s="2">
        <v>31868</v>
      </c>
      <c r="H104" s="2">
        <v>50279</v>
      </c>
      <c r="I104" s="2">
        <v>50055</v>
      </c>
      <c r="J104" s="2">
        <v>48744</v>
      </c>
      <c r="K104" s="2">
        <v>47556</v>
      </c>
      <c r="L104" s="2">
        <v>58053</v>
      </c>
      <c r="M104" s="2">
        <v>48744</v>
      </c>
      <c r="S104" s="2">
        <v>58314</v>
      </c>
    </row>
    <row r="105" spans="2:19" x14ac:dyDescent="0.2">
      <c r="B105" s="10" t="s">
        <v>66</v>
      </c>
      <c r="F105" s="2">
        <v>17017</v>
      </c>
      <c r="G105" s="2">
        <v>19418</v>
      </c>
      <c r="H105" s="2">
        <v>21148</v>
      </c>
      <c r="I105" s="2">
        <v>23945</v>
      </c>
      <c r="J105" s="2">
        <v>23643</v>
      </c>
      <c r="K105" s="2">
        <v>23971</v>
      </c>
      <c r="L105" s="2">
        <v>23458</v>
      </c>
      <c r="M105" s="2">
        <v>23643</v>
      </c>
      <c r="S105" s="2">
        <v>25451</v>
      </c>
    </row>
    <row r="106" spans="2:19" s="5" customFormat="1" x14ac:dyDescent="0.2">
      <c r="B106" s="13" t="s">
        <v>48</v>
      </c>
      <c r="F106" s="5">
        <f t="shared" ref="F106:L106" si="223">+SUM(F102:F105)</f>
        <v>227791</v>
      </c>
      <c r="G106" s="5">
        <f t="shared" si="223"/>
        <v>219757</v>
      </c>
      <c r="H106" s="5">
        <f t="shared" si="223"/>
        <v>245516</v>
      </c>
      <c r="I106" s="5">
        <f t="shared" si="223"/>
        <v>261842</v>
      </c>
      <c r="J106" s="5">
        <f t="shared" si="223"/>
        <v>282304</v>
      </c>
      <c r="K106" s="5">
        <f t="shared" si="223"/>
        <v>276766</v>
      </c>
      <c r="L106" s="5">
        <f t="shared" si="223"/>
        <v>288326</v>
      </c>
      <c r="M106" s="5">
        <f t="shared" ref="M106" si="224">+SUM(M102:M105)</f>
        <v>282304</v>
      </c>
      <c r="S106" s="5">
        <f t="shared" ref="S106" si="225">+SUM(S102:S105)</f>
        <v>325979</v>
      </c>
    </row>
    <row r="107" spans="2:19" x14ac:dyDescent="0.2">
      <c r="B107" s="10" t="s">
        <v>67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S107" s="2">
        <v>0</v>
      </c>
    </row>
    <row r="108" spans="2:19" x14ac:dyDescent="0.2">
      <c r="B108" s="10" t="s">
        <v>68</v>
      </c>
      <c r="F108" s="2">
        <v>5</v>
      </c>
      <c r="G108" s="2">
        <v>5</v>
      </c>
      <c r="H108" s="2">
        <v>5</v>
      </c>
      <c r="I108" s="2">
        <v>5</v>
      </c>
      <c r="J108" s="2">
        <v>106</v>
      </c>
      <c r="K108" s="2">
        <v>5</v>
      </c>
      <c r="L108" s="2">
        <v>107</v>
      </c>
      <c r="M108" s="2">
        <v>106</v>
      </c>
      <c r="S108" s="2">
        <v>109</v>
      </c>
    </row>
    <row r="109" spans="2:19" x14ac:dyDescent="0.2">
      <c r="B109" s="10" t="s">
        <v>69</v>
      </c>
      <c r="F109" s="2">
        <v>-1837</v>
      </c>
      <c r="G109" s="2">
        <v>-1837</v>
      </c>
      <c r="H109" s="2">
        <v>-1837</v>
      </c>
      <c r="I109" s="2">
        <v>-1837</v>
      </c>
      <c r="J109" s="2">
        <v>-1837</v>
      </c>
      <c r="K109" s="2">
        <v>-4503</v>
      </c>
      <c r="L109" s="2">
        <v>-7837</v>
      </c>
      <c r="M109" s="2">
        <v>-1837</v>
      </c>
      <c r="S109" s="2">
        <v>-7837</v>
      </c>
    </row>
    <row r="110" spans="2:19" x14ac:dyDescent="0.2">
      <c r="B110" s="10" t="s">
        <v>70</v>
      </c>
      <c r="F110" s="2">
        <v>42865</v>
      </c>
      <c r="G110" s="2">
        <v>45160</v>
      </c>
      <c r="H110" s="2">
        <v>48724</v>
      </c>
      <c r="I110" s="2">
        <v>51879</v>
      </c>
      <c r="J110" s="2">
        <v>55437</v>
      </c>
      <c r="K110" s="2">
        <v>58793</v>
      </c>
      <c r="L110" s="2">
        <v>63871</v>
      </c>
      <c r="M110" s="2">
        <v>55437</v>
      </c>
      <c r="S110" s="2">
        <v>99025</v>
      </c>
    </row>
    <row r="111" spans="2:19" x14ac:dyDescent="0.2">
      <c r="B111" s="10" t="s">
        <v>71</v>
      </c>
      <c r="F111" s="2">
        <v>-180</v>
      </c>
      <c r="G111" s="2">
        <v>-666</v>
      </c>
      <c r="H111" s="2">
        <v>-525</v>
      </c>
      <c r="I111" s="2">
        <v>-1075</v>
      </c>
      <c r="J111" s="2">
        <v>-1376</v>
      </c>
      <c r="K111" s="2">
        <v>-2365</v>
      </c>
      <c r="L111" s="2">
        <v>-4782</v>
      </c>
      <c r="M111" s="2">
        <v>-1376</v>
      </c>
      <c r="S111" s="2">
        <v>-3040</v>
      </c>
    </row>
    <row r="112" spans="2:19" x14ac:dyDescent="0.2">
      <c r="B112" s="10" t="s">
        <v>72</v>
      </c>
      <c r="F112" s="2">
        <v>52551</v>
      </c>
      <c r="G112" s="2">
        <v>60658</v>
      </c>
      <c r="H112" s="2">
        <v>68436</v>
      </c>
      <c r="I112" s="2">
        <v>71592</v>
      </c>
      <c r="J112" s="2">
        <v>85915</v>
      </c>
      <c r="K112" s="2">
        <v>82071</v>
      </c>
      <c r="L112" s="2">
        <v>80043</v>
      </c>
      <c r="M112" s="2">
        <v>85915</v>
      </c>
      <c r="S112" s="2">
        <v>113618</v>
      </c>
    </row>
    <row r="113" spans="2:19" x14ac:dyDescent="0.2">
      <c r="B113" s="10" t="s">
        <v>50</v>
      </c>
      <c r="F113" s="2">
        <f t="shared" ref="F113:M113" si="226">+SUM(F107:F112)</f>
        <v>93404</v>
      </c>
      <c r="G113" s="2">
        <f t="shared" si="226"/>
        <v>103320</v>
      </c>
      <c r="H113" s="2">
        <f t="shared" si="226"/>
        <v>114803</v>
      </c>
      <c r="I113" s="2">
        <f t="shared" si="226"/>
        <v>120564</v>
      </c>
      <c r="J113" s="2">
        <f t="shared" si="226"/>
        <v>138245</v>
      </c>
      <c r="K113" s="2">
        <f t="shared" si="226"/>
        <v>134001</v>
      </c>
      <c r="L113" s="2">
        <f t="shared" si="226"/>
        <v>131402</v>
      </c>
      <c r="M113" s="2">
        <f t="shared" si="226"/>
        <v>138245</v>
      </c>
      <c r="S113" s="2">
        <f t="shared" ref="S113" si="227">+SUM(S107:S112)</f>
        <v>201875</v>
      </c>
    </row>
    <row r="114" spans="2:19" s="5" customFormat="1" x14ac:dyDescent="0.2">
      <c r="B114" s="13" t="s">
        <v>49</v>
      </c>
      <c r="F114" s="5">
        <f t="shared" ref="F114:L114" si="228">+F106+F113</f>
        <v>321195</v>
      </c>
      <c r="G114" s="5">
        <f t="shared" si="228"/>
        <v>323077</v>
      </c>
      <c r="H114" s="5">
        <f t="shared" si="228"/>
        <v>360319</v>
      </c>
      <c r="I114" s="5">
        <f t="shared" si="228"/>
        <v>382406</v>
      </c>
      <c r="J114" s="5">
        <f t="shared" si="228"/>
        <v>420549</v>
      </c>
      <c r="K114" s="5">
        <f t="shared" si="228"/>
        <v>410767</v>
      </c>
      <c r="L114" s="5">
        <f t="shared" si="228"/>
        <v>419728</v>
      </c>
      <c r="M114" s="5">
        <f t="shared" ref="M114" si="229">+M106+M113</f>
        <v>420549</v>
      </c>
      <c r="S114" s="5">
        <f t="shared" ref="S114" si="230">+S106+S113</f>
        <v>527854</v>
      </c>
    </row>
    <row r="115" spans="2:19" x14ac:dyDescent="0.2">
      <c r="F115" s="19" t="str">
        <f t="shared" ref="F115:L115" si="231">IF(F97=F114,"OK","N")</f>
        <v>OK</v>
      </c>
      <c r="G115" s="19" t="str">
        <f t="shared" si="231"/>
        <v>OK</v>
      </c>
      <c r="H115" s="19" t="str">
        <f t="shared" si="231"/>
        <v>OK</v>
      </c>
      <c r="I115" s="19" t="str">
        <f t="shared" si="231"/>
        <v>OK</v>
      </c>
      <c r="J115" s="19" t="str">
        <f t="shared" si="231"/>
        <v>OK</v>
      </c>
      <c r="K115" s="19" t="str">
        <f t="shared" si="231"/>
        <v>OK</v>
      </c>
      <c r="L115" s="19" t="str">
        <f t="shared" si="231"/>
        <v>OK</v>
      </c>
      <c r="M115" s="19" t="str">
        <f>IF(M97=M114,"OK","N")</f>
        <v>OK</v>
      </c>
    </row>
    <row r="116" spans="2:19" x14ac:dyDescent="0.2">
      <c r="F116" s="19"/>
      <c r="G116" s="19"/>
      <c r="H116" s="19"/>
      <c r="I116" s="19"/>
      <c r="J116" s="19"/>
      <c r="K116" s="19"/>
      <c r="L116" s="19"/>
      <c r="M116" s="19"/>
    </row>
    <row r="117" spans="2:19" s="6" customFormat="1" x14ac:dyDescent="0.2">
      <c r="B117" s="16" t="s">
        <v>147</v>
      </c>
      <c r="F117" s="28">
        <f t="shared" ref="F117:M117" si="232">SUM(C67:F67)/F113</f>
        <v>0.22837351719412444</v>
      </c>
      <c r="G117" s="28">
        <f t="shared" si="232"/>
        <v>0.26038521099496709</v>
      </c>
      <c r="H117" s="28">
        <f t="shared" si="232"/>
        <v>0.25642187050861043</v>
      </c>
      <c r="I117" s="28">
        <f t="shared" si="232"/>
        <v>0.21783451113101754</v>
      </c>
      <c r="J117" s="28">
        <f t="shared" si="232"/>
        <v>0.2413396506202756</v>
      </c>
      <c r="K117" s="28">
        <f t="shared" si="232"/>
        <v>0.15979731494541086</v>
      </c>
      <c r="L117" s="28">
        <f t="shared" si="232"/>
        <v>8.8331988858617067E-2</v>
      </c>
      <c r="M117" s="28">
        <f t="shared" si="232"/>
        <v>8.1905313031212706E-2</v>
      </c>
    </row>
    <row r="118" spans="2:19" x14ac:dyDescent="0.2">
      <c r="B118" s="10" t="s">
        <v>148</v>
      </c>
      <c r="F118" s="19">
        <f>F92-F102</f>
        <v>6348</v>
      </c>
      <c r="G118" s="19">
        <f t="shared" ref="G118:M118" si="233">G92-G102</f>
        <v>6004</v>
      </c>
      <c r="H118" s="19">
        <f t="shared" si="233"/>
        <v>23056</v>
      </c>
      <c r="I118" s="19">
        <f t="shared" si="233"/>
        <v>14537</v>
      </c>
      <c r="J118" s="19">
        <f t="shared" si="233"/>
        <v>19314</v>
      </c>
      <c r="K118" s="19">
        <f t="shared" si="233"/>
        <v>-5632</v>
      </c>
      <c r="L118" s="19">
        <f t="shared" si="233"/>
        <v>-6624</v>
      </c>
      <c r="M118" s="19">
        <f t="shared" si="233"/>
        <v>19314</v>
      </c>
    </row>
    <row r="119" spans="2:19" x14ac:dyDescent="0.2">
      <c r="F119" s="19"/>
      <c r="G119" s="19"/>
      <c r="H119" s="19"/>
      <c r="I119" s="19"/>
      <c r="J119" s="19"/>
      <c r="K119" s="19"/>
      <c r="L119" s="19"/>
      <c r="M119" s="19"/>
    </row>
    <row r="121" spans="2:19" x14ac:dyDescent="0.2">
      <c r="B121" s="10" t="s">
        <v>74</v>
      </c>
      <c r="G121" s="6">
        <f t="shared" ref="G121:K121" si="234">+G88/F88-1</f>
        <v>-0.19676178718959214</v>
      </c>
      <c r="H121" s="6">
        <f t="shared" si="234"/>
        <v>0.19347402021635052</v>
      </c>
      <c r="I121" s="6">
        <f t="shared" si="234"/>
        <v>-0.25844477464091131</v>
      </c>
      <c r="J121" s="6">
        <f t="shared" si="234"/>
        <v>0.20959123697568804</v>
      </c>
      <c r="K121" s="6">
        <f t="shared" si="234"/>
        <v>4.7763666482605327E-3</v>
      </c>
      <c r="L121" s="6">
        <f>+L88/K88-1</f>
        <v>2.9813425658780535E-2</v>
      </c>
      <c r="M121" s="6">
        <f>+M88/L88-1</f>
        <v>-3.3566358930572582E-2</v>
      </c>
    </row>
    <row r="122" spans="2:19" x14ac:dyDescent="0.2">
      <c r="B122" s="10" t="s">
        <v>5</v>
      </c>
      <c r="F122" s="2">
        <f>+F104</f>
        <v>31816</v>
      </c>
      <c r="G122" s="2">
        <f t="shared" ref="G122:M122" si="235">+G104</f>
        <v>31868</v>
      </c>
      <c r="H122" s="2">
        <f t="shared" si="235"/>
        <v>50279</v>
      </c>
      <c r="I122" s="2">
        <f t="shared" si="235"/>
        <v>50055</v>
      </c>
      <c r="J122" s="2">
        <f t="shared" si="235"/>
        <v>48744</v>
      </c>
      <c r="K122" s="2">
        <f t="shared" si="235"/>
        <v>47556</v>
      </c>
      <c r="L122" s="2">
        <f t="shared" si="235"/>
        <v>58053</v>
      </c>
      <c r="M122" s="2">
        <f t="shared" si="235"/>
        <v>48744</v>
      </c>
    </row>
    <row r="123" spans="2:19" x14ac:dyDescent="0.2">
      <c r="B123" s="10" t="s">
        <v>140</v>
      </c>
      <c r="G123" s="2">
        <f t="shared" ref="G123:K123" si="236">+G122-F122</f>
        <v>52</v>
      </c>
      <c r="H123" s="2">
        <f t="shared" si="236"/>
        <v>18411</v>
      </c>
      <c r="I123" s="2">
        <f t="shared" si="236"/>
        <v>-224</v>
      </c>
      <c r="J123" s="2">
        <f t="shared" si="236"/>
        <v>-1311</v>
      </c>
      <c r="K123" s="2">
        <f t="shared" si="236"/>
        <v>-1188</v>
      </c>
      <c r="L123" s="5">
        <f>+L122-K122</f>
        <v>10497</v>
      </c>
      <c r="M123" s="2">
        <f>+M122-L122</f>
        <v>-9309</v>
      </c>
    </row>
    <row r="124" spans="2:19" x14ac:dyDescent="0.2">
      <c r="B124" s="10" t="s">
        <v>141</v>
      </c>
      <c r="G124" s="6"/>
      <c r="H124" s="6"/>
      <c r="I124" s="6"/>
      <c r="J124" s="6"/>
      <c r="K124" s="6"/>
      <c r="L124" s="6"/>
      <c r="M124" s="6"/>
    </row>
    <row r="125" spans="2:19" x14ac:dyDescent="0.2">
      <c r="G125" s="6"/>
      <c r="H125" s="6"/>
      <c r="I125" s="6"/>
      <c r="J125" s="6"/>
      <c r="K125" s="6"/>
      <c r="L125" s="6"/>
      <c r="M125" s="6"/>
    </row>
    <row r="126" spans="2:19" x14ac:dyDescent="0.2">
      <c r="B126" s="10" t="s">
        <v>142</v>
      </c>
      <c r="G126" s="2">
        <f t="shared" ref="G126:K126" si="237">SUM(G157)</f>
        <v>1926</v>
      </c>
      <c r="H126" s="2">
        <f t="shared" si="237"/>
        <v>1176</v>
      </c>
      <c r="I126" s="2">
        <f t="shared" si="237"/>
        <v>2187</v>
      </c>
      <c r="J126" s="2">
        <f t="shared" si="237"/>
        <v>2667</v>
      </c>
      <c r="K126" s="2">
        <f t="shared" si="237"/>
        <v>13743</v>
      </c>
      <c r="L126" s="2">
        <f>SUM(L157)</f>
        <v>4865</v>
      </c>
    </row>
    <row r="127" spans="2:19" x14ac:dyDescent="0.2">
      <c r="B127" s="10" t="s">
        <v>143</v>
      </c>
      <c r="G127" s="2">
        <f t="shared" ref="G127:K127" si="238">G159</f>
        <v>111</v>
      </c>
      <c r="H127" s="2">
        <f t="shared" si="238"/>
        <v>18516</v>
      </c>
      <c r="I127" s="2">
        <f t="shared" si="238"/>
        <v>176</v>
      </c>
      <c r="J127" s="2">
        <f t="shared" si="238"/>
        <v>200</v>
      </c>
      <c r="K127" s="2">
        <f t="shared" si="238"/>
        <v>0</v>
      </c>
      <c r="L127" s="2">
        <f>L159</f>
        <v>12824</v>
      </c>
    </row>
    <row r="128" spans="2:19" x14ac:dyDescent="0.2">
      <c r="G128" s="6"/>
      <c r="H128" s="6"/>
      <c r="I128" s="6"/>
      <c r="J128" s="6"/>
      <c r="K128" s="6"/>
      <c r="L128" s="6"/>
      <c r="M128" s="6"/>
    </row>
    <row r="129" spans="2:13" x14ac:dyDescent="0.2">
      <c r="B129" s="10" t="s">
        <v>144</v>
      </c>
      <c r="G129" s="2">
        <f t="shared" ref="G129:K129" si="239">+G158</f>
        <v>-2001</v>
      </c>
      <c r="H129" s="2">
        <f t="shared" si="239"/>
        <v>-1176</v>
      </c>
      <c r="I129" s="2">
        <f t="shared" si="239"/>
        <v>-1917</v>
      </c>
      <c r="J129" s="2">
        <f t="shared" si="239"/>
        <v>-2659</v>
      </c>
      <c r="K129" s="2">
        <f t="shared" si="239"/>
        <v>-6231</v>
      </c>
      <c r="L129" s="2">
        <f>+L158</f>
        <v>-7610</v>
      </c>
    </row>
    <row r="130" spans="2:13" x14ac:dyDescent="0.2">
      <c r="B130" s="10" t="s">
        <v>145</v>
      </c>
      <c r="G130" s="2">
        <f t="shared" ref="G130:K130" si="240">+G160</f>
        <v>-39</v>
      </c>
      <c r="H130" s="2">
        <f t="shared" si="240"/>
        <v>-41</v>
      </c>
      <c r="I130" s="2">
        <f t="shared" si="240"/>
        <v>-509</v>
      </c>
      <c r="J130" s="2">
        <f t="shared" si="240"/>
        <v>-1001</v>
      </c>
      <c r="K130" s="2">
        <f t="shared" si="240"/>
        <v>0</v>
      </c>
      <c r="L130" s="2">
        <f>+L160</f>
        <v>-1</v>
      </c>
    </row>
    <row r="132" spans="2:13" s="5" customFormat="1" x14ac:dyDescent="0.2">
      <c r="B132" s="13" t="s">
        <v>146</v>
      </c>
      <c r="G132" s="5">
        <f t="shared" ref="G132:K132" si="241">SUM(G126:G127,G129:G130)</f>
        <v>-3</v>
      </c>
      <c r="H132" s="5">
        <f t="shared" si="241"/>
        <v>18475</v>
      </c>
      <c r="I132" s="5">
        <f t="shared" si="241"/>
        <v>-63</v>
      </c>
      <c r="J132" s="5">
        <f t="shared" si="241"/>
        <v>-793</v>
      </c>
      <c r="K132" s="5">
        <f t="shared" si="241"/>
        <v>7512</v>
      </c>
      <c r="L132" s="5">
        <f>SUM(L126:L127,L129:L130)</f>
        <v>10078</v>
      </c>
    </row>
    <row r="133" spans="2:13" x14ac:dyDescent="0.2">
      <c r="G133" s="6"/>
      <c r="H133" s="6"/>
      <c r="I133" s="6"/>
      <c r="J133" s="6"/>
      <c r="K133" s="6"/>
      <c r="L133" s="28"/>
      <c r="M133" s="6"/>
    </row>
    <row r="135" spans="2:13" x14ac:dyDescent="0.2">
      <c r="B135" s="10" t="s">
        <v>75</v>
      </c>
      <c r="C135" s="2">
        <v>36410</v>
      </c>
      <c r="D135" s="2">
        <v>27505</v>
      </c>
      <c r="E135" s="2">
        <v>37842</v>
      </c>
      <c r="F135" s="2">
        <v>30202</v>
      </c>
      <c r="G135" s="2">
        <v>42377</v>
      </c>
      <c r="H135" s="2">
        <v>34155</v>
      </c>
      <c r="I135" s="2">
        <v>40667</v>
      </c>
      <c r="J135" s="2">
        <v>30177</v>
      </c>
      <c r="K135" s="2">
        <v>36477</v>
      </c>
      <c r="L135" s="2">
        <v>36599</v>
      </c>
      <c r="M135" s="2">
        <v>37700</v>
      </c>
    </row>
    <row r="136" spans="2:13" x14ac:dyDescent="0.2">
      <c r="B136" s="10" t="s">
        <v>76</v>
      </c>
      <c r="C136" s="2">
        <v>2535</v>
      </c>
      <c r="D136" s="2">
        <v>5243</v>
      </c>
      <c r="E136" s="2">
        <v>6331</v>
      </c>
      <c r="F136" s="2">
        <v>7222</v>
      </c>
      <c r="G136" s="2">
        <v>8107</v>
      </c>
      <c r="H136" s="2">
        <f>+H67</f>
        <v>7778</v>
      </c>
      <c r="I136" s="2">
        <v>3156</v>
      </c>
      <c r="J136" s="2">
        <v>14323</v>
      </c>
      <c r="K136" s="2">
        <v>-3844</v>
      </c>
      <c r="L136" s="2">
        <f>+L67</f>
        <v>-2028</v>
      </c>
      <c r="M136" s="2">
        <v>2872</v>
      </c>
    </row>
    <row r="137" spans="2:13" x14ac:dyDescent="0.2">
      <c r="B137" s="10" t="s">
        <v>77</v>
      </c>
      <c r="C137" s="2">
        <v>5362</v>
      </c>
      <c r="D137" s="2">
        <v>5748</v>
      </c>
      <c r="E137" s="2">
        <v>6523</v>
      </c>
      <c r="F137" s="2">
        <v>7618</v>
      </c>
      <c r="G137" s="2">
        <v>7508</v>
      </c>
      <c r="H137" s="2">
        <v>8038</v>
      </c>
      <c r="I137" s="2">
        <v>8948</v>
      </c>
      <c r="J137" s="2">
        <v>9802</v>
      </c>
      <c r="K137" s="2">
        <v>8978</v>
      </c>
      <c r="L137" s="2">
        <v>9594</v>
      </c>
      <c r="M137" s="2">
        <v>10204</v>
      </c>
    </row>
    <row r="138" spans="2:13" x14ac:dyDescent="0.2">
      <c r="B138" s="10" t="s">
        <v>78</v>
      </c>
      <c r="C138" s="2">
        <v>1757</v>
      </c>
      <c r="D138" s="2">
        <v>2601</v>
      </c>
      <c r="E138" s="2">
        <v>2288</v>
      </c>
      <c r="F138" s="2">
        <v>2562</v>
      </c>
      <c r="G138" s="2">
        <v>2306</v>
      </c>
      <c r="H138" s="2">
        <v>3591</v>
      </c>
      <c r="I138" s="2">
        <v>3180</v>
      </c>
      <c r="J138" s="2">
        <v>3680</v>
      </c>
      <c r="K138" s="2">
        <v>3250</v>
      </c>
      <c r="L138" s="2">
        <v>5209</v>
      </c>
      <c r="M138" s="2">
        <v>5556</v>
      </c>
    </row>
    <row r="139" spans="2:13" x14ac:dyDescent="0.2">
      <c r="B139" s="10" t="s">
        <v>79</v>
      </c>
      <c r="C139" s="2">
        <v>67</v>
      </c>
      <c r="D139" s="2">
        <v>282</v>
      </c>
      <c r="E139" s="2">
        <v>67</v>
      </c>
      <c r="F139" s="2">
        <v>-487</v>
      </c>
      <c r="G139" s="2">
        <v>30</v>
      </c>
      <c r="H139" s="2">
        <v>18</v>
      </c>
      <c r="I139" s="2">
        <v>24</v>
      </c>
      <c r="J139" s="2">
        <v>65</v>
      </c>
      <c r="K139" s="2">
        <v>215</v>
      </c>
      <c r="L139" s="2">
        <v>122</v>
      </c>
      <c r="M139" s="2">
        <v>123</v>
      </c>
    </row>
    <row r="140" spans="2:13" x14ac:dyDescent="0.2">
      <c r="B140" s="10" t="s">
        <v>80</v>
      </c>
      <c r="C140" s="2">
        <v>565</v>
      </c>
      <c r="D140" s="2">
        <v>-769</v>
      </c>
      <c r="E140" s="2">
        <v>-1051</v>
      </c>
      <c r="F140" s="2">
        <v>-1327</v>
      </c>
      <c r="G140" s="2">
        <v>-1456</v>
      </c>
      <c r="H140" s="2">
        <v>-1258</v>
      </c>
      <c r="I140" s="2">
        <v>340</v>
      </c>
      <c r="J140" s="2">
        <v>-11932</v>
      </c>
      <c r="K140" s="2">
        <v>8689</v>
      </c>
      <c r="L140" s="2">
        <v>6104</v>
      </c>
      <c r="M140" s="2">
        <f>+-1272</f>
        <v>-1272</v>
      </c>
    </row>
    <row r="141" spans="2:13" x14ac:dyDescent="0.2">
      <c r="B141" s="10" t="s">
        <v>81</v>
      </c>
      <c r="C141" s="2">
        <v>322</v>
      </c>
      <c r="D141" s="2">
        <v>465</v>
      </c>
      <c r="E141" s="2">
        <v>295</v>
      </c>
      <c r="F141" s="2">
        <v>-1636</v>
      </c>
      <c r="G141" s="2">
        <v>1703</v>
      </c>
      <c r="H141" s="2">
        <v>701</v>
      </c>
      <c r="I141" s="2">
        <v>909</v>
      </c>
      <c r="J141" s="2">
        <v>-3623</v>
      </c>
      <c r="K141" s="2">
        <v>-2001</v>
      </c>
      <c r="L141" s="2">
        <v>-1955</v>
      </c>
      <c r="M141" s="2">
        <v>-825</v>
      </c>
    </row>
    <row r="142" spans="2:13" x14ac:dyDescent="0.2">
      <c r="B142" s="10" t="s">
        <v>52</v>
      </c>
      <c r="C142" s="2">
        <v>1392</v>
      </c>
      <c r="D142" s="2">
        <v>-672</v>
      </c>
      <c r="E142" s="2">
        <v>-3899</v>
      </c>
      <c r="F142" s="2">
        <v>329</v>
      </c>
      <c r="G142" s="2">
        <v>-304</v>
      </c>
      <c r="H142" s="2">
        <v>-209</v>
      </c>
      <c r="I142" s="2">
        <v>-7059</v>
      </c>
      <c r="J142" s="2">
        <v>-1915</v>
      </c>
      <c r="K142" s="2">
        <v>-2614</v>
      </c>
      <c r="L142" s="2">
        <v>-3890</v>
      </c>
      <c r="M142" s="2">
        <v>732</v>
      </c>
    </row>
    <row r="143" spans="2:13" x14ac:dyDescent="0.2">
      <c r="B143" s="10" t="s">
        <v>53</v>
      </c>
      <c r="C143" s="2">
        <v>1262</v>
      </c>
      <c r="D143" s="2">
        <v>-2854</v>
      </c>
      <c r="E143" s="2">
        <v>-2016</v>
      </c>
      <c r="F143" s="2">
        <v>-4560</v>
      </c>
      <c r="G143" s="2">
        <v>-2255</v>
      </c>
      <c r="H143" s="2">
        <v>-4462</v>
      </c>
      <c r="I143" s="2">
        <v>-4890</v>
      </c>
      <c r="J143" s="2">
        <v>-6556</v>
      </c>
      <c r="K143" s="2">
        <v>-1516</v>
      </c>
      <c r="L143" s="2">
        <v>-6799</v>
      </c>
      <c r="M143" s="2">
        <f>+-4794</f>
        <v>-4794</v>
      </c>
    </row>
    <row r="144" spans="2:13" x14ac:dyDescent="0.2">
      <c r="B144" s="10" t="s">
        <v>60</v>
      </c>
      <c r="C144" s="2">
        <v>-8044</v>
      </c>
      <c r="D144" s="2">
        <v>8616</v>
      </c>
      <c r="E144" s="2">
        <v>3658</v>
      </c>
      <c r="F144" s="2">
        <v>13249</v>
      </c>
      <c r="G144" s="2">
        <v>-8266</v>
      </c>
      <c r="H144" s="2">
        <v>47</v>
      </c>
      <c r="I144" s="2">
        <v>3832</v>
      </c>
      <c r="J144" s="2">
        <v>7989</v>
      </c>
      <c r="K144" s="2">
        <v>-9380</v>
      </c>
      <c r="L144" s="2">
        <v>3699</v>
      </c>
      <c r="M144" s="2">
        <v>-1226</v>
      </c>
    </row>
    <row r="145" spans="2:20" x14ac:dyDescent="0.2">
      <c r="B145" s="10" t="s">
        <v>61</v>
      </c>
      <c r="C145" s="2">
        <v>-2761</v>
      </c>
      <c r="D145" s="2">
        <v>1699</v>
      </c>
      <c r="E145" s="2">
        <v>-310</v>
      </c>
      <c r="F145" s="2">
        <v>7127</v>
      </c>
      <c r="G145" s="2">
        <v>-4060</v>
      </c>
      <c r="H145" s="2">
        <v>-1685</v>
      </c>
      <c r="I145" s="2">
        <v>-1465</v>
      </c>
      <c r="J145" s="2">
        <v>9333</v>
      </c>
      <c r="K145" s="2">
        <v>-5903</v>
      </c>
      <c r="L145" s="2">
        <v>-1412</v>
      </c>
      <c r="M145" s="2">
        <v>-20</v>
      </c>
    </row>
    <row r="146" spans="2:20" x14ac:dyDescent="0.2">
      <c r="B146" s="10" t="s">
        <v>82</v>
      </c>
      <c r="C146" s="2">
        <v>607</v>
      </c>
      <c r="D146" s="2">
        <v>247</v>
      </c>
      <c r="E146" s="2">
        <v>78</v>
      </c>
      <c r="F146" s="2">
        <v>333</v>
      </c>
      <c r="G146" s="2">
        <v>900</v>
      </c>
      <c r="H146" s="2">
        <v>156</v>
      </c>
      <c r="I146" s="2">
        <v>338</v>
      </c>
      <c r="J146" s="2">
        <v>920</v>
      </c>
      <c r="K146" s="2">
        <v>1336</v>
      </c>
      <c r="L146" s="2">
        <v>321</v>
      </c>
      <c r="M146" s="2">
        <v>54</v>
      </c>
    </row>
    <row r="147" spans="2:20" s="5" customFormat="1" x14ac:dyDescent="0.2">
      <c r="B147" s="13" t="s">
        <v>83</v>
      </c>
      <c r="C147" s="5">
        <f t="shared" ref="C147:M147" si="242">+SUM(C136:C146)</f>
        <v>3064</v>
      </c>
      <c r="D147" s="5">
        <f t="shared" si="242"/>
        <v>20606</v>
      </c>
      <c r="E147" s="5">
        <f t="shared" si="242"/>
        <v>11964</v>
      </c>
      <c r="F147" s="5">
        <f t="shared" si="242"/>
        <v>30430</v>
      </c>
      <c r="G147" s="5">
        <f t="shared" si="242"/>
        <v>4213</v>
      </c>
      <c r="H147" s="5">
        <f t="shared" si="242"/>
        <v>12715</v>
      </c>
      <c r="I147" s="5">
        <f t="shared" si="242"/>
        <v>7313</v>
      </c>
      <c r="J147" s="5">
        <f t="shared" si="242"/>
        <v>22086</v>
      </c>
      <c r="K147" s="5">
        <f t="shared" si="242"/>
        <v>-2790</v>
      </c>
      <c r="L147" s="5">
        <f t="shared" si="242"/>
        <v>8965</v>
      </c>
      <c r="M147" s="5">
        <f t="shared" si="242"/>
        <v>11404</v>
      </c>
      <c r="N147" s="5">
        <f>46752-SUM(K147:M147)</f>
        <v>29173</v>
      </c>
      <c r="O147" s="5">
        <v>4788</v>
      </c>
      <c r="P147" s="5">
        <f>16476-O147</f>
        <v>11688</v>
      </c>
      <c r="Q147" s="5">
        <f>21217-SUM(O147:P147)</f>
        <v>4741</v>
      </c>
      <c r="R147" s="5">
        <f>84946-SUM(O147:Q147)</f>
        <v>63729</v>
      </c>
      <c r="S147" s="5">
        <v>18989</v>
      </c>
      <c r="T147" s="5">
        <v>25281</v>
      </c>
    </row>
    <row r="149" spans="2:20" x14ac:dyDescent="0.2">
      <c r="B149" s="10" t="s">
        <v>55</v>
      </c>
      <c r="C149" s="2">
        <v>-6795</v>
      </c>
      <c r="D149" s="2">
        <v>-7459</v>
      </c>
      <c r="E149" s="2">
        <v>-11063</v>
      </c>
      <c r="F149" s="2">
        <v>-14824</v>
      </c>
      <c r="G149" s="2">
        <v>-12082</v>
      </c>
      <c r="H149" s="2">
        <v>-14288</v>
      </c>
      <c r="I149" s="2">
        <v>-15748</v>
      </c>
      <c r="J149" s="2">
        <v>-18935</v>
      </c>
      <c r="K149" s="2">
        <v>-14951</v>
      </c>
      <c r="L149" s="2">
        <v>-15724</v>
      </c>
      <c r="M149" s="2">
        <v>-16378</v>
      </c>
      <c r="N149" s="2">
        <f>+-63645-SUM(K149:M149)</f>
        <v>-16592</v>
      </c>
      <c r="O149" s="2">
        <v>-14207</v>
      </c>
      <c r="P149" s="2">
        <f>+-11455-O149</f>
        <v>2752</v>
      </c>
      <c r="Q149" s="2">
        <f>+-12479-SUM(O149:P149)</f>
        <v>-1024</v>
      </c>
      <c r="R149" s="2">
        <f>+-52729-SUM(O149:Q149)</f>
        <v>-40250</v>
      </c>
      <c r="S149" s="2">
        <v>-14925</v>
      </c>
      <c r="T149" s="2">
        <v>-17620</v>
      </c>
    </row>
    <row r="150" spans="2:20" x14ac:dyDescent="0.2">
      <c r="B150" s="10" t="s">
        <v>84</v>
      </c>
      <c r="C150" s="2">
        <v>1367</v>
      </c>
      <c r="D150" s="2">
        <v>844</v>
      </c>
      <c r="E150" s="2">
        <v>1255</v>
      </c>
      <c r="F150" s="2">
        <v>1629</v>
      </c>
      <c r="G150" s="2">
        <v>895</v>
      </c>
      <c r="H150" s="2">
        <v>1300</v>
      </c>
      <c r="I150" s="2">
        <v>997</v>
      </c>
      <c r="J150" s="2">
        <v>2465</v>
      </c>
      <c r="K150" s="2">
        <v>1209</v>
      </c>
      <c r="L150" s="2">
        <v>1626</v>
      </c>
      <c r="M150" s="2">
        <v>1337</v>
      </c>
    </row>
    <row r="151" spans="2:20" x14ac:dyDescent="0.2">
      <c r="B151" s="10" t="s">
        <v>85</v>
      </c>
      <c r="C151" s="2">
        <v>-91</v>
      </c>
      <c r="D151" s="2">
        <v>-118</v>
      </c>
      <c r="E151" s="2">
        <v>-1735</v>
      </c>
      <c r="F151" s="2">
        <v>-380</v>
      </c>
      <c r="G151" s="2">
        <v>-630</v>
      </c>
      <c r="H151" s="2">
        <v>-320</v>
      </c>
      <c r="I151" s="2">
        <v>-654</v>
      </c>
      <c r="J151" s="2">
        <v>-381</v>
      </c>
      <c r="K151" s="2">
        <v>-6341</v>
      </c>
      <c r="L151" s="2">
        <v>-259</v>
      </c>
      <c r="M151" s="2">
        <v>-885</v>
      </c>
    </row>
    <row r="152" spans="2:20" x14ac:dyDescent="0.2">
      <c r="B152" s="10" t="s">
        <v>136</v>
      </c>
      <c r="C152" s="2">
        <v>11626</v>
      </c>
      <c r="D152" s="2">
        <v>8138</v>
      </c>
      <c r="E152" s="2">
        <v>13135</v>
      </c>
      <c r="F152" s="2">
        <v>17338</v>
      </c>
      <c r="G152" s="2">
        <v>17826</v>
      </c>
      <c r="H152" s="2">
        <v>13213</v>
      </c>
      <c r="I152" s="2">
        <v>15808</v>
      </c>
      <c r="J152" s="2">
        <v>12537</v>
      </c>
      <c r="K152" s="2">
        <v>22753</v>
      </c>
      <c r="L152" s="2">
        <v>2608</v>
      </c>
      <c r="M152" s="2">
        <v>557</v>
      </c>
    </row>
    <row r="153" spans="2:20" x14ac:dyDescent="0.2">
      <c r="B153" s="10" t="s">
        <v>86</v>
      </c>
      <c r="C153" s="2">
        <v>-15001</v>
      </c>
      <c r="D153" s="2">
        <v>-19209</v>
      </c>
      <c r="E153" s="2">
        <v>-17468</v>
      </c>
      <c r="F153" s="2">
        <v>-20801</v>
      </c>
      <c r="G153" s="2">
        <v>-14675</v>
      </c>
      <c r="H153" s="2">
        <v>-21985</v>
      </c>
      <c r="I153" s="2">
        <v>-15231</v>
      </c>
      <c r="J153" s="2">
        <v>-8266</v>
      </c>
      <c r="K153" s="2">
        <v>-1764</v>
      </c>
      <c r="L153" s="2">
        <v>-329</v>
      </c>
      <c r="M153" s="2">
        <v>-239</v>
      </c>
    </row>
    <row r="154" spans="2:20" s="5" customFormat="1" x14ac:dyDescent="0.2">
      <c r="B154" s="13" t="s">
        <v>87</v>
      </c>
      <c r="C154" s="5">
        <f t="shared" ref="C154:M154" si="243">+SUM(C149:C153)</f>
        <v>-8894</v>
      </c>
      <c r="D154" s="5">
        <f t="shared" si="243"/>
        <v>-17804</v>
      </c>
      <c r="E154" s="5">
        <f t="shared" si="243"/>
        <v>-15876</v>
      </c>
      <c r="F154" s="5">
        <f t="shared" si="243"/>
        <v>-17038</v>
      </c>
      <c r="G154" s="5">
        <f t="shared" si="243"/>
        <v>-8666</v>
      </c>
      <c r="H154" s="5">
        <f t="shared" si="243"/>
        <v>-22080</v>
      </c>
      <c r="I154" s="5">
        <f t="shared" si="243"/>
        <v>-14828</v>
      </c>
      <c r="J154" s="5">
        <f t="shared" si="243"/>
        <v>-12580</v>
      </c>
      <c r="K154" s="5">
        <f t="shared" si="243"/>
        <v>906</v>
      </c>
      <c r="L154" s="5">
        <f t="shared" si="243"/>
        <v>-12078</v>
      </c>
      <c r="M154" s="5">
        <f t="shared" si="243"/>
        <v>-15608</v>
      </c>
    </row>
    <row r="156" spans="2:20" x14ac:dyDescent="0.2">
      <c r="B156" s="10" t="s">
        <v>88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-2666</v>
      </c>
      <c r="L156" s="2">
        <v>-3334</v>
      </c>
      <c r="M156" s="2">
        <v>0</v>
      </c>
    </row>
    <row r="157" spans="2:20" x14ac:dyDescent="0.2">
      <c r="B157" s="10" t="s">
        <v>89</v>
      </c>
      <c r="C157" s="2">
        <v>617</v>
      </c>
      <c r="D157" s="2">
        <v>2433</v>
      </c>
      <c r="E157" s="2">
        <v>1311</v>
      </c>
      <c r="F157" s="2">
        <v>2434</v>
      </c>
      <c r="G157" s="2">
        <v>1926</v>
      </c>
      <c r="H157" s="2">
        <v>1176</v>
      </c>
      <c r="I157" s="2">
        <v>2187</v>
      </c>
      <c r="J157" s="2">
        <v>2667</v>
      </c>
      <c r="K157" s="2">
        <v>13743</v>
      </c>
      <c r="L157" s="2">
        <v>4865</v>
      </c>
      <c r="M157" s="2">
        <v>12338</v>
      </c>
    </row>
    <row r="158" spans="2:20" x14ac:dyDescent="0.2">
      <c r="B158" s="10" t="s">
        <v>90</v>
      </c>
      <c r="C158" s="2">
        <v>-631</v>
      </c>
      <c r="D158" s="2">
        <v>-1906</v>
      </c>
      <c r="E158" s="2">
        <v>-1349</v>
      </c>
      <c r="F158" s="2">
        <v>-2291</v>
      </c>
      <c r="G158" s="2">
        <v>-2001</v>
      </c>
      <c r="H158" s="2">
        <v>-1176</v>
      </c>
      <c r="I158" s="2">
        <v>-1917</v>
      </c>
      <c r="J158" s="2">
        <v>-2659</v>
      </c>
      <c r="K158" s="2">
        <v>-6231</v>
      </c>
      <c r="L158" s="2">
        <v>-7610</v>
      </c>
      <c r="M158" s="2">
        <v>-7916</v>
      </c>
    </row>
    <row r="159" spans="2:20" x14ac:dyDescent="0.2">
      <c r="B159" s="10" t="s">
        <v>91</v>
      </c>
      <c r="C159" s="2">
        <v>76</v>
      </c>
      <c r="D159" s="2">
        <v>9918</v>
      </c>
      <c r="E159" s="2">
        <v>0</v>
      </c>
      <c r="F159" s="2">
        <v>531</v>
      </c>
      <c r="G159" s="2">
        <v>111</v>
      </c>
      <c r="H159" s="2">
        <v>18516</v>
      </c>
      <c r="I159" s="2">
        <v>176</v>
      </c>
      <c r="J159" s="2">
        <v>200</v>
      </c>
      <c r="K159" s="2">
        <v>0</v>
      </c>
      <c r="L159" s="2">
        <v>12824</v>
      </c>
      <c r="M159" s="2">
        <v>107</v>
      </c>
    </row>
    <row r="160" spans="2:20" x14ac:dyDescent="0.2">
      <c r="B160" s="10" t="s">
        <v>92</v>
      </c>
      <c r="C160" s="2">
        <v>-36</v>
      </c>
      <c r="D160" s="2">
        <v>-205</v>
      </c>
      <c r="E160" s="2">
        <v>-1198</v>
      </c>
      <c r="F160" s="2">
        <v>-113</v>
      </c>
      <c r="G160" s="2">
        <v>-39</v>
      </c>
      <c r="H160" s="2">
        <v>-41</v>
      </c>
      <c r="I160" s="2">
        <v>-509</v>
      </c>
      <c r="J160" s="2">
        <v>-1001</v>
      </c>
      <c r="K160" s="2">
        <v>0</v>
      </c>
      <c r="L160" s="2">
        <v>-1</v>
      </c>
      <c r="M160" s="2">
        <v>0</v>
      </c>
    </row>
    <row r="161" spans="2:20" x14ac:dyDescent="0.2">
      <c r="B161" s="10" t="s">
        <v>93</v>
      </c>
      <c r="C161" s="2">
        <v>-2600</v>
      </c>
      <c r="D161" s="2">
        <v>-2817</v>
      </c>
      <c r="E161" s="2">
        <v>-2857</v>
      </c>
      <c r="F161" s="2">
        <v>-2368</v>
      </c>
      <c r="G161" s="2">
        <v>-3406</v>
      </c>
      <c r="H161" s="2">
        <v>-2804</v>
      </c>
      <c r="I161" s="2">
        <v>-2693</v>
      </c>
      <c r="J161" s="2">
        <v>-2260</v>
      </c>
      <c r="K161" s="2">
        <v>-2777</v>
      </c>
      <c r="L161" s="2">
        <v>-2059</v>
      </c>
      <c r="M161" s="2">
        <v>-1465</v>
      </c>
    </row>
    <row r="162" spans="2:20" x14ac:dyDescent="0.2">
      <c r="B162" s="10" t="s">
        <v>94</v>
      </c>
      <c r="C162" s="2">
        <v>-17</v>
      </c>
      <c r="D162" s="2">
        <v>-15</v>
      </c>
      <c r="E162" s="2">
        <v>-12</v>
      </c>
      <c r="F162" s="2">
        <v>-9</v>
      </c>
      <c r="G162" s="2">
        <v>-67</v>
      </c>
      <c r="H162" s="2">
        <v>-28</v>
      </c>
      <c r="I162" s="2">
        <v>-20</v>
      </c>
      <c r="J162" s="2">
        <v>-47</v>
      </c>
      <c r="K162" s="2">
        <v>-79</v>
      </c>
      <c r="L162" s="2">
        <v>-59</v>
      </c>
      <c r="M162" s="2">
        <v>-48</v>
      </c>
    </row>
    <row r="163" spans="2:20" s="5" customFormat="1" x14ac:dyDescent="0.2">
      <c r="B163" s="13" t="s">
        <v>95</v>
      </c>
      <c r="C163" s="5">
        <f t="shared" ref="C163:M163" si="244">+SUM(C156:C162)</f>
        <v>-2591</v>
      </c>
      <c r="D163" s="5">
        <f t="shared" si="244"/>
        <v>7408</v>
      </c>
      <c r="E163" s="5">
        <f t="shared" si="244"/>
        <v>-4105</v>
      </c>
      <c r="F163" s="5">
        <f t="shared" si="244"/>
        <v>-1816</v>
      </c>
      <c r="G163" s="5">
        <f t="shared" si="244"/>
        <v>-3476</v>
      </c>
      <c r="H163" s="5">
        <f t="shared" si="244"/>
        <v>15643</v>
      </c>
      <c r="I163" s="5">
        <f t="shared" si="244"/>
        <v>-2776</v>
      </c>
      <c r="J163" s="5">
        <f t="shared" si="244"/>
        <v>-3100</v>
      </c>
      <c r="K163" s="5">
        <f t="shared" si="244"/>
        <v>1990</v>
      </c>
      <c r="L163" s="5">
        <f t="shared" si="244"/>
        <v>4626</v>
      </c>
      <c r="M163" s="5">
        <f t="shared" si="244"/>
        <v>3016</v>
      </c>
    </row>
    <row r="164" spans="2:20" x14ac:dyDescent="0.2">
      <c r="B164" s="10" t="s">
        <v>96</v>
      </c>
      <c r="C164" s="2">
        <v>-484</v>
      </c>
      <c r="D164" s="2">
        <v>127</v>
      </c>
      <c r="E164" s="2">
        <v>377</v>
      </c>
      <c r="F164" s="2">
        <v>599</v>
      </c>
      <c r="G164" s="2">
        <v>-293</v>
      </c>
      <c r="H164" s="2">
        <v>234</v>
      </c>
      <c r="I164" s="2">
        <v>-199</v>
      </c>
      <c r="J164" s="2">
        <v>-106</v>
      </c>
      <c r="K164" s="2">
        <v>16</v>
      </c>
      <c r="L164" s="2">
        <v>-412</v>
      </c>
      <c r="M164" s="2">
        <v>-1334</v>
      </c>
    </row>
    <row r="165" spans="2:20" x14ac:dyDescent="0.2">
      <c r="B165" s="10" t="s">
        <v>97</v>
      </c>
      <c r="C165" s="2">
        <f t="shared" ref="C165:M165" si="245">+C147+C154+C163+C164</f>
        <v>-8905</v>
      </c>
      <c r="D165" s="2">
        <f t="shared" si="245"/>
        <v>10337</v>
      </c>
      <c r="E165" s="2">
        <f t="shared" si="245"/>
        <v>-7640</v>
      </c>
      <c r="F165" s="2">
        <f t="shared" si="245"/>
        <v>12175</v>
      </c>
      <c r="G165" s="2">
        <f t="shared" si="245"/>
        <v>-8222</v>
      </c>
      <c r="H165" s="2">
        <f t="shared" si="245"/>
        <v>6512</v>
      </c>
      <c r="I165" s="2">
        <f t="shared" si="245"/>
        <v>-10490</v>
      </c>
      <c r="J165" s="2">
        <f t="shared" si="245"/>
        <v>6300</v>
      </c>
      <c r="K165" s="2">
        <f t="shared" si="245"/>
        <v>122</v>
      </c>
      <c r="L165" s="2">
        <f t="shared" si="245"/>
        <v>1101</v>
      </c>
      <c r="M165" s="2">
        <f t="shared" si="245"/>
        <v>-2522</v>
      </c>
    </row>
    <row r="166" spans="2:20" s="5" customFormat="1" x14ac:dyDescent="0.2">
      <c r="B166" s="13" t="s">
        <v>98</v>
      </c>
      <c r="C166" s="5">
        <f t="shared" ref="C166:M166" si="246">+C135+C165</f>
        <v>27505</v>
      </c>
      <c r="D166" s="5">
        <f t="shared" si="246"/>
        <v>37842</v>
      </c>
      <c r="E166" s="5">
        <f t="shared" si="246"/>
        <v>30202</v>
      </c>
      <c r="F166" s="5">
        <f t="shared" si="246"/>
        <v>42377</v>
      </c>
      <c r="G166" s="5">
        <f t="shared" si="246"/>
        <v>34155</v>
      </c>
      <c r="H166" s="5">
        <f t="shared" si="246"/>
        <v>40667</v>
      </c>
      <c r="I166" s="5">
        <f t="shared" si="246"/>
        <v>30177</v>
      </c>
      <c r="J166" s="5">
        <f t="shared" si="246"/>
        <v>36477</v>
      </c>
      <c r="K166" s="5">
        <f t="shared" si="246"/>
        <v>36599</v>
      </c>
      <c r="L166" s="5">
        <f t="shared" si="246"/>
        <v>37700</v>
      </c>
      <c r="M166" s="5">
        <f t="shared" si="246"/>
        <v>35178</v>
      </c>
    </row>
    <row r="168" spans="2:20" x14ac:dyDescent="0.2">
      <c r="B168" s="10" t="s">
        <v>99</v>
      </c>
      <c r="C168" s="2">
        <f t="shared" ref="C168:K168" si="247">+C147+C149</f>
        <v>-3731</v>
      </c>
      <c r="D168" s="2">
        <f t="shared" si="247"/>
        <v>13147</v>
      </c>
      <c r="E168" s="2">
        <f t="shared" si="247"/>
        <v>901</v>
      </c>
      <c r="F168" s="2">
        <f t="shared" si="247"/>
        <v>15606</v>
      </c>
      <c r="G168" s="2">
        <f t="shared" si="247"/>
        <v>-7869</v>
      </c>
      <c r="H168" s="2">
        <f t="shared" si="247"/>
        <v>-1573</v>
      </c>
      <c r="I168" s="2">
        <f t="shared" si="247"/>
        <v>-8435</v>
      </c>
      <c r="J168" s="2">
        <f t="shared" si="247"/>
        <v>3151</v>
      </c>
      <c r="K168" s="2">
        <f t="shared" si="247"/>
        <v>-17741</v>
      </c>
      <c r="L168" s="2">
        <f>+L147+L149</f>
        <v>-6759</v>
      </c>
      <c r="M168" s="2">
        <f>+M147+M149</f>
        <v>-4974</v>
      </c>
      <c r="N168" s="2">
        <f>+N147+N149</f>
        <v>12581</v>
      </c>
      <c r="O168" s="2">
        <f>+O147+O149</f>
        <v>-9419</v>
      </c>
      <c r="P168" s="2">
        <f>+P147+P149</f>
        <v>14440</v>
      </c>
      <c r="Q168" s="2">
        <f>+Q147+Q149</f>
        <v>3717</v>
      </c>
      <c r="R168" s="2">
        <f>+R147+R149</f>
        <v>23479</v>
      </c>
      <c r="S168" s="2">
        <f>+S147+S149</f>
        <v>4064</v>
      </c>
      <c r="T168" s="2">
        <f>+T147+T149</f>
        <v>7661</v>
      </c>
    </row>
    <row r="169" spans="2:20" x14ac:dyDescent="0.2">
      <c r="B169" s="10" t="s">
        <v>134</v>
      </c>
      <c r="C169" s="2">
        <f t="shared" ref="C169:N169" si="248">+C67</f>
        <v>2535</v>
      </c>
      <c r="D169" s="2">
        <f t="shared" si="248"/>
        <v>5243</v>
      </c>
      <c r="E169" s="2">
        <f t="shared" si="248"/>
        <v>6331</v>
      </c>
      <c r="F169" s="2">
        <f t="shared" si="248"/>
        <v>7222</v>
      </c>
      <c r="G169" s="2">
        <f t="shared" si="248"/>
        <v>8107</v>
      </c>
      <c r="H169" s="2">
        <f t="shared" si="248"/>
        <v>7778</v>
      </c>
      <c r="I169" s="2">
        <f t="shared" si="248"/>
        <v>3156</v>
      </c>
      <c r="J169" s="2">
        <f t="shared" si="248"/>
        <v>14323</v>
      </c>
      <c r="K169" s="2">
        <f t="shared" si="248"/>
        <v>-3844</v>
      </c>
      <c r="L169" s="2">
        <f t="shared" si="248"/>
        <v>-2028</v>
      </c>
      <c r="M169" s="2">
        <f t="shared" si="248"/>
        <v>2872</v>
      </c>
      <c r="N169" s="2">
        <f t="shared" si="248"/>
        <v>278</v>
      </c>
      <c r="O169" s="2">
        <f t="shared" ref="O169:P169" si="249">+O67</f>
        <v>3172</v>
      </c>
      <c r="P169" s="2">
        <f t="shared" si="249"/>
        <v>6750</v>
      </c>
      <c r="Q169" s="2">
        <f t="shared" ref="Q169:R169" si="250">+Q67</f>
        <v>9879</v>
      </c>
      <c r="R169" s="2">
        <f t="shared" si="250"/>
        <v>10624</v>
      </c>
      <c r="S169" s="2">
        <f t="shared" ref="S169:T169" si="251">+S67</f>
        <v>3172</v>
      </c>
      <c r="T169" s="2">
        <f t="shared" si="251"/>
        <v>20344</v>
      </c>
    </row>
    <row r="171" spans="2:20" x14ac:dyDescent="0.2">
      <c r="B171" s="10" t="s">
        <v>135</v>
      </c>
      <c r="C171" s="2">
        <f>+C149</f>
        <v>-6795</v>
      </c>
      <c r="D171" s="2">
        <f t="shared" ref="D171:N171" si="252">+D149</f>
        <v>-7459</v>
      </c>
      <c r="E171" s="2">
        <f t="shared" si="252"/>
        <v>-11063</v>
      </c>
      <c r="F171" s="2">
        <f t="shared" si="252"/>
        <v>-14824</v>
      </c>
      <c r="G171" s="2">
        <f t="shared" si="252"/>
        <v>-12082</v>
      </c>
      <c r="H171" s="2">
        <f t="shared" si="252"/>
        <v>-14288</v>
      </c>
      <c r="I171" s="2">
        <f t="shared" si="252"/>
        <v>-15748</v>
      </c>
      <c r="J171" s="2">
        <f t="shared" si="252"/>
        <v>-18935</v>
      </c>
      <c r="K171" s="2">
        <f t="shared" si="252"/>
        <v>-14951</v>
      </c>
      <c r="L171" s="2">
        <f t="shared" si="252"/>
        <v>-15724</v>
      </c>
      <c r="M171" s="2">
        <f t="shared" si="252"/>
        <v>-16378</v>
      </c>
      <c r="N171" s="2">
        <f t="shared" si="252"/>
        <v>-16592</v>
      </c>
      <c r="O171" s="2">
        <f t="shared" ref="O171:P171" si="253">+O149</f>
        <v>-14207</v>
      </c>
      <c r="P171" s="2">
        <f t="shared" si="253"/>
        <v>2752</v>
      </c>
      <c r="Q171" s="2">
        <f t="shared" ref="Q171" si="254">+Q149</f>
        <v>-1024</v>
      </c>
      <c r="R171" s="2">
        <f t="shared" ref="R171" si="255">+R149</f>
        <v>-40250</v>
      </c>
      <c r="S171" s="2">
        <f t="shared" ref="S171:T171" si="256">+S149</f>
        <v>-14925</v>
      </c>
      <c r="T171" s="2">
        <f t="shared" si="256"/>
        <v>-17620</v>
      </c>
    </row>
    <row r="172" spans="2:20" x14ac:dyDescent="0.2">
      <c r="B172" s="10" t="s">
        <v>137</v>
      </c>
      <c r="M172" s="5">
        <f>AVERAGE(C171:M171)</f>
        <v>-13477</v>
      </c>
      <c r="N172" s="5">
        <f>AVERAGE(D171:N171)</f>
        <v>-14367.636363636364</v>
      </c>
      <c r="O172" s="5">
        <f>AVERAGE(E171:O171)</f>
        <v>-14981.09090909091</v>
      </c>
      <c r="P172" s="5">
        <f>AVERAGE(F171:P171)</f>
        <v>-13725.181818181818</v>
      </c>
      <c r="Q172" s="5">
        <f>AVERAGE(G171:Q171)</f>
        <v>-12470.636363636364</v>
      </c>
      <c r="R172" s="5">
        <f>AVERAGE(H171:R171)</f>
        <v>-15031.363636363636</v>
      </c>
      <c r="S172" s="5">
        <f>AVERAGE(I171:S171)</f>
        <v>-15089.272727272728</v>
      </c>
      <c r="T172" s="5">
        <f>AVERAGE(J171:T171)</f>
        <v>-15259.454545454546</v>
      </c>
    </row>
    <row r="173" spans="2:20" x14ac:dyDescent="0.2">
      <c r="B173" s="10" t="s">
        <v>138</v>
      </c>
      <c r="M173" s="24">
        <f>_xlfn.RRI(11,C166,M166)</f>
        <v>2.2620511756484163E-2</v>
      </c>
      <c r="P173" s="24">
        <f>_xlfn.RRI(11,F166,P166)</f>
        <v>-1</v>
      </c>
      <c r="Q173" s="24">
        <f>_xlfn.RRI(11,G166,Q166)</f>
        <v>-1</v>
      </c>
      <c r="R173" s="24">
        <f>_xlfn.RRI(11,H166,R166)</f>
        <v>-1</v>
      </c>
      <c r="S173" s="24">
        <f>_xlfn.RRI(11,I166,S166)</f>
        <v>-1</v>
      </c>
      <c r="T173" s="24">
        <f>_xlfn.RRI(11,J166,T166)</f>
        <v>-1</v>
      </c>
    </row>
    <row r="179" spans="2:18" x14ac:dyDescent="0.2">
      <c r="B179" s="10" t="s">
        <v>51</v>
      </c>
      <c r="G179" s="2">
        <v>-76</v>
      </c>
      <c r="H179" s="2">
        <v>157</v>
      </c>
      <c r="I179" s="2">
        <v>-129</v>
      </c>
      <c r="K179" s="2">
        <v>-8245</v>
      </c>
      <c r="L179" s="2">
        <v>-4322</v>
      </c>
      <c r="M179" s="2">
        <v>1039</v>
      </c>
      <c r="N179" s="2">
        <f>+-13870-SUM(K179:M179)</f>
        <v>-2342</v>
      </c>
      <c r="O179" s="2">
        <v>-480</v>
      </c>
      <c r="P179" s="2">
        <v>299</v>
      </c>
      <c r="Q179" s="2">
        <v>1196</v>
      </c>
      <c r="R179" s="2">
        <f>984-SUM(O179:Q179)</f>
        <v>-31</v>
      </c>
    </row>
    <row r="180" spans="2:18" x14ac:dyDescent="0.2">
      <c r="B180" s="10" t="s">
        <v>164</v>
      </c>
      <c r="G180" s="2">
        <v>305</v>
      </c>
      <c r="H180" s="2">
        <v>939</v>
      </c>
      <c r="I180" s="2">
        <v>-50</v>
      </c>
      <c r="K180" s="2">
        <v>-312</v>
      </c>
      <c r="L180" s="2">
        <v>-1124</v>
      </c>
      <c r="M180" s="2">
        <v>-170</v>
      </c>
      <c r="N180" s="2">
        <f>+-2132-SUM(K180:M180)</f>
        <v>-526</v>
      </c>
      <c r="O180" s="2">
        <v>59</v>
      </c>
      <c r="P180" s="2">
        <v>-220</v>
      </c>
      <c r="Q180" s="2">
        <v>-27</v>
      </c>
      <c r="R180" s="2">
        <f>26-SUM(O180:Q180)</f>
        <v>214</v>
      </c>
    </row>
    <row r="181" spans="2:18" x14ac:dyDescent="0.2">
      <c r="B181" s="10" t="s">
        <v>165</v>
      </c>
      <c r="G181" s="2">
        <v>1475</v>
      </c>
      <c r="H181" s="2">
        <v>31</v>
      </c>
      <c r="I181" s="2">
        <v>155</v>
      </c>
      <c r="K181" s="2">
        <v>7</v>
      </c>
      <c r="L181" s="2">
        <v>58</v>
      </c>
      <c r="M181" s="2">
        <v>11</v>
      </c>
      <c r="N181" s="2">
        <f>76-SUM(K181:M181)</f>
        <v>0</v>
      </c>
      <c r="O181" s="2">
        <v>16</v>
      </c>
      <c r="P181" s="2">
        <v>10</v>
      </c>
      <c r="Q181" s="2">
        <v>7</v>
      </c>
      <c r="R181" s="2">
        <f>40-SUM(O181:Q181)</f>
        <v>7</v>
      </c>
    </row>
    <row r="182" spans="2:18" x14ac:dyDescent="0.2">
      <c r="B182" s="10" t="s">
        <v>166</v>
      </c>
      <c r="G182" s="2">
        <v>-31</v>
      </c>
      <c r="H182" s="2">
        <v>110</v>
      </c>
      <c r="I182" s="2">
        <v>-107</v>
      </c>
      <c r="K182" s="2">
        <v>14</v>
      </c>
      <c r="L182" s="2">
        <v>-117</v>
      </c>
      <c r="M182" s="2">
        <v>-103</v>
      </c>
      <c r="N182" s="2">
        <f>+-340-SUM(K182:M182)</f>
        <v>-134</v>
      </c>
      <c r="O182" s="2">
        <v>70</v>
      </c>
      <c r="P182" s="2">
        <v>9</v>
      </c>
      <c r="Q182" s="2">
        <v>-94</v>
      </c>
      <c r="R182" s="2">
        <f>65-SUM(O182:Q182)</f>
        <v>80</v>
      </c>
    </row>
    <row r="183" spans="2:18" x14ac:dyDescent="0.2">
      <c r="B183" s="10" t="s">
        <v>167</v>
      </c>
      <c r="G183" s="2">
        <v>24</v>
      </c>
      <c r="H183" s="2">
        <v>24</v>
      </c>
      <c r="I183" s="2">
        <v>-32</v>
      </c>
      <c r="K183" s="2">
        <v>-34</v>
      </c>
      <c r="L183" s="2">
        <v>-40</v>
      </c>
      <c r="M183" s="2">
        <v>-18</v>
      </c>
      <c r="N183" s="2">
        <f>+-540-SUM(K183:M183)</f>
        <v>-448</v>
      </c>
      <c r="O183" s="2">
        <v>-108</v>
      </c>
      <c r="P183" s="2">
        <v>-37</v>
      </c>
      <c r="Q183" s="2">
        <v>-51</v>
      </c>
      <c r="R183" s="2">
        <f>+-177-SUM(O183:Q183)</f>
        <v>19</v>
      </c>
    </row>
    <row r="184" spans="2:18" s="5" customFormat="1" x14ac:dyDescent="0.2">
      <c r="B184" s="13" t="s">
        <v>175</v>
      </c>
      <c r="G184" s="5">
        <f>+SUM(G179:G183)</f>
        <v>1697</v>
      </c>
      <c r="H184" s="5">
        <f>+SUM(H179:H183)</f>
        <v>1261</v>
      </c>
      <c r="I184" s="5">
        <f>+SUM(I179:I183)</f>
        <v>-163</v>
      </c>
      <c r="K184" s="5">
        <f>+SUM(K179:K183)</f>
        <v>-8570</v>
      </c>
      <c r="L184" s="5">
        <f>+SUM(L179:L183)</f>
        <v>-5545</v>
      </c>
      <c r="M184" s="5">
        <f>+SUM(M179:M183)</f>
        <v>759</v>
      </c>
      <c r="N184" s="5">
        <f t="shared" ref="N184:R184" si="257">+SUM(N179:N183)</f>
        <v>-3450</v>
      </c>
      <c r="O184" s="5">
        <f>+SUM(O179:O183)</f>
        <v>-443</v>
      </c>
      <c r="P184" s="5">
        <f t="shared" si="257"/>
        <v>61</v>
      </c>
      <c r="Q184" s="5">
        <f t="shared" si="257"/>
        <v>1031</v>
      </c>
      <c r="R184" s="5">
        <f t="shared" si="257"/>
        <v>289</v>
      </c>
    </row>
    <row r="185" spans="2:18" s="5" customFormat="1" x14ac:dyDescent="0.2">
      <c r="B185" s="13"/>
    </row>
    <row r="186" spans="2:18" x14ac:dyDescent="0.2">
      <c r="B186" s="10" t="s">
        <v>173</v>
      </c>
      <c r="G186" s="2">
        <v>158</v>
      </c>
      <c r="H186" s="2">
        <v>158</v>
      </c>
      <c r="I186" s="2">
        <v>158</v>
      </c>
      <c r="J186" s="2">
        <v>158</v>
      </c>
      <c r="K186" s="2">
        <v>158</v>
      </c>
      <c r="L186" s="2">
        <v>158</v>
      </c>
      <c r="M186" s="2">
        <v>158</v>
      </c>
      <c r="N186" s="2">
        <v>158</v>
      </c>
      <c r="O186" s="2">
        <v>158</v>
      </c>
      <c r="P186" s="2">
        <v>158</v>
      </c>
      <c r="Q186" s="2">
        <v>158</v>
      </c>
      <c r="R186" s="2">
        <v>158</v>
      </c>
    </row>
    <row r="187" spans="2:18" x14ac:dyDescent="0.2">
      <c r="B187" s="10" t="s">
        <v>174</v>
      </c>
      <c r="K187" s="2">
        <v>-7600</v>
      </c>
      <c r="L187" s="2">
        <f>(3.7*1000)-K187</f>
        <v>11300</v>
      </c>
      <c r="M187" s="2">
        <f>+(1.1*1000)-SUM(K187:L187)</f>
        <v>-2600</v>
      </c>
      <c r="N187" s="2">
        <f>+(12.7*1000)-SUM(K187:M187)</f>
        <v>11600</v>
      </c>
      <c r="O187" s="2">
        <v>-467</v>
      </c>
      <c r="P187" s="2">
        <f>187-SUM(O187)</f>
        <v>654</v>
      </c>
      <c r="Q187" s="2">
        <f>+(1.2*1000)-SUM(O187:P187)</f>
        <v>1013</v>
      </c>
      <c r="R187" s="2">
        <f>797-SUM(O188:Q188)</f>
        <v>797</v>
      </c>
    </row>
    <row r="188" spans="2:18" x14ac:dyDescent="0.2">
      <c r="B188" s="10" t="s">
        <v>168</v>
      </c>
      <c r="G188" s="2">
        <v>0</v>
      </c>
      <c r="H188" s="2">
        <v>0</v>
      </c>
      <c r="I188" s="2">
        <v>0</v>
      </c>
      <c r="K188" s="2">
        <v>55</v>
      </c>
      <c r="L188" s="2">
        <v>95</v>
      </c>
      <c r="M188" s="2">
        <v>459</v>
      </c>
    </row>
    <row r="189" spans="2:18" x14ac:dyDescent="0.2">
      <c r="B189" s="10" t="s">
        <v>169</v>
      </c>
      <c r="G189" s="2">
        <v>0</v>
      </c>
      <c r="H189" s="2">
        <v>0</v>
      </c>
      <c r="I189" s="2">
        <v>0</v>
      </c>
      <c r="K189" s="2">
        <v>-465</v>
      </c>
      <c r="L189" s="2">
        <v>-502</v>
      </c>
      <c r="M189" s="2">
        <v>-1206</v>
      </c>
    </row>
    <row r="190" spans="2:18" x14ac:dyDescent="0.2">
      <c r="B190" s="10" t="s">
        <v>28</v>
      </c>
      <c r="G190" s="2">
        <v>-1021</v>
      </c>
      <c r="I190" s="2">
        <v>-990</v>
      </c>
      <c r="K190" s="2">
        <v>-4220</v>
      </c>
      <c r="L190" s="2">
        <v>-1579</v>
      </c>
      <c r="M190" s="2">
        <v>-3287</v>
      </c>
    </row>
    <row r="191" spans="2:18" x14ac:dyDescent="0.2">
      <c r="B191" s="10" t="s">
        <v>76</v>
      </c>
      <c r="G191" s="2">
        <v>-1018</v>
      </c>
      <c r="I191" s="2">
        <v>-994</v>
      </c>
      <c r="K191" s="2">
        <v>-4688</v>
      </c>
      <c r="L191" s="2">
        <v>-1593</v>
      </c>
      <c r="M191" s="2">
        <v>-3305</v>
      </c>
    </row>
  </sheetData>
  <mergeCells count="1">
    <mergeCell ref="BB75:BI75"/>
  </mergeCells>
  <conditionalFormatting sqref="C168:M168">
    <cfRule type="cellIs" dxfId="3" priority="9" operator="greaterThan">
      <formula>0</formula>
    </cfRule>
  </conditionalFormatting>
  <conditionalFormatting sqref="M16:R18 C16:M25 M19:Q25 C26:J26 N26 C27:R27 C28:J34 N28:N34 M35:R35 C35:M40">
    <cfRule type="cellIs" dxfId="2" priority="10" operator="equal">
      <formula>"n"</formula>
    </cfRule>
  </conditionalFormatting>
  <conditionalFormatting sqref="N37:T40">
    <cfRule type="cellIs" dxfId="1" priority="2" operator="equal">
      <formula>"n"</formula>
    </cfRule>
  </conditionalFormatting>
  <conditionalFormatting sqref="N168:T168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/>
  <ignoredErrors>
    <ignoredError sqref="AL58:AL65 AL67:AL69" formula="1"/>
    <ignoredError sqref="AL66" formula="1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jameel</cp:lastModifiedBy>
  <dcterms:created xsi:type="dcterms:W3CDTF">2022-08-07T02:51:15Z</dcterms:created>
  <dcterms:modified xsi:type="dcterms:W3CDTF">2024-09-24T01:08:54Z</dcterms:modified>
</cp:coreProperties>
</file>