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A7B246C1-CF51-6348-8EFA-A4AC2EE945E2}" xr6:coauthVersionLast="47" xr6:coauthVersionMax="47" xr10:uidLastSave="{00000000-0000-0000-0000-000000000000}"/>
  <bookViews>
    <workbookView xWindow="16020" yWindow="500" windowWidth="44280" windowHeight="24540" xr2:uid="{6D904A83-089B-B64C-BA83-931F47940392}"/>
  </bookViews>
  <sheets>
    <sheet name="Main" sheetId="2" r:id="rId1"/>
    <sheet name="Model" sheetId="1" r:id="rId2"/>
    <sheet name="Portfolio" sheetId="5" r:id="rId3"/>
    <sheet name="data analysis" sheetId="3" r:id="rId4"/>
    <sheet name="Statu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5" i="1" l="1"/>
  <c r="U35" i="1"/>
  <c r="U7" i="1"/>
  <c r="U11" i="1"/>
  <c r="U14" i="1"/>
  <c r="U15" i="1"/>
  <c r="U16" i="1"/>
  <c r="U20" i="1"/>
  <c r="U22" i="1"/>
  <c r="U27" i="1" s="1"/>
  <c r="U42" i="1"/>
  <c r="U49" i="1" s="1"/>
  <c r="U73" i="1" s="1"/>
  <c r="U56" i="1"/>
  <c r="U65" i="1"/>
  <c r="U66" i="1"/>
  <c r="U69" i="1"/>
  <c r="U70" i="1"/>
  <c r="U79" i="1"/>
  <c r="U80" i="1"/>
  <c r="U103" i="1"/>
  <c r="S70" i="1"/>
  <c r="T70" i="1"/>
  <c r="R68" i="1"/>
  <c r="R70" i="1" s="1"/>
  <c r="Q68" i="1"/>
  <c r="P69" i="1"/>
  <c r="O69" i="1"/>
  <c r="S69" i="1"/>
  <c r="S65" i="1"/>
  <c r="S56" i="1"/>
  <c r="S42" i="1"/>
  <c r="S49" i="1" s="1"/>
  <c r="T69" i="1"/>
  <c r="T65" i="1"/>
  <c r="T56" i="1"/>
  <c r="T42" i="1"/>
  <c r="T49" i="1" s="1"/>
  <c r="T73" i="1" s="1"/>
  <c r="T104" i="1"/>
  <c r="U104" i="1" s="1"/>
  <c r="T102" i="1"/>
  <c r="U102" i="1" s="1"/>
  <c r="T98" i="1"/>
  <c r="U98" i="1" s="1"/>
  <c r="T97" i="1"/>
  <c r="U97" i="1" s="1"/>
  <c r="T96" i="1"/>
  <c r="U96" i="1" s="1"/>
  <c r="T90" i="1"/>
  <c r="U90" i="1" s="1"/>
  <c r="T87" i="1"/>
  <c r="U87" i="1" s="1"/>
  <c r="T81" i="1"/>
  <c r="U81" i="1" s="1"/>
  <c r="T80" i="1"/>
  <c r="T79" i="1"/>
  <c r="T78" i="1"/>
  <c r="U78" i="1" s="1"/>
  <c r="T77" i="1"/>
  <c r="U77" i="1" s="1"/>
  <c r="T106" i="1"/>
  <c r="U106" i="1" s="1"/>
  <c r="T92" i="1"/>
  <c r="U92" i="1" s="1"/>
  <c r="T91" i="1"/>
  <c r="U91" i="1" s="1"/>
  <c r="T84" i="1"/>
  <c r="U84" i="1" s="1"/>
  <c r="T83" i="1"/>
  <c r="U83" i="1" s="1"/>
  <c r="T82" i="1"/>
  <c r="U82" i="1" s="1"/>
  <c r="T76" i="1"/>
  <c r="U76" i="1" s="1"/>
  <c r="T75" i="1"/>
  <c r="U75" i="1" s="1"/>
  <c r="R64" i="1"/>
  <c r="Q64" i="1"/>
  <c r="P64" i="1"/>
  <c r="O64" i="1"/>
  <c r="N64" i="1"/>
  <c r="U85" i="1" l="1"/>
  <c r="U109" i="1"/>
  <c r="U110" i="1" s="1"/>
  <c r="U38" i="1"/>
  <c r="U21" i="1"/>
  <c r="U28" i="1" s="1"/>
  <c r="U30" i="1" s="1"/>
  <c r="S38" i="1"/>
  <c r="T38" i="1"/>
  <c r="S73" i="1"/>
  <c r="S66" i="1"/>
  <c r="T66" i="1"/>
  <c r="S94" i="1"/>
  <c r="S105" i="1"/>
  <c r="T85" i="1"/>
  <c r="T88" i="1"/>
  <c r="U88" i="1" s="1"/>
  <c r="T89" i="1"/>
  <c r="U89" i="1" s="1"/>
  <c r="T99" i="1"/>
  <c r="S85" i="1"/>
  <c r="S109" i="1" s="1"/>
  <c r="S110" i="1" s="1"/>
  <c r="U94" i="1" l="1"/>
  <c r="U32" i="1"/>
  <c r="U111" i="1"/>
  <c r="T105" i="1"/>
  <c r="U99" i="1"/>
  <c r="U105" i="1" s="1"/>
  <c r="U107" i="1" s="1"/>
  <c r="T94" i="1"/>
  <c r="S107" i="1"/>
  <c r="T109" i="1"/>
  <c r="T110" i="1" s="1"/>
  <c r="V31" i="1"/>
  <c r="S22" i="1"/>
  <c r="S27" i="1" s="1"/>
  <c r="S20" i="1"/>
  <c r="S14" i="1"/>
  <c r="S11" i="1"/>
  <c r="S7" i="1"/>
  <c r="T22" i="1"/>
  <c r="T27" i="1" s="1"/>
  <c r="T20" i="1"/>
  <c r="T14" i="1"/>
  <c r="T11" i="1"/>
  <c r="T7" i="1"/>
  <c r="F8" i="2"/>
  <c r="O105" i="1"/>
  <c r="O94" i="1"/>
  <c r="O84" i="1"/>
  <c r="O85" i="1" s="1"/>
  <c r="P103" i="1"/>
  <c r="Q103" i="1" s="1"/>
  <c r="R103" i="1" s="1"/>
  <c r="P100" i="1"/>
  <c r="Q100" i="1" s="1"/>
  <c r="R100" i="1" s="1"/>
  <c r="P101" i="1"/>
  <c r="Q101" i="1" s="1"/>
  <c r="R101" i="1" s="1"/>
  <c r="P99" i="1"/>
  <c r="Q99" i="1" s="1"/>
  <c r="R99" i="1" s="1"/>
  <c r="P98" i="1"/>
  <c r="Q98" i="1" s="1"/>
  <c r="R98" i="1" s="1"/>
  <c r="P97" i="1"/>
  <c r="Q97" i="1" s="1"/>
  <c r="P106" i="1"/>
  <c r="Q106" i="1" s="1"/>
  <c r="R106" i="1" s="1"/>
  <c r="P104" i="1"/>
  <c r="P102" i="1"/>
  <c r="P96" i="1"/>
  <c r="P93" i="1"/>
  <c r="Q93" i="1" s="1"/>
  <c r="R93" i="1" s="1"/>
  <c r="P92" i="1"/>
  <c r="R92" i="1" s="1"/>
  <c r="P91" i="1"/>
  <c r="Q91" i="1" s="1"/>
  <c r="R91" i="1" s="1"/>
  <c r="P90" i="1"/>
  <c r="P89" i="1"/>
  <c r="Q89" i="1" s="1"/>
  <c r="R89" i="1" s="1"/>
  <c r="P88" i="1"/>
  <c r="Q88" i="1" s="1"/>
  <c r="R88" i="1" s="1"/>
  <c r="P87" i="1"/>
  <c r="Q87" i="1" s="1"/>
  <c r="R87" i="1" s="1"/>
  <c r="P81" i="1"/>
  <c r="Q81" i="1" s="1"/>
  <c r="R81" i="1" s="1"/>
  <c r="P80" i="1"/>
  <c r="R80" i="1" s="1"/>
  <c r="P79" i="1"/>
  <c r="Q79" i="1" s="1"/>
  <c r="R79" i="1" s="1"/>
  <c r="P78" i="1"/>
  <c r="Q78" i="1" s="1"/>
  <c r="R78" i="1" s="1"/>
  <c r="P77" i="1"/>
  <c r="Q77" i="1" s="1"/>
  <c r="R77" i="1" s="1"/>
  <c r="P76" i="1"/>
  <c r="Q76" i="1" s="1"/>
  <c r="P75" i="1"/>
  <c r="Q75" i="1" s="1"/>
  <c r="O65" i="1"/>
  <c r="O56" i="1"/>
  <c r="O42" i="1"/>
  <c r="P65" i="1"/>
  <c r="P56" i="1"/>
  <c r="P42" i="1"/>
  <c r="Q65" i="1"/>
  <c r="Q56" i="1"/>
  <c r="Q42" i="1"/>
  <c r="N65" i="1"/>
  <c r="N56" i="1"/>
  <c r="N42" i="1"/>
  <c r="F29" i="1"/>
  <c r="F26" i="1"/>
  <c r="F25" i="1"/>
  <c r="F24" i="1"/>
  <c r="F23" i="1"/>
  <c r="F22" i="1"/>
  <c r="F19" i="1"/>
  <c r="F18" i="1"/>
  <c r="F17" i="1"/>
  <c r="F13" i="1"/>
  <c r="F12" i="1"/>
  <c r="F10" i="1"/>
  <c r="F9" i="1"/>
  <c r="F8" i="1"/>
  <c r="F6" i="1"/>
  <c r="F5" i="1"/>
  <c r="F4" i="1"/>
  <c r="F3" i="1"/>
  <c r="Z27" i="1"/>
  <c r="Z20" i="1"/>
  <c r="Z14" i="1"/>
  <c r="Z11" i="1"/>
  <c r="Z7" i="1"/>
  <c r="AA27" i="1"/>
  <c r="AA20" i="1"/>
  <c r="AA14" i="1"/>
  <c r="AA11" i="1"/>
  <c r="AA7" i="1"/>
  <c r="AB27" i="1"/>
  <c r="AB20" i="1"/>
  <c r="AB14" i="1"/>
  <c r="AB11" i="1"/>
  <c r="AB7" i="1"/>
  <c r="AC27" i="1"/>
  <c r="AC20" i="1"/>
  <c r="AC14" i="1"/>
  <c r="AC11" i="1"/>
  <c r="AC7" i="1"/>
  <c r="AD27" i="1"/>
  <c r="AD20" i="1"/>
  <c r="AD14" i="1"/>
  <c r="AD11" i="1"/>
  <c r="AD7" i="1"/>
  <c r="C27" i="1"/>
  <c r="C20" i="1"/>
  <c r="C14" i="1"/>
  <c r="C11" i="1"/>
  <c r="C7" i="1"/>
  <c r="D27" i="1"/>
  <c r="D20" i="1"/>
  <c r="D14" i="1"/>
  <c r="D11" i="1"/>
  <c r="D7" i="1"/>
  <c r="E27" i="1"/>
  <c r="E20" i="1"/>
  <c r="E14" i="1"/>
  <c r="E11" i="1"/>
  <c r="E7" i="1"/>
  <c r="J29" i="1"/>
  <c r="J26" i="1"/>
  <c r="J25" i="1"/>
  <c r="J24" i="1"/>
  <c r="J23" i="1"/>
  <c r="J22" i="1"/>
  <c r="J19" i="1"/>
  <c r="J18" i="1"/>
  <c r="J17" i="1"/>
  <c r="J13" i="1"/>
  <c r="J12" i="1"/>
  <c r="J10" i="1"/>
  <c r="J9" i="1"/>
  <c r="J8" i="1"/>
  <c r="J6" i="1"/>
  <c r="J5" i="1"/>
  <c r="J4" i="1"/>
  <c r="J3" i="1"/>
  <c r="G27" i="1"/>
  <c r="G20" i="1"/>
  <c r="G14" i="1"/>
  <c r="G11" i="1"/>
  <c r="G7" i="1"/>
  <c r="H27" i="1"/>
  <c r="H20" i="1"/>
  <c r="H14" i="1"/>
  <c r="H11" i="1"/>
  <c r="H7" i="1"/>
  <c r="I27" i="1"/>
  <c r="I20" i="1"/>
  <c r="I14" i="1"/>
  <c r="I11" i="1"/>
  <c r="I7" i="1"/>
  <c r="T107" i="1" l="1"/>
  <c r="P49" i="1"/>
  <c r="P38" i="1"/>
  <c r="O49" i="1"/>
  <c r="O38" i="1"/>
  <c r="Q49" i="1"/>
  <c r="Q73" i="1" s="1"/>
  <c r="Q38" i="1"/>
  <c r="N49" i="1"/>
  <c r="N73" i="1" s="1"/>
  <c r="N38" i="1"/>
  <c r="S15" i="1"/>
  <c r="S16" i="1"/>
  <c r="T15" i="1"/>
  <c r="T16" i="1" s="1"/>
  <c r="P84" i="1"/>
  <c r="Q84" i="1" s="1"/>
  <c r="Q85" i="1" s="1"/>
  <c r="Q109" i="1" s="1"/>
  <c r="Q110" i="1" s="1"/>
  <c r="Q102" i="1"/>
  <c r="R102" i="1" s="1"/>
  <c r="P73" i="1"/>
  <c r="R76" i="1"/>
  <c r="O107" i="1"/>
  <c r="O109" i="1"/>
  <c r="C15" i="1"/>
  <c r="C16" i="1" s="1"/>
  <c r="C21" i="1" s="1"/>
  <c r="C28" i="1" s="1"/>
  <c r="C30" i="1" s="1"/>
  <c r="C32" i="1" s="1"/>
  <c r="F27" i="1"/>
  <c r="O73" i="1"/>
  <c r="Q104" i="1"/>
  <c r="P105" i="1"/>
  <c r="Q96" i="1"/>
  <c r="R96" i="1" s="1"/>
  <c r="P94" i="1"/>
  <c r="Q90" i="1"/>
  <c r="R90" i="1" s="1"/>
  <c r="R94" i="1" s="1"/>
  <c r="F14" i="1"/>
  <c r="R97" i="1"/>
  <c r="R75" i="1"/>
  <c r="F11" i="1"/>
  <c r="F7" i="1"/>
  <c r="F20" i="1"/>
  <c r="AB15" i="1"/>
  <c r="AB16" i="1" s="1"/>
  <c r="O66" i="1"/>
  <c r="P66" i="1"/>
  <c r="Q66" i="1"/>
  <c r="N66" i="1"/>
  <c r="Z15" i="1"/>
  <c r="Z16" i="1" s="1"/>
  <c r="Z21" i="1" s="1"/>
  <c r="Z28" i="1" s="1"/>
  <c r="Z30" i="1" s="1"/>
  <c r="Z32" i="1" s="1"/>
  <c r="AA15" i="1"/>
  <c r="AA16" i="1" s="1"/>
  <c r="AC15" i="1"/>
  <c r="AC16" i="1" s="1"/>
  <c r="AD15" i="1"/>
  <c r="D15" i="1"/>
  <c r="D16" i="1" s="1"/>
  <c r="D21" i="1" s="1"/>
  <c r="D28" i="1" s="1"/>
  <c r="D30" i="1" s="1"/>
  <c r="D32" i="1" s="1"/>
  <c r="E15" i="1"/>
  <c r="E16" i="1" s="1"/>
  <c r="E21" i="1" s="1"/>
  <c r="E28" i="1" s="1"/>
  <c r="E30" i="1" s="1"/>
  <c r="E32" i="1" s="1"/>
  <c r="G15" i="1"/>
  <c r="G16" i="1" s="1"/>
  <c r="G35" i="1" s="1"/>
  <c r="H15" i="1"/>
  <c r="H16" i="1" s="1"/>
  <c r="I15" i="1"/>
  <c r="I16" i="1" s="1"/>
  <c r="I35" i="1" s="1"/>
  <c r="H35" i="1" l="1"/>
  <c r="O110" i="1"/>
  <c r="R84" i="1"/>
  <c r="P85" i="1"/>
  <c r="P109" i="1" s="1"/>
  <c r="S21" i="1"/>
  <c r="T21" i="1"/>
  <c r="T28" i="1" s="1"/>
  <c r="T30" i="1" s="1"/>
  <c r="Q94" i="1"/>
  <c r="Q105" i="1"/>
  <c r="R104" i="1"/>
  <c r="R105" i="1" s="1"/>
  <c r="I21" i="1"/>
  <c r="I28" i="1" s="1"/>
  <c r="I30" i="1" s="1"/>
  <c r="I32" i="1" s="1"/>
  <c r="AC21" i="1"/>
  <c r="AC28" i="1" s="1"/>
  <c r="AC30" i="1" s="1"/>
  <c r="AC32" i="1" s="1"/>
  <c r="AC35" i="1"/>
  <c r="H21" i="1"/>
  <c r="H28" i="1" s="1"/>
  <c r="H30" i="1" s="1"/>
  <c r="H32" i="1" s="1"/>
  <c r="AD16" i="1"/>
  <c r="F15" i="1"/>
  <c r="G21" i="1"/>
  <c r="G28" i="1" s="1"/>
  <c r="G30" i="1" s="1"/>
  <c r="G32" i="1" s="1"/>
  <c r="AB21" i="1"/>
  <c r="AB28" i="1" s="1"/>
  <c r="AB30" i="1" s="1"/>
  <c r="AB32" i="1" s="1"/>
  <c r="AB35" i="1"/>
  <c r="AA21" i="1"/>
  <c r="AA28" i="1" s="1"/>
  <c r="AA30" i="1" s="1"/>
  <c r="AA32" i="1" s="1"/>
  <c r="AA35" i="1"/>
  <c r="R65" i="1"/>
  <c r="R56" i="1"/>
  <c r="R42" i="1"/>
  <c r="AU43" i="1"/>
  <c r="AU41" i="1"/>
  <c r="N29" i="1"/>
  <c r="N26" i="1"/>
  <c r="N25" i="1"/>
  <c r="N24" i="1"/>
  <c r="N23" i="1"/>
  <c r="N22" i="1"/>
  <c r="N19" i="1"/>
  <c r="N18" i="1"/>
  <c r="N17" i="1"/>
  <c r="N13" i="1"/>
  <c r="N12" i="1"/>
  <c r="N10" i="1"/>
  <c r="N9" i="1"/>
  <c r="N8" i="1"/>
  <c r="N6" i="1"/>
  <c r="N5" i="1"/>
  <c r="N4" i="1"/>
  <c r="N3" i="1"/>
  <c r="R29" i="1"/>
  <c r="R26" i="1"/>
  <c r="R25" i="1"/>
  <c r="R24" i="1"/>
  <c r="R23" i="1"/>
  <c r="R22" i="1"/>
  <c r="R19" i="1"/>
  <c r="R18" i="1"/>
  <c r="R17" i="1"/>
  <c r="R13" i="1"/>
  <c r="R12" i="1"/>
  <c r="R10" i="1"/>
  <c r="R9" i="1"/>
  <c r="R8" i="1"/>
  <c r="R6" i="1"/>
  <c r="V6" i="1" s="1"/>
  <c r="AH6" i="1" s="1"/>
  <c r="R5" i="1"/>
  <c r="V5" i="1" s="1"/>
  <c r="AH5" i="1" s="1"/>
  <c r="R4" i="1"/>
  <c r="V4" i="1" s="1"/>
  <c r="AH4" i="1" s="1"/>
  <c r="R3" i="1"/>
  <c r="V3" i="1" s="1"/>
  <c r="K27" i="1"/>
  <c r="K20" i="1"/>
  <c r="K14" i="1"/>
  <c r="K11" i="1"/>
  <c r="K7" i="1"/>
  <c r="O27" i="1"/>
  <c r="O20" i="1"/>
  <c r="O14" i="1"/>
  <c r="O11" i="1"/>
  <c r="O7" i="1"/>
  <c r="L27" i="1"/>
  <c r="L20" i="1"/>
  <c r="L14" i="1"/>
  <c r="L11" i="1"/>
  <c r="L7" i="1"/>
  <c r="P27" i="1"/>
  <c r="P20" i="1"/>
  <c r="P14" i="1"/>
  <c r="P11" i="1"/>
  <c r="P7" i="1"/>
  <c r="M27" i="1"/>
  <c r="M20" i="1"/>
  <c r="M14" i="1"/>
  <c r="M11" i="1"/>
  <c r="M7" i="1"/>
  <c r="Q27" i="1"/>
  <c r="Q20" i="1"/>
  <c r="Q14" i="1"/>
  <c r="Q11" i="1"/>
  <c r="Q7" i="1"/>
  <c r="AE27" i="1"/>
  <c r="J27" i="1" s="1"/>
  <c r="AE20" i="1"/>
  <c r="J20" i="1" s="1"/>
  <c r="AE14" i="1"/>
  <c r="J14" i="1" s="1"/>
  <c r="AE11" i="1"/>
  <c r="J11" i="1" s="1"/>
  <c r="AE7" i="1"/>
  <c r="J7" i="1" s="1"/>
  <c r="AF27" i="1"/>
  <c r="AF20" i="1"/>
  <c r="AF14" i="1"/>
  <c r="AF11" i="1"/>
  <c r="AF7" i="1"/>
  <c r="AG27" i="1"/>
  <c r="AG20" i="1"/>
  <c r="AG14" i="1"/>
  <c r="AG11" i="1"/>
  <c r="AG7" i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G7" i="2"/>
  <c r="G8" i="2" s="1"/>
  <c r="AU39" i="1"/>
  <c r="F6" i="2"/>
  <c r="F9" i="2" s="1"/>
  <c r="R49" i="1" l="1"/>
  <c r="R38" i="1"/>
  <c r="R85" i="1"/>
  <c r="R109" i="1" s="1"/>
  <c r="P110" i="1"/>
  <c r="S114" i="1"/>
  <c r="R114" i="1"/>
  <c r="T32" i="1"/>
  <c r="T111" i="1"/>
  <c r="S28" i="1"/>
  <c r="AH3" i="1"/>
  <c r="V7" i="1"/>
  <c r="P107" i="1"/>
  <c r="R107" i="1"/>
  <c r="Q107" i="1"/>
  <c r="R66" i="1"/>
  <c r="N20" i="1"/>
  <c r="R7" i="1"/>
  <c r="R73" i="1"/>
  <c r="AD21" i="1"/>
  <c r="F16" i="1"/>
  <c r="AD35" i="1"/>
  <c r="AG15" i="1"/>
  <c r="AG16" i="1" s="1"/>
  <c r="N27" i="1"/>
  <c r="N7" i="1"/>
  <c r="R27" i="1"/>
  <c r="N11" i="1"/>
  <c r="N14" i="1"/>
  <c r="R20" i="1"/>
  <c r="R11" i="1"/>
  <c r="R14" i="1"/>
  <c r="K15" i="1"/>
  <c r="K16" i="1" s="1"/>
  <c r="K35" i="1" s="1"/>
  <c r="O15" i="1"/>
  <c r="L15" i="1"/>
  <c r="L16" i="1" s="1"/>
  <c r="L35" i="1" s="1"/>
  <c r="P15" i="1"/>
  <c r="P16" i="1" s="1"/>
  <c r="M15" i="1"/>
  <c r="M16" i="1" s="1"/>
  <c r="M35" i="1" s="1"/>
  <c r="Q15" i="1"/>
  <c r="Q16" i="1" s="1"/>
  <c r="AE15" i="1"/>
  <c r="J15" i="1" s="1"/>
  <c r="AF15" i="1"/>
  <c r="AF16" i="1" s="1"/>
  <c r="R110" i="1" l="1"/>
  <c r="U115" i="1" s="1"/>
  <c r="U114" i="1"/>
  <c r="Q35" i="1"/>
  <c r="P35" i="1"/>
  <c r="T35" i="1"/>
  <c r="T114" i="1"/>
  <c r="V9" i="1"/>
  <c r="AH9" i="1" s="1"/>
  <c r="V8" i="1"/>
  <c r="V10" i="1"/>
  <c r="AH10" i="1" s="1"/>
  <c r="AH7" i="1"/>
  <c r="S30" i="1"/>
  <c r="S111" i="1" s="1"/>
  <c r="AE16" i="1"/>
  <c r="AE35" i="1" s="1"/>
  <c r="R15" i="1"/>
  <c r="K21" i="1"/>
  <c r="K28" i="1" s="1"/>
  <c r="K30" i="1" s="1"/>
  <c r="M21" i="1"/>
  <c r="M28" i="1" s="1"/>
  <c r="M30" i="1" s="1"/>
  <c r="L21" i="1"/>
  <c r="L28" i="1" s="1"/>
  <c r="L30" i="1" s="1"/>
  <c r="O16" i="1"/>
  <c r="AD28" i="1"/>
  <c r="F21" i="1"/>
  <c r="Q21" i="1"/>
  <c r="Q28" i="1" s="1"/>
  <c r="Q30" i="1" s="1"/>
  <c r="AF21" i="1"/>
  <c r="N16" i="1"/>
  <c r="N15" i="1"/>
  <c r="AG21" i="1"/>
  <c r="AG35" i="1"/>
  <c r="P21" i="1"/>
  <c r="P28" i="1" s="1"/>
  <c r="P30" i="1" s="1"/>
  <c r="AE21" i="1" l="1"/>
  <c r="O35" i="1"/>
  <c r="S35" i="1"/>
  <c r="T115" i="1"/>
  <c r="R115" i="1"/>
  <c r="S115" i="1"/>
  <c r="S32" i="1"/>
  <c r="AH8" i="1"/>
  <c r="V11" i="1"/>
  <c r="R16" i="1"/>
  <c r="R35" i="1" s="1"/>
  <c r="J16" i="1"/>
  <c r="J35" i="1" s="1"/>
  <c r="P32" i="1"/>
  <c r="P111" i="1"/>
  <c r="Q32" i="1"/>
  <c r="Q111" i="1"/>
  <c r="L32" i="1"/>
  <c r="K32" i="1"/>
  <c r="M32" i="1"/>
  <c r="O21" i="1"/>
  <c r="O28" i="1" s="1"/>
  <c r="O30" i="1" s="1"/>
  <c r="O111" i="1" s="1"/>
  <c r="AD30" i="1"/>
  <c r="F28" i="1"/>
  <c r="AG28" i="1"/>
  <c r="AF28" i="1"/>
  <c r="N21" i="1"/>
  <c r="AE28" i="1"/>
  <c r="J21" i="1"/>
  <c r="N35" i="1" l="1"/>
  <c r="V13" i="1"/>
  <c r="AH13" i="1" s="1"/>
  <c r="V12" i="1"/>
  <c r="AH11" i="1"/>
  <c r="O32" i="1"/>
  <c r="R21" i="1"/>
  <c r="AD32" i="1"/>
  <c r="F32" i="1" s="1"/>
  <c r="F30" i="1"/>
  <c r="R28" i="1"/>
  <c r="AG30" i="1"/>
  <c r="AU46" i="1" s="1"/>
  <c r="AE30" i="1"/>
  <c r="J28" i="1"/>
  <c r="AF30" i="1"/>
  <c r="N28" i="1"/>
  <c r="F31" i="1" l="1"/>
  <c r="AH12" i="1"/>
  <c r="V14" i="1"/>
  <c r="AE32" i="1"/>
  <c r="J32" i="1" s="1"/>
  <c r="J30" i="1"/>
  <c r="AF32" i="1"/>
  <c r="N32" i="1" s="1"/>
  <c r="N30" i="1"/>
  <c r="R30" i="1"/>
  <c r="U72" i="1" s="1"/>
  <c r="AG32" i="1"/>
  <c r="R32" i="1" s="1"/>
  <c r="T72" i="1" l="1"/>
  <c r="S72" i="1"/>
  <c r="R111" i="1"/>
  <c r="U116" i="1" s="1"/>
  <c r="AH14" i="1"/>
  <c r="V15" i="1"/>
  <c r="J31" i="1"/>
  <c r="R31" i="1"/>
  <c r="R72" i="1"/>
  <c r="N31" i="1"/>
  <c r="Q72" i="1"/>
  <c r="O72" i="1"/>
  <c r="N72" i="1"/>
  <c r="P72" i="1"/>
  <c r="T116" i="1" l="1"/>
  <c r="S116" i="1"/>
  <c r="R116" i="1"/>
  <c r="V16" i="1"/>
  <c r="V35" i="1" s="1"/>
  <c r="AH15" i="1"/>
  <c r="V19" i="1" l="1"/>
  <c r="AH19" i="1" s="1"/>
  <c r="V18" i="1"/>
  <c r="AH18" i="1" s="1"/>
  <c r="V17" i="1"/>
  <c r="AH16" i="1"/>
  <c r="AI16" i="1" l="1"/>
  <c r="AJ16" i="1" s="1"/>
  <c r="AK16" i="1" s="1"/>
  <c r="AL16" i="1" s="1"/>
  <c r="AM16" i="1" s="1"/>
  <c r="AN16" i="1" s="1"/>
  <c r="AO16" i="1" s="1"/>
  <c r="AP16" i="1" s="1"/>
  <c r="AQ16" i="1" s="1"/>
  <c r="V20" i="1"/>
  <c r="AH17" i="1"/>
  <c r="AH35" i="1"/>
  <c r="AH20" i="1" l="1"/>
  <c r="V21" i="1"/>
  <c r="V22" i="1" l="1"/>
  <c r="V25" i="1"/>
  <c r="AH25" i="1" s="1"/>
  <c r="V26" i="1"/>
  <c r="AH26" i="1" s="1"/>
  <c r="V24" i="1"/>
  <c r="AH24" i="1" s="1"/>
  <c r="V23" i="1"/>
  <c r="AH23" i="1" s="1"/>
  <c r="AH21" i="1"/>
  <c r="V27" i="1" l="1"/>
  <c r="AH22" i="1"/>
  <c r="V28" i="1" l="1"/>
  <c r="AH27" i="1"/>
  <c r="V29" i="1" l="1"/>
  <c r="AH29" i="1" s="1"/>
  <c r="AH28" i="1"/>
  <c r="V30" i="1" l="1"/>
  <c r="V32" i="1" l="1"/>
  <c r="AH32" i="1" s="1"/>
  <c r="AH30" i="1"/>
  <c r="AU47" i="1" l="1"/>
  <c r="AH31" i="1"/>
  <c r="AI31" i="1" s="1"/>
  <c r="AJ31" i="1" s="1"/>
  <c r="AK31" i="1" l="1"/>
  <c r="AL31" i="1" l="1"/>
  <c r="AM31" i="1" l="1"/>
  <c r="AN31" i="1" l="1"/>
  <c r="AO31" i="1" l="1"/>
  <c r="AP31" i="1" l="1"/>
  <c r="AQ31" i="1" l="1"/>
  <c r="AI19" i="1" l="1"/>
  <c r="AI18" i="1"/>
  <c r="AJ18" i="1" s="1"/>
  <c r="AK18" i="1" l="1"/>
  <c r="AJ19" i="1"/>
  <c r="AK19" i="1" s="1"/>
  <c r="AI17" i="1"/>
  <c r="AI20" i="1" l="1"/>
  <c r="AI21" i="1" s="1"/>
  <c r="AJ17" i="1"/>
  <c r="AL18" i="1"/>
  <c r="AL19" i="1"/>
  <c r="AM18" i="1" l="1"/>
  <c r="AM19" i="1"/>
  <c r="AJ20" i="1"/>
  <c r="AJ21" i="1" s="1"/>
  <c r="AK17" i="1"/>
  <c r="AI23" i="1"/>
  <c r="AI26" i="1"/>
  <c r="AI25" i="1"/>
  <c r="AI24" i="1"/>
  <c r="AI22" i="1"/>
  <c r="AI27" i="1" l="1"/>
  <c r="AI28" i="1" s="1"/>
  <c r="AI29" i="1" s="1"/>
  <c r="AI30" i="1" s="1"/>
  <c r="AK20" i="1"/>
  <c r="AK21" i="1" s="1"/>
  <c r="AL17" i="1"/>
  <c r="AJ22" i="1"/>
  <c r="AJ25" i="1"/>
  <c r="AJ24" i="1"/>
  <c r="AJ23" i="1"/>
  <c r="AJ26" i="1"/>
  <c r="AN19" i="1"/>
  <c r="AN18" i="1"/>
  <c r="AU48" i="1" l="1"/>
  <c r="AI32" i="1"/>
  <c r="AO19" i="1"/>
  <c r="AO18" i="1"/>
  <c r="AJ27" i="1"/>
  <c r="AJ28" i="1" s="1"/>
  <c r="AL20" i="1"/>
  <c r="AL21" i="1" s="1"/>
  <c r="AM17" i="1"/>
  <c r="AK23" i="1"/>
  <c r="AK24" i="1"/>
  <c r="AK25" i="1"/>
  <c r="AK26" i="1"/>
  <c r="AK22" i="1"/>
  <c r="AK27" i="1" l="1"/>
  <c r="AK28" i="1" s="1"/>
  <c r="AK29" i="1" s="1"/>
  <c r="AK30" i="1" s="1"/>
  <c r="AK32" i="1" s="1"/>
  <c r="AL22" i="1"/>
  <c r="AL26" i="1"/>
  <c r="AL23" i="1"/>
  <c r="AL25" i="1"/>
  <c r="AL24" i="1"/>
  <c r="AM20" i="1"/>
  <c r="AM21" i="1" s="1"/>
  <c r="AN17" i="1"/>
  <c r="AP18" i="1"/>
  <c r="AP19" i="1"/>
  <c r="AJ29" i="1"/>
  <c r="AJ30" i="1"/>
  <c r="AQ19" i="1" l="1"/>
  <c r="AQ18" i="1"/>
  <c r="AJ32" i="1"/>
  <c r="AL27" i="1"/>
  <c r="AL28" i="1" s="1"/>
  <c r="AN20" i="1"/>
  <c r="AN21" i="1" s="1"/>
  <c r="AO17" i="1"/>
  <c r="AM23" i="1"/>
  <c r="AM22" i="1"/>
  <c r="AM26" i="1"/>
  <c r="AM24" i="1"/>
  <c r="AM25" i="1"/>
  <c r="AM27" i="1" l="1"/>
  <c r="AM28" i="1" s="1"/>
  <c r="AO20" i="1"/>
  <c r="AO21" i="1" s="1"/>
  <c r="AP17" i="1"/>
  <c r="AN24" i="1"/>
  <c r="AN22" i="1"/>
  <c r="AN26" i="1"/>
  <c r="AN23" i="1"/>
  <c r="AN25" i="1"/>
  <c r="AL29" i="1"/>
  <c r="AL30" i="1" s="1"/>
  <c r="AL32" i="1" l="1"/>
  <c r="AN27" i="1"/>
  <c r="AN28" i="1" s="1"/>
  <c r="AP20" i="1"/>
  <c r="AP21" i="1" s="1"/>
  <c r="AQ17" i="1"/>
  <c r="AO23" i="1"/>
  <c r="AO24" i="1"/>
  <c r="AO22" i="1"/>
  <c r="AO26" i="1"/>
  <c r="AO25" i="1"/>
  <c r="AM29" i="1"/>
  <c r="AM30" i="1" s="1"/>
  <c r="AM32" i="1" l="1"/>
  <c r="AO27" i="1"/>
  <c r="AO28" i="1" s="1"/>
  <c r="AQ20" i="1"/>
  <c r="AQ21" i="1" s="1"/>
  <c r="AP23" i="1"/>
  <c r="AP24" i="1"/>
  <c r="AP25" i="1"/>
  <c r="AP22" i="1"/>
  <c r="AP26" i="1"/>
  <c r="AN29" i="1"/>
  <c r="AN30" i="1"/>
  <c r="AN32" i="1" l="1"/>
  <c r="AP27" i="1"/>
  <c r="AP28" i="1" s="1"/>
  <c r="AP29" i="1" s="1"/>
  <c r="AP30" i="1" s="1"/>
  <c r="AP32" i="1" s="1"/>
  <c r="AQ24" i="1"/>
  <c r="AQ23" i="1"/>
  <c r="AQ25" i="1"/>
  <c r="AQ22" i="1"/>
  <c r="AQ26" i="1"/>
  <c r="AO29" i="1"/>
  <c r="AO30" i="1" s="1"/>
  <c r="AO32" i="1" l="1"/>
  <c r="AQ27" i="1"/>
  <c r="AQ28" i="1" s="1"/>
  <c r="AQ29" i="1" l="1"/>
  <c r="AQ30" i="1"/>
  <c r="AQ32" i="1" l="1"/>
  <c r="AR30" i="1"/>
  <c r="AS30" i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BB38" i="1" s="1"/>
  <c r="BB40" i="1" s="1"/>
  <c r="BB42" i="1" s="1"/>
  <c r="AU38" i="1" l="1"/>
  <c r="AU40" i="1" s="1"/>
  <c r="AU42" i="1" s="1"/>
  <c r="BA38" i="1"/>
  <c r="BA40" i="1" s="1"/>
  <c r="BA42" i="1" s="1"/>
  <c r="AV38" i="1"/>
  <c r="AV40" i="1" s="1"/>
  <c r="AV42" i="1" s="1"/>
  <c r="AZ38" i="1"/>
  <c r="AZ40" i="1" s="1"/>
  <c r="AZ42" i="1" s="1"/>
  <c r="AW38" i="1"/>
  <c r="AW40" i="1" s="1"/>
  <c r="AW42" i="1" s="1"/>
  <c r="AX38" i="1"/>
  <c r="AX40" i="1" s="1"/>
  <c r="AX42" i="1" s="1"/>
  <c r="AY38" i="1"/>
  <c r="AY40" i="1" s="1"/>
  <c r="AY42" i="1" s="1"/>
  <c r="AU44" i="1" l="1"/>
  <c r="BD42" i="1"/>
  <c r="BD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P3" authorId="0" shapeId="0" xr:uid="{ECD74276-A9C4-1445-AECE-B0EB6F2C19E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everytime i buy something I can gain rewards (points/cash back) -- then why ever buy an item in cash?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you hold a card where you can recieve a return (points, etc) when it's used, and you instead use cash --- should it be considered an intrinsic negative return on your monthly spending?</t>
        </r>
      </text>
    </comment>
    <comment ref="U4" authorId="0" shapeId="0" xr:uid="{50DC359C-CF82-B240-9E22-2FDAD52C599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unemployement + LFPR
</t>
        </r>
      </text>
    </comment>
    <comment ref="C9" authorId="0" shapeId="0" xr:uid="{980D71CE-F35E-DC40-9DC6-F9C759B16D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Manages relationships with merchants </t>
        </r>
      </text>
    </comment>
    <comment ref="B13" authorId="0" shapeId="0" xr:uid="{A87B3BAA-03EC-5E4E-9929-698E306909E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Largest partner.  Runs through 2029</t>
        </r>
      </text>
    </comment>
    <comment ref="Q13" authorId="0" shapeId="0" xr:uid="{FE98EAD5-C64E-D644-BEEF-0C3F85F3725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Grew 2.6% in q3'22. in q2'22 GDP shrunk 0.6%</t>
        </r>
      </text>
    </comment>
    <comment ref="B41" authorId="0" shapeId="0" xr:uid="{6579A9B3-51E5-AE45-A7E1-F4529997FDE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Growth Areas</t>
        </r>
        <r>
          <rPr>
            <sz val="10"/>
            <color rgb="FF000000"/>
            <rFont val="Tahoma"/>
            <family val="2"/>
          </rPr>
          <t xml:space="preserve">: Goods &amp; Services + Travel &amp; Entertainment
</t>
        </r>
        <r>
          <rPr>
            <sz val="10"/>
            <color rgb="FF000000"/>
            <rFont val="Tahoma"/>
            <family val="2"/>
          </rPr>
          <t xml:space="preserve">- Demand for travel exceeded expectations w/ spending up ~57% y/y and T&amp;E volumes exceeding pre-pandemic levels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Added 3.3m cards &amp; saw acquisitions of U.S. Consumer Platinum &amp; Gold Cards &amp; Biz platinum cards hitting record highs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Mill &amp; Gen Z comprised more than ~60% of card acq in q3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U20" authorId="0" shapeId="0" xr:uid="{D6C3FD29-8B6F-234D-8469-82DEA4CA43B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growth in card member loans &amp; changes in macro fcst</t>
        </r>
      </text>
    </comment>
    <comment ref="U27" authorId="0" shapeId="0" xr:uid="{FAA4FABE-2E9E-9A4B-83D0-110509AFCC8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engagement costs, 10% increase in network volumes and higher usage of travel related benefits</t>
        </r>
      </text>
    </comment>
    <comment ref="R44" authorId="0" shapeId="0" xr:uid="{FB32C15A-0E51-3944-92FB-FA8CCF0D2AB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3305 for credit losses</t>
        </r>
      </text>
    </comment>
    <comment ref="S44" authorId="0" shapeId="0" xr:uid="{86660EF7-791E-E744-889A-765068B3462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2981 CL</t>
        </r>
      </text>
    </comment>
    <comment ref="T44" authorId="0" shapeId="0" xr:uid="{ADD0885B-CA81-1047-8745-336627AF9F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2997 for reserves</t>
        </r>
      </text>
    </comment>
    <comment ref="U44" authorId="0" shapeId="0" xr:uid="{46D8199B-631E-A145-9D94-F65C701AC3A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3319 for credit losses</t>
        </r>
      </text>
    </comment>
  </commentList>
</comments>
</file>

<file path=xl/sharedStrings.xml><?xml version="1.0" encoding="utf-8"?>
<sst xmlns="http://schemas.openxmlformats.org/spreadsheetml/2006/main" count="208" uniqueCount="198">
  <si>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</si>
  <si>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</si>
  <si>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</si>
  <si>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</si>
  <si>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</si>
  <si>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</si>
  <si>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</si>
  <si>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</si>
  <si>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</si>
  <si>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</si>
  <si>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</si>
  <si>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</si>
  <si>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</t>
  </si>
  <si>
    <t>Shares</t>
  </si>
  <si>
    <t>MC</t>
  </si>
  <si>
    <t xml:space="preserve">Cash </t>
  </si>
  <si>
    <t>Debt</t>
  </si>
  <si>
    <t>EV</t>
  </si>
  <si>
    <t xml:space="preserve">Discount </t>
  </si>
  <si>
    <t>Net card fees</t>
  </si>
  <si>
    <t>Other fees +c</t>
  </si>
  <si>
    <t xml:space="preserve">Total Non Interest Revenue </t>
  </si>
  <si>
    <t>Interest on loans</t>
  </si>
  <si>
    <t>Interest and dividends on securities</t>
  </si>
  <si>
    <t>Deposits with banks &amp; other</t>
  </si>
  <si>
    <t xml:space="preserve">Total Interest Income </t>
  </si>
  <si>
    <t>Deposits</t>
  </si>
  <si>
    <t>Long Term Dent</t>
  </si>
  <si>
    <t>Total Interest Expense</t>
  </si>
  <si>
    <t xml:space="preserve">Net Interest Income </t>
  </si>
  <si>
    <t xml:space="preserve">Total Revenue Net of Interest </t>
  </si>
  <si>
    <t>Card Member Recievables</t>
  </si>
  <si>
    <t>Card member loans</t>
  </si>
  <si>
    <t>Total Provisions for credit losses</t>
  </si>
  <si>
    <t>Marketing &amp; biz dev</t>
  </si>
  <si>
    <t>Card member rewards</t>
  </si>
  <si>
    <t>Card Memebr Services</t>
  </si>
  <si>
    <t>Salaries &amp; employee benefits</t>
  </si>
  <si>
    <t>Other, net</t>
  </si>
  <si>
    <t>Total Expenses</t>
  </si>
  <si>
    <t xml:space="preserve">Pretax Income </t>
  </si>
  <si>
    <t>Taxes</t>
  </si>
  <si>
    <t xml:space="preserve">Net Income </t>
  </si>
  <si>
    <t>Diluted</t>
  </si>
  <si>
    <t>Eps</t>
  </si>
  <si>
    <t>Maturity</t>
  </si>
  <si>
    <t>Discount</t>
  </si>
  <si>
    <t>NPV</t>
  </si>
  <si>
    <t xml:space="preserve">Estimate </t>
  </si>
  <si>
    <t xml:space="preserve">Net Cash </t>
  </si>
  <si>
    <t>Total NPV</t>
  </si>
  <si>
    <t>Current</t>
  </si>
  <si>
    <t>Delta</t>
  </si>
  <si>
    <t>Equity</t>
  </si>
  <si>
    <t>TL + E</t>
  </si>
  <si>
    <t>Interest bearing deposits</t>
  </si>
  <si>
    <t>Short term investments</t>
  </si>
  <si>
    <t>Total Cash + Investments</t>
  </si>
  <si>
    <t>Card member recievables</t>
  </si>
  <si>
    <t>Other loans</t>
  </si>
  <si>
    <t>Investment Securities</t>
  </si>
  <si>
    <t>Premises and equipment</t>
  </si>
  <si>
    <t>Other Assets</t>
  </si>
  <si>
    <t xml:space="preserve">Total Assets </t>
  </si>
  <si>
    <t>Customer deposits</t>
  </si>
  <si>
    <t>Accounts payable</t>
  </si>
  <si>
    <t>Short term borrowings</t>
  </si>
  <si>
    <t xml:space="preserve">Long Term Debt </t>
  </si>
  <si>
    <t>Other Liabilities</t>
  </si>
  <si>
    <t xml:space="preserve">Total Liabilities </t>
  </si>
  <si>
    <t>Preferred shares</t>
  </si>
  <si>
    <t>Common shares</t>
  </si>
  <si>
    <t>Additional paid in capita</t>
  </si>
  <si>
    <t>Retained earnings</t>
  </si>
  <si>
    <t>Net unrealized debt securities</t>
  </si>
  <si>
    <t>Fx</t>
  </si>
  <si>
    <t>Net urnealized pension</t>
  </si>
  <si>
    <t>Q118</t>
  </si>
  <si>
    <t>Q218</t>
  </si>
  <si>
    <t>Q318</t>
  </si>
  <si>
    <t>Q418</t>
  </si>
  <si>
    <t>ROE</t>
  </si>
  <si>
    <t xml:space="preserve">Total Revenue Net of Interest expense </t>
  </si>
  <si>
    <t>TA - TL</t>
  </si>
  <si>
    <t>Provisions for credit loss</t>
  </si>
  <si>
    <t>D&amp;A</t>
  </si>
  <si>
    <t>SBC</t>
  </si>
  <si>
    <t>Deferred taxes</t>
  </si>
  <si>
    <t xml:space="preserve">Other non cash </t>
  </si>
  <si>
    <t>Other assets</t>
  </si>
  <si>
    <t>A/P</t>
  </si>
  <si>
    <t>CFFO</t>
  </si>
  <si>
    <t>Sale of securities</t>
  </si>
  <si>
    <t>Maturities and redemptions</t>
  </si>
  <si>
    <t>Purchase of investments</t>
  </si>
  <si>
    <t>Net increase in card member loans</t>
  </si>
  <si>
    <t>Capex</t>
  </si>
  <si>
    <t>Acquisitions/dispositions</t>
  </si>
  <si>
    <t>Other investing activities</t>
  </si>
  <si>
    <t>CFFI</t>
  </si>
  <si>
    <t>Customer Deposits</t>
  </si>
  <si>
    <t xml:space="preserve">Proceeds from long term debt </t>
  </si>
  <si>
    <t xml:space="preserve">Payments of long term debt </t>
  </si>
  <si>
    <t>Issuance of Amex preferred</t>
  </si>
  <si>
    <t xml:space="preserve">Redemption of Amex preferred </t>
  </si>
  <si>
    <t>Issuance of Amex common</t>
  </si>
  <si>
    <t xml:space="preserve">Dividends paid </t>
  </si>
  <si>
    <t>CFFF</t>
  </si>
  <si>
    <t xml:space="preserve">Effects of Currency </t>
  </si>
  <si>
    <t xml:space="preserve">Net Increase in Cash </t>
  </si>
  <si>
    <t xml:space="preserve">Buybacks </t>
  </si>
  <si>
    <t>CFFO - Capex - SBC</t>
  </si>
  <si>
    <t>Q322</t>
  </si>
  <si>
    <t>Q122</t>
  </si>
  <si>
    <t>Q222</t>
  </si>
  <si>
    <t>Q422E</t>
  </si>
  <si>
    <t>Acc. Comp loss</t>
  </si>
  <si>
    <t>Originations of loans held for sale</t>
  </si>
  <si>
    <t>Proceeds from loan sales</t>
  </si>
  <si>
    <t>CFFO - Capex - SBC - D&amp;A</t>
  </si>
  <si>
    <t>Net Income</t>
  </si>
  <si>
    <t>4Q CFFO - Capex - SBC</t>
  </si>
  <si>
    <t>4Q CFFO - Capex - SBC - D&amp;A</t>
  </si>
  <si>
    <t>4Q Net Income</t>
  </si>
  <si>
    <t>Revenue y/y</t>
  </si>
  <si>
    <t>PR</t>
  </si>
  <si>
    <t>Q3'22</t>
  </si>
  <si>
    <t>Founded</t>
  </si>
  <si>
    <t>Segments</t>
  </si>
  <si>
    <t>Global Consumer Services Group (GCSG)</t>
  </si>
  <si>
    <t>Global Commercial Services (GCS)</t>
  </si>
  <si>
    <t>Global Merchant and Network Services (GMNS)</t>
  </si>
  <si>
    <t>Card issuing</t>
  </si>
  <si>
    <t>Merchant</t>
  </si>
  <si>
    <t>Partnerships</t>
  </si>
  <si>
    <t>Delta Air Lines</t>
  </si>
  <si>
    <t>Marriot International</t>
  </si>
  <si>
    <t>Hilton Worldwide Holdings</t>
  </si>
  <si>
    <t>British Airways</t>
  </si>
  <si>
    <t>Card Member Loans w/o credit loss rsv</t>
  </si>
  <si>
    <t>Credit Loss Reserve</t>
  </si>
  <si>
    <t>Member Loan growth y/y</t>
  </si>
  <si>
    <t>Products</t>
  </si>
  <si>
    <t>The Platinum Card</t>
  </si>
  <si>
    <t>Amex Gold Card</t>
  </si>
  <si>
    <t>Blue Cash Preferred Card</t>
  </si>
  <si>
    <t>Blue Cash Everyday Card</t>
  </si>
  <si>
    <t>Delta Skymiles Gold Card</t>
  </si>
  <si>
    <t>Delta SkyMiles Platinum Card</t>
  </si>
  <si>
    <t>Cash Magnet Card</t>
  </si>
  <si>
    <t>Marriot Bonvoy Bevy Card</t>
  </si>
  <si>
    <t>Marriot Bonvoy Brilliant Card</t>
  </si>
  <si>
    <t>Hilton Honors Card</t>
  </si>
  <si>
    <t>Hilton Honors Surpass Card</t>
  </si>
  <si>
    <t>Delta SkyMiles Reserve Card</t>
  </si>
  <si>
    <t>Green Card</t>
  </si>
  <si>
    <t>Hilton Honors Aspire Card</t>
  </si>
  <si>
    <t>Amex EverDay Card</t>
  </si>
  <si>
    <t>Delta SkyMiles Blue Card</t>
  </si>
  <si>
    <t>Everyday Preferred Card</t>
  </si>
  <si>
    <t>Serve from Amex</t>
  </si>
  <si>
    <t>Q2'22</t>
  </si>
  <si>
    <t>Q1'22</t>
  </si>
  <si>
    <t>Q4'21</t>
  </si>
  <si>
    <t>Q3'21</t>
  </si>
  <si>
    <t>Q2'21</t>
  </si>
  <si>
    <t>Q1'21</t>
  </si>
  <si>
    <t>Q4'20</t>
  </si>
  <si>
    <t>Q3'20</t>
  </si>
  <si>
    <t>Q2'20</t>
  </si>
  <si>
    <t>Q1'20</t>
  </si>
  <si>
    <t xml:space="preserve">CEO </t>
  </si>
  <si>
    <t>EV/E 22</t>
  </si>
  <si>
    <t>EV/E 23</t>
  </si>
  <si>
    <t>EV/E 21</t>
  </si>
  <si>
    <t>Catalyst</t>
  </si>
  <si>
    <t>Cons</t>
  </si>
  <si>
    <t>Massive layoffs</t>
  </si>
  <si>
    <t>Inflation --&gt; Taking up descretionary income</t>
  </si>
  <si>
    <t xml:space="preserve">Recession </t>
  </si>
  <si>
    <t xml:space="preserve">Unemployment </t>
  </si>
  <si>
    <t xml:space="preserve">GDP </t>
  </si>
  <si>
    <t>Fed Balance Sheet</t>
  </si>
  <si>
    <t xml:space="preserve">Brand strength </t>
  </si>
  <si>
    <t>Holidays</t>
  </si>
  <si>
    <t xml:space="preserve">World Cup Travel </t>
  </si>
  <si>
    <t>Bought @ $157</t>
  </si>
  <si>
    <t>News</t>
  </si>
  <si>
    <t>About</t>
  </si>
  <si>
    <t xml:space="preserve">Card approval </t>
  </si>
  <si>
    <t>Tiktok Shopsmall accelarator</t>
  </si>
  <si>
    <t>Issa Rae travel itin.</t>
  </si>
  <si>
    <t>(212) 640-5574</t>
  </si>
  <si>
    <t>IR@aexp.com</t>
  </si>
  <si>
    <t>Investor Relations</t>
  </si>
  <si>
    <t xml:space="preserve">Square partnership </t>
  </si>
  <si>
    <t xml:space="preserve">TikTok leverage </t>
  </si>
  <si>
    <t>College Football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</si>
</sst>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67" formatCode="0.0\x"/>
  </numFmts>
  <fonts count="10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b/>
      <sz val="10"/>
      <color rgb="FF0432FF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432FF"/>
      <name val="ArialMT"/>
      <family val="2"/>
    </font>
    <font>
      <sz val="16"/>
      <color rgb="FFFFFFFF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9" fontId="0" fillId="2" borderId="0" xfId="0" applyNumberFormat="1" applyFill="1" applyAlignment="1">
      <alignment horizontal="left"/>
    </xf>
    <xf numFmtId="9" fontId="2" fillId="2" borderId="0" xfId="0" applyNumberFormat="1" applyFont="1" applyFill="1" applyAlignment="1">
      <alignment horizontal="left"/>
    </xf>
    <xf numFmtId="38" fontId="0" fillId="0" borderId="0" xfId="0" applyNumberFormat="1" applyAlignment="1">
      <alignment horizontal="left"/>
    </xf>
    <xf numFmtId="38" fontId="0" fillId="2" borderId="0" xfId="0" applyNumberFormat="1" applyFill="1" applyAlignment="1">
      <alignment horizontal="left"/>
    </xf>
    <xf numFmtId="9" fontId="3" fillId="3" borderId="0" xfId="0" applyNumberFormat="1" applyFont="1" applyFill="1" applyAlignment="1">
      <alignment horizontal="left"/>
    </xf>
    <xf numFmtId="3" fontId="4" fillId="0" borderId="0" xfId="0" applyNumberFormat="1" applyFont="1" applyAlignment="1">
      <alignment horizontal="left"/>
    </xf>
    <xf numFmtId="3" fontId="4" fillId="2" borderId="0" xfId="0" applyNumberFormat="1" applyFon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5" fillId="0" borderId="0" xfId="3"/>
    <xf numFmtId="0" fontId="2" fillId="0" borderId="0" xfId="0" applyFont="1"/>
    <xf numFmtId="9" fontId="0" fillId="0" borderId="0" xfId="2" applyFont="1" applyAlignment="1">
      <alignment horizontal="left"/>
    </xf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166" fontId="8" fillId="3" borderId="9" xfId="0" applyNumberFormat="1" applyFont="1" applyFill="1" applyBorder="1" applyAlignment="1">
      <alignment horizontal="left"/>
    </xf>
    <xf numFmtId="9" fontId="8" fillId="3" borderId="9" xfId="0" applyNumberFormat="1" applyFont="1" applyFill="1" applyBorder="1" applyAlignment="1">
      <alignment horizontal="left"/>
    </xf>
    <xf numFmtId="3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left"/>
    </xf>
    <xf numFmtId="3" fontId="2" fillId="0" borderId="9" xfId="0" applyNumberFormat="1" applyFont="1" applyBorder="1" applyAlignment="1">
      <alignment horizontal="left"/>
    </xf>
    <xf numFmtId="9" fontId="2" fillId="0" borderId="9" xfId="0" applyNumberFormat="1" applyFont="1" applyBorder="1" applyAlignment="1">
      <alignment horizontal="left"/>
    </xf>
    <xf numFmtId="167" fontId="0" fillId="0" borderId="9" xfId="0" applyNumberFormat="1" applyBorder="1" applyAlignment="1">
      <alignment horizontal="left"/>
    </xf>
    <xf numFmtId="3" fontId="2" fillId="0" borderId="10" xfId="0" applyNumberFormat="1" applyFont="1" applyBorder="1" applyAlignment="1">
      <alignment horizontal="left"/>
    </xf>
    <xf numFmtId="9" fontId="0" fillId="0" borderId="11" xfId="0" applyNumberFormat="1" applyBorder="1" applyAlignment="1">
      <alignment horizontal="left"/>
    </xf>
    <xf numFmtId="3" fontId="0" fillId="0" borderId="11" xfId="0" applyNumberFormat="1" applyBorder="1" applyAlignment="1">
      <alignment horizontal="left"/>
    </xf>
    <xf numFmtId="3" fontId="0" fillId="0" borderId="12" xfId="0" applyNumberForma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3" fontId="0" fillId="0" borderId="14" xfId="0" applyNumberFormat="1" applyBorder="1" applyAlignment="1">
      <alignment horizontal="left"/>
    </xf>
    <xf numFmtId="3" fontId="0" fillId="0" borderId="13" xfId="0" applyNumberFormat="1" applyBorder="1" applyAlignment="1">
      <alignment horizontal="left"/>
    </xf>
    <xf numFmtId="3" fontId="0" fillId="0" borderId="15" xfId="0" applyNumberFormat="1" applyBorder="1" applyAlignment="1">
      <alignment horizontal="left"/>
    </xf>
    <xf numFmtId="167" fontId="0" fillId="0" borderId="16" xfId="0" applyNumberFormat="1" applyBorder="1" applyAlignment="1">
      <alignment horizontal="left"/>
    </xf>
    <xf numFmtId="3" fontId="0" fillId="0" borderId="16" xfId="0" applyNumberFormat="1" applyBorder="1" applyAlignment="1">
      <alignment horizontal="left"/>
    </xf>
    <xf numFmtId="3" fontId="0" fillId="0" borderId="17" xfId="0" applyNumberFormat="1" applyBorder="1" applyAlignment="1">
      <alignment horizontal="left"/>
    </xf>
    <xf numFmtId="3" fontId="2" fillId="3" borderId="14" xfId="0" applyNumberFormat="1" applyFont="1" applyFill="1" applyBorder="1" applyAlignment="1">
      <alignment horizontal="left"/>
    </xf>
    <xf numFmtId="9" fontId="2" fillId="3" borderId="14" xfId="0" applyNumberFormat="1" applyFont="1" applyFill="1" applyBorder="1" applyAlignment="1">
      <alignment horizontal="left"/>
    </xf>
    <xf numFmtId="0" fontId="0" fillId="0" borderId="1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/>
    <xf numFmtId="164" fontId="0" fillId="0" borderId="0" xfId="1" applyNumberFormat="1" applyFont="1" applyBorder="1"/>
    <xf numFmtId="0" fontId="0" fillId="0" borderId="5" xfId="0" applyBorder="1" applyAlignment="1">
      <alignment horizontal="left"/>
    </xf>
    <xf numFmtId="0" fontId="0" fillId="0" borderId="6" xfId="0" applyBorder="1"/>
    <xf numFmtId="164" fontId="0" fillId="0" borderId="7" xfId="1" applyNumberFormat="1" applyFont="1" applyBorder="1"/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14" fontId="0" fillId="0" borderId="0" xfId="0" applyNumberFormat="1"/>
    <xf numFmtId="14" fontId="5" fillId="0" borderId="0" xfId="3" applyNumberFormat="1"/>
    <xf numFmtId="14" fontId="5" fillId="0" borderId="0" xfId="3" applyNumberFormat="1" applyAlignment="1">
      <alignment horizontal="left"/>
    </xf>
    <xf numFmtId="166" fontId="0" fillId="0" borderId="0" xfId="0" applyNumberForma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9" fillId="0" borderId="0" xfId="0" applyFont="1"/>
    <xf numFmtId="0" fontId="2" fillId="0" borderId="1" xfId="0" applyFont="1" applyBorder="1"/>
    <xf numFmtId="0" fontId="2" fillId="0" borderId="18" xfId="0" applyFont="1" applyBorder="1"/>
    <xf numFmtId="0" fontId="0" fillId="0" borderId="19" xfId="0" applyBorder="1"/>
    <xf numFmtId="0" fontId="5" fillId="0" borderId="19" xfId="3" applyBorder="1"/>
    <xf numFmtId="0" fontId="0" fillId="0" borderId="20" xfId="0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10583</xdr:colOff>
      <xdr:row>0</xdr:row>
      <xdr:rowOff>12700</xdr:rowOff>
    </xdr:from>
    <xdr:to>
      <xdr:col>33</xdr:col>
      <xdr:colOff>25400</xdr:colOff>
      <xdr:row>142</xdr:row>
      <xdr:rowOff>84666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627AB0-DE38-CB47-91BA-A7DA33085262}"/>
            </a:ext>
          </a:extLst>
        </xdr:cNvPr>
        <xdr:cNvCxnSpPr/>
      </xdr:nvCxnSpPr>
      <xdr:spPr>
        <a:xfrm flipH="1">
          <a:off x="16287750" y="12700"/>
          <a:ext cx="14817" cy="22762633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575734</xdr:colOff>
      <xdr:row>0</xdr:row>
      <xdr:rowOff>25400</xdr:rowOff>
    </xdr:from>
    <xdr:to>
      <xdr:col>21</xdr:col>
      <xdr:colOff>42334</xdr:colOff>
      <xdr:row>141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4642F5-C759-3A67-50B7-389E1DF525DE}"/>
            </a:ext>
          </a:extLst>
        </xdr:cNvPr>
        <xdr:cNvCxnSpPr/>
      </xdr:nvCxnSpPr>
      <xdr:spPr>
        <a:xfrm>
          <a:off x="13038667" y="25400"/>
          <a:ext cx="50800" cy="23156333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6.q4cdn.com/747928648/files/doc_financials/2021/q1/Q1'21-Earnings-Press-Release.pdf" TargetMode="External"/><Relationship Id="rId13" Type="http://schemas.openxmlformats.org/officeDocument/2006/relationships/hyperlink" Target="https://www.bea.gov/news/2022/gross-domestic-product-third-quarter-2022-advance-estimate" TargetMode="External"/><Relationship Id="rId18" Type="http://schemas.openxmlformats.org/officeDocument/2006/relationships/hyperlink" Target="mailto:IR@aexp.com" TargetMode="External"/><Relationship Id="rId3" Type="http://schemas.openxmlformats.org/officeDocument/2006/relationships/hyperlink" Target="https://s26.q4cdn.com/747928648/files/doc_financials/2022/q2/Q2-2022-Earnings-Press-Release.pdf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26.q4cdn.com/747928648/files/doc_financials/2021/q2/Q2-2021-Earnings-Press-Release.pdf" TargetMode="External"/><Relationship Id="rId12" Type="http://schemas.openxmlformats.org/officeDocument/2006/relationships/hyperlink" Target="https://s26.q4cdn.com/747928648/files/doc_financials/2020/q1/35e6b081-08c3-5d8b-1dd9-296266e4df4b.pdf" TargetMode="External"/><Relationship Id="rId17" Type="http://schemas.openxmlformats.org/officeDocument/2006/relationships/hyperlink" Target="https://about.americanexpress.com/newsroom/press-releases/news-details/2022/Find-Out-if-You-Are-Approved-for-an-American-Express-Personal-Card-Before-Impacting-Your-Credit-Score/default.aspx" TargetMode="External"/><Relationship Id="rId2" Type="http://schemas.openxmlformats.org/officeDocument/2006/relationships/hyperlink" Target="https://www.americanexpress.com/us/credit-cards/?inav=menu_cards_pc_viewallcards&amp;category=all" TargetMode="External"/><Relationship Id="rId16" Type="http://schemas.openxmlformats.org/officeDocument/2006/relationships/hyperlink" Target="https://about.americanexpress.com/newsroom/press-releases/news-details/2022/American-Express-and-TikTok-Launch-the-ShopSmall-Accelerator-to-Help-Small-Businesses-Reach-New-Audiences-on-Small-Business-Saturday/default.aspx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s26.q4cdn.com/747928648/files/doc_financials/2022/q3/Q3-2022-Earnings-Press-Release.pdf" TargetMode="External"/><Relationship Id="rId6" Type="http://schemas.openxmlformats.org/officeDocument/2006/relationships/hyperlink" Target="https://s26.q4cdn.com/747928648/files/doc_financials/2021/q3/Q3-2021-Earnings-Press-Release.pdf" TargetMode="External"/><Relationship Id="rId11" Type="http://schemas.openxmlformats.org/officeDocument/2006/relationships/hyperlink" Target="https://s26.q4cdn.com/747928648/files/doc_financials/2020/q2/b3b30ef1-1f50-eaa7-1c0f-f0f02f584bec.pdf" TargetMode="External"/><Relationship Id="rId5" Type="http://schemas.openxmlformats.org/officeDocument/2006/relationships/hyperlink" Target="https://s26.q4cdn.com/747928648/files/doc_financials/2021/q4/Q4-2021-Earnings-Press-Release.pdf" TargetMode="External"/><Relationship Id="rId15" Type="http://schemas.openxmlformats.org/officeDocument/2006/relationships/hyperlink" Target="https://www.federalreserve.gov/releases/h41/" TargetMode="External"/><Relationship Id="rId10" Type="http://schemas.openxmlformats.org/officeDocument/2006/relationships/hyperlink" Target="https://s26.q4cdn.com/747928648/files/doc_financials/2020/q3/ddbcde07-119d-cbba-73ae-9e2d558450ee.pdf" TargetMode="External"/><Relationship Id="rId19" Type="http://schemas.openxmlformats.org/officeDocument/2006/relationships/hyperlink" Target="https://about.americanexpress.com/newsroom/press-releases/news-details/2022/American-Express-and-Square-Partner-to-Create-First-Credit-Card-for-Square-Sellers/default.aspx" TargetMode="External"/><Relationship Id="rId4" Type="http://schemas.openxmlformats.org/officeDocument/2006/relationships/hyperlink" Target="https://s26.q4cdn.com/747928648/files/doc_financials/2022/q1/Q1-2022-Earnings-Press-Release.pdf" TargetMode="External"/><Relationship Id="rId9" Type="http://schemas.openxmlformats.org/officeDocument/2006/relationships/hyperlink" Target="https://s26.q4cdn.com/747928648/files/doc_financials/2020/q4/Q4'20-Earnings-Press-Release.pdf" TargetMode="External"/><Relationship Id="rId14" Type="http://schemas.openxmlformats.org/officeDocument/2006/relationships/hyperlink" Target="https://www.federalreserve.gov/releases/h41/2022111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450D-0D90-A549-B47E-BDB7BA4F058F}">
  <dimension ref="B1:U51"/>
  <sheetViews>
    <sheetView showGridLines="0" tabSelected="1" zoomScale="140" zoomScaleNormal="140" workbookViewId="0">
      <selection activeCell="C38" sqref="C38"/>
    </sheetView>
  </sheetViews>
  <sheetFormatPr baseColWidth="10" defaultRowHeight="13"/>
  <cols>
    <col min="2" max="2" width="38.33203125" bestFit="1" customWidth="1"/>
    <col min="3" max="3" width="10.83203125" style="25"/>
    <col min="5" max="5" width="6.6640625" bestFit="1" customWidth="1"/>
    <col min="6" max="6" width="8.6640625" bestFit="1" customWidth="1"/>
    <col min="7" max="7" width="5.5" style="25" bestFit="1" customWidth="1"/>
    <col min="8" max="8" width="8.1640625" bestFit="1" customWidth="1"/>
    <col min="9" max="9" width="8.6640625" style="1" bestFit="1" customWidth="1"/>
    <col min="10" max="10" width="7" style="2" customWidth="1"/>
  </cols>
  <sheetData>
    <row r="1" spans="2:21" ht="20">
      <c r="B1" s="65" t="s">
        <v>192</v>
      </c>
    </row>
    <row r="2" spans="2:21">
      <c r="B2" t="s">
        <v>194</v>
      </c>
      <c r="C2" s="22" t="s">
        <v>193</v>
      </c>
      <c r="E2" s="23" t="s">
        <v>186</v>
      </c>
    </row>
    <row r="3" spans="2:21">
      <c r="B3" t="s">
        <v>127</v>
      </c>
      <c r="C3" s="25">
        <v>1850</v>
      </c>
      <c r="H3" s="62"/>
      <c r="P3" s="23" t="s">
        <v>175</v>
      </c>
      <c r="Q3" s="25"/>
      <c r="S3" s="1"/>
      <c r="T3" s="2"/>
      <c r="U3" s="23" t="s">
        <v>176</v>
      </c>
    </row>
    <row r="4" spans="2:21">
      <c r="B4" t="s">
        <v>171</v>
      </c>
      <c r="E4" s="48" t="s">
        <v>12</v>
      </c>
      <c r="F4" s="49">
        <v>152.57</v>
      </c>
      <c r="G4" s="50"/>
      <c r="P4" t="s">
        <v>184</v>
      </c>
      <c r="Q4" s="25"/>
      <c r="S4" s="1"/>
      <c r="T4" s="2"/>
      <c r="U4" s="58" t="s">
        <v>177</v>
      </c>
    </row>
    <row r="5" spans="2:21">
      <c r="E5" s="51" t="s">
        <v>13</v>
      </c>
      <c r="F5" s="52">
        <v>747.23269600000003</v>
      </c>
      <c r="G5" s="53" t="s">
        <v>112</v>
      </c>
      <c r="J5" s="23"/>
      <c r="L5" s="23"/>
      <c r="M5" s="57"/>
      <c r="P5" t="s">
        <v>197</v>
      </c>
      <c r="Q5" s="25"/>
      <c r="S5" s="1"/>
      <c r="T5" s="2"/>
      <c r="U5" t="s">
        <v>178</v>
      </c>
    </row>
    <row r="6" spans="2:21">
      <c r="B6" s="66" t="s">
        <v>128</v>
      </c>
      <c r="C6" s="50"/>
      <c r="E6" s="51" t="s">
        <v>14</v>
      </c>
      <c r="F6" s="52">
        <f>+F4*F5</f>
        <v>114005.29242872</v>
      </c>
      <c r="G6" s="53"/>
      <c r="P6" t="s">
        <v>185</v>
      </c>
      <c r="Q6" s="25"/>
      <c r="S6" s="1"/>
      <c r="T6" s="2"/>
      <c r="U6" t="s">
        <v>179</v>
      </c>
    </row>
    <row r="7" spans="2:21">
      <c r="B7" s="51" t="s">
        <v>129</v>
      </c>
      <c r="C7" s="53" t="s">
        <v>132</v>
      </c>
      <c r="E7" s="51" t="s">
        <v>15</v>
      </c>
      <c r="F7" s="52">
        <v>31182</v>
      </c>
      <c r="G7" s="53" t="str">
        <f>+G5</f>
        <v>Q322</v>
      </c>
      <c r="P7" t="s">
        <v>183</v>
      </c>
      <c r="Q7" s="25"/>
      <c r="S7" s="1"/>
      <c r="T7" s="2"/>
      <c r="U7" t="s">
        <v>180</v>
      </c>
    </row>
    <row r="8" spans="2:21">
      <c r="B8" s="51" t="s">
        <v>130</v>
      </c>
      <c r="C8" s="53" t="s">
        <v>132</v>
      </c>
      <c r="E8" s="51" t="s">
        <v>16</v>
      </c>
      <c r="F8" s="52">
        <f>1515+42393</f>
        <v>43908</v>
      </c>
      <c r="G8" s="53" t="str">
        <f>+G7</f>
        <v>Q322</v>
      </c>
      <c r="P8" t="s">
        <v>196</v>
      </c>
    </row>
    <row r="9" spans="2:21">
      <c r="B9" s="54" t="s">
        <v>131</v>
      </c>
      <c r="C9" s="56" t="s">
        <v>133</v>
      </c>
      <c r="E9" s="54" t="s">
        <v>17</v>
      </c>
      <c r="F9" s="55">
        <f>+F6-F7+F8</f>
        <v>126731.29242872</v>
      </c>
      <c r="G9" s="56"/>
    </row>
    <row r="12" spans="2:21">
      <c r="B12" s="67" t="s">
        <v>134</v>
      </c>
      <c r="Q12" s="23" t="s">
        <v>181</v>
      </c>
      <c r="R12" s="25"/>
      <c r="S12" s="22" t="s">
        <v>182</v>
      </c>
      <c r="T12" s="1"/>
      <c r="U12" s="2"/>
    </row>
    <row r="13" spans="2:21">
      <c r="B13" s="68" t="s">
        <v>135</v>
      </c>
      <c r="Q13" s="60">
        <v>44861</v>
      </c>
      <c r="R13" s="25"/>
      <c r="S13" s="61">
        <v>44875</v>
      </c>
      <c r="T13" s="1"/>
      <c r="U13" s="2"/>
    </row>
    <row r="14" spans="2:21">
      <c r="B14" s="68" t="s">
        <v>136</v>
      </c>
      <c r="Q14" s="59">
        <v>44895</v>
      </c>
      <c r="R14" s="25"/>
      <c r="T14" s="1"/>
      <c r="U14" s="2"/>
    </row>
    <row r="15" spans="2:21">
      <c r="B15" s="68" t="s">
        <v>137</v>
      </c>
    </row>
    <row r="16" spans="2:21">
      <c r="B16" s="68" t="s">
        <v>138</v>
      </c>
    </row>
    <row r="17" spans="2:2">
      <c r="B17" s="68"/>
    </row>
    <row r="18" spans="2:2">
      <c r="B18" s="69" t="s">
        <v>142</v>
      </c>
    </row>
    <row r="19" spans="2:2">
      <c r="B19" s="68" t="s">
        <v>143</v>
      </c>
    </row>
    <row r="20" spans="2:2">
      <c r="B20" s="68" t="s">
        <v>144</v>
      </c>
    </row>
    <row r="21" spans="2:2">
      <c r="B21" s="68" t="s">
        <v>145</v>
      </c>
    </row>
    <row r="22" spans="2:2">
      <c r="B22" s="68" t="s">
        <v>146</v>
      </c>
    </row>
    <row r="23" spans="2:2">
      <c r="B23" s="68" t="s">
        <v>147</v>
      </c>
    </row>
    <row r="24" spans="2:2">
      <c r="B24" s="68" t="s">
        <v>148</v>
      </c>
    </row>
    <row r="25" spans="2:2">
      <c r="B25" s="68" t="s">
        <v>149</v>
      </c>
    </row>
    <row r="26" spans="2:2">
      <c r="B26" s="68" t="s">
        <v>150</v>
      </c>
    </row>
    <row r="27" spans="2:2">
      <c r="B27" s="68" t="s">
        <v>151</v>
      </c>
    </row>
    <row r="28" spans="2:2">
      <c r="B28" s="68" t="s">
        <v>152</v>
      </c>
    </row>
    <row r="29" spans="2:2">
      <c r="B29" s="68" t="s">
        <v>153</v>
      </c>
    </row>
    <row r="30" spans="2:2">
      <c r="B30" s="68" t="s">
        <v>154</v>
      </c>
    </row>
    <row r="31" spans="2:2">
      <c r="B31" s="68" t="s">
        <v>155</v>
      </c>
    </row>
    <row r="32" spans="2:2">
      <c r="B32" s="68" t="s">
        <v>156</v>
      </c>
    </row>
    <row r="33" spans="2:4">
      <c r="B33" s="68" t="s">
        <v>157</v>
      </c>
    </row>
    <row r="34" spans="2:4">
      <c r="B34" s="68" t="s">
        <v>158</v>
      </c>
    </row>
    <row r="35" spans="2:4">
      <c r="B35" s="68" t="s">
        <v>159</v>
      </c>
    </row>
    <row r="36" spans="2:4">
      <c r="B36" s="70" t="s">
        <v>160</v>
      </c>
    </row>
    <row r="40" spans="2:4">
      <c r="B40" s="63" t="s">
        <v>125</v>
      </c>
      <c r="C40" s="63" t="s">
        <v>187</v>
      </c>
      <c r="D40" s="23" t="s">
        <v>188</v>
      </c>
    </row>
    <row r="41" spans="2:4">
      <c r="B41" s="26" t="s">
        <v>126</v>
      </c>
      <c r="C41" s="61">
        <v>44886</v>
      </c>
      <c r="D41" t="s">
        <v>189</v>
      </c>
    </row>
    <row r="42" spans="2:4">
      <c r="B42" s="26" t="s">
        <v>161</v>
      </c>
      <c r="C42" s="64">
        <v>8357</v>
      </c>
      <c r="D42" t="s">
        <v>191</v>
      </c>
    </row>
    <row r="43" spans="2:4">
      <c r="B43" s="26" t="s">
        <v>162</v>
      </c>
      <c r="C43" s="61">
        <v>44881</v>
      </c>
      <c r="D43" t="s">
        <v>195</v>
      </c>
    </row>
    <row r="44" spans="2:4">
      <c r="B44" s="26" t="s">
        <v>163</v>
      </c>
      <c r="C44" s="61">
        <v>44879</v>
      </c>
      <c r="D44" t="s">
        <v>190</v>
      </c>
    </row>
    <row r="45" spans="2:4">
      <c r="B45" s="26" t="s">
        <v>164</v>
      </c>
    </row>
    <row r="46" spans="2:4">
      <c r="B46" s="26" t="s">
        <v>165</v>
      </c>
    </row>
    <row r="47" spans="2:4">
      <c r="B47" s="26" t="s">
        <v>166</v>
      </c>
    </row>
    <row r="48" spans="2:4">
      <c r="B48" s="26" t="s">
        <v>167</v>
      </c>
    </row>
    <row r="49" spans="2:2">
      <c r="B49" s="26" t="s">
        <v>168</v>
      </c>
    </row>
    <row r="50" spans="2:2">
      <c r="B50" s="26" t="s">
        <v>169</v>
      </c>
    </row>
    <row r="51" spans="2:2">
      <c r="B51" s="26" t="s">
        <v>170</v>
      </c>
    </row>
  </sheetData>
  <hyperlinks>
    <hyperlink ref="B41" r:id="rId1" xr:uid="{171640F0-8FD3-2842-88A7-24DA1723E42C}"/>
    <hyperlink ref="B18" r:id="rId2" xr:uid="{3FBC2DFE-C0F5-904D-8262-4E0BB9E36678}"/>
    <hyperlink ref="B42" r:id="rId3" xr:uid="{890EB15E-03D9-F741-8AF5-386D7F6CE0F9}"/>
    <hyperlink ref="B43" r:id="rId4" xr:uid="{011DFE7C-C822-2948-9455-36F31C9F5833}"/>
    <hyperlink ref="B44" r:id="rId5" xr:uid="{A0165DB0-1CDD-F54D-A1FB-304E6D1F05BF}"/>
    <hyperlink ref="B45" r:id="rId6" xr:uid="{FAB4906F-2605-C946-A800-E23102EC884C}"/>
    <hyperlink ref="B46" r:id="rId7" xr:uid="{532BBFF9-5766-1B46-87B6-255285C911D8}"/>
    <hyperlink ref="B47" r:id="rId8" xr:uid="{2D0044A2-D2BA-A745-90D9-07DACC79BD7C}"/>
    <hyperlink ref="B48" r:id="rId9" display="Q4'19" xr:uid="{73D0BF1E-429B-AA47-B247-E73EFF7025AE}"/>
    <hyperlink ref="B49" r:id="rId10" xr:uid="{BE8186D6-9485-5E4F-957C-1B472DCFA6E1}"/>
    <hyperlink ref="B50" r:id="rId11" xr:uid="{285FA3F0-F602-5348-B259-9DA29BBF2B53}"/>
    <hyperlink ref="B51" r:id="rId12" xr:uid="{FAC94E8F-F76B-1042-9291-5BC48C55B6B4}"/>
    <hyperlink ref="Q13" r:id="rId13" display="https://www.bea.gov/news/2022/gross-domestic-product-third-quarter-2022-advance-estimate" xr:uid="{51A6DF85-DD92-E34B-9E07-03740C18E937}"/>
    <hyperlink ref="S13" r:id="rId14" display="https://www.federalreserve.gov/releases/h41/20221110/" xr:uid="{8AB4336E-7D16-3E4A-A4F4-ABEEA1CB4B2A}"/>
    <hyperlink ref="S12" r:id="rId15" xr:uid="{0D0D0CD9-12A6-F846-AE22-538597E9B57B}"/>
    <hyperlink ref="C44" r:id="rId16" display="https://about.americanexpress.com/newsroom/press-releases/news-details/2022/American-Express-and-TikTok-Launch-the-ShopSmall-Accelerator-to-Help-Small-Businesses-Reach-New-Audiences-on-Small-Business-Saturday/default.aspx" xr:uid="{64520E79-0F3D-3E4B-A121-F4D3BD104B09}"/>
    <hyperlink ref="C41" r:id="rId17" display="https://about.americanexpress.com/newsroom/press-releases/news-details/2022/Find-Out-if-You-Are-Approved-for-an-American-Express-Personal-Card-Before-Impacting-Your-Credit-Score/default.aspx" xr:uid="{1A361CD2-4615-584E-94A0-14240A5787C0}"/>
    <hyperlink ref="C2" r:id="rId18" display="mailto:IR@aexp.com" xr:uid="{3ADB44AB-1B2F-EB43-B12F-5181B0870974}"/>
    <hyperlink ref="C43" r:id="rId19" display="https://about.americanexpress.com/newsroom/press-releases/news-details/2022/American-Express-and-Square-Partner-to-Create-First-Credit-Card-for-Square-Sellers/default.aspx" xr:uid="{56574A95-188A-9447-B320-5A661FCE6275}"/>
  </hyperlinks>
  <pageMargins left="0.7" right="0.7" top="0.75" bottom="0.75" header="0.3" footer="0.3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2F29-3D1E-DF44-822A-F1331C631B30}">
  <dimension ref="B2:EV11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3" sqref="C33"/>
    </sheetView>
  </sheetViews>
  <sheetFormatPr baseColWidth="10" defaultRowHeight="13"/>
  <cols>
    <col min="1" max="1" width="6.1640625" style="3" customWidth="1"/>
    <col min="2" max="2" width="33.33203125" style="3" bestFit="1" customWidth="1"/>
    <col min="3" max="3" width="5.83203125" style="3" bestFit="1" customWidth="1"/>
    <col min="4" max="11" width="6.83203125" style="3" bestFit="1" customWidth="1"/>
    <col min="12" max="13" width="6.6640625" style="3" bestFit="1" customWidth="1"/>
    <col min="14" max="18" width="7.83203125" style="3" bestFit="1" customWidth="1"/>
    <col min="19" max="23" width="7.6640625" style="3" customWidth="1"/>
    <col min="24" max="24" width="0.6640625" style="12" customWidth="1"/>
    <col min="25" max="25" width="7.5" style="3" customWidth="1"/>
    <col min="26" max="26" width="6.6640625" style="3" bestFit="1" customWidth="1"/>
    <col min="27" max="39" width="6.83203125" style="3" bestFit="1" customWidth="1"/>
    <col min="40" max="40" width="6.6640625" style="3" customWidth="1"/>
    <col min="41" max="43" width="6.83203125" style="3" bestFit="1" customWidth="1"/>
    <col min="44" max="45" width="6.6640625" style="3" bestFit="1" customWidth="1"/>
    <col min="46" max="46" width="9" style="3" bestFit="1" customWidth="1"/>
    <col min="47" max="48" width="7.83203125" style="3" bestFit="1" customWidth="1"/>
    <col min="49" max="54" width="7.6640625" style="3" bestFit="1" customWidth="1"/>
    <col min="55" max="152" width="6.6640625" style="3" bestFit="1" customWidth="1"/>
    <col min="153" max="16384" width="10.83203125" style="3"/>
  </cols>
  <sheetData>
    <row r="2" spans="2:43">
      <c r="C2" s="3" t="s">
        <v>77</v>
      </c>
      <c r="D2" s="3" t="s">
        <v>78</v>
      </c>
      <c r="E2" s="3" t="s">
        <v>79</v>
      </c>
      <c r="F2" s="3" t="s">
        <v>80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113</v>
      </c>
      <c r="T2" s="3" t="s">
        <v>114</v>
      </c>
      <c r="U2" s="3" t="s">
        <v>112</v>
      </c>
      <c r="V2" s="3" t="s">
        <v>115</v>
      </c>
      <c r="Z2" s="4">
        <v>2014</v>
      </c>
      <c r="AA2" s="4">
        <v>2015</v>
      </c>
      <c r="AB2" s="4">
        <f>+AA2+1</f>
        <v>2016</v>
      </c>
      <c r="AC2" s="4">
        <f t="shared" ref="AC2:AQ2" si="0">+AB2+1</f>
        <v>2017</v>
      </c>
      <c r="AD2" s="4">
        <f t="shared" si="0"/>
        <v>2018</v>
      </c>
      <c r="AE2" s="4">
        <f t="shared" si="0"/>
        <v>2019</v>
      </c>
      <c r="AF2" s="4">
        <f t="shared" si="0"/>
        <v>2020</v>
      </c>
      <c r="AG2" s="4">
        <f t="shared" si="0"/>
        <v>2021</v>
      </c>
      <c r="AH2" s="4">
        <f t="shared" si="0"/>
        <v>2022</v>
      </c>
      <c r="AI2" s="4">
        <f t="shared" si="0"/>
        <v>2023</v>
      </c>
      <c r="AJ2" s="4">
        <f t="shared" si="0"/>
        <v>2024</v>
      </c>
      <c r="AK2" s="4">
        <f t="shared" si="0"/>
        <v>2025</v>
      </c>
      <c r="AL2" s="4">
        <f t="shared" si="0"/>
        <v>2026</v>
      </c>
      <c r="AM2" s="4">
        <f t="shared" si="0"/>
        <v>2027</v>
      </c>
      <c r="AN2" s="4">
        <f t="shared" si="0"/>
        <v>2028</v>
      </c>
      <c r="AO2" s="4">
        <f t="shared" si="0"/>
        <v>2029</v>
      </c>
      <c r="AP2" s="4">
        <f t="shared" si="0"/>
        <v>2030</v>
      </c>
      <c r="AQ2" s="4">
        <f t="shared" si="0"/>
        <v>2031</v>
      </c>
    </row>
    <row r="3" spans="2:43">
      <c r="B3" s="3" t="s">
        <v>18</v>
      </c>
      <c r="C3" s="3">
        <v>5889</v>
      </c>
      <c r="D3" s="3">
        <v>6194</v>
      </c>
      <c r="E3" s="3">
        <v>6181</v>
      </c>
      <c r="F3" s="3">
        <f t="shared" ref="F3:F30" si="1">+AD3-SUM(C3:E3)</f>
        <v>6457</v>
      </c>
      <c r="G3" s="3">
        <v>6195</v>
      </c>
      <c r="H3" s="3">
        <v>6577</v>
      </c>
      <c r="I3" s="3">
        <v>6566</v>
      </c>
      <c r="J3" s="3">
        <f t="shared" ref="J3:J30" si="2">+AE3-SUM(G3:I3)</f>
        <v>6829</v>
      </c>
      <c r="K3" s="3">
        <v>5838</v>
      </c>
      <c r="L3" s="3">
        <v>4015</v>
      </c>
      <c r="M3" s="3">
        <v>4999</v>
      </c>
      <c r="N3" s="3">
        <f t="shared" ref="N3:N30" si="3">+AF3-SUM(K3:M3)</f>
        <v>5549</v>
      </c>
      <c r="O3" s="3">
        <v>5242</v>
      </c>
      <c r="P3" s="3">
        <v>6327</v>
      </c>
      <c r="Q3" s="3">
        <v>6676</v>
      </c>
      <c r="R3" s="3">
        <f t="shared" ref="R3:R30" si="4">+AG3-SUM(O3:Q3)</f>
        <v>7482</v>
      </c>
      <c r="S3" s="3">
        <v>6853</v>
      </c>
      <c r="T3" s="3">
        <v>7873</v>
      </c>
      <c r="U3" s="3">
        <v>7848</v>
      </c>
      <c r="V3" s="3">
        <f>+R3*1.01</f>
        <v>7556.82</v>
      </c>
      <c r="Z3" s="3">
        <v>19389</v>
      </c>
      <c r="AA3" s="3">
        <v>19297</v>
      </c>
      <c r="AB3" s="3">
        <v>22377</v>
      </c>
      <c r="AC3" s="3">
        <v>22890</v>
      </c>
      <c r="AD3" s="3">
        <v>24721</v>
      </c>
      <c r="AE3" s="3">
        <v>26167</v>
      </c>
      <c r="AF3" s="3">
        <v>20401</v>
      </c>
      <c r="AG3" s="3">
        <v>25727</v>
      </c>
      <c r="AH3" s="3">
        <f t="shared" ref="AH3:AH30" si="5">+SUM(S3:V3)</f>
        <v>30130.82</v>
      </c>
    </row>
    <row r="4" spans="2:43">
      <c r="B4" s="3" t="s">
        <v>19</v>
      </c>
      <c r="C4" s="3">
        <v>830</v>
      </c>
      <c r="D4" s="3">
        <v>844</v>
      </c>
      <c r="E4" s="3">
        <v>870</v>
      </c>
      <c r="F4" s="3">
        <f t="shared" si="1"/>
        <v>897</v>
      </c>
      <c r="G4" s="3">
        <v>944</v>
      </c>
      <c r="H4" s="3">
        <v>988</v>
      </c>
      <c r="I4" s="3">
        <v>1033</v>
      </c>
      <c r="J4" s="3">
        <f t="shared" si="2"/>
        <v>1077</v>
      </c>
      <c r="K4" s="3">
        <v>1110</v>
      </c>
      <c r="L4" s="3">
        <v>1141</v>
      </c>
      <c r="M4" s="3">
        <v>1191</v>
      </c>
      <c r="N4" s="3">
        <f t="shared" si="3"/>
        <v>1222</v>
      </c>
      <c r="O4" s="3">
        <v>1253</v>
      </c>
      <c r="P4" s="3">
        <v>1286</v>
      </c>
      <c r="Q4" s="3">
        <v>1312</v>
      </c>
      <c r="R4" s="3">
        <f t="shared" si="4"/>
        <v>1344</v>
      </c>
      <c r="S4" s="3">
        <v>1423</v>
      </c>
      <c r="T4" s="3">
        <v>1481</v>
      </c>
      <c r="U4" s="3">
        <v>1541</v>
      </c>
      <c r="V4" s="3">
        <f>+R4*1.01</f>
        <v>1357.44</v>
      </c>
      <c r="Z4" s="3">
        <v>2712</v>
      </c>
      <c r="AA4" s="3">
        <v>2700</v>
      </c>
      <c r="AB4" s="3">
        <v>2886</v>
      </c>
      <c r="AC4" s="3">
        <v>3090</v>
      </c>
      <c r="AD4" s="3">
        <v>3441</v>
      </c>
      <c r="AE4" s="3">
        <v>4042</v>
      </c>
      <c r="AF4" s="3">
        <v>4664</v>
      </c>
      <c r="AG4" s="3">
        <v>5195</v>
      </c>
      <c r="AH4" s="3">
        <f t="shared" si="5"/>
        <v>5802.4400000000005</v>
      </c>
    </row>
    <row r="5" spans="2:43">
      <c r="B5" s="3" t="s">
        <v>20</v>
      </c>
      <c r="C5" s="3">
        <v>781</v>
      </c>
      <c r="D5" s="3">
        <v>786</v>
      </c>
      <c r="E5" s="3">
        <v>798</v>
      </c>
      <c r="F5" s="3">
        <f t="shared" si="1"/>
        <v>788</v>
      </c>
      <c r="G5" s="3">
        <v>803</v>
      </c>
      <c r="H5" s="3">
        <v>837</v>
      </c>
      <c r="I5" s="3">
        <v>825</v>
      </c>
      <c r="J5" s="3">
        <f t="shared" si="2"/>
        <v>832</v>
      </c>
      <c r="K5" s="3">
        <v>720</v>
      </c>
      <c r="L5" s="3">
        <v>449</v>
      </c>
      <c r="M5" s="3">
        <v>478</v>
      </c>
      <c r="N5" s="3">
        <f t="shared" si="3"/>
        <v>516</v>
      </c>
      <c r="O5" s="3">
        <v>520</v>
      </c>
      <c r="P5" s="3">
        <v>560</v>
      </c>
      <c r="Q5" s="3">
        <v>632</v>
      </c>
      <c r="R5" s="3">
        <f t="shared" si="4"/>
        <v>680</v>
      </c>
      <c r="S5" s="3">
        <v>906</v>
      </c>
      <c r="T5" s="3">
        <v>1265</v>
      </c>
      <c r="U5" s="3">
        <v>1169</v>
      </c>
      <c r="V5" s="3">
        <f>+R5*1.01</f>
        <v>686.8</v>
      </c>
      <c r="Z5" s="3">
        <v>3626</v>
      </c>
      <c r="AA5" s="3">
        <v>2866</v>
      </c>
      <c r="AB5" s="3">
        <v>2718</v>
      </c>
      <c r="AC5" s="3">
        <v>2990</v>
      </c>
      <c r="AD5" s="3">
        <v>3153</v>
      </c>
      <c r="AE5" s="3">
        <v>3297</v>
      </c>
      <c r="AF5" s="3">
        <v>2163</v>
      </c>
      <c r="AG5" s="3">
        <v>2392</v>
      </c>
      <c r="AH5" s="3">
        <f t="shared" si="5"/>
        <v>4026.8</v>
      </c>
    </row>
    <row r="6" spans="2:43">
      <c r="B6" s="3" t="s">
        <v>20</v>
      </c>
      <c r="C6" s="3">
        <v>377</v>
      </c>
      <c r="D6" s="3">
        <v>349</v>
      </c>
      <c r="E6" s="3">
        <v>334</v>
      </c>
      <c r="F6" s="3">
        <f t="shared" si="1"/>
        <v>300</v>
      </c>
      <c r="G6" s="3">
        <v>363</v>
      </c>
      <c r="H6" s="3">
        <v>362</v>
      </c>
      <c r="I6" s="3">
        <v>362</v>
      </c>
      <c r="J6" s="3">
        <f t="shared" si="2"/>
        <v>343</v>
      </c>
      <c r="K6" s="3">
        <v>312</v>
      </c>
      <c r="L6" s="3">
        <v>186</v>
      </c>
      <c r="M6" s="3">
        <v>209</v>
      </c>
      <c r="N6" s="3">
        <f t="shared" si="3"/>
        <v>167</v>
      </c>
      <c r="O6" s="3">
        <v>219</v>
      </c>
      <c r="P6" s="3">
        <v>252</v>
      </c>
      <c r="Q6" s="3">
        <v>314</v>
      </c>
      <c r="R6" s="3">
        <f t="shared" si="4"/>
        <v>531</v>
      </c>
      <c r="S6" s="3">
        <v>372</v>
      </c>
      <c r="T6" s="3">
        <v>416</v>
      </c>
      <c r="U6" s="3">
        <v>420</v>
      </c>
      <c r="V6" s="3">
        <f>+R6*1.01</f>
        <v>536.31000000000006</v>
      </c>
      <c r="Z6" s="3">
        <v>2989</v>
      </c>
      <c r="AA6" s="3">
        <v>2033</v>
      </c>
      <c r="AB6" s="3">
        <v>1678</v>
      </c>
      <c r="AC6" s="3">
        <v>1457</v>
      </c>
      <c r="AD6" s="3">
        <v>1360</v>
      </c>
      <c r="AE6" s="3">
        <v>1430</v>
      </c>
      <c r="AF6" s="3">
        <v>874</v>
      </c>
      <c r="AG6" s="3">
        <v>1316</v>
      </c>
      <c r="AH6" s="3">
        <f t="shared" si="5"/>
        <v>1744.31</v>
      </c>
    </row>
    <row r="7" spans="2:43" s="5" customFormat="1">
      <c r="B7" s="5" t="s">
        <v>21</v>
      </c>
      <c r="C7" s="5">
        <f>+SUM(C3:C6)</f>
        <v>7877</v>
      </c>
      <c r="D7" s="5">
        <f>+SUM(D3:D6)</f>
        <v>8173</v>
      </c>
      <c r="E7" s="5">
        <f>+SUM(E3:E6)</f>
        <v>8183</v>
      </c>
      <c r="F7" s="5">
        <f t="shared" si="1"/>
        <v>8442</v>
      </c>
      <c r="G7" s="5">
        <f>+SUM(G3:G6)</f>
        <v>8305</v>
      </c>
      <c r="H7" s="5">
        <f>+SUM(H3:H6)</f>
        <v>8764</v>
      </c>
      <c r="I7" s="5">
        <f>+SUM(I3:I6)</f>
        <v>8786</v>
      </c>
      <c r="J7" s="5">
        <f t="shared" si="2"/>
        <v>9081</v>
      </c>
      <c r="K7" s="5">
        <f>+SUM(K3:K6)</f>
        <v>7980</v>
      </c>
      <c r="L7" s="5">
        <f>+SUM(L3:L6)</f>
        <v>5791</v>
      </c>
      <c r="M7" s="5">
        <f>+SUM(M3:M6)</f>
        <v>6877</v>
      </c>
      <c r="N7" s="5">
        <f t="shared" si="3"/>
        <v>7454</v>
      </c>
      <c r="O7" s="5">
        <f>+SUM(O3:O6)</f>
        <v>7234</v>
      </c>
      <c r="P7" s="5">
        <f>+SUM(P3:P6)</f>
        <v>8425</v>
      </c>
      <c r="Q7" s="5">
        <f>+SUM(Q3:Q6)</f>
        <v>8934</v>
      </c>
      <c r="R7" s="5">
        <f t="shared" si="4"/>
        <v>10037</v>
      </c>
      <c r="S7" s="5">
        <f>+SUM(S3:S6)</f>
        <v>9554</v>
      </c>
      <c r="T7" s="5">
        <f>+SUM(T3:T6)</f>
        <v>11035</v>
      </c>
      <c r="U7" s="5">
        <f>+SUM(U3:U6)</f>
        <v>10978</v>
      </c>
      <c r="V7" s="5">
        <f>+SUM(V3:V6)</f>
        <v>10137.369999999999</v>
      </c>
      <c r="X7" s="13"/>
      <c r="Z7" s="5">
        <f t="shared" ref="Z7:AG7" si="6">+SUM(Z3:Z6)</f>
        <v>28716</v>
      </c>
      <c r="AA7" s="5">
        <f t="shared" si="6"/>
        <v>26896</v>
      </c>
      <c r="AB7" s="5">
        <f t="shared" si="6"/>
        <v>29659</v>
      </c>
      <c r="AC7" s="5">
        <f t="shared" si="6"/>
        <v>30427</v>
      </c>
      <c r="AD7" s="5">
        <f t="shared" si="6"/>
        <v>32675</v>
      </c>
      <c r="AE7" s="5">
        <f t="shared" si="6"/>
        <v>34936</v>
      </c>
      <c r="AF7" s="5">
        <f t="shared" si="6"/>
        <v>28102</v>
      </c>
      <c r="AG7" s="5">
        <f t="shared" si="6"/>
        <v>34630</v>
      </c>
      <c r="AH7" s="3">
        <f t="shared" si="5"/>
        <v>41704.369999999995</v>
      </c>
    </row>
    <row r="8" spans="2:43">
      <c r="B8" s="3" t="s">
        <v>22</v>
      </c>
      <c r="C8" s="3">
        <v>2326</v>
      </c>
      <c r="D8" s="3">
        <v>2387</v>
      </c>
      <c r="E8" s="3">
        <v>2554</v>
      </c>
      <c r="F8" s="3">
        <f t="shared" si="1"/>
        <v>2674</v>
      </c>
      <c r="G8" s="3">
        <v>2725</v>
      </c>
      <c r="H8" s="3">
        <v>2764</v>
      </c>
      <c r="I8" s="3">
        <v>2885</v>
      </c>
      <c r="J8" s="3">
        <f t="shared" si="2"/>
        <v>2934</v>
      </c>
      <c r="K8" s="3">
        <v>2909</v>
      </c>
      <c r="L8" s="3">
        <v>2368</v>
      </c>
      <c r="M8" s="3">
        <v>2266</v>
      </c>
      <c r="N8" s="3">
        <f t="shared" si="3"/>
        <v>2236</v>
      </c>
      <c r="O8" s="3">
        <v>2144</v>
      </c>
      <c r="P8" s="3">
        <v>2094</v>
      </c>
      <c r="Q8" s="3">
        <v>2256</v>
      </c>
      <c r="R8" s="3">
        <f t="shared" si="4"/>
        <v>2356</v>
      </c>
      <c r="S8" s="3">
        <v>2473</v>
      </c>
      <c r="T8" s="3">
        <v>2707</v>
      </c>
      <c r="U8" s="3">
        <v>3164</v>
      </c>
      <c r="V8" s="3">
        <f>+V$7*(U8/U$7)</f>
        <v>2921.7196830023681</v>
      </c>
      <c r="Z8" s="3">
        <v>6929</v>
      </c>
      <c r="AA8" s="3">
        <v>7309</v>
      </c>
      <c r="AB8" s="3">
        <v>7214</v>
      </c>
      <c r="AC8" s="3">
        <v>8148</v>
      </c>
      <c r="AD8" s="3">
        <v>9941</v>
      </c>
      <c r="AE8" s="3">
        <v>11308</v>
      </c>
      <c r="AF8" s="3">
        <v>9779</v>
      </c>
      <c r="AG8" s="3">
        <v>8850</v>
      </c>
      <c r="AH8" s="3">
        <f t="shared" si="5"/>
        <v>11265.719683002368</v>
      </c>
    </row>
    <row r="9" spans="2:43">
      <c r="B9" s="3" t="s">
        <v>23</v>
      </c>
      <c r="C9" s="3">
        <v>21</v>
      </c>
      <c r="D9" s="3">
        <v>27</v>
      </c>
      <c r="E9" s="3">
        <v>35</v>
      </c>
      <c r="F9" s="3">
        <f t="shared" si="1"/>
        <v>35</v>
      </c>
      <c r="G9" s="3">
        <v>33</v>
      </c>
      <c r="H9" s="3">
        <v>52</v>
      </c>
      <c r="I9" s="3">
        <v>53</v>
      </c>
      <c r="J9" s="3">
        <f t="shared" si="2"/>
        <v>50</v>
      </c>
      <c r="K9" s="3">
        <v>38</v>
      </c>
      <c r="L9" s="3">
        <v>27</v>
      </c>
      <c r="M9" s="3">
        <v>33</v>
      </c>
      <c r="N9" s="3">
        <f t="shared" si="3"/>
        <v>29</v>
      </c>
      <c r="O9" s="3">
        <v>24</v>
      </c>
      <c r="P9" s="3">
        <v>24</v>
      </c>
      <c r="Q9" s="3">
        <v>18</v>
      </c>
      <c r="R9" s="3">
        <f t="shared" si="4"/>
        <v>17</v>
      </c>
      <c r="S9" s="3">
        <v>13</v>
      </c>
      <c r="T9" s="3">
        <v>22</v>
      </c>
      <c r="U9" s="3">
        <v>27</v>
      </c>
      <c r="V9" s="3">
        <f>+V$7*(U9/U$7)</f>
        <v>24.932500455456367</v>
      </c>
      <c r="Z9" s="3">
        <v>179</v>
      </c>
      <c r="AA9" s="3">
        <v>157</v>
      </c>
      <c r="AB9" s="3">
        <v>131</v>
      </c>
      <c r="AC9" s="3">
        <v>89</v>
      </c>
      <c r="AD9" s="3">
        <v>118</v>
      </c>
      <c r="AE9" s="3">
        <v>188</v>
      </c>
      <c r="AF9" s="3">
        <v>127</v>
      </c>
      <c r="AG9" s="3">
        <v>83</v>
      </c>
      <c r="AH9" s="3">
        <f t="shared" si="5"/>
        <v>86.932500455456363</v>
      </c>
    </row>
    <row r="10" spans="2:43">
      <c r="B10" s="3" t="s">
        <v>24</v>
      </c>
      <c r="C10" s="3">
        <v>115</v>
      </c>
      <c r="D10" s="3">
        <v>126</v>
      </c>
      <c r="E10" s="3">
        <v>149</v>
      </c>
      <c r="F10" s="3">
        <f t="shared" si="1"/>
        <v>157</v>
      </c>
      <c r="G10" s="3">
        <v>196</v>
      </c>
      <c r="H10" s="3">
        <v>149</v>
      </c>
      <c r="I10" s="3">
        <v>142</v>
      </c>
      <c r="J10" s="3">
        <f t="shared" si="2"/>
        <v>101</v>
      </c>
      <c r="K10" s="3">
        <v>99</v>
      </c>
      <c r="L10" s="3">
        <v>31</v>
      </c>
      <c r="M10" s="3">
        <v>25</v>
      </c>
      <c r="N10" s="3">
        <f t="shared" si="3"/>
        <v>22</v>
      </c>
      <c r="O10" s="3">
        <v>24</v>
      </c>
      <c r="P10" s="3">
        <v>22</v>
      </c>
      <c r="Q10" s="3">
        <v>27</v>
      </c>
      <c r="R10" s="3">
        <f t="shared" si="4"/>
        <v>27</v>
      </c>
      <c r="S10" s="3">
        <v>34</v>
      </c>
      <c r="T10" s="3">
        <v>70</v>
      </c>
      <c r="U10" s="3">
        <v>183</v>
      </c>
      <c r="V10" s="3">
        <f>+V$7*(U10/U$7)</f>
        <v>168.98694753142647</v>
      </c>
      <c r="Z10" s="3">
        <v>71</v>
      </c>
      <c r="AA10" s="3">
        <v>79</v>
      </c>
      <c r="AB10" s="3">
        <v>139</v>
      </c>
      <c r="AC10" s="3">
        <v>326</v>
      </c>
      <c r="AD10" s="3">
        <v>547</v>
      </c>
      <c r="AE10" s="3">
        <v>588</v>
      </c>
      <c r="AF10" s="3">
        <v>177</v>
      </c>
      <c r="AG10" s="3">
        <v>100</v>
      </c>
      <c r="AH10" s="3">
        <f t="shared" si="5"/>
        <v>455.98694753142649</v>
      </c>
    </row>
    <row r="11" spans="2:43" s="5" customFormat="1">
      <c r="B11" s="5" t="s">
        <v>25</v>
      </c>
      <c r="C11" s="5">
        <f>+SUM(C8:C10)</f>
        <v>2462</v>
      </c>
      <c r="D11" s="5">
        <f>+SUM(D8:D10)</f>
        <v>2540</v>
      </c>
      <c r="E11" s="5">
        <f>+SUM(E8:E10)</f>
        <v>2738</v>
      </c>
      <c r="F11" s="5">
        <f t="shared" si="1"/>
        <v>2866</v>
      </c>
      <c r="G11" s="5">
        <f>+SUM(G8:G10)</f>
        <v>2954</v>
      </c>
      <c r="H11" s="5">
        <f>+SUM(H8:H10)</f>
        <v>2965</v>
      </c>
      <c r="I11" s="5">
        <f>+SUM(I8:I10)</f>
        <v>3080</v>
      </c>
      <c r="J11" s="5">
        <f t="shared" si="2"/>
        <v>3085</v>
      </c>
      <c r="K11" s="5">
        <f>+SUM(K8:K10)</f>
        <v>3046</v>
      </c>
      <c r="L11" s="5">
        <f>+SUM(L8:L10)</f>
        <v>2426</v>
      </c>
      <c r="M11" s="5">
        <f>+SUM(M8:M10)</f>
        <v>2324</v>
      </c>
      <c r="N11" s="5">
        <f t="shared" si="3"/>
        <v>2287</v>
      </c>
      <c r="O11" s="5">
        <f>+SUM(O8:O10)</f>
        <v>2192</v>
      </c>
      <c r="P11" s="5">
        <f>+SUM(P8:P10)</f>
        <v>2140</v>
      </c>
      <c r="Q11" s="5">
        <f>+SUM(Q8:Q10)</f>
        <v>2301</v>
      </c>
      <c r="R11" s="5">
        <f t="shared" si="4"/>
        <v>2400</v>
      </c>
      <c r="S11" s="5">
        <f>+SUM(S8:S10)</f>
        <v>2520</v>
      </c>
      <c r="T11" s="5">
        <f>+SUM(T8:T10)</f>
        <v>2799</v>
      </c>
      <c r="U11" s="5">
        <f>+SUM(U8:U10)</f>
        <v>3374</v>
      </c>
      <c r="V11" s="5">
        <f>+SUM(V8:V10)</f>
        <v>3115.6391309892506</v>
      </c>
      <c r="X11" s="13"/>
      <c r="Z11" s="5">
        <f t="shared" ref="Z11:AG11" si="7">+SUM(Z8:Z10)</f>
        <v>7179</v>
      </c>
      <c r="AA11" s="5">
        <f t="shared" si="7"/>
        <v>7545</v>
      </c>
      <c r="AB11" s="5">
        <f t="shared" si="7"/>
        <v>7484</v>
      </c>
      <c r="AC11" s="5">
        <f t="shared" si="7"/>
        <v>8563</v>
      </c>
      <c r="AD11" s="5">
        <f t="shared" si="7"/>
        <v>10606</v>
      </c>
      <c r="AE11" s="5">
        <f t="shared" si="7"/>
        <v>12084</v>
      </c>
      <c r="AF11" s="5">
        <f t="shared" si="7"/>
        <v>10083</v>
      </c>
      <c r="AG11" s="5">
        <f t="shared" si="7"/>
        <v>9033</v>
      </c>
      <c r="AH11" s="3">
        <f t="shared" si="5"/>
        <v>11808.63913098925</v>
      </c>
    </row>
    <row r="12" spans="2:43">
      <c r="B12" s="3" t="s">
        <v>26</v>
      </c>
      <c r="C12" s="3">
        <v>270</v>
      </c>
      <c r="D12" s="3">
        <v>300</v>
      </c>
      <c r="E12" s="3">
        <v>340</v>
      </c>
      <c r="F12" s="3">
        <f t="shared" si="1"/>
        <v>377</v>
      </c>
      <c r="G12" s="3">
        <v>399</v>
      </c>
      <c r="H12" s="3">
        <v>406</v>
      </c>
      <c r="I12" s="3">
        <v>401</v>
      </c>
      <c r="J12" s="3">
        <f t="shared" si="2"/>
        <v>353</v>
      </c>
      <c r="K12" s="3">
        <v>326</v>
      </c>
      <c r="L12" s="3">
        <v>260</v>
      </c>
      <c r="M12" s="3">
        <v>202</v>
      </c>
      <c r="N12" s="3">
        <f t="shared" si="3"/>
        <v>155</v>
      </c>
      <c r="O12" s="3">
        <v>134</v>
      </c>
      <c r="P12" s="3">
        <v>113</v>
      </c>
      <c r="Q12" s="3">
        <v>109</v>
      </c>
      <c r="R12" s="3">
        <f t="shared" si="4"/>
        <v>102</v>
      </c>
      <c r="S12" s="3">
        <v>122</v>
      </c>
      <c r="T12" s="3">
        <v>187</v>
      </c>
      <c r="U12" s="3">
        <v>440</v>
      </c>
      <c r="V12" s="3">
        <f>+V$11*(U12/U$11)</f>
        <v>406.30741482965925</v>
      </c>
      <c r="Z12" s="3">
        <v>373</v>
      </c>
      <c r="AA12" s="3">
        <v>475</v>
      </c>
      <c r="AB12" s="3">
        <v>598</v>
      </c>
      <c r="AC12" s="3">
        <v>779</v>
      </c>
      <c r="AD12" s="3">
        <v>1287</v>
      </c>
      <c r="AE12" s="3">
        <v>1559</v>
      </c>
      <c r="AF12" s="3">
        <v>943</v>
      </c>
      <c r="AG12" s="3">
        <v>458</v>
      </c>
      <c r="AH12" s="3">
        <f t="shared" si="5"/>
        <v>1155.3074148296591</v>
      </c>
    </row>
    <row r="13" spans="2:43">
      <c r="B13" s="3" t="s">
        <v>27</v>
      </c>
      <c r="C13" s="3">
        <v>351</v>
      </c>
      <c r="D13" s="3">
        <v>411</v>
      </c>
      <c r="E13" s="3">
        <v>437</v>
      </c>
      <c r="F13" s="3">
        <f t="shared" si="1"/>
        <v>457</v>
      </c>
      <c r="G13" s="3">
        <v>496</v>
      </c>
      <c r="H13" s="3">
        <v>485</v>
      </c>
      <c r="I13" s="3">
        <v>476</v>
      </c>
      <c r="J13" s="3">
        <f t="shared" si="2"/>
        <v>448</v>
      </c>
      <c r="K13" s="3">
        <v>390</v>
      </c>
      <c r="L13" s="3">
        <v>282</v>
      </c>
      <c r="M13" s="3">
        <v>248</v>
      </c>
      <c r="N13" s="3">
        <f t="shared" si="3"/>
        <v>235</v>
      </c>
      <c r="O13" s="3">
        <v>228</v>
      </c>
      <c r="P13" s="3">
        <v>209</v>
      </c>
      <c r="Q13" s="3">
        <v>198</v>
      </c>
      <c r="R13" s="3">
        <f t="shared" si="4"/>
        <v>190</v>
      </c>
      <c r="S13" s="3">
        <v>199</v>
      </c>
      <c r="T13" s="3">
        <v>252</v>
      </c>
      <c r="U13" s="3">
        <v>356</v>
      </c>
      <c r="V13" s="3">
        <f>+V$11*(U13/U$11)</f>
        <v>328.73963563490611</v>
      </c>
      <c r="Z13" s="3">
        <v>1334</v>
      </c>
      <c r="AA13" s="3">
        <v>1148</v>
      </c>
      <c r="AB13" s="3">
        <v>1107</v>
      </c>
      <c r="AC13" s="3">
        <v>1333</v>
      </c>
      <c r="AD13" s="3">
        <v>1656</v>
      </c>
      <c r="AE13" s="3">
        <v>1905</v>
      </c>
      <c r="AF13" s="3">
        <v>1155</v>
      </c>
      <c r="AG13" s="3">
        <v>825</v>
      </c>
      <c r="AH13" s="3">
        <f t="shared" si="5"/>
        <v>1135.7396356349061</v>
      </c>
    </row>
    <row r="14" spans="2:43">
      <c r="B14" s="3" t="s">
        <v>28</v>
      </c>
      <c r="C14" s="3">
        <f>+SUM(C12:C13)</f>
        <v>621</v>
      </c>
      <c r="D14" s="3">
        <f>+SUM(D12:D13)</f>
        <v>711</v>
      </c>
      <c r="E14" s="3">
        <f>+SUM(E12:E13)</f>
        <v>777</v>
      </c>
      <c r="F14" s="3">
        <f t="shared" si="1"/>
        <v>834</v>
      </c>
      <c r="G14" s="3">
        <f>+SUM(G12:G13)</f>
        <v>895</v>
      </c>
      <c r="H14" s="3">
        <f>+SUM(H12:H13)</f>
        <v>891</v>
      </c>
      <c r="I14" s="3">
        <f>+SUM(I12:I13)</f>
        <v>877</v>
      </c>
      <c r="J14" s="3">
        <f t="shared" si="2"/>
        <v>801</v>
      </c>
      <c r="K14" s="3">
        <f>+SUM(K12:K13)</f>
        <v>716</v>
      </c>
      <c r="L14" s="3">
        <f>+SUM(L12:L13)</f>
        <v>542</v>
      </c>
      <c r="M14" s="3">
        <f>+SUM(M12:M13)</f>
        <v>450</v>
      </c>
      <c r="N14" s="3">
        <f t="shared" si="3"/>
        <v>390</v>
      </c>
      <c r="O14" s="3">
        <f>+SUM(O12:O13)</f>
        <v>362</v>
      </c>
      <c r="P14" s="3">
        <f>+SUM(P12:P13)</f>
        <v>322</v>
      </c>
      <c r="Q14" s="3">
        <f>+SUM(Q12:Q13)</f>
        <v>307</v>
      </c>
      <c r="R14" s="3">
        <f t="shared" si="4"/>
        <v>292</v>
      </c>
      <c r="S14" s="3">
        <f>+SUM(S12:S13)</f>
        <v>321</v>
      </c>
      <c r="T14" s="3">
        <f>+SUM(T12:T13)</f>
        <v>439</v>
      </c>
      <c r="U14" s="3">
        <f>+SUM(U12:U13)</f>
        <v>796</v>
      </c>
      <c r="V14" s="3">
        <f>+SUM(V12:V13)</f>
        <v>735.04705046456536</v>
      </c>
      <c r="Z14" s="3">
        <f t="shared" ref="Z14:AG14" si="8">+SUM(Z12:Z13)</f>
        <v>1707</v>
      </c>
      <c r="AA14" s="3">
        <f t="shared" si="8"/>
        <v>1623</v>
      </c>
      <c r="AB14" s="3">
        <f t="shared" si="8"/>
        <v>1705</v>
      </c>
      <c r="AC14" s="3">
        <f t="shared" si="8"/>
        <v>2112</v>
      </c>
      <c r="AD14" s="3">
        <f t="shared" si="8"/>
        <v>2943</v>
      </c>
      <c r="AE14" s="3">
        <f t="shared" si="8"/>
        <v>3464</v>
      </c>
      <c r="AF14" s="3">
        <f t="shared" si="8"/>
        <v>2098</v>
      </c>
      <c r="AG14" s="3">
        <f t="shared" si="8"/>
        <v>1283</v>
      </c>
      <c r="AH14" s="3">
        <f t="shared" si="5"/>
        <v>2291.0470504645655</v>
      </c>
    </row>
    <row r="15" spans="2:43" s="5" customFormat="1">
      <c r="B15" s="5" t="s">
        <v>29</v>
      </c>
      <c r="C15" s="5">
        <f>+C11-C14</f>
        <v>1841</v>
      </c>
      <c r="D15" s="5">
        <f>+D11-D14</f>
        <v>1829</v>
      </c>
      <c r="E15" s="5">
        <f>+E11-E14</f>
        <v>1961</v>
      </c>
      <c r="F15" s="5">
        <f t="shared" si="1"/>
        <v>2032</v>
      </c>
      <c r="G15" s="5">
        <f>+G11-G14</f>
        <v>2059</v>
      </c>
      <c r="H15" s="5">
        <f>+H11-H14</f>
        <v>2074</v>
      </c>
      <c r="I15" s="5">
        <f>+I11-I14</f>
        <v>2203</v>
      </c>
      <c r="J15" s="5">
        <f t="shared" si="2"/>
        <v>2284</v>
      </c>
      <c r="K15" s="5">
        <f>+K11-K14</f>
        <v>2330</v>
      </c>
      <c r="L15" s="5">
        <f>+L11-L14</f>
        <v>1884</v>
      </c>
      <c r="M15" s="5">
        <f>+M11-M14</f>
        <v>1874</v>
      </c>
      <c r="N15" s="5">
        <f t="shared" si="3"/>
        <v>1897</v>
      </c>
      <c r="O15" s="5">
        <f>+O11-O14</f>
        <v>1830</v>
      </c>
      <c r="P15" s="5">
        <f>+P11-P14</f>
        <v>1818</v>
      </c>
      <c r="Q15" s="5">
        <f>+Q11-Q14</f>
        <v>1994</v>
      </c>
      <c r="R15" s="5">
        <f t="shared" si="4"/>
        <v>2108</v>
      </c>
      <c r="S15" s="5">
        <f>+S11-S14</f>
        <v>2199</v>
      </c>
      <c r="T15" s="5">
        <f>+T11-T14</f>
        <v>2360</v>
      </c>
      <c r="U15" s="5">
        <f>+U11-U14</f>
        <v>2578</v>
      </c>
      <c r="V15" s="5">
        <f>+V11-V14</f>
        <v>2380.5920805246851</v>
      </c>
      <c r="X15" s="13"/>
      <c r="Z15" s="5">
        <f t="shared" ref="Z15:AG15" si="9">+Z11-Z14</f>
        <v>5472</v>
      </c>
      <c r="AA15" s="5">
        <f t="shared" si="9"/>
        <v>5922</v>
      </c>
      <c r="AB15" s="5">
        <f t="shared" si="9"/>
        <v>5779</v>
      </c>
      <c r="AC15" s="5">
        <f t="shared" si="9"/>
        <v>6451</v>
      </c>
      <c r="AD15" s="5">
        <f t="shared" si="9"/>
        <v>7663</v>
      </c>
      <c r="AE15" s="5">
        <f t="shared" si="9"/>
        <v>8620</v>
      </c>
      <c r="AF15" s="5">
        <f t="shared" si="9"/>
        <v>7985</v>
      </c>
      <c r="AG15" s="5">
        <f t="shared" si="9"/>
        <v>7750</v>
      </c>
      <c r="AH15" s="3">
        <f t="shared" si="5"/>
        <v>9517.592080524686</v>
      </c>
    </row>
    <row r="16" spans="2:43" s="5" customFormat="1">
      <c r="B16" s="5" t="s">
        <v>30</v>
      </c>
      <c r="C16" s="5">
        <f>+C7+C15</f>
        <v>9718</v>
      </c>
      <c r="D16" s="5">
        <f>+D7+D15</f>
        <v>10002</v>
      </c>
      <c r="E16" s="5">
        <f>+E7+E15</f>
        <v>10144</v>
      </c>
      <c r="F16" s="5">
        <f t="shared" si="1"/>
        <v>10474</v>
      </c>
      <c r="G16" s="5">
        <f>+G7+G15</f>
        <v>10364</v>
      </c>
      <c r="H16" s="5">
        <f>+H7+H15</f>
        <v>10838</v>
      </c>
      <c r="I16" s="5">
        <f>+I7+I15</f>
        <v>10989</v>
      </c>
      <c r="J16" s="5">
        <f t="shared" si="2"/>
        <v>11365</v>
      </c>
      <c r="K16" s="5">
        <f>+K7+K15</f>
        <v>10310</v>
      </c>
      <c r="L16" s="5">
        <f>+L7+L15</f>
        <v>7675</v>
      </c>
      <c r="M16" s="5">
        <f>+M7+M15</f>
        <v>8751</v>
      </c>
      <c r="N16" s="5">
        <f t="shared" si="3"/>
        <v>9351</v>
      </c>
      <c r="O16" s="5">
        <f>+O7+O15</f>
        <v>9064</v>
      </c>
      <c r="P16" s="5">
        <f>+P7+P15</f>
        <v>10243</v>
      </c>
      <c r="Q16" s="5">
        <f>+Q7+Q15</f>
        <v>10928</v>
      </c>
      <c r="R16" s="5">
        <f t="shared" si="4"/>
        <v>12145</v>
      </c>
      <c r="S16" s="5">
        <f>+S7+S15</f>
        <v>11753</v>
      </c>
      <c r="T16" s="5">
        <f>+T7+T15</f>
        <v>13395</v>
      </c>
      <c r="U16" s="5">
        <f>+U7+U15</f>
        <v>13556</v>
      </c>
      <c r="V16" s="5">
        <f>+V7+V15</f>
        <v>12517.962080524685</v>
      </c>
      <c r="X16" s="13"/>
      <c r="Z16" s="5">
        <f t="shared" ref="Z16:AG16" si="10">+Z7+Z15</f>
        <v>34188</v>
      </c>
      <c r="AA16" s="5">
        <f t="shared" si="10"/>
        <v>32818</v>
      </c>
      <c r="AB16" s="5">
        <f t="shared" si="10"/>
        <v>35438</v>
      </c>
      <c r="AC16" s="5">
        <f t="shared" si="10"/>
        <v>36878</v>
      </c>
      <c r="AD16" s="5">
        <f t="shared" si="10"/>
        <v>40338</v>
      </c>
      <c r="AE16" s="5">
        <f t="shared" si="10"/>
        <v>43556</v>
      </c>
      <c r="AF16" s="5">
        <f t="shared" si="10"/>
        <v>36087</v>
      </c>
      <c r="AG16" s="5">
        <f t="shared" si="10"/>
        <v>42380</v>
      </c>
      <c r="AH16" s="3">
        <f t="shared" si="5"/>
        <v>51221.962080524681</v>
      </c>
      <c r="AI16" s="5">
        <f t="shared" ref="AI16:AQ16" si="11">+AH16*(1+AI35)</f>
        <v>53783.060184550915</v>
      </c>
      <c r="AJ16" s="5">
        <f t="shared" si="11"/>
        <v>56472.213193778465</v>
      </c>
      <c r="AK16" s="5">
        <f t="shared" si="11"/>
        <v>59295.823853467387</v>
      </c>
      <c r="AL16" s="5">
        <f t="shared" si="11"/>
        <v>62260.61504614076</v>
      </c>
      <c r="AM16" s="5">
        <f t="shared" si="11"/>
        <v>65373.645798447804</v>
      </c>
      <c r="AN16" s="5">
        <f t="shared" si="11"/>
        <v>68642.328088370195</v>
      </c>
      <c r="AO16" s="5">
        <f t="shared" si="11"/>
        <v>72074.444492788709</v>
      </c>
      <c r="AP16" s="5">
        <f t="shared" si="11"/>
        <v>75678.166717428147</v>
      </c>
      <c r="AQ16" s="5">
        <f t="shared" si="11"/>
        <v>79462.075053299559</v>
      </c>
    </row>
    <row r="17" spans="2:152">
      <c r="B17" s="3" t="s">
        <v>31</v>
      </c>
      <c r="C17" s="3">
        <v>242</v>
      </c>
      <c r="D17" s="3">
        <v>245</v>
      </c>
      <c r="E17" s="3">
        <v>214</v>
      </c>
      <c r="F17" s="3">
        <f t="shared" si="1"/>
        <v>236</v>
      </c>
      <c r="G17" s="3">
        <v>253</v>
      </c>
      <c r="H17" s="3">
        <v>224</v>
      </c>
      <c r="I17" s="3">
        <v>238</v>
      </c>
      <c r="J17" s="3">
        <f t="shared" si="2"/>
        <v>248</v>
      </c>
      <c r="K17" s="3">
        <v>597</v>
      </c>
      <c r="L17" s="3">
        <v>355</v>
      </c>
      <c r="M17" s="3">
        <v>117</v>
      </c>
      <c r="N17" s="3">
        <f t="shared" si="3"/>
        <v>-54</v>
      </c>
      <c r="O17" s="3">
        <v>-10</v>
      </c>
      <c r="P17" s="3">
        <v>-125</v>
      </c>
      <c r="Q17" s="3">
        <v>-12</v>
      </c>
      <c r="R17" s="3">
        <f t="shared" si="4"/>
        <v>74</v>
      </c>
      <c r="S17" s="3">
        <v>80</v>
      </c>
      <c r="T17" s="3">
        <v>138</v>
      </c>
      <c r="U17" s="3">
        <v>165</v>
      </c>
      <c r="V17" s="3">
        <f>+V$16*(U17/U$16)</f>
        <v>152.36528056112223</v>
      </c>
      <c r="Z17" s="3">
        <v>792</v>
      </c>
      <c r="AA17" s="3">
        <v>737</v>
      </c>
      <c r="AB17" s="3">
        <v>696</v>
      </c>
      <c r="AC17" s="3">
        <v>795</v>
      </c>
      <c r="AD17" s="3">
        <v>937</v>
      </c>
      <c r="AE17" s="3">
        <v>963</v>
      </c>
      <c r="AF17" s="3">
        <v>1015</v>
      </c>
      <c r="AG17" s="3">
        <v>-73</v>
      </c>
      <c r="AH17" s="3">
        <f t="shared" si="5"/>
        <v>535.36528056112229</v>
      </c>
      <c r="AI17" s="3">
        <f t="shared" ref="AI17:AQ17" si="12">+AI16*(AH17/AH16)</f>
        <v>562.13354458917843</v>
      </c>
      <c r="AJ17" s="3">
        <f t="shared" si="12"/>
        <v>590.24022181863734</v>
      </c>
      <c r="AK17" s="3">
        <f t="shared" si="12"/>
        <v>619.75223290956922</v>
      </c>
      <c r="AL17" s="3">
        <f t="shared" si="12"/>
        <v>650.73984455504774</v>
      </c>
      <c r="AM17" s="3">
        <f t="shared" si="12"/>
        <v>683.27683678280016</v>
      </c>
      <c r="AN17" s="3">
        <f t="shared" si="12"/>
        <v>717.44067862194015</v>
      </c>
      <c r="AO17" s="3">
        <f t="shared" si="12"/>
        <v>753.31271255303727</v>
      </c>
      <c r="AP17" s="3">
        <f t="shared" si="12"/>
        <v>790.97834818068907</v>
      </c>
      <c r="AQ17" s="3">
        <f t="shared" si="12"/>
        <v>830.52726558972358</v>
      </c>
    </row>
    <row r="18" spans="2:152">
      <c r="B18" s="3" t="s">
        <v>32</v>
      </c>
      <c r="C18" s="3">
        <v>499</v>
      </c>
      <c r="D18" s="3">
        <v>528</v>
      </c>
      <c r="E18" s="3">
        <v>560</v>
      </c>
      <c r="F18" s="3">
        <f t="shared" si="1"/>
        <v>679</v>
      </c>
      <c r="G18" s="3">
        <v>525</v>
      </c>
      <c r="H18" s="3">
        <v>603</v>
      </c>
      <c r="I18" s="3">
        <v>604</v>
      </c>
      <c r="J18" s="3">
        <f t="shared" si="2"/>
        <v>730</v>
      </c>
      <c r="K18" s="3">
        <v>1876</v>
      </c>
      <c r="L18" s="3">
        <v>969</v>
      </c>
      <c r="M18" s="3">
        <v>571</v>
      </c>
      <c r="N18" s="3">
        <f t="shared" si="3"/>
        <v>37</v>
      </c>
      <c r="O18" s="3">
        <v>-573</v>
      </c>
      <c r="P18" s="3">
        <v>-396</v>
      </c>
      <c r="Q18" s="3">
        <v>-177</v>
      </c>
      <c r="R18" s="3">
        <f t="shared" si="4"/>
        <v>-9</v>
      </c>
      <c r="S18" s="3">
        <v>-111</v>
      </c>
      <c r="T18" s="3">
        <v>272</v>
      </c>
      <c r="U18" s="3">
        <v>596</v>
      </c>
      <c r="V18" s="3">
        <f>+V$16*(U18/U$16)</f>
        <v>550.36186190562944</v>
      </c>
      <c r="Z18" s="3">
        <v>1138</v>
      </c>
      <c r="AA18" s="3">
        <v>1190</v>
      </c>
      <c r="AB18" s="3">
        <v>1235</v>
      </c>
      <c r="AC18" s="3">
        <v>1868</v>
      </c>
      <c r="AD18" s="3">
        <v>2266</v>
      </c>
      <c r="AE18" s="3">
        <v>2462</v>
      </c>
      <c r="AF18" s="3">
        <v>3453</v>
      </c>
      <c r="AG18" s="3">
        <v>-1155</v>
      </c>
      <c r="AH18" s="3">
        <f t="shared" si="5"/>
        <v>1307.3618619056294</v>
      </c>
      <c r="AI18" s="3">
        <f t="shared" ref="AI18:AQ18" si="13">+AI16*(AH18/AH16)</f>
        <v>1372.7299550009109</v>
      </c>
      <c r="AJ18" s="3">
        <f t="shared" si="13"/>
        <v>1441.3664527509566</v>
      </c>
      <c r="AK18" s="3">
        <f t="shared" si="13"/>
        <v>1513.4347753885042</v>
      </c>
      <c r="AL18" s="3">
        <f t="shared" si="13"/>
        <v>1589.1065141579295</v>
      </c>
      <c r="AM18" s="3">
        <f t="shared" si="13"/>
        <v>1668.561839865826</v>
      </c>
      <c r="AN18" s="3">
        <f t="shared" si="13"/>
        <v>1751.9899318591174</v>
      </c>
      <c r="AO18" s="3">
        <f t="shared" si="13"/>
        <v>1839.5894284520734</v>
      </c>
      <c r="AP18" s="3">
        <f t="shared" si="13"/>
        <v>1931.5688998746771</v>
      </c>
      <c r="AQ18" s="3">
        <f t="shared" si="13"/>
        <v>2028.147344868411</v>
      </c>
    </row>
    <row r="19" spans="2:152">
      <c r="B19" s="3" t="s">
        <v>20</v>
      </c>
      <c r="C19" s="3">
        <v>34</v>
      </c>
      <c r="D19" s="3">
        <v>33</v>
      </c>
      <c r="E19" s="3">
        <v>43</v>
      </c>
      <c r="F19" s="3">
        <f t="shared" si="1"/>
        <v>39</v>
      </c>
      <c r="G19" s="3">
        <v>31</v>
      </c>
      <c r="H19" s="3">
        <v>34</v>
      </c>
      <c r="I19" s="3">
        <v>37</v>
      </c>
      <c r="J19" s="3">
        <f t="shared" si="2"/>
        <v>46</v>
      </c>
      <c r="K19" s="3">
        <v>148</v>
      </c>
      <c r="L19" s="3">
        <v>231</v>
      </c>
      <c r="M19" s="3">
        <v>-23</v>
      </c>
      <c r="N19" s="3">
        <f t="shared" si="3"/>
        <v>-94</v>
      </c>
      <c r="O19" s="3">
        <v>-92</v>
      </c>
      <c r="P19" s="3">
        <v>-85</v>
      </c>
      <c r="Q19" s="3">
        <v>-2</v>
      </c>
      <c r="R19" s="3">
        <f t="shared" si="4"/>
        <v>-12</v>
      </c>
      <c r="S19" s="3">
        <v>-2</v>
      </c>
      <c r="T19" s="3">
        <v>0</v>
      </c>
      <c r="U19" s="3">
        <v>17</v>
      </c>
      <c r="V19" s="3">
        <f>+V$16*(U19/U$16)</f>
        <v>15.698241027509564</v>
      </c>
      <c r="Z19" s="3">
        <v>114</v>
      </c>
      <c r="AA19" s="3">
        <v>61</v>
      </c>
      <c r="AB19" s="3">
        <v>96</v>
      </c>
      <c r="AC19" s="3">
        <v>97</v>
      </c>
      <c r="AD19" s="3">
        <v>149</v>
      </c>
      <c r="AE19" s="3">
        <v>148</v>
      </c>
      <c r="AF19" s="3">
        <v>262</v>
      </c>
      <c r="AG19" s="3">
        <v>-191</v>
      </c>
      <c r="AH19" s="3">
        <f t="shared" si="5"/>
        <v>30.698241027509564</v>
      </c>
      <c r="AI19" s="3">
        <f t="shared" ref="AI19:AQ19" si="14">+AI16*(AH19/AH16)</f>
        <v>32.233153078885046</v>
      </c>
      <c r="AJ19" s="3">
        <f t="shared" si="14"/>
        <v>33.844810732829302</v>
      </c>
      <c r="AK19" s="3">
        <f t="shared" si="14"/>
        <v>35.537051269470766</v>
      </c>
      <c r="AL19" s="3">
        <f t="shared" si="14"/>
        <v>37.313903832944305</v>
      </c>
      <c r="AM19" s="3">
        <f t="shared" si="14"/>
        <v>39.179599024591525</v>
      </c>
      <c r="AN19" s="3">
        <f t="shared" si="14"/>
        <v>41.138578975821105</v>
      </c>
      <c r="AO19" s="3">
        <f t="shared" si="14"/>
        <v>43.195507924612158</v>
      </c>
      <c r="AP19" s="3">
        <f t="shared" si="14"/>
        <v>45.355283320842773</v>
      </c>
      <c r="AQ19" s="3">
        <f t="shared" si="14"/>
        <v>47.623047486884914</v>
      </c>
    </row>
    <row r="20" spans="2:152" s="16" customFormat="1">
      <c r="B20" s="16" t="s">
        <v>33</v>
      </c>
      <c r="C20" s="16">
        <f>+SUM(C17:C19)</f>
        <v>775</v>
      </c>
      <c r="D20" s="16">
        <f>+SUM(D17:D19)</f>
        <v>806</v>
      </c>
      <c r="E20" s="16">
        <f>+SUM(E17:E19)</f>
        <v>817</v>
      </c>
      <c r="F20" s="16">
        <f t="shared" si="1"/>
        <v>954</v>
      </c>
      <c r="G20" s="16">
        <f>+SUM(G17:G19)</f>
        <v>809</v>
      </c>
      <c r="H20" s="16">
        <f>+SUM(H17:H19)</f>
        <v>861</v>
      </c>
      <c r="I20" s="16">
        <f>+SUM(I17:I19)</f>
        <v>879</v>
      </c>
      <c r="J20" s="16">
        <f t="shared" si="2"/>
        <v>1024</v>
      </c>
      <c r="K20" s="16">
        <f>+SUM(K17:K19)</f>
        <v>2621</v>
      </c>
      <c r="L20" s="16">
        <f>+SUM(L17:L19)</f>
        <v>1555</v>
      </c>
      <c r="M20" s="16">
        <f>+SUM(M17:M19)</f>
        <v>665</v>
      </c>
      <c r="N20" s="16">
        <f t="shared" si="3"/>
        <v>-111</v>
      </c>
      <c r="O20" s="16">
        <f>+SUM(O17:O19)</f>
        <v>-675</v>
      </c>
      <c r="P20" s="16">
        <f>+SUM(P17:P19)</f>
        <v>-606</v>
      </c>
      <c r="Q20" s="16">
        <f>+SUM(Q17:Q19)</f>
        <v>-191</v>
      </c>
      <c r="R20" s="16">
        <f t="shared" si="4"/>
        <v>53</v>
      </c>
      <c r="S20" s="16">
        <f>+SUM(S17:S19)</f>
        <v>-33</v>
      </c>
      <c r="T20" s="16">
        <f>+SUM(T17:T19)</f>
        <v>410</v>
      </c>
      <c r="U20" s="16">
        <f>+SUM(U17:U19)</f>
        <v>778</v>
      </c>
      <c r="V20" s="16">
        <f>+SUM(V17:V19)</f>
        <v>718.42538349426127</v>
      </c>
      <c r="X20" s="17"/>
      <c r="Z20" s="3">
        <f t="shared" ref="Z20:AG20" si="15">+SUM(Z17:Z19)</f>
        <v>2044</v>
      </c>
      <c r="AA20" s="16">
        <f t="shared" si="15"/>
        <v>1988</v>
      </c>
      <c r="AB20" s="16">
        <f t="shared" si="15"/>
        <v>2027</v>
      </c>
      <c r="AC20" s="16">
        <f t="shared" si="15"/>
        <v>2760</v>
      </c>
      <c r="AD20" s="16">
        <f t="shared" si="15"/>
        <v>3352</v>
      </c>
      <c r="AE20" s="16">
        <f t="shared" si="15"/>
        <v>3573</v>
      </c>
      <c r="AF20" s="16">
        <f t="shared" si="15"/>
        <v>4730</v>
      </c>
      <c r="AG20" s="16">
        <f t="shared" si="15"/>
        <v>-1419</v>
      </c>
      <c r="AH20" s="16">
        <f t="shared" si="5"/>
        <v>1873.4253834942613</v>
      </c>
      <c r="AI20" s="16">
        <f t="shared" ref="AI20:AQ20" si="16">+SUM(AI17:AI19)</f>
        <v>1967.0966526689745</v>
      </c>
      <c r="AJ20" s="16">
        <f t="shared" si="16"/>
        <v>2065.4514853024234</v>
      </c>
      <c r="AK20" s="16">
        <f t="shared" si="16"/>
        <v>2168.7240595675444</v>
      </c>
      <c r="AL20" s="16">
        <f t="shared" si="16"/>
        <v>2277.1602625459213</v>
      </c>
      <c r="AM20" s="16">
        <f t="shared" si="16"/>
        <v>2391.0182756732174</v>
      </c>
      <c r="AN20" s="16">
        <f t="shared" si="16"/>
        <v>2510.5691894568786</v>
      </c>
      <c r="AO20" s="16">
        <f t="shared" si="16"/>
        <v>2636.0976489297232</v>
      </c>
      <c r="AP20" s="16">
        <f t="shared" si="16"/>
        <v>2767.902531376209</v>
      </c>
      <c r="AQ20" s="16">
        <f t="shared" si="16"/>
        <v>2906.2976579450192</v>
      </c>
    </row>
    <row r="21" spans="2:152" s="5" customFormat="1">
      <c r="B21" s="5" t="s">
        <v>82</v>
      </c>
      <c r="C21" s="5">
        <f>+C16-C20</f>
        <v>8943</v>
      </c>
      <c r="D21" s="5">
        <f>+D16-D20</f>
        <v>9196</v>
      </c>
      <c r="E21" s="5">
        <f>+E16-E20</f>
        <v>9327</v>
      </c>
      <c r="F21" s="5">
        <f t="shared" si="1"/>
        <v>9520</v>
      </c>
      <c r="G21" s="5">
        <f>+G16-G20</f>
        <v>9555</v>
      </c>
      <c r="H21" s="5">
        <f>+H16-H20</f>
        <v>9977</v>
      </c>
      <c r="I21" s="5">
        <f>+I16-I20</f>
        <v>10110</v>
      </c>
      <c r="J21" s="5">
        <f t="shared" si="2"/>
        <v>10341</v>
      </c>
      <c r="K21" s="5">
        <f>+K16-K20</f>
        <v>7689</v>
      </c>
      <c r="L21" s="5">
        <f>+L16-L20</f>
        <v>6120</v>
      </c>
      <c r="M21" s="5">
        <f>+M16-M20</f>
        <v>8086</v>
      </c>
      <c r="N21" s="5">
        <f t="shared" si="3"/>
        <v>9462</v>
      </c>
      <c r="O21" s="5">
        <f>+O16-O20</f>
        <v>9739</v>
      </c>
      <c r="P21" s="5">
        <f>+P16-P20</f>
        <v>10849</v>
      </c>
      <c r="Q21" s="5">
        <f>+Q16-Q20</f>
        <v>11119</v>
      </c>
      <c r="R21" s="5">
        <f t="shared" si="4"/>
        <v>12092</v>
      </c>
      <c r="S21" s="5">
        <f>+S16-S20</f>
        <v>11786</v>
      </c>
      <c r="T21" s="5">
        <f>+T16-T20</f>
        <v>12985</v>
      </c>
      <c r="U21" s="5">
        <f>+U16-U20</f>
        <v>12778</v>
      </c>
      <c r="V21" s="5">
        <f>+V16-V20</f>
        <v>11799.536697030424</v>
      </c>
      <c r="X21" s="13"/>
      <c r="Z21" s="5">
        <f t="shared" ref="Z21:AG21" si="17">+Z16-Z20</f>
        <v>32144</v>
      </c>
      <c r="AA21" s="5">
        <f t="shared" si="17"/>
        <v>30830</v>
      </c>
      <c r="AB21" s="5">
        <f t="shared" si="17"/>
        <v>33411</v>
      </c>
      <c r="AC21" s="5">
        <f t="shared" si="17"/>
        <v>34118</v>
      </c>
      <c r="AD21" s="5">
        <f t="shared" si="17"/>
        <v>36986</v>
      </c>
      <c r="AE21" s="5">
        <f t="shared" si="17"/>
        <v>39983</v>
      </c>
      <c r="AF21" s="5">
        <f t="shared" si="17"/>
        <v>31357</v>
      </c>
      <c r="AG21" s="5">
        <f t="shared" si="17"/>
        <v>43799</v>
      </c>
      <c r="AH21" s="5">
        <f t="shared" si="5"/>
        <v>49348.536697030424</v>
      </c>
      <c r="AI21" s="5">
        <f t="shared" ref="AI21:AQ21" si="18">+AI16-AI20</f>
        <v>51815.963531881942</v>
      </c>
      <c r="AJ21" s="5">
        <f t="shared" si="18"/>
        <v>54406.761708476042</v>
      </c>
      <c r="AK21" s="5">
        <f t="shared" si="18"/>
        <v>57127.099793899841</v>
      </c>
      <c r="AL21" s="5">
        <f t="shared" si="18"/>
        <v>59983.45478359484</v>
      </c>
      <c r="AM21" s="5">
        <f t="shared" si="18"/>
        <v>62982.627522774586</v>
      </c>
      <c r="AN21" s="5">
        <f t="shared" si="18"/>
        <v>66131.758898913322</v>
      </c>
      <c r="AO21" s="5">
        <f t="shared" si="18"/>
        <v>69438.346843858992</v>
      </c>
      <c r="AP21" s="5">
        <f t="shared" si="18"/>
        <v>72910.264186051936</v>
      </c>
      <c r="AQ21" s="5">
        <f t="shared" si="18"/>
        <v>76555.77739535454</v>
      </c>
    </row>
    <row r="22" spans="2:152">
      <c r="B22" s="3" t="s">
        <v>34</v>
      </c>
      <c r="C22" s="3">
        <v>1345</v>
      </c>
      <c r="D22" s="3">
        <v>1663</v>
      </c>
      <c r="E22" s="3">
        <v>1642</v>
      </c>
      <c r="F22" s="3">
        <f t="shared" si="1"/>
        <v>1827</v>
      </c>
      <c r="G22" s="3">
        <v>1575</v>
      </c>
      <c r="H22" s="3">
        <v>1776</v>
      </c>
      <c r="I22" s="3">
        <v>1821</v>
      </c>
      <c r="J22" s="3">
        <f t="shared" si="2"/>
        <v>1953</v>
      </c>
      <c r="K22" s="3">
        <v>1705</v>
      </c>
      <c r="L22" s="3">
        <v>1362</v>
      </c>
      <c r="M22" s="3">
        <v>1822</v>
      </c>
      <c r="N22" s="3">
        <f t="shared" si="3"/>
        <v>1858</v>
      </c>
      <c r="O22" s="3">
        <v>1766</v>
      </c>
      <c r="P22" s="3">
        <v>2219</v>
      </c>
      <c r="Q22" s="3">
        <v>2355</v>
      </c>
      <c r="R22" s="3">
        <f t="shared" si="4"/>
        <v>2713</v>
      </c>
      <c r="S22" s="3">
        <f>1043+1224</f>
        <v>2267</v>
      </c>
      <c r="T22" s="3">
        <f>1404+1502</f>
        <v>2906</v>
      </c>
      <c r="U22" s="3">
        <f>1194+1458</f>
        <v>2652</v>
      </c>
      <c r="V22" s="3">
        <f>+V$21*(U22/U$21)</f>
        <v>2448.9256002914922</v>
      </c>
      <c r="Z22" s="3">
        <v>3216</v>
      </c>
      <c r="AA22" s="3">
        <v>3109</v>
      </c>
      <c r="AB22" s="3">
        <v>6249</v>
      </c>
      <c r="AC22" s="3">
        <v>5722</v>
      </c>
      <c r="AD22" s="3">
        <v>6477</v>
      </c>
      <c r="AE22" s="3">
        <v>7125</v>
      </c>
      <c r="AF22" s="3">
        <v>6747</v>
      </c>
      <c r="AG22" s="3">
        <v>9053</v>
      </c>
      <c r="AH22" s="3">
        <f t="shared" si="5"/>
        <v>10273.925600291492</v>
      </c>
      <c r="AI22" s="3">
        <f t="shared" ref="AI22:AQ22" si="19">+AI21*(AH22/AH21)</f>
        <v>10787.621880306066</v>
      </c>
      <c r="AJ22" s="3">
        <f t="shared" si="19"/>
        <v>11327.002974321369</v>
      </c>
      <c r="AK22" s="3">
        <f t="shared" si="19"/>
        <v>11893.353123037437</v>
      </c>
      <c r="AL22" s="3">
        <f t="shared" si="19"/>
        <v>12488.02077918931</v>
      </c>
      <c r="AM22" s="3">
        <f t="shared" si="19"/>
        <v>13112.421818148776</v>
      </c>
      <c r="AN22" s="3">
        <f t="shared" si="19"/>
        <v>13768.042909056216</v>
      </c>
      <c r="AO22" s="3">
        <f t="shared" si="19"/>
        <v>14456.445054509026</v>
      </c>
      <c r="AP22" s="3">
        <f t="shared" si="19"/>
        <v>15179.267307234477</v>
      </c>
      <c r="AQ22" s="3">
        <f t="shared" si="19"/>
        <v>15938.230672596203</v>
      </c>
    </row>
    <row r="23" spans="2:152">
      <c r="B23" s="3" t="s">
        <v>35</v>
      </c>
      <c r="C23" s="3">
        <v>2347</v>
      </c>
      <c r="D23" s="3">
        <v>2433</v>
      </c>
      <c r="E23" s="3">
        <v>2400</v>
      </c>
      <c r="F23" s="3">
        <f t="shared" si="1"/>
        <v>2516</v>
      </c>
      <c r="G23" s="3">
        <v>2451</v>
      </c>
      <c r="H23" s="3">
        <v>2652</v>
      </c>
      <c r="I23" s="3">
        <v>2614</v>
      </c>
      <c r="J23" s="3">
        <f t="shared" si="2"/>
        <v>2722</v>
      </c>
      <c r="K23" s="3">
        <v>2392</v>
      </c>
      <c r="L23" s="3">
        <v>1349</v>
      </c>
      <c r="M23" s="3">
        <v>2004</v>
      </c>
      <c r="N23" s="3">
        <f t="shared" si="3"/>
        <v>2296</v>
      </c>
      <c r="O23" s="3">
        <v>2243</v>
      </c>
      <c r="P23" s="3">
        <v>2712</v>
      </c>
      <c r="Q23" s="3">
        <v>3020</v>
      </c>
      <c r="R23" s="3">
        <f t="shared" si="4"/>
        <v>3032</v>
      </c>
      <c r="S23" s="3">
        <v>3111</v>
      </c>
      <c r="T23" s="3">
        <v>3591</v>
      </c>
      <c r="U23" s="3">
        <v>3571</v>
      </c>
      <c r="V23" s="3">
        <f>+V$21*(U23/U$21)</f>
        <v>3297.5540417198031</v>
      </c>
      <c r="Z23" s="3">
        <v>6931</v>
      </c>
      <c r="AA23" s="3">
        <v>6996</v>
      </c>
      <c r="AB23" s="3">
        <v>7819</v>
      </c>
      <c r="AC23" s="3">
        <v>8687</v>
      </c>
      <c r="AD23" s="3">
        <v>9696</v>
      </c>
      <c r="AE23" s="3">
        <v>10439</v>
      </c>
      <c r="AF23" s="3">
        <v>8041</v>
      </c>
      <c r="AG23" s="3">
        <v>11007</v>
      </c>
      <c r="AH23" s="3">
        <f t="shared" si="5"/>
        <v>13570.554041719803</v>
      </c>
      <c r="AI23" s="3">
        <f t="shared" ref="AI23:AQ23" si="20">+AI21*(AH23/AH21)</f>
        <v>14249.081743805791</v>
      </c>
      <c r="AJ23" s="3">
        <f t="shared" si="20"/>
        <v>14961.535830996081</v>
      </c>
      <c r="AK23" s="3">
        <f t="shared" si="20"/>
        <v>15709.612622545885</v>
      </c>
      <c r="AL23" s="3">
        <f t="shared" si="20"/>
        <v>16495.093253673182</v>
      </c>
      <c r="AM23" s="3">
        <f t="shared" si="20"/>
        <v>17319.847916356841</v>
      </c>
      <c r="AN23" s="3">
        <f t="shared" si="20"/>
        <v>18185.840312174685</v>
      </c>
      <c r="AO23" s="3">
        <f t="shared" si="20"/>
        <v>19095.13232778342</v>
      </c>
      <c r="AP23" s="3">
        <f t="shared" si="20"/>
        <v>20049.888944172588</v>
      </c>
      <c r="AQ23" s="3">
        <f t="shared" si="20"/>
        <v>21052.38339138122</v>
      </c>
    </row>
    <row r="24" spans="2:152">
      <c r="B24" s="3" t="s">
        <v>36</v>
      </c>
      <c r="C24" s="3">
        <v>409</v>
      </c>
      <c r="D24" s="3">
        <v>416</v>
      </c>
      <c r="E24" s="3">
        <v>457</v>
      </c>
      <c r="F24" s="3">
        <f t="shared" si="1"/>
        <v>495</v>
      </c>
      <c r="G24" s="3">
        <v>550</v>
      </c>
      <c r="H24" s="3">
        <v>563</v>
      </c>
      <c r="I24" s="3">
        <v>558</v>
      </c>
      <c r="J24" s="3">
        <f t="shared" si="2"/>
        <v>552</v>
      </c>
      <c r="K24" s="3">
        <v>456</v>
      </c>
      <c r="L24" s="3">
        <v>208</v>
      </c>
      <c r="M24" s="3">
        <v>259</v>
      </c>
      <c r="N24" s="3">
        <f t="shared" si="3"/>
        <v>307</v>
      </c>
      <c r="O24" s="3">
        <v>317</v>
      </c>
      <c r="P24" s="3">
        <v>432</v>
      </c>
      <c r="Q24" s="3">
        <v>579</v>
      </c>
      <c r="R24" s="3">
        <f t="shared" si="4"/>
        <v>665</v>
      </c>
      <c r="S24" s="3">
        <v>626</v>
      </c>
      <c r="T24" s="3">
        <v>678</v>
      </c>
      <c r="U24" s="3">
        <v>774</v>
      </c>
      <c r="V24" s="3">
        <f>+V$21*(U24/U$21)</f>
        <v>714.73167972308249</v>
      </c>
      <c r="Z24" s="3">
        <v>822</v>
      </c>
      <c r="AA24" s="3">
        <v>1018</v>
      </c>
      <c r="AB24" s="3">
        <v>1100</v>
      </c>
      <c r="AC24" s="3">
        <v>1392</v>
      </c>
      <c r="AD24" s="3">
        <v>1777</v>
      </c>
      <c r="AE24" s="3">
        <v>2223</v>
      </c>
      <c r="AF24" s="3">
        <v>1230</v>
      </c>
      <c r="AG24" s="3">
        <v>1993</v>
      </c>
      <c r="AH24" s="3">
        <f t="shared" si="5"/>
        <v>2792.7316797230824</v>
      </c>
      <c r="AI24" s="3">
        <f t="shared" ref="AI24:AQ24" si="21">+AI21*(AH24/AH21)</f>
        <v>2932.3682637092365</v>
      </c>
      <c r="AJ24" s="3">
        <f t="shared" si="21"/>
        <v>3078.9866768946986</v>
      </c>
      <c r="AK24" s="3">
        <f t="shared" si="21"/>
        <v>3232.9360107394332</v>
      </c>
      <c r="AL24" s="3">
        <f t="shared" si="21"/>
        <v>3394.5828112764052</v>
      </c>
      <c r="AM24" s="3">
        <f t="shared" si="21"/>
        <v>3564.3119518402259</v>
      </c>
      <c r="AN24" s="3">
        <f t="shared" si="21"/>
        <v>3742.5275494322373</v>
      </c>
      <c r="AO24" s="3">
        <f t="shared" si="21"/>
        <v>3929.6539269038494</v>
      </c>
      <c r="AP24" s="3">
        <f t="shared" si="21"/>
        <v>4126.1366232490418</v>
      </c>
      <c r="AQ24" s="3">
        <f t="shared" si="21"/>
        <v>4332.4434544114938</v>
      </c>
    </row>
    <row r="25" spans="2:152">
      <c r="B25" s="3" t="s">
        <v>37</v>
      </c>
      <c r="C25" s="3">
        <v>1326</v>
      </c>
      <c r="D25" s="3">
        <v>1280</v>
      </c>
      <c r="E25" s="3">
        <v>1350</v>
      </c>
      <c r="F25" s="3">
        <f t="shared" si="1"/>
        <v>1294</v>
      </c>
      <c r="G25" s="3">
        <v>1422</v>
      </c>
      <c r="H25" s="3">
        <v>1367</v>
      </c>
      <c r="I25" s="3">
        <v>1499</v>
      </c>
      <c r="J25" s="3">
        <f t="shared" si="2"/>
        <v>1623</v>
      </c>
      <c r="K25" s="3">
        <v>1395</v>
      </c>
      <c r="L25" s="3">
        <v>1349</v>
      </c>
      <c r="M25" s="3">
        <v>1408</v>
      </c>
      <c r="N25" s="3">
        <f t="shared" si="3"/>
        <v>1566</v>
      </c>
      <c r="O25" s="3">
        <v>1550</v>
      </c>
      <c r="P25" s="3">
        <v>1539</v>
      </c>
      <c r="Q25" s="3">
        <v>1497</v>
      </c>
      <c r="R25" s="3">
        <f t="shared" si="4"/>
        <v>1654</v>
      </c>
      <c r="S25" s="3">
        <v>1654</v>
      </c>
      <c r="T25" s="3">
        <v>1816</v>
      </c>
      <c r="U25" s="3">
        <v>1748</v>
      </c>
      <c r="V25" s="3">
        <f>+V$21*(U25/U$21)</f>
        <v>1614.1485480051012</v>
      </c>
      <c r="Z25" s="3">
        <v>6095</v>
      </c>
      <c r="AA25" s="3">
        <v>4976</v>
      </c>
      <c r="AB25" s="3">
        <v>5259</v>
      </c>
      <c r="AC25" s="3">
        <v>5258</v>
      </c>
      <c r="AD25" s="3">
        <v>5250</v>
      </c>
      <c r="AE25" s="3">
        <v>5911</v>
      </c>
      <c r="AF25" s="3">
        <v>5718</v>
      </c>
      <c r="AG25" s="3">
        <v>6240</v>
      </c>
      <c r="AH25" s="3">
        <f t="shared" si="5"/>
        <v>6832.1485480051015</v>
      </c>
      <c r="AI25" s="3">
        <f t="shared" ref="AI25:AQ25" si="22">+AI21*(AH25/AH21)</f>
        <v>7173.7559754053564</v>
      </c>
      <c r="AJ25" s="3">
        <f t="shared" si="22"/>
        <v>7532.4437741756246</v>
      </c>
      <c r="AK25" s="3">
        <f t="shared" si="22"/>
        <v>7909.0659628844051</v>
      </c>
      <c r="AL25" s="3">
        <f t="shared" si="22"/>
        <v>8304.5192610286267</v>
      </c>
      <c r="AM25" s="3">
        <f t="shared" si="22"/>
        <v>8719.7452240800576</v>
      </c>
      <c r="AN25" s="3">
        <f t="shared" si="22"/>
        <v>9155.7324852840611</v>
      </c>
      <c r="AO25" s="3">
        <f t="shared" si="22"/>
        <v>9613.519109548266</v>
      </c>
      <c r="AP25" s="3">
        <f t="shared" si="22"/>
        <v>10094.195065025679</v>
      </c>
      <c r="AQ25" s="3">
        <f t="shared" si="22"/>
        <v>10598.904818276962</v>
      </c>
    </row>
    <row r="26" spans="2:152">
      <c r="B26" s="3" t="s">
        <v>38</v>
      </c>
      <c r="C26" s="3">
        <v>1434</v>
      </c>
      <c r="D26" s="3">
        <v>1313</v>
      </c>
      <c r="E26" s="3">
        <v>1360</v>
      </c>
      <c r="F26" s="3">
        <f t="shared" si="1"/>
        <v>1557</v>
      </c>
      <c r="G26" s="3">
        <v>1599</v>
      </c>
      <c r="H26" s="3">
        <v>1400</v>
      </c>
      <c r="I26" s="3">
        <v>1352</v>
      </c>
      <c r="J26" s="3">
        <f t="shared" si="2"/>
        <v>1505</v>
      </c>
      <c r="K26" s="3">
        <v>1289</v>
      </c>
      <c r="L26" s="3">
        <v>1230</v>
      </c>
      <c r="M26" s="3">
        <v>1229</v>
      </c>
      <c r="N26" s="3">
        <f t="shared" si="3"/>
        <v>1577</v>
      </c>
      <c r="O26" s="3">
        <v>870</v>
      </c>
      <c r="P26" s="3">
        <v>1007</v>
      </c>
      <c r="Q26" s="3">
        <v>1218</v>
      </c>
      <c r="R26" s="3">
        <f t="shared" si="4"/>
        <v>1722</v>
      </c>
      <c r="S26" s="3">
        <v>1398</v>
      </c>
      <c r="T26" s="3">
        <v>1451</v>
      </c>
      <c r="U26" s="3">
        <v>1574</v>
      </c>
      <c r="V26" s="3">
        <f>+V$21*(U26/U$21)</f>
        <v>1453.4724339588267</v>
      </c>
      <c r="Z26" s="3">
        <v>6089</v>
      </c>
      <c r="AA26" s="3">
        <v>6793</v>
      </c>
      <c r="AB26" s="3">
        <v>4942</v>
      </c>
      <c r="AC26" s="3">
        <v>5634</v>
      </c>
      <c r="AD26" s="3">
        <v>5664</v>
      </c>
      <c r="AE26" s="3">
        <v>5856</v>
      </c>
      <c r="AF26" s="3">
        <v>5325</v>
      </c>
      <c r="AG26" s="3">
        <v>4817</v>
      </c>
      <c r="AH26" s="3">
        <f t="shared" si="5"/>
        <v>5876.4724339588265</v>
      </c>
      <c r="AI26" s="3">
        <f t="shared" ref="AI26:AQ26" si="23">+AI21*(AH26/AH21)</f>
        <v>6170.2960556567677</v>
      </c>
      <c r="AJ26" s="3">
        <f t="shared" si="23"/>
        <v>6478.8108584396059</v>
      </c>
      <c r="AK26" s="3">
        <f t="shared" si="23"/>
        <v>6802.7514013615864</v>
      </c>
      <c r="AL26" s="3">
        <f t="shared" si="23"/>
        <v>7142.8889714296674</v>
      </c>
      <c r="AM26" s="3">
        <f t="shared" si="23"/>
        <v>7500.0334200011521</v>
      </c>
      <c r="AN26" s="3">
        <f t="shared" si="23"/>
        <v>7875.0350910012103</v>
      </c>
      <c r="AO26" s="3">
        <f t="shared" si="23"/>
        <v>8268.7868455512707</v>
      </c>
      <c r="AP26" s="3">
        <f t="shared" si="23"/>
        <v>8682.2261878288336</v>
      </c>
      <c r="AQ26" s="3">
        <f t="shared" si="23"/>
        <v>9116.3374972202764</v>
      </c>
    </row>
    <row r="27" spans="2:152">
      <c r="B27" s="3" t="s">
        <v>39</v>
      </c>
      <c r="C27" s="3">
        <f>+SUM(C22:C26)</f>
        <v>6861</v>
      </c>
      <c r="D27" s="3">
        <f>+SUM(D22:D26)</f>
        <v>7105</v>
      </c>
      <c r="E27" s="3">
        <f>+SUM(E22:E26)</f>
        <v>7209</v>
      </c>
      <c r="F27" s="3">
        <f t="shared" si="1"/>
        <v>7689</v>
      </c>
      <c r="G27" s="3">
        <f>+SUM(G22:G26)</f>
        <v>7597</v>
      </c>
      <c r="H27" s="3">
        <f>+SUM(H22:H26)</f>
        <v>7758</v>
      </c>
      <c r="I27" s="3">
        <f>+SUM(I22:I26)</f>
        <v>7844</v>
      </c>
      <c r="J27" s="3">
        <f t="shared" si="2"/>
        <v>8355</v>
      </c>
      <c r="K27" s="3">
        <f>+SUM(K22:K26)</f>
        <v>7237</v>
      </c>
      <c r="L27" s="3">
        <f>+SUM(L22:L26)</f>
        <v>5498</v>
      </c>
      <c r="M27" s="3">
        <f>+SUM(M22:M26)</f>
        <v>6722</v>
      </c>
      <c r="N27" s="3">
        <f t="shared" si="3"/>
        <v>7604</v>
      </c>
      <c r="O27" s="3">
        <f>+SUM(O22:O26)</f>
        <v>6746</v>
      </c>
      <c r="P27" s="3">
        <f>+SUM(P22:P26)</f>
        <v>7909</v>
      </c>
      <c r="Q27" s="3">
        <f>+SUM(Q22:Q26)</f>
        <v>8669</v>
      </c>
      <c r="R27" s="3">
        <f t="shared" si="4"/>
        <v>9786</v>
      </c>
      <c r="S27" s="3">
        <f>+SUM(S22:S26)</f>
        <v>9056</v>
      </c>
      <c r="T27" s="3">
        <f>+SUM(T22:T26)</f>
        <v>10442</v>
      </c>
      <c r="U27" s="3">
        <f>+SUM(U22:U26)</f>
        <v>10319</v>
      </c>
      <c r="V27" s="3">
        <f>+SUM(V22:V26)</f>
        <v>9528.8323036983056</v>
      </c>
      <c r="Z27" s="3">
        <f t="shared" ref="Z27:AG27" si="24">+SUM(Z22:Z26)</f>
        <v>23153</v>
      </c>
      <c r="AA27" s="3">
        <f t="shared" si="24"/>
        <v>22892</v>
      </c>
      <c r="AB27" s="3">
        <f t="shared" si="24"/>
        <v>25369</v>
      </c>
      <c r="AC27" s="3">
        <f t="shared" si="24"/>
        <v>26693</v>
      </c>
      <c r="AD27" s="3">
        <f t="shared" si="24"/>
        <v>28864</v>
      </c>
      <c r="AE27" s="3">
        <f t="shared" si="24"/>
        <v>31554</v>
      </c>
      <c r="AF27" s="3">
        <f t="shared" si="24"/>
        <v>27061</v>
      </c>
      <c r="AG27" s="3">
        <f t="shared" si="24"/>
        <v>33110</v>
      </c>
      <c r="AH27" s="3">
        <f t="shared" si="5"/>
        <v>39345.832303698306</v>
      </c>
      <c r="AI27" s="3">
        <f t="shared" ref="AI27:AQ27" si="25">+SUM(AI22:AI26)</f>
        <v>41313.123918883219</v>
      </c>
      <c r="AJ27" s="3">
        <f t="shared" si="25"/>
        <v>43378.780114827379</v>
      </c>
      <c r="AK27" s="3">
        <f t="shared" si="25"/>
        <v>45547.719120568749</v>
      </c>
      <c r="AL27" s="3">
        <f t="shared" si="25"/>
        <v>47825.105076597189</v>
      </c>
      <c r="AM27" s="3">
        <f t="shared" si="25"/>
        <v>50216.360330427044</v>
      </c>
      <c r="AN27" s="3">
        <f t="shared" si="25"/>
        <v>52727.178346948407</v>
      </c>
      <c r="AO27" s="3">
        <f t="shared" si="25"/>
        <v>55363.537264295832</v>
      </c>
      <c r="AP27" s="3">
        <f t="shared" si="25"/>
        <v>58131.714127510619</v>
      </c>
      <c r="AQ27" s="3">
        <f t="shared" si="25"/>
        <v>61038.299833886151</v>
      </c>
    </row>
    <row r="28" spans="2:152" s="5" customFormat="1">
      <c r="B28" s="5" t="s">
        <v>40</v>
      </c>
      <c r="C28" s="5">
        <f>+C21-C27</f>
        <v>2082</v>
      </c>
      <c r="D28" s="5">
        <f>+D21-D27</f>
        <v>2091</v>
      </c>
      <c r="E28" s="5">
        <f>+E21-E27</f>
        <v>2118</v>
      </c>
      <c r="F28" s="5">
        <f t="shared" si="1"/>
        <v>1831</v>
      </c>
      <c r="G28" s="5">
        <f>+G21-G27</f>
        <v>1958</v>
      </c>
      <c r="H28" s="5">
        <f>+H21-H27</f>
        <v>2219</v>
      </c>
      <c r="I28" s="5">
        <f>+I21-I27</f>
        <v>2266</v>
      </c>
      <c r="J28" s="5">
        <f t="shared" si="2"/>
        <v>1986</v>
      </c>
      <c r="K28" s="5">
        <f>+K21-K27</f>
        <v>452</v>
      </c>
      <c r="L28" s="5">
        <f>+L21-L27</f>
        <v>622</v>
      </c>
      <c r="M28" s="5">
        <f>+M21-M27</f>
        <v>1364</v>
      </c>
      <c r="N28" s="5">
        <f t="shared" si="3"/>
        <v>1858</v>
      </c>
      <c r="O28" s="5">
        <f>+O21-O27</f>
        <v>2993</v>
      </c>
      <c r="P28" s="5">
        <f>+P21-P27</f>
        <v>2940</v>
      </c>
      <c r="Q28" s="5">
        <f>+Q21-Q27</f>
        <v>2450</v>
      </c>
      <c r="R28" s="5">
        <f t="shared" si="4"/>
        <v>2306</v>
      </c>
      <c r="S28" s="5">
        <f>+S21-S27</f>
        <v>2730</v>
      </c>
      <c r="T28" s="5">
        <f>+T21-T27</f>
        <v>2543</v>
      </c>
      <c r="U28" s="5">
        <f>+U21-U27</f>
        <v>2459</v>
      </c>
      <c r="V28" s="5">
        <f>+V21-V27</f>
        <v>2270.7043933321183</v>
      </c>
      <c r="X28" s="13"/>
      <c r="Z28" s="5">
        <f t="shared" ref="Z28:AG28" si="26">+Z21-Z27</f>
        <v>8991</v>
      </c>
      <c r="AA28" s="5">
        <f t="shared" si="26"/>
        <v>7938</v>
      </c>
      <c r="AB28" s="5">
        <f t="shared" si="26"/>
        <v>8042</v>
      </c>
      <c r="AC28" s="5">
        <f t="shared" si="26"/>
        <v>7425</v>
      </c>
      <c r="AD28" s="5">
        <f t="shared" si="26"/>
        <v>8122</v>
      </c>
      <c r="AE28" s="5">
        <f t="shared" si="26"/>
        <v>8429</v>
      </c>
      <c r="AF28" s="5">
        <f t="shared" si="26"/>
        <v>4296</v>
      </c>
      <c r="AG28" s="5">
        <f t="shared" si="26"/>
        <v>10689</v>
      </c>
      <c r="AH28" s="3">
        <f t="shared" si="5"/>
        <v>10002.704393332118</v>
      </c>
      <c r="AI28" s="5">
        <f t="shared" ref="AI28:AQ28" si="27">+AI21-AI27</f>
        <v>10502.839612998723</v>
      </c>
      <c r="AJ28" s="5">
        <f t="shared" si="27"/>
        <v>11027.981593648663</v>
      </c>
      <c r="AK28" s="5">
        <f t="shared" si="27"/>
        <v>11579.380673331092</v>
      </c>
      <c r="AL28" s="5">
        <f t="shared" si="27"/>
        <v>12158.349706997651</v>
      </c>
      <c r="AM28" s="5">
        <f t="shared" si="27"/>
        <v>12766.267192347543</v>
      </c>
      <c r="AN28" s="5">
        <f t="shared" si="27"/>
        <v>13404.580551964915</v>
      </c>
      <c r="AO28" s="5">
        <f t="shared" si="27"/>
        <v>14074.80957956316</v>
      </c>
      <c r="AP28" s="5">
        <f t="shared" si="27"/>
        <v>14778.550058541317</v>
      </c>
      <c r="AQ28" s="5">
        <f t="shared" si="27"/>
        <v>15517.477561468389</v>
      </c>
    </row>
    <row r="29" spans="2:152">
      <c r="B29" s="3" t="s">
        <v>41</v>
      </c>
      <c r="C29" s="3">
        <v>448</v>
      </c>
      <c r="D29" s="3">
        <v>468</v>
      </c>
      <c r="E29" s="3">
        <v>464</v>
      </c>
      <c r="F29" s="3">
        <f t="shared" si="1"/>
        <v>-179</v>
      </c>
      <c r="G29" s="3">
        <v>408</v>
      </c>
      <c r="H29" s="3">
        <v>458</v>
      </c>
      <c r="I29" s="3">
        <v>511</v>
      </c>
      <c r="J29" s="3">
        <f t="shared" si="2"/>
        <v>293</v>
      </c>
      <c r="K29" s="3">
        <v>85</v>
      </c>
      <c r="L29" s="3">
        <v>365</v>
      </c>
      <c r="M29" s="3">
        <v>291</v>
      </c>
      <c r="N29" s="3">
        <f t="shared" si="3"/>
        <v>420</v>
      </c>
      <c r="O29" s="3">
        <v>758</v>
      </c>
      <c r="P29" s="3">
        <v>660</v>
      </c>
      <c r="Q29" s="3">
        <v>624</v>
      </c>
      <c r="R29" s="3">
        <f t="shared" si="4"/>
        <v>587</v>
      </c>
      <c r="S29" s="3">
        <v>579</v>
      </c>
      <c r="T29" s="3">
        <v>579</v>
      </c>
      <c r="U29" s="3">
        <v>580</v>
      </c>
      <c r="V29" s="3">
        <f>+V$28*(U29/U$28)</f>
        <v>535.58704682091445</v>
      </c>
      <c r="Z29" s="3">
        <v>3106</v>
      </c>
      <c r="AA29" s="3">
        <v>2775</v>
      </c>
      <c r="AB29" s="3">
        <v>2667</v>
      </c>
      <c r="AC29" s="3">
        <v>4677</v>
      </c>
      <c r="AD29" s="3">
        <v>1201</v>
      </c>
      <c r="AE29" s="3">
        <v>1670</v>
      </c>
      <c r="AF29" s="3">
        <v>1161</v>
      </c>
      <c r="AG29" s="3">
        <v>2629</v>
      </c>
      <c r="AH29" s="3">
        <f t="shared" si="5"/>
        <v>2273.5870468209146</v>
      </c>
      <c r="AI29" s="3">
        <f>+AI28*0.25</f>
        <v>2625.7099032496808</v>
      </c>
      <c r="AJ29" s="3">
        <f t="shared" ref="AJ29:AQ29" si="28">+AJ28*0.25</f>
        <v>2756.9953984121657</v>
      </c>
      <c r="AK29" s="3">
        <f t="shared" si="28"/>
        <v>2894.845168332773</v>
      </c>
      <c r="AL29" s="3">
        <f t="shared" si="28"/>
        <v>3039.5874267494128</v>
      </c>
      <c r="AM29" s="3">
        <f t="shared" si="28"/>
        <v>3191.5667980868857</v>
      </c>
      <c r="AN29" s="3">
        <f t="shared" si="28"/>
        <v>3351.1451379912287</v>
      </c>
      <c r="AO29" s="3">
        <f t="shared" si="28"/>
        <v>3518.7023948907899</v>
      </c>
      <c r="AP29" s="3">
        <f t="shared" si="28"/>
        <v>3694.6375146353294</v>
      </c>
      <c r="AQ29" s="3">
        <f t="shared" si="28"/>
        <v>3879.3693903670974</v>
      </c>
    </row>
    <row r="30" spans="2:152" s="5" customFormat="1">
      <c r="B30" s="5" t="s">
        <v>42</v>
      </c>
      <c r="C30" s="5">
        <f>+C28-C29</f>
        <v>1634</v>
      </c>
      <c r="D30" s="5">
        <f>+D28-D29</f>
        <v>1623</v>
      </c>
      <c r="E30" s="5">
        <f>+E28-E29</f>
        <v>1654</v>
      </c>
      <c r="F30" s="5">
        <f t="shared" si="1"/>
        <v>2010</v>
      </c>
      <c r="G30" s="5">
        <f>+G28-G29</f>
        <v>1550</v>
      </c>
      <c r="H30" s="5">
        <f>+H28-H29</f>
        <v>1761</v>
      </c>
      <c r="I30" s="5">
        <f>+I28-I29</f>
        <v>1755</v>
      </c>
      <c r="J30" s="5">
        <f t="shared" si="2"/>
        <v>1693</v>
      </c>
      <c r="K30" s="5">
        <f>+K28-K29</f>
        <v>367</v>
      </c>
      <c r="L30" s="5">
        <f>+L28-L29</f>
        <v>257</v>
      </c>
      <c r="M30" s="5">
        <f>+M28-M29</f>
        <v>1073</v>
      </c>
      <c r="N30" s="5">
        <f t="shared" si="3"/>
        <v>1438</v>
      </c>
      <c r="O30" s="5">
        <f>+O28-O29</f>
        <v>2235</v>
      </c>
      <c r="P30" s="5">
        <f>+P28-P29</f>
        <v>2280</v>
      </c>
      <c r="Q30" s="5">
        <f>+Q28-Q29</f>
        <v>1826</v>
      </c>
      <c r="R30" s="5">
        <f t="shared" si="4"/>
        <v>1719</v>
      </c>
      <c r="S30" s="5">
        <f>+S28-S29</f>
        <v>2151</v>
      </c>
      <c r="T30" s="5">
        <f>+T28-T29</f>
        <v>1964</v>
      </c>
      <c r="U30" s="5">
        <f>+U28-U29</f>
        <v>1879</v>
      </c>
      <c r="V30" s="5">
        <f>+V28-V29</f>
        <v>1735.1173465112038</v>
      </c>
      <c r="X30" s="13"/>
      <c r="Z30" s="5">
        <f t="shared" ref="Z30:AI30" si="29">+Z28-Z29</f>
        <v>5885</v>
      </c>
      <c r="AA30" s="5">
        <f t="shared" si="29"/>
        <v>5163</v>
      </c>
      <c r="AB30" s="5">
        <f t="shared" si="29"/>
        <v>5375</v>
      </c>
      <c r="AC30" s="5">
        <f t="shared" si="29"/>
        <v>2748</v>
      </c>
      <c r="AD30" s="5">
        <f t="shared" si="29"/>
        <v>6921</v>
      </c>
      <c r="AE30" s="5">
        <f t="shared" si="29"/>
        <v>6759</v>
      </c>
      <c r="AF30" s="5">
        <f t="shared" si="29"/>
        <v>3135</v>
      </c>
      <c r="AG30" s="5">
        <f t="shared" si="29"/>
        <v>8060</v>
      </c>
      <c r="AH30" s="3">
        <f t="shared" si="5"/>
        <v>7729.1173465112042</v>
      </c>
      <c r="AI30" s="5">
        <f t="shared" si="29"/>
        <v>7877.1297097490424</v>
      </c>
      <c r="AJ30" s="5">
        <f t="shared" ref="AJ30:AQ30" si="30">+AJ28-AJ29</f>
        <v>8270.9861952364972</v>
      </c>
      <c r="AK30" s="5">
        <f t="shared" si="30"/>
        <v>8684.5355049983191</v>
      </c>
      <c r="AL30" s="5">
        <f t="shared" si="30"/>
        <v>9118.7622802482383</v>
      </c>
      <c r="AM30" s="5">
        <f t="shared" si="30"/>
        <v>9574.700394260657</v>
      </c>
      <c r="AN30" s="5">
        <f t="shared" si="30"/>
        <v>10053.435413973686</v>
      </c>
      <c r="AO30" s="5">
        <f t="shared" si="30"/>
        <v>10556.10718467237</v>
      </c>
      <c r="AP30" s="5">
        <f t="shared" si="30"/>
        <v>11083.912543905988</v>
      </c>
      <c r="AQ30" s="5">
        <f t="shared" si="30"/>
        <v>11638.108171101292</v>
      </c>
      <c r="AR30" s="5">
        <f t="shared" ref="AR30:BW30" si="31">+AQ30*(1+$AU$36)</f>
        <v>11754.489252812305</v>
      </c>
      <c r="AS30" s="5">
        <f t="shared" si="31"/>
        <v>11872.034145340429</v>
      </c>
      <c r="AT30" s="5">
        <f t="shared" si="31"/>
        <v>11990.754486793834</v>
      </c>
      <c r="AU30" s="5">
        <f t="shared" si="31"/>
        <v>12110.662031661772</v>
      </c>
      <c r="AV30" s="5">
        <f t="shared" si="31"/>
        <v>12231.768651978389</v>
      </c>
      <c r="AW30" s="5">
        <f t="shared" si="31"/>
        <v>12354.086338498173</v>
      </c>
      <c r="AX30" s="5">
        <f t="shared" si="31"/>
        <v>12477.627201883155</v>
      </c>
      <c r="AY30" s="5">
        <f t="shared" si="31"/>
        <v>12602.403473901986</v>
      </c>
      <c r="AZ30" s="5">
        <f t="shared" si="31"/>
        <v>12728.427508641007</v>
      </c>
      <c r="BA30" s="5">
        <f t="shared" si="31"/>
        <v>12855.711783727418</v>
      </c>
      <c r="BB30" s="5">
        <f t="shared" si="31"/>
        <v>12984.268901564692</v>
      </c>
      <c r="BC30" s="5">
        <f t="shared" si="31"/>
        <v>13114.11159058034</v>
      </c>
      <c r="BD30" s="5">
        <f t="shared" si="31"/>
        <v>13245.252706486144</v>
      </c>
      <c r="BE30" s="5">
        <f t="shared" si="31"/>
        <v>13377.705233551005</v>
      </c>
      <c r="BF30" s="5">
        <f t="shared" si="31"/>
        <v>13511.482285886515</v>
      </c>
      <c r="BG30" s="5">
        <f t="shared" si="31"/>
        <v>13646.59710874538</v>
      </c>
      <c r="BH30" s="5">
        <f t="shared" si="31"/>
        <v>13783.063079832835</v>
      </c>
      <c r="BI30" s="5">
        <f t="shared" si="31"/>
        <v>13920.893710631164</v>
      </c>
      <c r="BJ30" s="5">
        <f t="shared" si="31"/>
        <v>14060.102647737476</v>
      </c>
      <c r="BK30" s="5">
        <f t="shared" si="31"/>
        <v>14200.70367421485</v>
      </c>
      <c r="BL30" s="5">
        <f t="shared" si="31"/>
        <v>14342.710710956999</v>
      </c>
      <c r="BM30" s="5">
        <f t="shared" si="31"/>
        <v>14486.137818066569</v>
      </c>
      <c r="BN30" s="5">
        <f t="shared" si="31"/>
        <v>14630.999196247234</v>
      </c>
      <c r="BO30" s="5">
        <f t="shared" si="31"/>
        <v>14777.309188209707</v>
      </c>
      <c r="BP30" s="5">
        <f t="shared" si="31"/>
        <v>14925.082280091805</v>
      </c>
      <c r="BQ30" s="5">
        <f t="shared" si="31"/>
        <v>15074.333102892722</v>
      </c>
      <c r="BR30" s="5">
        <f t="shared" si="31"/>
        <v>15225.076433921649</v>
      </c>
      <c r="BS30" s="5">
        <f t="shared" si="31"/>
        <v>15377.327198260866</v>
      </c>
      <c r="BT30" s="5">
        <f t="shared" si="31"/>
        <v>15531.100470243475</v>
      </c>
      <c r="BU30" s="5">
        <f t="shared" si="31"/>
        <v>15686.41147494591</v>
      </c>
      <c r="BV30" s="5">
        <f t="shared" si="31"/>
        <v>15843.275589695369</v>
      </c>
      <c r="BW30" s="5">
        <f t="shared" si="31"/>
        <v>16001.708345592324</v>
      </c>
      <c r="BX30" s="5">
        <f t="shared" ref="BX30:DC30" si="32">+BW30*(1+$AU$36)</f>
        <v>16161.725429048247</v>
      </c>
      <c r="BY30" s="5">
        <f t="shared" si="32"/>
        <v>16323.342683338729</v>
      </c>
      <c r="BZ30" s="5">
        <f t="shared" si="32"/>
        <v>16486.576110172118</v>
      </c>
      <c r="CA30" s="5">
        <f t="shared" si="32"/>
        <v>16651.441871273841</v>
      </c>
      <c r="CB30" s="5">
        <f t="shared" si="32"/>
        <v>16817.956289986578</v>
      </c>
      <c r="CC30" s="5">
        <f t="shared" si="32"/>
        <v>16986.135852886444</v>
      </c>
      <c r="CD30" s="5">
        <f t="shared" si="32"/>
        <v>17155.99721141531</v>
      </c>
      <c r="CE30" s="5">
        <f t="shared" si="32"/>
        <v>17327.557183529461</v>
      </c>
      <c r="CF30" s="5">
        <f t="shared" si="32"/>
        <v>17500.832755364758</v>
      </c>
      <c r="CG30" s="5">
        <f t="shared" si="32"/>
        <v>17675.841082918407</v>
      </c>
      <c r="CH30" s="5">
        <f t="shared" si="32"/>
        <v>17852.599493747592</v>
      </c>
      <c r="CI30" s="5">
        <f t="shared" si="32"/>
        <v>18031.125488685069</v>
      </c>
      <c r="CJ30" s="5">
        <f t="shared" si="32"/>
        <v>18211.436743571921</v>
      </c>
      <c r="CK30" s="5">
        <f t="shared" si="32"/>
        <v>18393.55111100764</v>
      </c>
      <c r="CL30" s="5">
        <f t="shared" si="32"/>
        <v>18577.486622117718</v>
      </c>
      <c r="CM30" s="5">
        <f t="shared" si="32"/>
        <v>18763.261488338896</v>
      </c>
      <c r="CN30" s="5">
        <f t="shared" si="32"/>
        <v>18950.894103222287</v>
      </c>
      <c r="CO30" s="5">
        <f t="shared" si="32"/>
        <v>19140.403044254508</v>
      </c>
      <c r="CP30" s="5">
        <f t="shared" si="32"/>
        <v>19331.807074697052</v>
      </c>
      <c r="CQ30" s="5">
        <f t="shared" si="32"/>
        <v>19525.125145444021</v>
      </c>
      <c r="CR30" s="5">
        <f t="shared" si="32"/>
        <v>19720.37639689846</v>
      </c>
      <c r="CS30" s="5">
        <f t="shared" si="32"/>
        <v>19917.580160867445</v>
      </c>
      <c r="CT30" s="5">
        <f t="shared" si="32"/>
        <v>20116.75596247612</v>
      </c>
      <c r="CU30" s="5">
        <f t="shared" si="32"/>
        <v>20317.923522100882</v>
      </c>
      <c r="CV30" s="5">
        <f t="shared" si="32"/>
        <v>20521.102757321893</v>
      </c>
      <c r="CW30" s="5">
        <f t="shared" si="32"/>
        <v>20726.313784895112</v>
      </c>
      <c r="CX30" s="5">
        <f t="shared" si="32"/>
        <v>20933.576922744061</v>
      </c>
      <c r="CY30" s="5">
        <f t="shared" si="32"/>
        <v>21142.912691971502</v>
      </c>
      <c r="CZ30" s="5">
        <f t="shared" si="32"/>
        <v>21354.341818891218</v>
      </c>
      <c r="DA30" s="5">
        <f t="shared" si="32"/>
        <v>21567.885237080132</v>
      </c>
      <c r="DB30" s="5">
        <f t="shared" si="32"/>
        <v>21783.564089450934</v>
      </c>
      <c r="DC30" s="5">
        <f t="shared" si="32"/>
        <v>22001.399730345445</v>
      </c>
      <c r="DD30" s="5">
        <f t="shared" ref="DD30:EI30" si="33">+DC30*(1+$AU$36)</f>
        <v>22221.413727648898</v>
      </c>
      <c r="DE30" s="5">
        <f t="shared" si="33"/>
        <v>22443.627864925387</v>
      </c>
      <c r="DF30" s="5">
        <f t="shared" si="33"/>
        <v>22668.06414357464</v>
      </c>
      <c r="DG30" s="5">
        <f t="shared" si="33"/>
        <v>22894.744785010385</v>
      </c>
      <c r="DH30" s="5">
        <f t="shared" si="33"/>
        <v>23123.692232860489</v>
      </c>
      <c r="DI30" s="5">
        <f t="shared" si="33"/>
        <v>23354.929155189093</v>
      </c>
      <c r="DJ30" s="5">
        <f t="shared" si="33"/>
        <v>23588.478446740985</v>
      </c>
      <c r="DK30" s="5">
        <f t="shared" si="33"/>
        <v>23824.363231208394</v>
      </c>
      <c r="DL30" s="5">
        <f t="shared" si="33"/>
        <v>24062.606863520479</v>
      </c>
      <c r="DM30" s="5">
        <f t="shared" si="33"/>
        <v>24303.232932155683</v>
      </c>
      <c r="DN30" s="5">
        <f t="shared" si="33"/>
        <v>24546.265261477241</v>
      </c>
      <c r="DO30" s="5">
        <f t="shared" si="33"/>
        <v>24791.727914092015</v>
      </c>
      <c r="DP30" s="5">
        <f t="shared" si="33"/>
        <v>25039.645193232936</v>
      </c>
      <c r="DQ30" s="5">
        <f t="shared" si="33"/>
        <v>25290.041645165267</v>
      </c>
      <c r="DR30" s="5">
        <f t="shared" si="33"/>
        <v>25542.942061616919</v>
      </c>
      <c r="DS30" s="5">
        <f t="shared" si="33"/>
        <v>25798.371482233088</v>
      </c>
      <c r="DT30" s="5">
        <f t="shared" si="33"/>
        <v>26056.355197055418</v>
      </c>
      <c r="DU30" s="5">
        <f t="shared" si="33"/>
        <v>26316.918749025972</v>
      </c>
      <c r="DV30" s="5">
        <f t="shared" si="33"/>
        <v>26580.087936516233</v>
      </c>
      <c r="DW30" s="5">
        <f t="shared" si="33"/>
        <v>26845.888815881397</v>
      </c>
      <c r="DX30" s="5">
        <f t="shared" si="33"/>
        <v>27114.34770404021</v>
      </c>
      <c r="DY30" s="5">
        <f t="shared" si="33"/>
        <v>27385.491181080612</v>
      </c>
      <c r="DZ30" s="5">
        <f t="shared" si="33"/>
        <v>27659.346092891417</v>
      </c>
      <c r="EA30" s="5">
        <f t="shared" si="33"/>
        <v>27935.939553820332</v>
      </c>
      <c r="EB30" s="5">
        <f t="shared" si="33"/>
        <v>28215.298949358534</v>
      </c>
      <c r="EC30" s="5">
        <f t="shared" si="33"/>
        <v>28497.451938852118</v>
      </c>
      <c r="ED30" s="5">
        <f t="shared" si="33"/>
        <v>28782.426458240639</v>
      </c>
      <c r="EE30" s="5">
        <f t="shared" si="33"/>
        <v>29070.250722823046</v>
      </c>
      <c r="EF30" s="5">
        <f t="shared" si="33"/>
        <v>29360.953230051276</v>
      </c>
      <c r="EG30" s="5">
        <f t="shared" si="33"/>
        <v>29654.56276235179</v>
      </c>
      <c r="EH30" s="5">
        <f t="shared" si="33"/>
        <v>29951.10838997531</v>
      </c>
      <c r="EI30" s="5">
        <f t="shared" si="33"/>
        <v>30250.619473875064</v>
      </c>
      <c r="EJ30" s="5">
        <f t="shared" ref="EJ30:EV30" si="34">+EI30*(1+$AU$36)</f>
        <v>30553.125668613815</v>
      </c>
      <c r="EK30" s="5">
        <f t="shared" si="34"/>
        <v>30858.656925299954</v>
      </c>
      <c r="EL30" s="5">
        <f t="shared" si="34"/>
        <v>31167.243494552953</v>
      </c>
      <c r="EM30" s="5">
        <f t="shared" si="34"/>
        <v>31478.915929498482</v>
      </c>
      <c r="EN30" s="5">
        <f t="shared" si="34"/>
        <v>31793.705088793467</v>
      </c>
      <c r="EO30" s="5">
        <f t="shared" si="34"/>
        <v>32111.642139681404</v>
      </c>
      <c r="EP30" s="5">
        <f t="shared" si="34"/>
        <v>32432.758561078219</v>
      </c>
      <c r="EQ30" s="5">
        <f t="shared" si="34"/>
        <v>32757.086146689002</v>
      </c>
      <c r="ER30" s="5">
        <f t="shared" si="34"/>
        <v>33084.657008155889</v>
      </c>
      <c r="ES30" s="5">
        <f t="shared" si="34"/>
        <v>33415.503578237447</v>
      </c>
      <c r="ET30" s="5">
        <f t="shared" si="34"/>
        <v>33749.65861401982</v>
      </c>
      <c r="EU30" s="5">
        <f t="shared" si="34"/>
        <v>34087.155200160021</v>
      </c>
      <c r="EV30" s="5">
        <f t="shared" si="34"/>
        <v>34428.026752161619</v>
      </c>
    </row>
    <row r="31" spans="2:152">
      <c r="B31" s="3" t="s">
        <v>43</v>
      </c>
      <c r="C31" s="3">
        <v>861</v>
      </c>
      <c r="D31" s="3">
        <v>862</v>
      </c>
      <c r="E31" s="3">
        <v>860</v>
      </c>
      <c r="F31" s="3">
        <f>+F30/F32</f>
        <v>854.16933912496472</v>
      </c>
      <c r="G31" s="3">
        <v>808</v>
      </c>
      <c r="H31" s="3">
        <v>836</v>
      </c>
      <c r="I31" s="3">
        <v>827</v>
      </c>
      <c r="J31" s="3">
        <f>+J30/J32</f>
        <v>847.99707182757902</v>
      </c>
      <c r="K31" s="3">
        <v>808</v>
      </c>
      <c r="L31" s="3">
        <v>805</v>
      </c>
      <c r="M31" s="3">
        <v>805</v>
      </c>
      <c r="N31" s="3">
        <f>+N30/N32</f>
        <v>806.4170926436833</v>
      </c>
      <c r="O31" s="3">
        <v>805</v>
      </c>
      <c r="P31" s="3">
        <v>802</v>
      </c>
      <c r="Q31" s="3">
        <v>787</v>
      </c>
      <c r="R31" s="3">
        <f>+R30/R32</f>
        <v>759.59836102305587</v>
      </c>
      <c r="S31" s="3">
        <v>758</v>
      </c>
      <c r="T31" s="3">
        <v>753</v>
      </c>
      <c r="U31" s="3">
        <v>749</v>
      </c>
      <c r="V31" s="3">
        <f>+U31</f>
        <v>749</v>
      </c>
      <c r="Z31" s="3">
        <v>1051</v>
      </c>
      <c r="AA31" s="3">
        <v>1003</v>
      </c>
      <c r="AB31" s="3">
        <v>935</v>
      </c>
      <c r="AC31" s="3">
        <v>886</v>
      </c>
      <c r="AD31" s="3">
        <v>859</v>
      </c>
      <c r="AE31" s="3">
        <v>830</v>
      </c>
      <c r="AF31" s="3">
        <v>806</v>
      </c>
      <c r="AG31" s="3">
        <v>790</v>
      </c>
      <c r="AH31" s="3">
        <f>+AH30/AH32</f>
        <v>752.50226242219844</v>
      </c>
      <c r="AI31" s="3">
        <f>+AH31</f>
        <v>752.50226242219844</v>
      </c>
      <c r="AJ31" s="3">
        <f t="shared" ref="AJ31:AQ31" si="35">+AI31</f>
        <v>752.50226242219844</v>
      </c>
      <c r="AK31" s="3">
        <f t="shared" si="35"/>
        <v>752.50226242219844</v>
      </c>
      <c r="AL31" s="3">
        <f t="shared" si="35"/>
        <v>752.50226242219844</v>
      </c>
      <c r="AM31" s="3">
        <f t="shared" si="35"/>
        <v>752.50226242219844</v>
      </c>
      <c r="AN31" s="3">
        <f t="shared" si="35"/>
        <v>752.50226242219844</v>
      </c>
      <c r="AO31" s="3">
        <f t="shared" si="35"/>
        <v>752.50226242219844</v>
      </c>
      <c r="AP31" s="3">
        <f t="shared" si="35"/>
        <v>752.50226242219844</v>
      </c>
      <c r="AQ31" s="3">
        <f t="shared" si="35"/>
        <v>752.50226242219844</v>
      </c>
    </row>
    <row r="32" spans="2:152" s="6" customFormat="1">
      <c r="B32" s="6" t="s">
        <v>44</v>
      </c>
      <c r="C32" s="6">
        <f>+C30/C31</f>
        <v>1.8977932636469221</v>
      </c>
      <c r="D32" s="6">
        <f>+D30/D31</f>
        <v>1.882830626450116</v>
      </c>
      <c r="E32" s="6">
        <f>+E30/E31</f>
        <v>1.9232558139534883</v>
      </c>
      <c r="F32" s="6">
        <f>+AD32-SUM(C32:E32)</f>
        <v>2.3531633692905682</v>
      </c>
      <c r="G32" s="6">
        <f>+G30/G31</f>
        <v>1.9183168316831682</v>
      </c>
      <c r="H32" s="6">
        <f>+H30/H31</f>
        <v>2.1064593301435406</v>
      </c>
      <c r="I32" s="6">
        <f>+I30/I31</f>
        <v>2.1221281741233375</v>
      </c>
      <c r="J32" s="6">
        <f>+AE32-SUM(G32:I32)</f>
        <v>1.9964691580258584</v>
      </c>
      <c r="K32" s="6">
        <f>+K30/K31</f>
        <v>0.45420792079207922</v>
      </c>
      <c r="L32" s="6">
        <f>+L30/L31</f>
        <v>0.31925465838509315</v>
      </c>
      <c r="M32" s="6">
        <f>+M30/M31</f>
        <v>1.332919254658385</v>
      </c>
      <c r="N32" s="6">
        <f>+AF32-SUM(K32:M32)</f>
        <v>1.7831963299361546</v>
      </c>
      <c r="O32" s="6">
        <f>+O30/O31</f>
        <v>2.7763975155279503</v>
      </c>
      <c r="P32" s="6">
        <f>+P30/P31</f>
        <v>2.8428927680798006</v>
      </c>
      <c r="Q32" s="6">
        <f>+Q30/Q31</f>
        <v>2.3202033036848793</v>
      </c>
      <c r="R32" s="6">
        <f>+AG32-SUM(O32:Q32)</f>
        <v>2.2630380582769893</v>
      </c>
      <c r="S32" s="6">
        <f>+S30/S31</f>
        <v>2.8377308707124009</v>
      </c>
      <c r="T32" s="6">
        <f>+T30/T31</f>
        <v>2.6082337317397077</v>
      </c>
      <c r="U32" s="6">
        <f>+U30/U31</f>
        <v>2.5086782376502001</v>
      </c>
      <c r="V32" s="6">
        <f>+V30/V31</f>
        <v>2.3165785667706325</v>
      </c>
      <c r="X32" s="21"/>
      <c r="Z32" s="3">
        <f t="shared" ref="Z32:AI32" si="36">+Z30/Z31</f>
        <v>5.5994291151284488</v>
      </c>
      <c r="AA32" s="6">
        <f t="shared" si="36"/>
        <v>5.1475573280159521</v>
      </c>
      <c r="AB32" s="6">
        <f t="shared" si="36"/>
        <v>5.7486631016042784</v>
      </c>
      <c r="AC32" s="6">
        <f t="shared" si="36"/>
        <v>3.1015801354401806</v>
      </c>
      <c r="AD32" s="6">
        <f t="shared" si="36"/>
        <v>8.0570430733410952</v>
      </c>
      <c r="AE32" s="6">
        <f t="shared" si="36"/>
        <v>8.1433734939759042</v>
      </c>
      <c r="AF32" s="6">
        <f t="shared" si="36"/>
        <v>3.8895781637717119</v>
      </c>
      <c r="AG32" s="6">
        <f t="shared" si="36"/>
        <v>10.20253164556962</v>
      </c>
      <c r="AH32" s="6">
        <f>+SUM(S32:V32)</f>
        <v>10.271221406872941</v>
      </c>
      <c r="AI32" s="6">
        <f t="shared" si="36"/>
        <v>10.467914985921338</v>
      </c>
      <c r="AJ32" s="6">
        <f t="shared" ref="AJ32:AQ32" si="37">+AJ30/AJ31</f>
        <v>10.991310735217409</v>
      </c>
      <c r="AK32" s="6">
        <f t="shared" si="37"/>
        <v>11.540876271978275</v>
      </c>
      <c r="AL32" s="6">
        <f t="shared" si="37"/>
        <v>12.117920085577193</v>
      </c>
      <c r="AM32" s="6">
        <f t="shared" si="37"/>
        <v>12.723816089856061</v>
      </c>
      <c r="AN32" s="6">
        <f t="shared" si="37"/>
        <v>13.36000689434886</v>
      </c>
      <c r="AO32" s="6">
        <f t="shared" si="37"/>
        <v>14.028007239066302</v>
      </c>
      <c r="AP32" s="6">
        <f t="shared" si="37"/>
        <v>14.729407601019616</v>
      </c>
      <c r="AQ32" s="6">
        <f t="shared" si="37"/>
        <v>15.465877981070603</v>
      </c>
    </row>
    <row r="34" spans="2:56" s="7" customFormat="1">
      <c r="X34" s="14"/>
      <c r="Z34" s="3"/>
    </row>
    <row r="35" spans="2:56" s="8" customFormat="1">
      <c r="B35" s="8" t="s">
        <v>124</v>
      </c>
      <c r="G35" s="18">
        <f t="shared" ref="G35:V35" si="38">+G16/C16-1</f>
        <v>6.6474583247581709E-2</v>
      </c>
      <c r="H35" s="18">
        <f t="shared" si="38"/>
        <v>8.3583283343331427E-2</v>
      </c>
      <c r="I35" s="18">
        <f t="shared" si="38"/>
        <v>8.3300473186119772E-2</v>
      </c>
      <c r="J35" s="18">
        <f t="shared" si="38"/>
        <v>8.5067786900897557E-2</v>
      </c>
      <c r="K35" s="18">
        <f t="shared" si="38"/>
        <v>-5.2103434967194495E-3</v>
      </c>
      <c r="L35" s="18">
        <f t="shared" si="38"/>
        <v>-0.29184351356338811</v>
      </c>
      <c r="M35" s="18">
        <f t="shared" si="38"/>
        <v>-0.20365820365820364</v>
      </c>
      <c r="N35" s="18">
        <f t="shared" si="38"/>
        <v>-0.17721073471183457</v>
      </c>
      <c r="O35" s="18">
        <f t="shared" si="38"/>
        <v>-0.12085354025218231</v>
      </c>
      <c r="P35" s="18">
        <f t="shared" si="38"/>
        <v>0.33459283387622141</v>
      </c>
      <c r="Q35" s="18">
        <f t="shared" si="38"/>
        <v>0.24877156896354702</v>
      </c>
      <c r="R35" s="18">
        <f t="shared" si="38"/>
        <v>0.29879157309378668</v>
      </c>
      <c r="S35" s="18">
        <f t="shared" si="38"/>
        <v>0.29666813768755507</v>
      </c>
      <c r="T35" s="18">
        <f t="shared" si="38"/>
        <v>0.30772234696866163</v>
      </c>
      <c r="U35" s="18">
        <f t="shared" si="38"/>
        <v>0.24048316251830171</v>
      </c>
      <c r="V35" s="18">
        <f t="shared" si="38"/>
        <v>3.0709105024675498E-2</v>
      </c>
      <c r="X35" s="15"/>
      <c r="Z35" s="5"/>
      <c r="AA35" s="18">
        <f t="shared" ref="AA35:AH35" si="39">+AA16/Z16-1</f>
        <v>-4.0072540072540019E-2</v>
      </c>
      <c r="AB35" s="18">
        <f t="shared" si="39"/>
        <v>7.9834237308793909E-2</v>
      </c>
      <c r="AC35" s="18">
        <f t="shared" si="39"/>
        <v>4.0634347310796404E-2</v>
      </c>
      <c r="AD35" s="18">
        <f t="shared" si="39"/>
        <v>9.3822875427084007E-2</v>
      </c>
      <c r="AE35" s="18">
        <f t="shared" si="39"/>
        <v>7.9775893698249778E-2</v>
      </c>
      <c r="AF35" s="18">
        <f t="shared" si="39"/>
        <v>-0.17148039305721374</v>
      </c>
      <c r="AG35" s="18">
        <f t="shared" si="39"/>
        <v>0.17438412724803953</v>
      </c>
      <c r="AH35" s="18">
        <f t="shared" si="39"/>
        <v>0.20863525437764707</v>
      </c>
      <c r="AI35" s="18">
        <v>0.05</v>
      </c>
      <c r="AJ35" s="18">
        <v>0.05</v>
      </c>
      <c r="AK35" s="18">
        <v>0.05</v>
      </c>
      <c r="AL35" s="18">
        <v>0.05</v>
      </c>
      <c r="AM35" s="18">
        <v>0.05</v>
      </c>
      <c r="AN35" s="18">
        <v>0.05</v>
      </c>
      <c r="AO35" s="18">
        <v>0.05</v>
      </c>
      <c r="AP35" s="18">
        <v>0.05</v>
      </c>
      <c r="AQ35" s="18">
        <v>0.05</v>
      </c>
      <c r="AS35" s="9"/>
      <c r="AT35" s="9"/>
      <c r="AU35" s="9"/>
      <c r="AV35" s="9"/>
    </row>
    <row r="36" spans="2:56">
      <c r="AS36" s="10"/>
      <c r="AT36" s="35" t="s">
        <v>45</v>
      </c>
      <c r="AU36" s="36">
        <v>0.01</v>
      </c>
      <c r="AV36" s="37"/>
      <c r="AW36" s="37"/>
      <c r="AX36" s="37"/>
      <c r="AY36" s="37"/>
      <c r="AZ36" s="37"/>
      <c r="BA36" s="37"/>
      <c r="BB36" s="37"/>
      <c r="BC36" s="37"/>
      <c r="BD36" s="38"/>
    </row>
    <row r="37" spans="2:56">
      <c r="AS37" s="10"/>
      <c r="AT37" s="39" t="s">
        <v>46</v>
      </c>
      <c r="AU37" s="27">
        <v>0.08</v>
      </c>
      <c r="AV37" s="27">
        <v>0.06</v>
      </c>
      <c r="AW37" s="27">
        <v>6.5000000000000002E-2</v>
      </c>
      <c r="AX37" s="27">
        <v>7.0000000000000007E-2</v>
      </c>
      <c r="AY37" s="27">
        <v>7.4999999999999997E-2</v>
      </c>
      <c r="AZ37" s="27">
        <v>0.09</v>
      </c>
      <c r="BA37" s="27">
        <v>9.5000000000000001E-2</v>
      </c>
      <c r="BB37" s="28">
        <v>0.1</v>
      </c>
      <c r="BC37" s="29"/>
      <c r="BD37" s="40"/>
    </row>
    <row r="38" spans="2:56">
      <c r="B38" s="3" t="s">
        <v>49</v>
      </c>
      <c r="N38" s="3">
        <f>+N42-N53-N54</f>
        <v>-11865</v>
      </c>
      <c r="O38" s="3">
        <f t="shared" ref="O38:U38" si="40">+O42-O53-O54</f>
        <v>-3317</v>
      </c>
      <c r="P38" s="3">
        <f t="shared" si="40"/>
        <v>-8431</v>
      </c>
      <c r="Q38" s="3">
        <f t="shared" si="40"/>
        <v>-8820</v>
      </c>
      <c r="R38" s="3">
        <f t="shared" si="40"/>
        <v>-18890</v>
      </c>
      <c r="S38" s="3">
        <f t="shared" si="40"/>
        <v>-12781</v>
      </c>
      <c r="T38" s="3">
        <f t="shared" si="40"/>
        <v>-16202</v>
      </c>
      <c r="U38" s="3">
        <f t="shared" si="40"/>
        <v>-12726</v>
      </c>
      <c r="AS38" s="10"/>
      <c r="AT38" s="39" t="s">
        <v>47</v>
      </c>
      <c r="AU38" s="29">
        <f>NPV(AU37,AH30:EV30)</f>
        <v>139331.23651756116</v>
      </c>
      <c r="AV38" s="29">
        <f t="shared" ref="AV38:BB38" si="41">NPV(AV37,$AH$30:$EV$30)</f>
        <v>198653.36513426161</v>
      </c>
      <c r="AW38" s="29">
        <f t="shared" si="41"/>
        <v>179855.18151814537</v>
      </c>
      <c r="AX38" s="29">
        <f t="shared" si="41"/>
        <v>164116.97941418868</v>
      </c>
      <c r="AY38" s="29">
        <f t="shared" si="41"/>
        <v>150773.08077482271</v>
      </c>
      <c r="AZ38" s="29">
        <f t="shared" si="41"/>
        <v>120762.40277327025</v>
      </c>
      <c r="BA38" s="29">
        <f t="shared" si="41"/>
        <v>113135.35293184689</v>
      </c>
      <c r="BB38" s="29">
        <f t="shared" si="41"/>
        <v>106369.59113459302</v>
      </c>
      <c r="BC38" s="29"/>
      <c r="BD38" s="40"/>
    </row>
    <row r="39" spans="2:56">
      <c r="B39" s="3" t="s">
        <v>15</v>
      </c>
      <c r="N39" s="3">
        <v>2984</v>
      </c>
      <c r="O39" s="3">
        <v>2662</v>
      </c>
      <c r="P39" s="3">
        <v>2671</v>
      </c>
      <c r="Q39" s="3">
        <v>2944</v>
      </c>
      <c r="R39" s="3">
        <v>1292</v>
      </c>
      <c r="S39" s="3">
        <v>3011</v>
      </c>
      <c r="T39" s="3">
        <v>3304</v>
      </c>
      <c r="U39" s="3">
        <v>3012</v>
      </c>
      <c r="AS39" s="10"/>
      <c r="AT39" s="39" t="s">
        <v>49</v>
      </c>
      <c r="AU39" s="29">
        <f>+Main!F7-Main!F8</f>
        <v>-12726</v>
      </c>
      <c r="AV39" s="29"/>
      <c r="AW39" s="29"/>
      <c r="AX39" s="29"/>
      <c r="AY39" s="29"/>
      <c r="AZ39" s="29"/>
      <c r="BA39" s="29"/>
      <c r="BB39" s="29"/>
      <c r="BC39" s="29"/>
      <c r="BD39" s="40"/>
    </row>
    <row r="40" spans="2:56">
      <c r="B40" s="3" t="s">
        <v>55</v>
      </c>
      <c r="N40" s="3">
        <v>29824</v>
      </c>
      <c r="O40" s="3">
        <v>37405</v>
      </c>
      <c r="P40" s="3">
        <v>26702</v>
      </c>
      <c r="Q40" s="3">
        <v>24864</v>
      </c>
      <c r="R40" s="3">
        <v>20548</v>
      </c>
      <c r="S40" s="3">
        <v>22896</v>
      </c>
      <c r="T40" s="3">
        <v>22291</v>
      </c>
      <c r="U40" s="3">
        <v>27167</v>
      </c>
      <c r="AS40" s="10"/>
      <c r="AT40" s="39" t="s">
        <v>50</v>
      </c>
      <c r="AU40" s="30">
        <f>+AU38+AU39</f>
        <v>126605.23651756116</v>
      </c>
      <c r="AV40" s="30">
        <f>+AV38+$AU$39</f>
        <v>185927.36513426161</v>
      </c>
      <c r="AW40" s="30">
        <f t="shared" ref="AW40:AZ40" si="42">+AW38+$AU$39</f>
        <v>167129.18151814537</v>
      </c>
      <c r="AX40" s="30">
        <f t="shared" si="42"/>
        <v>151390.97941418868</v>
      </c>
      <c r="AY40" s="30">
        <f t="shared" si="42"/>
        <v>138047.08077482271</v>
      </c>
      <c r="AZ40" s="30">
        <f t="shared" si="42"/>
        <v>108036.40277327025</v>
      </c>
      <c r="BA40" s="30">
        <f>+BA38+$AU$39</f>
        <v>100409.35293184689</v>
      </c>
      <c r="BB40" s="30">
        <f>+BB38+$AU$39</f>
        <v>93643.591134593022</v>
      </c>
      <c r="BC40" s="29"/>
      <c r="BD40" s="40"/>
    </row>
    <row r="41" spans="2:56">
      <c r="B41" s="3" t="s">
        <v>56</v>
      </c>
      <c r="N41" s="3">
        <v>157</v>
      </c>
      <c r="O41" s="3">
        <v>213</v>
      </c>
      <c r="P41" s="3">
        <v>1423</v>
      </c>
      <c r="Q41" s="3">
        <v>108</v>
      </c>
      <c r="R41" s="3">
        <v>188</v>
      </c>
      <c r="S41" s="3">
        <v>1771</v>
      </c>
      <c r="T41" s="3">
        <v>682</v>
      </c>
      <c r="U41" s="3">
        <v>1003</v>
      </c>
      <c r="AA41" s="24"/>
      <c r="AS41" s="10"/>
      <c r="AT41" s="39" t="s">
        <v>13</v>
      </c>
      <c r="AU41" s="29">
        <f>+Main!F5</f>
        <v>747.23269600000003</v>
      </c>
      <c r="AV41" s="29"/>
      <c r="AW41" s="29"/>
      <c r="AX41" s="29"/>
      <c r="AY41" s="29"/>
      <c r="AZ41" s="29"/>
      <c r="BA41" s="29"/>
      <c r="BB41" s="29"/>
      <c r="BC41" s="29"/>
      <c r="BD41" s="40"/>
    </row>
    <row r="42" spans="2:56" s="5" customFormat="1">
      <c r="B42" s="5" t="s">
        <v>57</v>
      </c>
      <c r="N42" s="5">
        <f t="shared" ref="N42:U42" si="43">+SUM(N39:N41)</f>
        <v>32965</v>
      </c>
      <c r="O42" s="5">
        <f t="shared" si="43"/>
        <v>40280</v>
      </c>
      <c r="P42" s="5">
        <f t="shared" si="43"/>
        <v>30796</v>
      </c>
      <c r="Q42" s="5">
        <f t="shared" si="43"/>
        <v>27916</v>
      </c>
      <c r="R42" s="5">
        <f t="shared" si="43"/>
        <v>22028</v>
      </c>
      <c r="S42" s="5">
        <f t="shared" si="43"/>
        <v>27678</v>
      </c>
      <c r="T42" s="5">
        <f t="shared" si="43"/>
        <v>26277</v>
      </c>
      <c r="U42" s="5">
        <f t="shared" si="43"/>
        <v>31182</v>
      </c>
      <c r="X42" s="13"/>
      <c r="AS42" s="11"/>
      <c r="AT42" s="39" t="s">
        <v>48</v>
      </c>
      <c r="AU42" s="31">
        <f>+AU40/AU41</f>
        <v>169.4321423504214</v>
      </c>
      <c r="AV42" s="31">
        <f t="shared" ref="AV42:BB42" si="44">+AV40/$AU$41</f>
        <v>248.82123885845274</v>
      </c>
      <c r="AW42" s="31">
        <f t="shared" si="44"/>
        <v>223.66417103106173</v>
      </c>
      <c r="AX42" s="31">
        <f t="shared" si="44"/>
        <v>202.60218834721422</v>
      </c>
      <c r="AY42" s="31">
        <f t="shared" si="44"/>
        <v>184.74443304448593</v>
      </c>
      <c r="AZ42" s="31">
        <f t="shared" si="44"/>
        <v>144.58200685221388</v>
      </c>
      <c r="BA42" s="31">
        <f t="shared" si="44"/>
        <v>134.37494567535211</v>
      </c>
      <c r="BB42" s="31">
        <f t="shared" si="44"/>
        <v>125.3205214866468</v>
      </c>
      <c r="BC42" s="32"/>
      <c r="BD42" s="46">
        <f>AVERAGE(AU42:BB42)</f>
        <v>179.1927059557311</v>
      </c>
    </row>
    <row r="43" spans="2:56">
      <c r="B43" s="3" t="s">
        <v>58</v>
      </c>
      <c r="N43" s="3">
        <v>43434</v>
      </c>
      <c r="O43" s="3">
        <v>41800</v>
      </c>
      <c r="P43" s="3">
        <v>47512</v>
      </c>
      <c r="Q43" s="3">
        <v>48728</v>
      </c>
      <c r="R43" s="3">
        <v>53581</v>
      </c>
      <c r="S43" s="3">
        <v>53088</v>
      </c>
      <c r="T43" s="3">
        <v>55900</v>
      </c>
      <c r="U43" s="3">
        <v>55116</v>
      </c>
      <c r="AS43" s="10"/>
      <c r="AT43" s="39" t="s">
        <v>51</v>
      </c>
      <c r="AU43" s="29">
        <f>+Main!F4</f>
        <v>152.57</v>
      </c>
      <c r="AV43" s="29"/>
      <c r="AW43" s="29"/>
      <c r="AX43" s="29"/>
      <c r="AY43" s="29"/>
      <c r="AZ43" s="29"/>
      <c r="BA43" s="29"/>
      <c r="BB43" s="29"/>
      <c r="BC43" s="29"/>
      <c r="BD43" s="40"/>
    </row>
    <row r="44" spans="2:56" s="5" customFormat="1">
      <c r="B44" s="5" t="s">
        <v>32</v>
      </c>
      <c r="N44" s="5">
        <v>68029</v>
      </c>
      <c r="O44" s="5">
        <v>65633</v>
      </c>
      <c r="P44" s="5">
        <v>71775</v>
      </c>
      <c r="Q44" s="5">
        <v>73537</v>
      </c>
      <c r="R44" s="5">
        <v>85257</v>
      </c>
      <c r="S44" s="5">
        <v>85851</v>
      </c>
      <c r="T44" s="5">
        <v>92440</v>
      </c>
      <c r="U44" s="5">
        <v>95719</v>
      </c>
      <c r="V44" s="8"/>
      <c r="X44" s="13"/>
      <c r="AS44" s="11"/>
      <c r="AT44" s="39" t="s">
        <v>52</v>
      </c>
      <c r="AU44" s="33">
        <f>+AU42/AU43-1</f>
        <v>0.1105206944381032</v>
      </c>
      <c r="AV44" s="32"/>
      <c r="AW44" s="32"/>
      <c r="AX44" s="32"/>
      <c r="AY44" s="32"/>
      <c r="AZ44" s="32"/>
      <c r="BA44" s="32"/>
      <c r="BB44" s="32"/>
      <c r="BC44" s="32"/>
      <c r="BD44" s="47">
        <f>+BD42/AU43-1</f>
        <v>0.17449502494416413</v>
      </c>
    </row>
    <row r="45" spans="2:56">
      <c r="B45" s="3" t="s">
        <v>59</v>
      </c>
      <c r="N45" s="3">
        <v>2614</v>
      </c>
      <c r="O45" s="3">
        <v>2133</v>
      </c>
      <c r="P45" s="3">
        <v>2154</v>
      </c>
      <c r="Q45" s="3">
        <v>2349</v>
      </c>
      <c r="R45" s="3">
        <v>2859</v>
      </c>
      <c r="S45" s="3">
        <v>3264</v>
      </c>
      <c r="T45" s="3">
        <v>3983</v>
      </c>
      <c r="U45" s="3">
        <v>4797</v>
      </c>
      <c r="AS45" s="10"/>
      <c r="AT45" s="41"/>
      <c r="AU45" s="29"/>
      <c r="AV45" s="29"/>
      <c r="AW45" s="29"/>
      <c r="AX45" s="29"/>
      <c r="AY45" s="29"/>
      <c r="AZ45" s="29"/>
      <c r="BA45" s="29"/>
      <c r="BB45" s="29"/>
      <c r="BC45" s="29"/>
      <c r="BD45" s="40"/>
    </row>
    <row r="46" spans="2:56">
      <c r="B46" s="3" t="s">
        <v>60</v>
      </c>
      <c r="N46" s="3">
        <v>21631</v>
      </c>
      <c r="O46" s="3">
        <v>21270</v>
      </c>
      <c r="P46" s="3">
        <v>12443</v>
      </c>
      <c r="Q46" s="3">
        <v>9589</v>
      </c>
      <c r="R46" s="3">
        <v>2591</v>
      </c>
      <c r="S46" s="3">
        <v>4058</v>
      </c>
      <c r="T46" s="3">
        <v>4065</v>
      </c>
      <c r="U46" s="3">
        <v>4539</v>
      </c>
      <c r="AS46" s="10"/>
      <c r="AT46" s="41" t="s">
        <v>174</v>
      </c>
      <c r="AU46" s="34">
        <f>+Main!$F$9/Model!AG30</f>
        <v>15.723485412992556</v>
      </c>
      <c r="AV46" s="29"/>
      <c r="AW46" s="29"/>
      <c r="AX46" s="29"/>
      <c r="AY46" s="29"/>
      <c r="AZ46" s="29"/>
      <c r="BA46" s="29"/>
      <c r="BB46" s="29"/>
      <c r="BC46" s="29"/>
      <c r="BD46" s="40"/>
    </row>
    <row r="47" spans="2:56">
      <c r="B47" s="3" t="s">
        <v>61</v>
      </c>
      <c r="N47" s="3">
        <v>5015</v>
      </c>
      <c r="O47" s="3">
        <v>4943</v>
      </c>
      <c r="P47" s="3">
        <v>4891</v>
      </c>
      <c r="Q47" s="3">
        <v>4960</v>
      </c>
      <c r="R47" s="3">
        <v>4988</v>
      </c>
      <c r="S47" s="3">
        <v>5046</v>
      </c>
      <c r="T47" s="3">
        <v>5093</v>
      </c>
      <c r="U47" s="3">
        <v>5095</v>
      </c>
      <c r="AS47" s="10"/>
      <c r="AT47" s="41" t="s">
        <v>172</v>
      </c>
      <c r="AU47" s="34">
        <f>+Main!$F$9/Model!AH30</f>
        <v>16.396606073774311</v>
      </c>
      <c r="AV47" s="29"/>
      <c r="AW47" s="29"/>
      <c r="AX47" s="29"/>
      <c r="AY47" s="29"/>
      <c r="AZ47" s="29"/>
      <c r="BA47" s="29"/>
      <c r="BB47" s="29"/>
      <c r="BC47" s="29"/>
      <c r="BD47" s="40"/>
    </row>
    <row r="48" spans="2:56">
      <c r="B48" s="3" t="s">
        <v>62</v>
      </c>
      <c r="N48" s="3">
        <v>17679</v>
      </c>
      <c r="O48" s="3">
        <v>17008</v>
      </c>
      <c r="P48" s="3">
        <v>17402</v>
      </c>
      <c r="Q48" s="3">
        <v>17182</v>
      </c>
      <c r="R48" s="3">
        <v>17244</v>
      </c>
      <c r="S48" s="3">
        <v>16877</v>
      </c>
      <c r="T48" s="3">
        <v>17540</v>
      </c>
      <c r="U48" s="3">
        <v>18467</v>
      </c>
      <c r="AT48" s="42" t="s">
        <v>173</v>
      </c>
      <c r="AU48" s="43">
        <f>+Main!$F$9/Model!AI30</f>
        <v>16.088511564291295</v>
      </c>
      <c r="AV48" s="44"/>
      <c r="AW48" s="44"/>
      <c r="AX48" s="44"/>
      <c r="AY48" s="44"/>
      <c r="AZ48" s="44"/>
      <c r="BA48" s="44"/>
      <c r="BB48" s="44"/>
      <c r="BC48" s="44"/>
      <c r="BD48" s="45"/>
    </row>
    <row r="49" spans="2:24" s="5" customFormat="1">
      <c r="B49" s="5" t="s">
        <v>63</v>
      </c>
      <c r="N49" s="5">
        <f t="shared" ref="N49:U49" si="45">+SUM(N42:N48)</f>
        <v>191367</v>
      </c>
      <c r="O49" s="5">
        <f t="shared" si="45"/>
        <v>193067</v>
      </c>
      <c r="P49" s="5">
        <f t="shared" si="45"/>
        <v>186973</v>
      </c>
      <c r="Q49" s="5">
        <f t="shared" si="45"/>
        <v>184261</v>
      </c>
      <c r="R49" s="5">
        <f t="shared" si="45"/>
        <v>188548</v>
      </c>
      <c r="S49" s="5">
        <f t="shared" si="45"/>
        <v>195862</v>
      </c>
      <c r="T49" s="5">
        <f t="shared" si="45"/>
        <v>205298</v>
      </c>
      <c r="U49" s="5">
        <f t="shared" si="45"/>
        <v>214915</v>
      </c>
      <c r="X49" s="13"/>
    </row>
    <row r="51" spans="2:24">
      <c r="B51" s="3" t="s">
        <v>64</v>
      </c>
      <c r="N51" s="3">
        <v>86875</v>
      </c>
      <c r="O51" s="3">
        <v>89193</v>
      </c>
      <c r="P51" s="3">
        <v>84905</v>
      </c>
      <c r="Q51" s="3">
        <v>84326</v>
      </c>
      <c r="R51" s="3">
        <v>84382</v>
      </c>
      <c r="S51" s="3">
        <v>90917</v>
      </c>
      <c r="T51" s="3">
        <v>96411</v>
      </c>
      <c r="U51" s="3">
        <v>103463</v>
      </c>
    </row>
    <row r="52" spans="2:24">
      <c r="B52" s="3" t="s">
        <v>65</v>
      </c>
      <c r="N52" s="3">
        <v>9444</v>
      </c>
      <c r="O52" s="3">
        <v>8585</v>
      </c>
      <c r="P52" s="3">
        <v>9708</v>
      </c>
      <c r="Q52" s="3">
        <v>9641</v>
      </c>
      <c r="R52" s="3">
        <v>10574</v>
      </c>
      <c r="S52" s="3">
        <v>11196</v>
      </c>
      <c r="T52" s="3">
        <v>11371</v>
      </c>
      <c r="U52" s="3">
        <v>11021</v>
      </c>
    </row>
    <row r="53" spans="2:24">
      <c r="B53" s="3" t="s">
        <v>66</v>
      </c>
      <c r="N53" s="3">
        <v>1878</v>
      </c>
      <c r="O53" s="3">
        <v>1578</v>
      </c>
      <c r="P53" s="3">
        <v>1864</v>
      </c>
      <c r="Q53" s="3">
        <v>2253</v>
      </c>
      <c r="R53" s="3">
        <v>2243</v>
      </c>
      <c r="S53" s="3">
        <v>2122</v>
      </c>
      <c r="T53" s="3">
        <v>1984</v>
      </c>
      <c r="U53" s="3">
        <v>1515</v>
      </c>
    </row>
    <row r="54" spans="2:24">
      <c r="B54" s="3" t="s">
        <v>67</v>
      </c>
      <c r="N54" s="3">
        <v>42952</v>
      </c>
      <c r="O54" s="3">
        <v>42019</v>
      </c>
      <c r="P54" s="3">
        <v>37363</v>
      </c>
      <c r="Q54" s="3">
        <v>34483</v>
      </c>
      <c r="R54" s="3">
        <v>38675</v>
      </c>
      <c r="S54" s="3">
        <v>38337</v>
      </c>
      <c r="T54" s="3">
        <v>40495</v>
      </c>
      <c r="U54" s="3">
        <v>42393</v>
      </c>
    </row>
    <row r="55" spans="2:24">
      <c r="B55" s="3" t="s">
        <v>68</v>
      </c>
      <c r="N55" s="3">
        <v>27234</v>
      </c>
      <c r="O55" s="3">
        <v>27243</v>
      </c>
      <c r="P55" s="3">
        <v>27594</v>
      </c>
      <c r="Q55" s="3">
        <v>29132</v>
      </c>
      <c r="R55" s="3">
        <v>30497</v>
      </c>
      <c r="S55" s="3">
        <v>30907</v>
      </c>
      <c r="T55" s="3">
        <v>31802</v>
      </c>
      <c r="U55" s="3">
        <v>32583</v>
      </c>
    </row>
    <row r="56" spans="2:24" s="5" customFormat="1">
      <c r="B56" s="5" t="s">
        <v>69</v>
      </c>
      <c r="N56" s="5">
        <f t="shared" ref="N56:U56" si="46">+SUM(N51:N55)</f>
        <v>168383</v>
      </c>
      <c r="O56" s="5">
        <f t="shared" si="46"/>
        <v>168618</v>
      </c>
      <c r="P56" s="5">
        <f t="shared" si="46"/>
        <v>161434</v>
      </c>
      <c r="Q56" s="5">
        <f t="shared" si="46"/>
        <v>159835</v>
      </c>
      <c r="R56" s="5">
        <f t="shared" si="46"/>
        <v>166371</v>
      </c>
      <c r="S56" s="5">
        <f t="shared" si="46"/>
        <v>173479</v>
      </c>
      <c r="T56" s="5">
        <f t="shared" si="46"/>
        <v>182063</v>
      </c>
      <c r="U56" s="5">
        <f t="shared" si="46"/>
        <v>190975</v>
      </c>
      <c r="X56" s="13"/>
    </row>
    <row r="57" spans="2:24">
      <c r="B57" s="3" t="s">
        <v>70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2:24">
      <c r="B58" s="3" t="s">
        <v>71</v>
      </c>
      <c r="N58" s="3">
        <v>161</v>
      </c>
      <c r="O58" s="3">
        <v>161</v>
      </c>
      <c r="P58" s="3">
        <v>160</v>
      </c>
      <c r="Q58" s="3">
        <v>156</v>
      </c>
      <c r="R58" s="3">
        <v>153</v>
      </c>
      <c r="S58" s="3">
        <v>151</v>
      </c>
      <c r="T58" s="3">
        <v>151</v>
      </c>
      <c r="U58" s="3">
        <v>150</v>
      </c>
    </row>
    <row r="59" spans="2:24">
      <c r="B59" s="3" t="s">
        <v>72</v>
      </c>
      <c r="N59" s="3">
        <v>11881</v>
      </c>
      <c r="O59" s="3">
        <v>11878</v>
      </c>
      <c r="P59" s="3">
        <v>11858</v>
      </c>
      <c r="Q59" s="3">
        <v>12401</v>
      </c>
      <c r="R59" s="3">
        <v>11495</v>
      </c>
      <c r="S59" s="3">
        <v>11451</v>
      </c>
      <c r="T59" s="3">
        <v>11476</v>
      </c>
      <c r="U59" s="3">
        <v>11482</v>
      </c>
    </row>
    <row r="60" spans="2:24">
      <c r="B60" s="3" t="s">
        <v>73</v>
      </c>
      <c r="N60" s="3">
        <v>13837</v>
      </c>
      <c r="O60" s="3">
        <v>15308</v>
      </c>
      <c r="P60" s="3">
        <v>16402</v>
      </c>
      <c r="Q60" s="3">
        <v>14832</v>
      </c>
      <c r="R60" s="3">
        <v>13474</v>
      </c>
      <c r="S60" s="3">
        <v>13754</v>
      </c>
      <c r="T60" s="3">
        <v>14751</v>
      </c>
      <c r="U60" s="3">
        <v>15685</v>
      </c>
    </row>
    <row r="61" spans="2:24">
      <c r="B61" s="3" t="s">
        <v>74</v>
      </c>
      <c r="N61" s="3">
        <v>65</v>
      </c>
      <c r="O61" s="3">
        <v>53</v>
      </c>
      <c r="P61" s="3">
        <v>42</v>
      </c>
      <c r="Q61" s="3">
        <v>34</v>
      </c>
      <c r="R61" s="3">
        <v>23</v>
      </c>
      <c r="S61" s="3">
        <v>0</v>
      </c>
      <c r="T61" s="3">
        <v>0</v>
      </c>
      <c r="U61" s="3">
        <v>0</v>
      </c>
    </row>
    <row r="62" spans="2:24">
      <c r="B62" s="3" t="s">
        <v>75</v>
      </c>
      <c r="N62" s="3">
        <v>-2229</v>
      </c>
      <c r="O62" s="3">
        <v>-2246</v>
      </c>
      <c r="P62" s="3">
        <v>-2227</v>
      </c>
      <c r="Q62" s="3">
        <v>-2310</v>
      </c>
      <c r="R62" s="3">
        <v>-2392</v>
      </c>
      <c r="S62" s="3">
        <v>0</v>
      </c>
      <c r="T62" s="3">
        <v>0</v>
      </c>
      <c r="U62" s="3">
        <v>0</v>
      </c>
    </row>
    <row r="63" spans="2:24">
      <c r="B63" s="3" t="s">
        <v>76</v>
      </c>
      <c r="N63" s="3">
        <v>-731</v>
      </c>
      <c r="O63" s="3">
        <v>-705</v>
      </c>
      <c r="P63" s="3">
        <v>-696</v>
      </c>
      <c r="Q63" s="3">
        <v>-687</v>
      </c>
      <c r="R63" s="3">
        <v>-576</v>
      </c>
      <c r="S63" s="3">
        <v>0</v>
      </c>
      <c r="T63" s="3">
        <v>0</v>
      </c>
      <c r="U63" s="3">
        <v>0</v>
      </c>
    </row>
    <row r="64" spans="2:24">
      <c r="B64" s="3" t="s">
        <v>116</v>
      </c>
      <c r="N64" s="3">
        <f>+SUM(N61:N63)</f>
        <v>-2895</v>
      </c>
      <c r="O64" s="3">
        <f t="shared" ref="O64:R64" si="47">+SUM(O61:O63)</f>
        <v>-2898</v>
      </c>
      <c r="P64" s="3">
        <f t="shared" si="47"/>
        <v>-2881</v>
      </c>
      <c r="Q64" s="3">
        <f t="shared" si="47"/>
        <v>-2963</v>
      </c>
      <c r="R64" s="3">
        <f t="shared" si="47"/>
        <v>-2945</v>
      </c>
      <c r="S64" s="3">
        <v>-2973</v>
      </c>
      <c r="T64" s="3">
        <v>-3143</v>
      </c>
      <c r="U64" s="3">
        <v>-3377</v>
      </c>
    </row>
    <row r="65" spans="2:26">
      <c r="B65" s="3" t="s">
        <v>53</v>
      </c>
      <c r="N65" s="3">
        <f>+SUM(N57:N63)</f>
        <v>22984</v>
      </c>
      <c r="O65" s="3">
        <f>+SUM(O57:O63)</f>
        <v>24449</v>
      </c>
      <c r="P65" s="3">
        <f>+SUM(P57:P63)</f>
        <v>25539</v>
      </c>
      <c r="Q65" s="3">
        <f>+SUM(Q57:Q63)</f>
        <v>24426</v>
      </c>
      <c r="R65" s="3">
        <f>+SUM(R57:R63)</f>
        <v>22177</v>
      </c>
      <c r="S65" s="3">
        <f>+SUM(S57:S64)</f>
        <v>22383</v>
      </c>
      <c r="T65" s="3">
        <f>+SUM(T57:T64)</f>
        <v>23235</v>
      </c>
      <c r="U65" s="3">
        <f>+SUM(U57:U64)</f>
        <v>23940</v>
      </c>
    </row>
    <row r="66" spans="2:26" s="5" customFormat="1">
      <c r="B66" s="5" t="s">
        <v>54</v>
      </c>
      <c r="N66" s="5">
        <f t="shared" ref="N66:U66" si="48">+N56+N65</f>
        <v>191367</v>
      </c>
      <c r="O66" s="5">
        <f t="shared" si="48"/>
        <v>193067</v>
      </c>
      <c r="P66" s="5">
        <f t="shared" si="48"/>
        <v>186973</v>
      </c>
      <c r="Q66" s="5">
        <f t="shared" si="48"/>
        <v>184261</v>
      </c>
      <c r="R66" s="5">
        <f t="shared" si="48"/>
        <v>188548</v>
      </c>
      <c r="S66" s="5">
        <f t="shared" si="48"/>
        <v>195862</v>
      </c>
      <c r="T66" s="5">
        <f t="shared" si="48"/>
        <v>205298</v>
      </c>
      <c r="U66" s="5">
        <f t="shared" si="48"/>
        <v>214915</v>
      </c>
      <c r="X66" s="13"/>
    </row>
    <row r="67" spans="2:26" s="5" customFormat="1">
      <c r="X67" s="13"/>
    </row>
    <row r="68" spans="2:26" s="5" customFormat="1">
      <c r="B68" s="5" t="s">
        <v>139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N68" s="19">
        <v>73373</v>
      </c>
      <c r="O68" s="19">
        <v>70100</v>
      </c>
      <c r="P68" s="19">
        <v>75710</v>
      </c>
      <c r="Q68" s="19">
        <f>+Q44+Q69</f>
        <v>77026</v>
      </c>
      <c r="R68" s="19">
        <f>+R44+R69</f>
        <v>88562</v>
      </c>
      <c r="S68" s="19">
        <v>88832</v>
      </c>
      <c r="T68" s="19">
        <v>95437</v>
      </c>
      <c r="U68" s="19">
        <v>99038</v>
      </c>
      <c r="X68" s="13"/>
    </row>
    <row r="69" spans="2:26" s="19" customFormat="1">
      <c r="B69" s="19" t="s">
        <v>140</v>
      </c>
      <c r="N69" s="19">
        <v>5344</v>
      </c>
      <c r="O69" s="19">
        <f>+O68-O44</f>
        <v>4467</v>
      </c>
      <c r="P69" s="19">
        <f>+P68-P44</f>
        <v>3935</v>
      </c>
      <c r="Q69" s="19">
        <v>3489</v>
      </c>
      <c r="R69" s="19">
        <v>3305</v>
      </c>
      <c r="S69" s="19">
        <f>+S68-S44</f>
        <v>2981</v>
      </c>
      <c r="T69" s="19">
        <f>+T68-T44</f>
        <v>2997</v>
      </c>
      <c r="U69" s="19">
        <f>+U68-U44</f>
        <v>3319</v>
      </c>
      <c r="X69" s="20"/>
    </row>
    <row r="70" spans="2:26" s="8" customFormat="1">
      <c r="B70" s="8" t="s">
        <v>141</v>
      </c>
      <c r="R70" s="8">
        <f>+R68/N68-1</f>
        <v>0.20701075327436524</v>
      </c>
      <c r="S70" s="8">
        <f>+S68/O68-1</f>
        <v>0.26721825962910128</v>
      </c>
      <c r="T70" s="8">
        <f>+T68/P68-1</f>
        <v>0.26056003169990749</v>
      </c>
      <c r="U70" s="8">
        <f>+U68/P68-1</f>
        <v>0.30812310130762111</v>
      </c>
      <c r="X70" s="15"/>
      <c r="Z70" s="5"/>
    </row>
    <row r="71" spans="2:26" s="5" customFormat="1">
      <c r="X71" s="13"/>
    </row>
    <row r="72" spans="2:26" s="7" customFormat="1">
      <c r="B72" s="7" t="s">
        <v>81</v>
      </c>
      <c r="N72" s="7">
        <f t="shared" ref="N72:U72" si="49">SUM(K30:N30)/N65</f>
        <v>0.13639923424991299</v>
      </c>
      <c r="O72" s="7">
        <f t="shared" si="49"/>
        <v>0.20463004621865924</v>
      </c>
      <c r="P72" s="7">
        <f t="shared" si="49"/>
        <v>0.27510865734758605</v>
      </c>
      <c r="Q72" s="7">
        <f t="shared" si="49"/>
        <v>0.31847211987226726</v>
      </c>
      <c r="R72" s="7">
        <f t="shared" si="49"/>
        <v>0.36343959958515581</v>
      </c>
      <c r="S72" s="7">
        <f t="shared" si="49"/>
        <v>0.35634186659518385</v>
      </c>
      <c r="T72" s="7">
        <f t="shared" si="49"/>
        <v>0.3296750591779643</v>
      </c>
      <c r="U72" s="7">
        <f t="shared" si="49"/>
        <v>0.32218045112781957</v>
      </c>
      <c r="X72" s="14"/>
      <c r="Z72" s="3"/>
    </row>
    <row r="73" spans="2:26">
      <c r="B73" s="3" t="s">
        <v>83</v>
      </c>
      <c r="N73" s="3">
        <f t="shared" ref="N73:U73" si="50">+N49-N56</f>
        <v>22984</v>
      </c>
      <c r="O73" s="3">
        <f t="shared" si="50"/>
        <v>24449</v>
      </c>
      <c r="P73" s="3">
        <f t="shared" si="50"/>
        <v>25539</v>
      </c>
      <c r="Q73" s="3">
        <f t="shared" si="50"/>
        <v>24426</v>
      </c>
      <c r="R73" s="3">
        <f t="shared" si="50"/>
        <v>22177</v>
      </c>
      <c r="S73" s="3">
        <f t="shared" si="50"/>
        <v>22383</v>
      </c>
      <c r="T73" s="3">
        <f t="shared" si="50"/>
        <v>23235</v>
      </c>
      <c r="U73" s="3">
        <f t="shared" si="50"/>
        <v>23940</v>
      </c>
    </row>
    <row r="75" spans="2:26">
      <c r="B75" s="3" t="s">
        <v>42</v>
      </c>
      <c r="O75" s="3">
        <v>2235</v>
      </c>
      <c r="P75" s="3">
        <f>4515-O75</f>
        <v>2280</v>
      </c>
      <c r="Q75" s="3">
        <f>6341-SUM(O75:P75)</f>
        <v>1826</v>
      </c>
      <c r="R75" s="3">
        <f>8060-SUM(O75:Q75)</f>
        <v>1719</v>
      </c>
      <c r="S75" s="3">
        <v>2099</v>
      </c>
      <c r="T75" s="3">
        <f>4063-S75</f>
        <v>1964</v>
      </c>
      <c r="U75" s="3">
        <f>5942-SUM(S75:T75)</f>
        <v>1879</v>
      </c>
    </row>
    <row r="76" spans="2:26">
      <c r="B76" s="3" t="s">
        <v>84</v>
      </c>
      <c r="O76" s="3">
        <v>-675</v>
      </c>
      <c r="P76" s="3">
        <f>+-1281-O76</f>
        <v>-606</v>
      </c>
      <c r="Q76" s="3">
        <f>-1472-SUM(O76:P76)</f>
        <v>-191</v>
      </c>
      <c r="R76" s="3">
        <f>+-1419-SUM(O76:Q76)</f>
        <v>53</v>
      </c>
      <c r="S76" s="3">
        <v>-33</v>
      </c>
      <c r="T76" s="3">
        <f>377-S76</f>
        <v>410</v>
      </c>
      <c r="U76" s="3">
        <f>1155-SUM(S76:T76)</f>
        <v>778</v>
      </c>
    </row>
    <row r="77" spans="2:26">
      <c r="B77" s="3" t="s">
        <v>85</v>
      </c>
      <c r="O77" s="3">
        <v>422</v>
      </c>
      <c r="P77" s="3">
        <f>834-O77</f>
        <v>412</v>
      </c>
      <c r="Q77" s="3">
        <f>1276-SUM(O77:P77)</f>
        <v>442</v>
      </c>
      <c r="R77" s="3">
        <f>1695-SUM(O77:Q77)</f>
        <v>419</v>
      </c>
      <c r="S77" s="3">
        <v>398</v>
      </c>
      <c r="T77" s="3">
        <f>795-S77</f>
        <v>397</v>
      </c>
      <c r="U77" s="3">
        <f>1208-SUM(S77:T77)</f>
        <v>413</v>
      </c>
    </row>
    <row r="78" spans="2:26">
      <c r="B78" s="3" t="s">
        <v>86</v>
      </c>
      <c r="O78" s="3">
        <v>98</v>
      </c>
      <c r="P78" s="3">
        <f>+-294-O78</f>
        <v>-392</v>
      </c>
      <c r="Q78" s="3">
        <f>256-SUM(O78:P78)</f>
        <v>550</v>
      </c>
      <c r="R78" s="3">
        <f>330-SUM(O78:Q78)</f>
        <v>74</v>
      </c>
      <c r="S78" s="3">
        <v>122</v>
      </c>
      <c r="T78" s="3">
        <f>198-S78</f>
        <v>76</v>
      </c>
      <c r="U78" s="3">
        <f>282-SUM(S78:T78)</f>
        <v>84</v>
      </c>
    </row>
    <row r="79" spans="2:26">
      <c r="B79" s="3" t="s">
        <v>87</v>
      </c>
      <c r="O79" s="3">
        <v>-81</v>
      </c>
      <c r="P79" s="3">
        <f>183-O79</f>
        <v>264</v>
      </c>
      <c r="Q79" s="3">
        <f>+-446-SUM(O79:P79)</f>
        <v>-629</v>
      </c>
      <c r="R79" s="3">
        <f>294-SUM(O79:Q79)</f>
        <v>740</v>
      </c>
      <c r="S79" s="3">
        <v>-69</v>
      </c>
      <c r="T79" s="3">
        <f>+-402-S79</f>
        <v>-333</v>
      </c>
      <c r="U79" s="3">
        <f>+-749-SUM(S79:T79)</f>
        <v>-347</v>
      </c>
    </row>
    <row r="80" spans="2:26">
      <c r="B80" s="3" t="s">
        <v>88</v>
      </c>
      <c r="O80" s="3">
        <v>0</v>
      </c>
      <c r="P80" s="3">
        <f>0-O80</f>
        <v>0</v>
      </c>
      <c r="Q80" s="3">
        <v>0</v>
      </c>
      <c r="R80" s="3">
        <f>+-772-SUM(O80:Q80)</f>
        <v>-772</v>
      </c>
      <c r="S80" s="3">
        <v>-47</v>
      </c>
      <c r="T80" s="3">
        <f>128-S80</f>
        <v>175</v>
      </c>
      <c r="U80" s="3">
        <f>535-SUM(S80:T80)</f>
        <v>407</v>
      </c>
    </row>
    <row r="81" spans="2:33">
      <c r="B81" s="3" t="s">
        <v>89</v>
      </c>
      <c r="O81" s="3">
        <v>477</v>
      </c>
      <c r="P81" s="3">
        <f>282-O81</f>
        <v>-195</v>
      </c>
      <c r="Q81" s="3">
        <f>863-SUM(O81:P81)</f>
        <v>581</v>
      </c>
      <c r="R81" s="3">
        <f>1068-SUM(O81:Q81)</f>
        <v>205</v>
      </c>
      <c r="S81" s="3">
        <v>323</v>
      </c>
      <c r="T81" s="3">
        <f>+-90-S81</f>
        <v>-413</v>
      </c>
      <c r="U81" s="3">
        <f>+-185-SUM(S81:T81)</f>
        <v>-95</v>
      </c>
    </row>
    <row r="82" spans="2:33">
      <c r="B82" s="3" t="s">
        <v>117</v>
      </c>
      <c r="S82" s="3">
        <v>0</v>
      </c>
      <c r="T82" s="3">
        <f>88-S82</f>
        <v>88</v>
      </c>
      <c r="U82" s="3">
        <f>180-SUM(S82:T82)</f>
        <v>92</v>
      </c>
    </row>
    <row r="83" spans="2:33">
      <c r="B83" s="3" t="s">
        <v>118</v>
      </c>
      <c r="S83" s="3">
        <v>0</v>
      </c>
      <c r="T83" s="3">
        <f>246-S83</f>
        <v>246</v>
      </c>
      <c r="U83" s="3">
        <f>409-SUM(S83:T83)</f>
        <v>163</v>
      </c>
    </row>
    <row r="84" spans="2:33">
      <c r="B84" s="3" t="s">
        <v>90</v>
      </c>
      <c r="O84" s="3">
        <f>+-196</f>
        <v>-196</v>
      </c>
      <c r="P84" s="3">
        <f>1226-O84</f>
        <v>1422</v>
      </c>
      <c r="Q84" s="3">
        <f>2819-SUM(O84:P84)</f>
        <v>1593</v>
      </c>
      <c r="R84" s="3">
        <f>5389-SUM(O84:Q84)</f>
        <v>2570</v>
      </c>
      <c r="S84" s="3">
        <v>1087</v>
      </c>
      <c r="T84" s="3">
        <f>2736-S84</f>
        <v>1649</v>
      </c>
      <c r="U84" s="3">
        <f>3870-SUM(S84:T84)</f>
        <v>1134</v>
      </c>
    </row>
    <row r="85" spans="2:33" s="5" customFormat="1">
      <c r="B85" s="5" t="s">
        <v>91</v>
      </c>
      <c r="O85" s="5">
        <f t="shared" ref="O85:U85" si="51">+SUM(O75:O84)</f>
        <v>2280</v>
      </c>
      <c r="P85" s="5">
        <f t="shared" si="51"/>
        <v>3185</v>
      </c>
      <c r="Q85" s="5">
        <f t="shared" si="51"/>
        <v>4172</v>
      </c>
      <c r="R85" s="5">
        <f t="shared" si="51"/>
        <v>5008</v>
      </c>
      <c r="S85" s="5">
        <f t="shared" si="51"/>
        <v>3880</v>
      </c>
      <c r="T85" s="5">
        <f t="shared" si="51"/>
        <v>4259</v>
      </c>
      <c r="U85" s="5">
        <f t="shared" si="51"/>
        <v>4508</v>
      </c>
      <c r="X85" s="13"/>
      <c r="AG85" s="3"/>
    </row>
    <row r="87" spans="2:33">
      <c r="B87" s="3" t="s">
        <v>92</v>
      </c>
      <c r="O87" s="3">
        <v>37</v>
      </c>
      <c r="P87" s="3">
        <f>37-O87</f>
        <v>0</v>
      </c>
      <c r="Q87" s="3">
        <f>37-SUM(O87:P87)</f>
        <v>0</v>
      </c>
      <c r="R87" s="3">
        <f>62-SUM(O87:Q87)</f>
        <v>25</v>
      </c>
      <c r="S87" s="3">
        <v>16</v>
      </c>
      <c r="T87" s="3">
        <f>16-S87</f>
        <v>0</v>
      </c>
      <c r="U87" s="3">
        <f>25-SUM(S87:T87)</f>
        <v>9</v>
      </c>
    </row>
    <row r="88" spans="2:33">
      <c r="B88" s="3" t="s">
        <v>93</v>
      </c>
      <c r="O88" s="3">
        <v>553</v>
      </c>
      <c r="P88" s="3">
        <f>9684-O88</f>
        <v>9131</v>
      </c>
      <c r="Q88" s="3">
        <f>12803-SUM(O88:P88)</f>
        <v>3119</v>
      </c>
      <c r="R88" s="3">
        <f>20032-SUM(O88:Q88)</f>
        <v>7229</v>
      </c>
      <c r="S88" s="3">
        <v>767</v>
      </c>
      <c r="T88" s="3">
        <f>1096-S88</f>
        <v>329</v>
      </c>
      <c r="U88" s="3">
        <f>1738-SUM(S88:T88)</f>
        <v>642</v>
      </c>
    </row>
    <row r="89" spans="2:33">
      <c r="B89" s="3" t="s">
        <v>94</v>
      </c>
      <c r="O89" s="3">
        <v>-366</v>
      </c>
      <c r="P89" s="3">
        <f>+-824-O89</f>
        <v>-458</v>
      </c>
      <c r="Q89" s="3">
        <f>+-1179-SUM(O89:P89)</f>
        <v>-355</v>
      </c>
      <c r="R89" s="3">
        <f>+-1517-SUM(O89:Q89)</f>
        <v>-338</v>
      </c>
      <c r="S89" s="3">
        <v>-2328</v>
      </c>
      <c r="T89" s="3">
        <f>+-2674-S89</f>
        <v>-346</v>
      </c>
      <c r="U89" s="3">
        <f>+-3890-SUM(S89:T89)</f>
        <v>-1216</v>
      </c>
    </row>
    <row r="90" spans="2:33">
      <c r="B90" s="3" t="s">
        <v>95</v>
      </c>
      <c r="O90" s="3">
        <v>4869</v>
      </c>
      <c r="P90" s="3">
        <f>+-6280-O90</f>
        <v>-11149</v>
      </c>
      <c r="Q90" s="3">
        <f>+-9790-SUM(O90:P90)</f>
        <v>-3510</v>
      </c>
      <c r="R90" s="3">
        <f>+-27557-SUM(O90:Q90)</f>
        <v>-17767</v>
      </c>
      <c r="S90" s="3">
        <v>-785</v>
      </c>
      <c r="T90" s="3">
        <f>+-12916-S90</f>
        <v>-12131</v>
      </c>
      <c r="U90" s="3">
        <f>-19431-SUM(S90:T90)</f>
        <v>-6515</v>
      </c>
    </row>
    <row r="91" spans="2:33">
      <c r="B91" s="3" t="s">
        <v>96</v>
      </c>
      <c r="O91" s="3">
        <v>-319</v>
      </c>
      <c r="P91" s="3">
        <f>+-609-O91</f>
        <v>-290</v>
      </c>
      <c r="Q91" s="3">
        <f>+-1079-SUM(O91:P91)</f>
        <v>-470</v>
      </c>
      <c r="R91" s="3">
        <f>+-1550-SUM(O91:Q91)</f>
        <v>-471</v>
      </c>
      <c r="S91" s="3">
        <v>-447</v>
      </c>
      <c r="T91" s="3">
        <f>+-899-S91</f>
        <v>-452</v>
      </c>
      <c r="U91" s="3">
        <f>+-1342-SUM(S91:T91)</f>
        <v>-443</v>
      </c>
    </row>
    <row r="92" spans="2:33">
      <c r="B92" s="3" t="s">
        <v>97</v>
      </c>
      <c r="O92" s="3">
        <v>0</v>
      </c>
      <c r="P92" s="3">
        <f>0-O92</f>
        <v>0</v>
      </c>
      <c r="Q92" s="3">
        <v>0</v>
      </c>
      <c r="R92" s="3">
        <f>1-SUM(O92:Q92)</f>
        <v>1</v>
      </c>
      <c r="S92" s="3">
        <v>0</v>
      </c>
      <c r="T92" s="3">
        <f>+-15-S92</f>
        <v>-15</v>
      </c>
      <c r="U92" s="3">
        <f>+-15-SUM(S92:T92)</f>
        <v>0</v>
      </c>
    </row>
    <row r="93" spans="2:33">
      <c r="B93" s="3" t="s">
        <v>98</v>
      </c>
      <c r="O93" s="3">
        <v>0</v>
      </c>
      <c r="P93" s="3">
        <f>1-O93</f>
        <v>1</v>
      </c>
      <c r="Q93" s="3">
        <f>1-SUM(O93:P93)</f>
        <v>0</v>
      </c>
      <c r="R93" s="3">
        <f>0-SUM(O93:Q93)</f>
        <v>-1</v>
      </c>
      <c r="S93" s="3">
        <v>0</v>
      </c>
      <c r="T93" s="3">
        <v>0</v>
      </c>
      <c r="U93" s="3">
        <v>0</v>
      </c>
    </row>
    <row r="94" spans="2:33" s="5" customFormat="1">
      <c r="B94" s="5" t="s">
        <v>99</v>
      </c>
      <c r="O94" s="5">
        <f t="shared" ref="O94:U94" si="52">+SUM(O87:O93)</f>
        <v>4774</v>
      </c>
      <c r="P94" s="5">
        <f t="shared" si="52"/>
        <v>-2765</v>
      </c>
      <c r="Q94" s="5">
        <f t="shared" si="52"/>
        <v>-1216</v>
      </c>
      <c r="R94" s="5">
        <f t="shared" si="52"/>
        <v>-11322</v>
      </c>
      <c r="S94" s="5">
        <f t="shared" si="52"/>
        <v>-2777</v>
      </c>
      <c r="T94" s="5">
        <f t="shared" si="52"/>
        <v>-12615</v>
      </c>
      <c r="U94" s="5">
        <f t="shared" si="52"/>
        <v>-7523</v>
      </c>
      <c r="X94" s="13"/>
      <c r="AG94" s="3"/>
    </row>
    <row r="96" spans="2:33">
      <c r="B96" s="3" t="s">
        <v>100</v>
      </c>
      <c r="O96" s="3">
        <v>2327</v>
      </c>
      <c r="P96" s="3">
        <f>+-1966-O96</f>
        <v>-4293</v>
      </c>
      <c r="Q96" s="3">
        <f>-2534-SUM(O96:P96)</f>
        <v>-568</v>
      </c>
      <c r="R96" s="3">
        <f>+-2468-SUM(O96:Q96)</f>
        <v>66</v>
      </c>
      <c r="S96" s="3">
        <v>6541</v>
      </c>
      <c r="T96" s="3">
        <f>12060-S96</f>
        <v>5519</v>
      </c>
      <c r="U96" s="3">
        <f>19148-SUM(S96:T96)</f>
        <v>7088</v>
      </c>
    </row>
    <row r="97" spans="2:33">
      <c r="B97" s="3" t="s">
        <v>66</v>
      </c>
      <c r="O97" s="3">
        <v>-271</v>
      </c>
      <c r="P97" s="3">
        <f>17-O97</f>
        <v>288</v>
      </c>
      <c r="Q97" s="3">
        <f>428-SUM(O97:P97)</f>
        <v>411</v>
      </c>
      <c r="R97" s="3">
        <f>461-SUM(O97:Q97)</f>
        <v>33</v>
      </c>
      <c r="S97" s="3">
        <v>-59</v>
      </c>
      <c r="T97" s="3">
        <f>+-63-S97</f>
        <v>-4</v>
      </c>
      <c r="U97" s="3">
        <f>+-438-SUM(S97:T97)</f>
        <v>-375</v>
      </c>
    </row>
    <row r="98" spans="2:33">
      <c r="B98" s="3" t="s">
        <v>101</v>
      </c>
      <c r="O98" s="3">
        <v>0</v>
      </c>
      <c r="P98" s="3">
        <f>18-O98</f>
        <v>18</v>
      </c>
      <c r="Q98" s="3">
        <f>38-SUM(O98:P98)</f>
        <v>20</v>
      </c>
      <c r="R98" s="3">
        <f>7788-SUM(O98:Q98)</f>
        <v>7750</v>
      </c>
      <c r="S98" s="3">
        <v>6231</v>
      </c>
      <c r="T98" s="3">
        <f>14710-S98</f>
        <v>8479</v>
      </c>
      <c r="U98" s="3">
        <f>20740-SUM(S98:T98)</f>
        <v>6030</v>
      </c>
    </row>
    <row r="99" spans="2:33">
      <c r="B99" s="3" t="s">
        <v>102</v>
      </c>
      <c r="O99" s="3">
        <v>-750</v>
      </c>
      <c r="P99" s="3">
        <f>+-5409-O99</f>
        <v>-4659</v>
      </c>
      <c r="Q99" s="3">
        <f>+-8247-SUM(O99:P99)</f>
        <v>-2838</v>
      </c>
      <c r="R99" s="3">
        <f>+-11662-SUM(O99:Q99)</f>
        <v>-3415</v>
      </c>
      <c r="S99" s="3">
        <v>-6314</v>
      </c>
      <c r="T99" s="3">
        <f>+-12529-S99</f>
        <v>-6215</v>
      </c>
      <c r="U99" s="3">
        <f>-16549-SUM(S99:T99)</f>
        <v>-4020</v>
      </c>
    </row>
    <row r="100" spans="2:33">
      <c r="B100" s="3" t="s">
        <v>103</v>
      </c>
      <c r="O100" s="3">
        <v>0</v>
      </c>
      <c r="P100" s="3">
        <f>0-O100</f>
        <v>0</v>
      </c>
      <c r="Q100" s="3">
        <f>1584-SUM(O100:P100)</f>
        <v>1584</v>
      </c>
      <c r="R100" s="3">
        <f>1584-SUM(O100:Q100)</f>
        <v>0</v>
      </c>
      <c r="S100" s="3">
        <v>0</v>
      </c>
      <c r="T100" s="3">
        <v>0</v>
      </c>
      <c r="U100" s="3">
        <v>0</v>
      </c>
    </row>
    <row r="101" spans="2:33">
      <c r="B101" s="3" t="s">
        <v>104</v>
      </c>
      <c r="O101" s="3">
        <v>0</v>
      </c>
      <c r="P101" s="3">
        <f>0-O101</f>
        <v>0</v>
      </c>
      <c r="Q101" s="3">
        <f>+-850-SUM(O101:P101)</f>
        <v>-850</v>
      </c>
      <c r="R101" s="3">
        <f>+-1600-SUM(O101:Q101)</f>
        <v>-750</v>
      </c>
      <c r="S101" s="3">
        <v>0</v>
      </c>
      <c r="T101" s="3">
        <v>0</v>
      </c>
      <c r="U101" s="3">
        <v>0</v>
      </c>
    </row>
    <row r="102" spans="2:33">
      <c r="B102" s="3" t="s">
        <v>105</v>
      </c>
      <c r="O102" s="3">
        <v>31</v>
      </c>
      <c r="P102" s="3">
        <f>45-O102</f>
        <v>14</v>
      </c>
      <c r="Q102" s="3">
        <f>54-SUM(O102:P102)</f>
        <v>9</v>
      </c>
      <c r="R102" s="3">
        <f>64-SUM(O102:Q102)</f>
        <v>10</v>
      </c>
      <c r="S102" s="3">
        <v>49</v>
      </c>
      <c r="T102" s="3">
        <f>54-S102</f>
        <v>5</v>
      </c>
      <c r="U102" s="3">
        <f>54-SUM(S102:T102)</f>
        <v>0</v>
      </c>
    </row>
    <row r="103" spans="2:33">
      <c r="B103" s="3" t="s">
        <v>110</v>
      </c>
      <c r="O103" s="3">
        <v>-513</v>
      </c>
      <c r="P103" s="3">
        <f>+-1397-O103</f>
        <v>-884</v>
      </c>
      <c r="Q103" s="3">
        <f>+-4681-SUM(O103:P103)</f>
        <v>-3284</v>
      </c>
      <c r="R103" s="3">
        <f>+-7652-SUM(O103:Q103)</f>
        <v>-2971</v>
      </c>
      <c r="S103" s="3">
        <v>-1570</v>
      </c>
      <c r="T103" s="3">
        <v>0</v>
      </c>
      <c r="U103" s="3">
        <f>+-2862-SUM(S103:T103)</f>
        <v>-1292</v>
      </c>
    </row>
    <row r="104" spans="2:33">
      <c r="B104" s="3" t="s">
        <v>106</v>
      </c>
      <c r="O104" s="3">
        <v>-363</v>
      </c>
      <c r="P104" s="3">
        <f>+-724-O104</f>
        <v>-361</v>
      </c>
      <c r="Q104" s="3">
        <f>+-1090-SUM(O104:P104)</f>
        <v>-366</v>
      </c>
      <c r="R104" s="3">
        <f>+-1448-SUM(O104:Q104)</f>
        <v>-358</v>
      </c>
      <c r="S104" s="3">
        <v>-345</v>
      </c>
      <c r="T104" s="3">
        <f>+-2261-S104</f>
        <v>-1916</v>
      </c>
      <c r="U104" s="3">
        <f>+-1160-SUM(S104:T104)</f>
        <v>1101</v>
      </c>
    </row>
    <row r="105" spans="2:33" s="5" customFormat="1">
      <c r="B105" s="5" t="s">
        <v>107</v>
      </c>
      <c r="O105" s="5">
        <f t="shared" ref="O105:U105" si="53">+SUM(O96:O104)</f>
        <v>461</v>
      </c>
      <c r="P105" s="5">
        <f t="shared" si="53"/>
        <v>-9877</v>
      </c>
      <c r="Q105" s="5">
        <f t="shared" si="53"/>
        <v>-5882</v>
      </c>
      <c r="R105" s="5">
        <f t="shared" si="53"/>
        <v>365</v>
      </c>
      <c r="S105" s="5">
        <f t="shared" si="53"/>
        <v>4533</v>
      </c>
      <c r="T105" s="5">
        <f t="shared" si="53"/>
        <v>5868</v>
      </c>
      <c r="U105" s="5">
        <f t="shared" si="53"/>
        <v>8532</v>
      </c>
      <c r="W105" s="3"/>
      <c r="X105" s="13"/>
      <c r="AG105" s="3"/>
    </row>
    <row r="106" spans="2:33">
      <c r="B106" s="3" t="s">
        <v>108</v>
      </c>
      <c r="O106" s="3">
        <v>-200</v>
      </c>
      <c r="P106" s="3">
        <f>+-227-O106</f>
        <v>-27</v>
      </c>
      <c r="Q106" s="3">
        <f>+-181-SUM(O106:P106)</f>
        <v>46</v>
      </c>
      <c r="R106" s="3">
        <f>+-120-SUM(O106:Q106)</f>
        <v>61</v>
      </c>
      <c r="S106" s="3">
        <v>14</v>
      </c>
      <c r="T106" s="3">
        <f>284-S106</f>
        <v>270</v>
      </c>
      <c r="U106" s="3">
        <f>489-SUM(S106:T106)</f>
        <v>205</v>
      </c>
    </row>
    <row r="107" spans="2:33" s="5" customFormat="1">
      <c r="B107" s="5" t="s">
        <v>109</v>
      </c>
      <c r="O107" s="5">
        <f t="shared" ref="O107:U107" si="54">+O85+O94+O105+O106</f>
        <v>7315</v>
      </c>
      <c r="P107" s="5">
        <f t="shared" si="54"/>
        <v>-9484</v>
      </c>
      <c r="Q107" s="5">
        <f t="shared" si="54"/>
        <v>-2880</v>
      </c>
      <c r="R107" s="5">
        <f t="shared" si="54"/>
        <v>-5888</v>
      </c>
      <c r="S107" s="5">
        <f t="shared" si="54"/>
        <v>5650</v>
      </c>
      <c r="T107" s="5">
        <f t="shared" si="54"/>
        <v>-2218</v>
      </c>
      <c r="U107" s="5">
        <f t="shared" si="54"/>
        <v>5722</v>
      </c>
      <c r="W107" s="3"/>
      <c r="X107" s="13"/>
      <c r="AG107" s="3"/>
    </row>
    <row r="109" spans="2:33">
      <c r="B109" s="3" t="s">
        <v>111</v>
      </c>
      <c r="O109" s="3">
        <f t="shared" ref="O109:Q109" si="55">+O85+O91-O78</f>
        <v>1863</v>
      </c>
      <c r="P109" s="3">
        <f t="shared" si="55"/>
        <v>3287</v>
      </c>
      <c r="Q109" s="3">
        <f t="shared" si="55"/>
        <v>3152</v>
      </c>
      <c r="R109" s="3">
        <f>+R85+R91-R78</f>
        <v>4463</v>
      </c>
      <c r="S109" s="3">
        <f>+S85+S91-S78</f>
        <v>3311</v>
      </c>
      <c r="T109" s="3">
        <f>+T85+T91-T78</f>
        <v>3731</v>
      </c>
      <c r="U109" s="3">
        <f>+U85+U91-U78</f>
        <v>3981</v>
      </c>
    </row>
    <row r="110" spans="2:33">
      <c r="B110" s="3" t="s">
        <v>119</v>
      </c>
      <c r="O110" s="3">
        <f>+O109-O77</f>
        <v>1441</v>
      </c>
      <c r="P110" s="3">
        <f t="shared" ref="P110:U110" si="56">+P109-P77</f>
        <v>2875</v>
      </c>
      <c r="Q110" s="3">
        <f>+Q109-Q77</f>
        <v>2710</v>
      </c>
      <c r="R110" s="3">
        <f>+R109-R77</f>
        <v>4044</v>
      </c>
      <c r="S110" s="3">
        <f>+S109-S77</f>
        <v>2913</v>
      </c>
      <c r="T110" s="3">
        <f t="shared" si="56"/>
        <v>3334</v>
      </c>
      <c r="U110" s="3">
        <f t="shared" si="56"/>
        <v>3568</v>
      </c>
    </row>
    <row r="111" spans="2:33">
      <c r="B111" s="3" t="s">
        <v>120</v>
      </c>
      <c r="O111" s="3">
        <f t="shared" ref="O111:U111" si="57">+O30</f>
        <v>2235</v>
      </c>
      <c r="P111" s="3">
        <f t="shared" si="57"/>
        <v>2280</v>
      </c>
      <c r="Q111" s="3">
        <f t="shared" si="57"/>
        <v>1826</v>
      </c>
      <c r="R111" s="3">
        <f t="shared" si="57"/>
        <v>1719</v>
      </c>
      <c r="S111" s="3">
        <f t="shared" si="57"/>
        <v>2151</v>
      </c>
      <c r="T111" s="3">
        <f t="shared" si="57"/>
        <v>1964</v>
      </c>
      <c r="U111" s="3">
        <f t="shared" si="57"/>
        <v>1879</v>
      </c>
    </row>
    <row r="114" spans="2:21">
      <c r="B114" s="3" t="s">
        <v>121</v>
      </c>
      <c r="R114" s="3">
        <f t="shared" ref="R114:T116" si="58">+SUM(O109:R109)</f>
        <v>12765</v>
      </c>
      <c r="S114" s="3">
        <f t="shared" si="58"/>
        <v>14213</v>
      </c>
      <c r="T114" s="3">
        <f t="shared" si="58"/>
        <v>14657</v>
      </c>
      <c r="U114" s="3">
        <f>+SUM(R109:U109)</f>
        <v>15486</v>
      </c>
    </row>
    <row r="115" spans="2:21">
      <c r="B115" s="3" t="s">
        <v>122</v>
      </c>
      <c r="R115" s="3">
        <f t="shared" si="58"/>
        <v>11070</v>
      </c>
      <c r="S115" s="3">
        <f t="shared" si="58"/>
        <v>12542</v>
      </c>
      <c r="T115" s="3">
        <f t="shared" si="58"/>
        <v>13001</v>
      </c>
      <c r="U115" s="3">
        <f t="shared" ref="U115:U116" si="59">+SUM(R110:U110)</f>
        <v>13859</v>
      </c>
    </row>
    <row r="116" spans="2:21">
      <c r="B116" s="3" t="s">
        <v>123</v>
      </c>
      <c r="R116" s="3">
        <f t="shared" si="58"/>
        <v>8060</v>
      </c>
      <c r="S116" s="3">
        <f t="shared" si="58"/>
        <v>7976</v>
      </c>
      <c r="T116" s="3">
        <f t="shared" si="58"/>
        <v>7660</v>
      </c>
      <c r="U116" s="3">
        <f t="shared" si="59"/>
        <v>7713</v>
      </c>
    </row>
  </sheetData>
  <pageMargins left="0.7" right="0.7" top="0.75" bottom="0.75" header="0.3" footer="0.3"/>
  <ignoredErrors>
    <ignoredError sqref="N3:N32 J7:J32 F2:F32" formula="1"/>
    <ignoredError sqref="Z7:AA7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9ADB-BAC9-1E4C-8E84-532918EE24F2}">
  <dimension ref="A1"/>
  <sheetViews>
    <sheetView workbookViewId="0">
      <selection activeCell="C11" sqref="C11"/>
    </sheetView>
  </sheetViews>
  <sheetFormatPr baseColWidth="10" defaultRowHeight="1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8F20-701C-834E-8549-DD0249DDA890}">
  <dimension ref="A1"/>
  <sheetViews>
    <sheetView zoomScale="242" workbookViewId="0">
      <selection activeCell="E6" sqref="E6"/>
    </sheetView>
  </sheetViews>
  <sheetFormatPr baseColWidth="10"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D4EE-0F09-0645-A310-6017C5861167}">
  <dimension ref="A1"/>
  <sheetViews>
    <sheetView workbookViewId="0">
      <selection activeCell="G62" sqref="G62"/>
    </sheetView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Portfolio</vt:lpstr>
      <vt:lpstr>data analysis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2022-02-16T14:35:24Z</dcterms:created>
  <dcterms:modified xsi:type="dcterms:W3CDTF">2022-11-21T22:45:00Z</dcterms:modified>
</cp:coreProperties>
</file>