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jameelbrannon/Dropbox/Models/"/>
    </mc:Choice>
  </mc:AlternateContent>
  <xr:revisionPtr revIDLastSave="0" documentId="13_ncr:1_{6789BC23-180E-AD4C-AFC1-CB69EBFB5FD9}" xr6:coauthVersionLast="47" xr6:coauthVersionMax="47" xr10:uidLastSave="{00000000-0000-0000-0000-000000000000}"/>
  <bookViews>
    <workbookView xWindow="2100" yWindow="540" windowWidth="41840" windowHeight="24560" xr2:uid="{5D6604B8-F32C-954B-9FE0-F7FD50522906}"/>
  </bookViews>
  <sheets>
    <sheet name="main" sheetId="1" r:id="rId1"/>
    <sheet name="model"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42" i="1" l="1"/>
  <c r="N37" i="1"/>
  <c r="AE6" i="1"/>
  <c r="Y30" i="1"/>
  <c r="X30" i="1"/>
  <c r="W30" i="1"/>
  <c r="V30" i="1"/>
  <c r="Z24" i="1"/>
  <c r="Y24" i="1"/>
  <c r="X24" i="1"/>
  <c r="W24" i="1"/>
  <c r="Y21" i="1"/>
  <c r="X21" i="1"/>
  <c r="W21" i="1"/>
  <c r="V21" i="1"/>
  <c r="T2" i="1"/>
  <c r="U2" i="1" s="1"/>
  <c r="V2" i="1" s="1"/>
  <c r="W2" i="1" s="1"/>
  <c r="X2" i="1" s="1"/>
  <c r="AC24" i="1"/>
  <c r="AB24" i="1"/>
  <c r="AA24" i="1"/>
  <c r="AA21" i="1"/>
  <c r="Z21" i="1"/>
  <c r="AB21" i="1"/>
  <c r="AB30" i="1"/>
  <c r="AA30" i="1"/>
  <c r="Z30" i="1"/>
  <c r="AS32" i="1"/>
  <c r="AS28" i="1"/>
  <c r="AS30" i="1"/>
  <c r="O21" i="1"/>
  <c r="AE26" i="1" l="1"/>
  <c r="AD26" i="1"/>
  <c r="AE25" i="1"/>
  <c r="AD25" i="1"/>
  <c r="AC26" i="1"/>
  <c r="AC25" i="1"/>
  <c r="N26" i="1"/>
  <c r="M26" i="1"/>
  <c r="L26" i="1"/>
  <c r="J26" i="1"/>
  <c r="I26" i="1"/>
  <c r="H26" i="1"/>
  <c r="F26" i="1"/>
  <c r="E26" i="1"/>
  <c r="D26" i="1"/>
  <c r="N25" i="1"/>
  <c r="M25" i="1"/>
  <c r="L25" i="1"/>
  <c r="J25" i="1"/>
  <c r="I25" i="1"/>
  <c r="H25" i="1"/>
  <c r="F25" i="1"/>
  <c r="E25" i="1"/>
  <c r="D25" i="1"/>
  <c r="AF19" i="1"/>
  <c r="AG19" i="1" s="1"/>
  <c r="AH19" i="1" s="1"/>
  <c r="AI19" i="1" s="1"/>
  <c r="AJ19" i="1" s="1"/>
  <c r="AK19" i="1" s="1"/>
  <c r="AL19" i="1" s="1"/>
  <c r="AM19" i="1" s="1"/>
  <c r="AN19" i="1" s="1"/>
  <c r="AO19" i="1" s="1"/>
  <c r="AF12" i="1"/>
  <c r="AF11" i="1"/>
  <c r="I24" i="1"/>
  <c r="H24" i="1"/>
  <c r="D9" i="1"/>
  <c r="D13" i="1" s="1"/>
  <c r="D30" i="1" s="1"/>
  <c r="G7" i="1"/>
  <c r="G19" i="1"/>
  <c r="G17" i="1"/>
  <c r="G15" i="1"/>
  <c r="G14" i="1"/>
  <c r="G12" i="1"/>
  <c r="G11" i="1"/>
  <c r="G10" i="1"/>
  <c r="G8" i="1"/>
  <c r="E9" i="1"/>
  <c r="E13" i="1" s="1"/>
  <c r="M24" i="1"/>
  <c r="L24" i="1"/>
  <c r="J24" i="1"/>
  <c r="F9" i="1"/>
  <c r="F29" i="1" s="1"/>
  <c r="K19" i="1"/>
  <c r="K17" i="1"/>
  <c r="K15" i="1"/>
  <c r="K14" i="1"/>
  <c r="K12" i="1"/>
  <c r="K11" i="1"/>
  <c r="K10" i="1"/>
  <c r="K8" i="1"/>
  <c r="K7" i="1"/>
  <c r="O7" i="1" s="1"/>
  <c r="O8" i="1" s="1"/>
  <c r="AD24" i="1"/>
  <c r="AE24" i="1"/>
  <c r="AC9" i="1"/>
  <c r="AC13" i="1" s="1"/>
  <c r="AC16" i="1" s="1"/>
  <c r="AC18" i="1" s="1"/>
  <c r="AC20" i="1" s="1"/>
  <c r="AC21" i="1" s="1"/>
  <c r="AD9" i="1"/>
  <c r="AD13" i="1" s="1"/>
  <c r="AD16" i="1" s="1"/>
  <c r="AD18" i="1" s="1"/>
  <c r="AD20" i="1" s="1"/>
  <c r="AD21" i="1" s="1"/>
  <c r="G21" i="1" s="1"/>
  <c r="AE9" i="1"/>
  <c r="AE29" i="1" s="1"/>
  <c r="H9" i="1"/>
  <c r="H13" i="1" s="1"/>
  <c r="H16" i="1" s="1"/>
  <c r="I9" i="1"/>
  <c r="I13" i="1" s="1"/>
  <c r="I16" i="1" s="1"/>
  <c r="J9" i="1"/>
  <c r="J13" i="1" s="1"/>
  <c r="J16" i="1" s="1"/>
  <c r="L9" i="1"/>
  <c r="L13" i="1" s="1"/>
  <c r="E8" i="2"/>
  <c r="E6" i="2"/>
  <c r="E9" i="2" s="1"/>
  <c r="E5" i="2"/>
  <c r="M9" i="1"/>
  <c r="M13" i="1" s="1"/>
  <c r="M16" i="1" s="1"/>
  <c r="N24" i="1"/>
  <c r="N9" i="1"/>
  <c r="N13" i="1" s="1"/>
  <c r="N16" i="1" s="1"/>
  <c r="Z2" i="1"/>
  <c r="AA2" i="1" s="1"/>
  <c r="AB2" i="1" s="1"/>
  <c r="AC2" i="1" s="1"/>
  <c r="AD2" i="1" s="1"/>
  <c r="AE2" i="1" s="1"/>
  <c r="AF2" i="1" s="1"/>
  <c r="AG2" i="1" s="1"/>
  <c r="AH2" i="1" s="1"/>
  <c r="AI2" i="1" s="1"/>
  <c r="AJ2" i="1" s="1"/>
  <c r="AK2" i="1" s="1"/>
  <c r="AL2" i="1" s="1"/>
  <c r="AM2" i="1" s="1"/>
  <c r="AN2" i="1" s="1"/>
  <c r="AO2" i="1" s="1"/>
  <c r="L16" i="1" l="1"/>
  <c r="L30" i="1"/>
  <c r="J18" i="1"/>
  <c r="J20" i="1" s="1"/>
  <c r="J22" i="1" s="1"/>
  <c r="J27" i="1"/>
  <c r="N18" i="1"/>
  <c r="N20" i="1" s="1"/>
  <c r="N22" i="1" s="1"/>
  <c r="N27" i="1"/>
  <c r="I18" i="1"/>
  <c r="I20" i="1" s="1"/>
  <c r="I22" i="1" s="1"/>
  <c r="I27" i="1"/>
  <c r="H18" i="1"/>
  <c r="H20" i="1" s="1"/>
  <c r="H22" i="1" s="1"/>
  <c r="H27" i="1"/>
  <c r="K26" i="1"/>
  <c r="M18" i="1"/>
  <c r="M20" i="1" s="1"/>
  <c r="M22" i="1" s="1"/>
  <c r="M27" i="1"/>
  <c r="L18" i="1"/>
  <c r="L20" i="1" s="1"/>
  <c r="L22" i="1" s="1"/>
  <c r="L27" i="1"/>
  <c r="K25" i="1"/>
  <c r="G26" i="1"/>
  <c r="G25" i="1"/>
  <c r="AC30" i="1"/>
  <c r="AC29" i="1"/>
  <c r="O10" i="1"/>
  <c r="O24" i="1"/>
  <c r="AF7" i="1"/>
  <c r="AG7" i="1" s="1"/>
  <c r="AG8" i="1" s="1"/>
  <c r="G9" i="1"/>
  <c r="G29" i="1" s="1"/>
  <c r="H30" i="1"/>
  <c r="K24" i="1"/>
  <c r="M29" i="1"/>
  <c r="L29" i="1"/>
  <c r="N30" i="1"/>
  <c r="AD30" i="1"/>
  <c r="I30" i="1"/>
  <c r="N29" i="1"/>
  <c r="H29" i="1"/>
  <c r="K9" i="1"/>
  <c r="K29" i="1" s="1"/>
  <c r="I29" i="1"/>
  <c r="J30" i="1"/>
  <c r="D29" i="1"/>
  <c r="J29" i="1"/>
  <c r="M30" i="1"/>
  <c r="AD29" i="1"/>
  <c r="D16" i="1"/>
  <c r="D27" i="1" s="1"/>
  <c r="E30" i="1"/>
  <c r="E16" i="1"/>
  <c r="E29" i="1"/>
  <c r="F13" i="1"/>
  <c r="G13" i="1" s="1"/>
  <c r="G30" i="1" s="1"/>
  <c r="AE13" i="1"/>
  <c r="K13" i="1" s="1"/>
  <c r="K30" i="1" s="1"/>
  <c r="K22" i="1" l="1"/>
  <c r="AG10" i="1"/>
  <c r="AG9" i="1"/>
  <c r="AH7" i="1"/>
  <c r="E18" i="1"/>
  <c r="E20" i="1" s="1"/>
  <c r="E22" i="1" s="1"/>
  <c r="E27" i="1"/>
  <c r="AF10" i="1"/>
  <c r="AF26" i="1" s="1"/>
  <c r="AF8" i="1"/>
  <c r="AF25" i="1" s="1"/>
  <c r="O9" i="1"/>
  <c r="AF24" i="1"/>
  <c r="D18" i="1"/>
  <c r="F30" i="1"/>
  <c r="F16" i="1"/>
  <c r="AE30" i="1"/>
  <c r="AE16" i="1"/>
  <c r="AG13" i="1" l="1"/>
  <c r="AG30" i="1" s="1"/>
  <c r="AG29" i="1"/>
  <c r="AH8" i="1"/>
  <c r="AH9" i="1" s="1"/>
  <c r="AH10" i="1"/>
  <c r="O29" i="1"/>
  <c r="O13" i="1"/>
  <c r="F18" i="1"/>
  <c r="F20" i="1" s="1"/>
  <c r="F22" i="1" s="1"/>
  <c r="F27" i="1"/>
  <c r="AI7" i="1"/>
  <c r="AF9" i="1"/>
  <c r="AF29" i="1" s="1"/>
  <c r="AE18" i="1"/>
  <c r="K16" i="1"/>
  <c r="K27" i="1" s="1"/>
  <c r="G16" i="1"/>
  <c r="G27" i="1" s="1"/>
  <c r="D20" i="1"/>
  <c r="G18" i="1"/>
  <c r="AH13" i="1" l="1"/>
  <c r="AH30" i="1" s="1"/>
  <c r="AH29" i="1"/>
  <c r="AI8" i="1"/>
  <c r="AI9" i="1" s="1"/>
  <c r="AI29" i="1" s="1"/>
  <c r="AI10" i="1"/>
  <c r="AJ7" i="1"/>
  <c r="O14" i="1"/>
  <c r="O30" i="1"/>
  <c r="AF13" i="1"/>
  <c r="AF30" i="1" s="1"/>
  <c r="O15" i="1"/>
  <c r="AF15" i="1" s="1"/>
  <c r="AG15" i="1" s="1"/>
  <c r="AE20" i="1"/>
  <c r="K18" i="1"/>
  <c r="D22" i="1"/>
  <c r="G22" i="1" s="1"/>
  <c r="G20" i="1"/>
  <c r="AH15" i="1" l="1"/>
  <c r="AI13" i="1"/>
  <c r="AI30" i="1" s="1"/>
  <c r="AJ8" i="1"/>
  <c r="AJ9" i="1" s="1"/>
  <c r="AJ10" i="1"/>
  <c r="AK7" i="1"/>
  <c r="O16" i="1"/>
  <c r="AF14" i="1"/>
  <c r="AG14" i="1" s="1"/>
  <c r="AH14" i="1" s="1"/>
  <c r="AH16" i="1" s="1"/>
  <c r="AE21" i="1"/>
  <c r="K20" i="1"/>
  <c r="K21" i="1" s="1"/>
  <c r="AI14" i="1" l="1"/>
  <c r="AG16" i="1"/>
  <c r="AJ13" i="1"/>
  <c r="AJ30" i="1" s="1"/>
  <c r="AJ29" i="1"/>
  <c r="AI15" i="1"/>
  <c r="AI16" i="1" s="1"/>
  <c r="AK8" i="1"/>
  <c r="AK9" i="1" s="1"/>
  <c r="AK29" i="1" s="1"/>
  <c r="AK10" i="1"/>
  <c r="AL7" i="1"/>
  <c r="AF16" i="1"/>
  <c r="AJ14" i="1" l="1"/>
  <c r="AJ15" i="1"/>
  <c r="AK13" i="1"/>
  <c r="AK30" i="1" s="1"/>
  <c r="AL10" i="1"/>
  <c r="AL8" i="1"/>
  <c r="AL9" i="1" s="1"/>
  <c r="AL29" i="1" s="1"/>
  <c r="AM7" i="1"/>
  <c r="O17" i="1"/>
  <c r="AJ16" i="1" l="1"/>
  <c r="AK15" i="1"/>
  <c r="AK14" i="1"/>
  <c r="AL13" i="1"/>
  <c r="AL30" i="1" s="1"/>
  <c r="AK16" i="1"/>
  <c r="AM8" i="1"/>
  <c r="AM9" i="1" s="1"/>
  <c r="AM10" i="1"/>
  <c r="O18" i="1"/>
  <c r="O20" i="1" s="1"/>
  <c r="O22" i="1" s="1"/>
  <c r="AN7" i="1"/>
  <c r="AF17" i="1"/>
  <c r="AG17" i="1" s="1"/>
  <c r="AL15" i="1" l="1"/>
  <c r="AL14" i="1"/>
  <c r="AF18" i="1"/>
  <c r="AG18" i="1"/>
  <c r="AG20" i="1" s="1"/>
  <c r="AH17" i="1"/>
  <c r="AM13" i="1"/>
  <c r="AM30" i="1" s="1"/>
  <c r="AM29" i="1"/>
  <c r="AL16" i="1"/>
  <c r="AN8" i="1"/>
  <c r="AN9" i="1" s="1"/>
  <c r="AN10" i="1"/>
  <c r="AO7" i="1"/>
  <c r="AF20" i="1"/>
  <c r="AF22" i="1"/>
  <c r="AM14" i="1" l="1"/>
  <c r="AF21" i="1"/>
  <c r="AG21" i="1" s="1"/>
  <c r="AH21" i="1" s="1"/>
  <c r="AI21" i="1" s="1"/>
  <c r="AJ21" i="1" s="1"/>
  <c r="AK21" i="1" s="1"/>
  <c r="AL21" i="1" s="1"/>
  <c r="AM21" i="1" s="1"/>
  <c r="AN21" i="1" s="1"/>
  <c r="AO21" i="1" s="1"/>
  <c r="AG22" i="1"/>
  <c r="AH18" i="1"/>
  <c r="AH20" i="1" s="1"/>
  <c r="AH22" i="1" s="1"/>
  <c r="AI17" i="1"/>
  <c r="AM15" i="1"/>
  <c r="AN13" i="1"/>
  <c r="AN30" i="1" s="1"/>
  <c r="AN29" i="1"/>
  <c r="AO8" i="1"/>
  <c r="AO9" i="1" s="1"/>
  <c r="AO29" i="1" s="1"/>
  <c r="AO10" i="1"/>
  <c r="AM16" i="1" l="1"/>
  <c r="AI18" i="1"/>
  <c r="AI20" i="1" s="1"/>
  <c r="AI22" i="1" s="1"/>
  <c r="AJ17" i="1"/>
  <c r="AN15" i="1"/>
  <c r="AN14" i="1"/>
  <c r="AO13" i="1"/>
  <c r="AO15" i="1" l="1"/>
  <c r="AN16" i="1"/>
  <c r="AJ18" i="1"/>
  <c r="AJ20" i="1" s="1"/>
  <c r="AK17" i="1"/>
  <c r="AO14" i="1"/>
  <c r="AO16" i="1" s="1"/>
  <c r="AO30" i="1"/>
  <c r="AJ22" i="1" l="1"/>
  <c r="AK18" i="1"/>
  <c r="AK20" i="1" s="1"/>
  <c r="AK22" i="1" s="1"/>
  <c r="AL17" i="1"/>
  <c r="AL18" i="1" l="1"/>
  <c r="AL20" i="1" s="1"/>
  <c r="AL22" i="1" s="1"/>
  <c r="AM17" i="1"/>
  <c r="AM18" i="1" l="1"/>
  <c r="AM20" i="1" s="1"/>
  <c r="AN17" i="1"/>
  <c r="AO17" i="1" l="1"/>
  <c r="AO18" i="1" s="1"/>
  <c r="AO20" i="1" s="1"/>
  <c r="AN18" i="1"/>
  <c r="AN20" i="1" s="1"/>
  <c r="AN22" i="1" s="1"/>
  <c r="AM22" i="1"/>
  <c r="AO22" i="1" l="1"/>
  <c r="AP20" i="1"/>
  <c r="AQ20" i="1" l="1"/>
  <c r="AR20" i="1" s="1"/>
  <c r="AS20" i="1" s="1"/>
  <c r="AT20" i="1" s="1"/>
  <c r="AU20" i="1" s="1"/>
  <c r="AV20" i="1" s="1"/>
  <c r="AW20" i="1" s="1"/>
  <c r="AX20" i="1" s="1"/>
  <c r="AY20" i="1" s="1"/>
  <c r="AZ20" i="1" s="1"/>
  <c r="BA20" i="1" s="1"/>
  <c r="BB20" i="1" s="1"/>
  <c r="BC20" i="1" s="1"/>
  <c r="BD20" i="1" s="1"/>
  <c r="BE20" i="1" s="1"/>
  <c r="BF20" i="1" s="1"/>
  <c r="BG20" i="1" s="1"/>
  <c r="BH20" i="1" s="1"/>
  <c r="BI20" i="1" s="1"/>
  <c r="BJ20" i="1" s="1"/>
  <c r="BK20" i="1" s="1"/>
  <c r="BL20" i="1" s="1"/>
  <c r="BM20" i="1" s="1"/>
  <c r="BN20" i="1" s="1"/>
  <c r="BO20" i="1" s="1"/>
  <c r="BP20" i="1" s="1"/>
  <c r="BQ20" i="1" s="1"/>
  <c r="BR20" i="1" s="1"/>
  <c r="BS20" i="1" s="1"/>
  <c r="BT20" i="1" s="1"/>
  <c r="BU20" i="1" s="1"/>
  <c r="BV20" i="1" s="1"/>
  <c r="BW20" i="1" s="1"/>
  <c r="BX20" i="1" s="1"/>
  <c r="BY20" i="1" s="1"/>
  <c r="BZ20" i="1" s="1"/>
  <c r="CA20" i="1" s="1"/>
  <c r="CB20" i="1" s="1"/>
  <c r="CC20" i="1" s="1"/>
  <c r="CD20" i="1" s="1"/>
  <c r="CE20" i="1" s="1"/>
  <c r="CF20" i="1" s="1"/>
  <c r="CG20" i="1" s="1"/>
  <c r="CH20" i="1" s="1"/>
  <c r="CI20" i="1" s="1"/>
  <c r="CJ20" i="1" s="1"/>
  <c r="CK20" i="1" s="1"/>
  <c r="CL20" i="1" s="1"/>
  <c r="CM20" i="1" s="1"/>
  <c r="CN20" i="1" s="1"/>
  <c r="CO20" i="1" s="1"/>
  <c r="CP20" i="1" s="1"/>
  <c r="CQ20" i="1" s="1"/>
  <c r="CR20" i="1" s="1"/>
  <c r="CS20" i="1" s="1"/>
  <c r="CT20" i="1" s="1"/>
  <c r="CU20" i="1" s="1"/>
  <c r="CV20" i="1" s="1"/>
  <c r="CW20" i="1" s="1"/>
  <c r="CX20" i="1" s="1"/>
  <c r="CY20" i="1" s="1"/>
  <c r="CZ20" i="1" s="1"/>
  <c r="DA20" i="1" s="1"/>
  <c r="DB20" i="1" s="1"/>
  <c r="DC20" i="1" s="1"/>
  <c r="DD20" i="1" s="1"/>
  <c r="DE20" i="1" s="1"/>
  <c r="AT27" i="1" l="1"/>
  <c r="AT29" i="1" s="1"/>
  <c r="AT31" i="1" s="1"/>
  <c r="AS27" i="1"/>
  <c r="AS29" i="1" s="1"/>
  <c r="AS31" i="1" s="1"/>
  <c r="AS33" i="1" s="1"/>
  <c r="AV27" i="1"/>
  <c r="AV29" i="1" s="1"/>
  <c r="AV31" i="1" s="1"/>
  <c r="AU27" i="1"/>
  <c r="AU29" i="1" s="1"/>
  <c r="AU3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Brannon, Jameel A.</author>
  </authors>
  <commentList>
    <comment ref="C12" authorId="0" shapeId="0" xr:uid="{6B3375C6-04B0-8D40-AF74-5646E6EB0028}">
      <text>
        <r>
          <rPr>
            <b/>
            <sz val="10"/>
            <color rgb="FF000000"/>
            <rFont val="Tahoma"/>
            <family val="2"/>
          </rPr>
          <t>Brannon, Jameel A.:</t>
        </r>
        <r>
          <rPr>
            <sz val="10"/>
            <color rgb="FF000000"/>
            <rFont val="Tahoma"/>
            <family val="2"/>
          </rPr>
          <t xml:space="preserve">
</t>
        </r>
        <r>
          <rPr>
            <sz val="10"/>
            <color rgb="FF000000"/>
            <rFont val="Tahoma"/>
            <family val="2"/>
          </rPr>
          <t>Impairment charges</t>
        </r>
      </text>
    </comment>
    <comment ref="AF12" authorId="0" shapeId="0" xr:uid="{51C6B5EB-DB76-4841-B603-61EF4B2CA6BE}">
      <text>
        <r>
          <rPr>
            <b/>
            <sz val="10"/>
            <color rgb="FF000000"/>
            <rFont val="Tahoma"/>
            <family val="2"/>
          </rPr>
          <t>Brannon, Jameel A.:</t>
        </r>
        <r>
          <rPr>
            <sz val="10"/>
            <color rgb="FF000000"/>
            <rFont val="Tahoma"/>
            <family val="2"/>
          </rPr>
          <t xml:space="preserve">
</t>
        </r>
        <r>
          <rPr>
            <sz val="10"/>
            <color rgb="FF000000"/>
            <rFont val="IntelClear-Regular"/>
          </rPr>
          <t>$46 million</t>
        </r>
        <r>
          <rPr>
            <sz val="10"/>
            <color rgb="FF000000"/>
            <rFont val="IntelClear-Regular"/>
          </rPr>
          <t> of special charges in 2022 that relate to previously approved organization and streamlining actions as well as integration expenses related to the FONA acquisition of approximately </t>
        </r>
        <r>
          <rPr>
            <sz val="10"/>
            <color rgb="FF000000"/>
            <rFont val="IntelClear-Regular"/>
          </rPr>
          <t>$2 million</t>
        </r>
        <r>
          <rPr>
            <sz val="10"/>
            <color rgb="FF000000"/>
            <rFont val="IntelClear-Regular"/>
          </rPr>
          <t> in 2022.</t>
        </r>
      </text>
    </comment>
    <comment ref="AF13" authorId="0" shapeId="0" xr:uid="{E5842DC6-FE20-9C44-934D-1C01995D0333}">
      <text>
        <r>
          <rPr>
            <b/>
            <sz val="10"/>
            <color rgb="FF000000"/>
            <rFont val="Tahoma"/>
            <family val="2"/>
          </rPr>
          <t>Brannon, Jameel A.:</t>
        </r>
        <r>
          <rPr>
            <sz val="10"/>
            <color rgb="FF000000"/>
            <rFont val="Tahoma"/>
            <family val="2"/>
          </rPr>
          <t>should be ~10% lwoer y/y</t>
        </r>
      </text>
    </comment>
    <comment ref="AF24" authorId="0" shapeId="0" xr:uid="{9023F905-AD19-0347-A824-0FF4F84ECC2C}">
      <text>
        <r>
          <rPr>
            <b/>
            <sz val="10"/>
            <color rgb="FF000000"/>
            <rFont val="Tahoma"/>
            <family val="2"/>
          </rPr>
          <t>Brannon, Jameel A.:</t>
        </r>
        <r>
          <rPr>
            <sz val="10"/>
            <color rgb="FF000000"/>
            <rFont val="Tahoma"/>
            <family val="2"/>
          </rPr>
          <t xml:space="preserve">
</t>
        </r>
        <r>
          <rPr>
            <sz val="10"/>
            <color rgb="FF000000"/>
            <rFont val="Tahoma"/>
            <family val="2"/>
          </rPr>
          <t>growth net of fx impacts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Brannon, Jameel A.</author>
  </authors>
  <commentList>
    <comment ref="B12" authorId="0" shapeId="0" xr:uid="{48A70618-BF0A-F44E-907D-227112801E67}">
      <text>
        <r>
          <rPr>
            <b/>
            <sz val="10"/>
            <color rgb="FF000000"/>
            <rFont val="Tahoma"/>
            <family val="2"/>
          </rPr>
          <t>Brannon, Jameel A.:</t>
        </r>
        <r>
          <rPr>
            <sz val="10"/>
            <color rgb="FF000000"/>
            <rFont val="Tahoma"/>
            <family val="2"/>
          </rPr>
          <t xml:space="preserve">
</t>
        </r>
        <r>
          <rPr>
            <sz val="10"/>
            <color rgb="FF000000"/>
            <rFont val="Tahoma"/>
            <family val="2"/>
          </rPr>
          <t xml:space="preserve">Right now, company is having demand problems for its' products amongst broader Macro issues. Brand is somehwat questionable as margins have been eroding (could indicate inability to pass on costs?) .. not too sure, need to read more.
</t>
        </r>
        <r>
          <rPr>
            <sz val="10"/>
            <color rgb="FF000000"/>
            <rFont val="Tahoma"/>
            <family val="2"/>
          </rPr>
          <t xml:space="preserve">
</t>
        </r>
        <r>
          <rPr>
            <sz val="10"/>
            <color rgb="FF000000"/>
            <rFont val="Tahoma"/>
            <family val="2"/>
          </rPr>
          <t>As of now, I think MKC is fairly valued</t>
        </r>
      </text>
    </comment>
  </commentList>
</comments>
</file>

<file path=xl/sharedStrings.xml><?xml version="1.0" encoding="utf-8"?>
<sst xmlns="http://schemas.openxmlformats.org/spreadsheetml/2006/main" count="67" uniqueCount="64">
  <si>
    <t>Q121</t>
  </si>
  <si>
    <t>Q222</t>
  </si>
  <si>
    <t>Q221</t>
  </si>
  <si>
    <t>Q321</t>
  </si>
  <si>
    <t>Q421</t>
  </si>
  <si>
    <t>Q122</t>
  </si>
  <si>
    <t>Q322</t>
  </si>
  <si>
    <t>Q422</t>
  </si>
  <si>
    <t>Sales</t>
  </si>
  <si>
    <t>Costs</t>
  </si>
  <si>
    <t>GP</t>
  </si>
  <si>
    <t>SGA</t>
  </si>
  <si>
    <t>Transaction</t>
  </si>
  <si>
    <t>Special</t>
  </si>
  <si>
    <t>Op Income</t>
  </si>
  <si>
    <t>Interest E</t>
  </si>
  <si>
    <t>O I</t>
  </si>
  <si>
    <t>EBT</t>
  </si>
  <si>
    <t>T</t>
  </si>
  <si>
    <t>NI</t>
  </si>
  <si>
    <t>I from Uncon</t>
  </si>
  <si>
    <t xml:space="preserve">NI </t>
  </si>
  <si>
    <t>Shares</t>
  </si>
  <si>
    <t>EPS</t>
  </si>
  <si>
    <t>Sales y/y</t>
  </si>
  <si>
    <t>model</t>
  </si>
  <si>
    <t>P</t>
  </si>
  <si>
    <t>Sh</t>
  </si>
  <si>
    <t>MC</t>
  </si>
  <si>
    <t>Cash</t>
  </si>
  <si>
    <t>Debt</t>
  </si>
  <si>
    <t>EV</t>
  </si>
  <si>
    <t>Q3'22</t>
  </si>
  <si>
    <t>Q120</t>
  </si>
  <si>
    <t>Q220</t>
  </si>
  <si>
    <t>Q320</t>
  </si>
  <si>
    <t>Q420</t>
  </si>
  <si>
    <t>GM%</t>
  </si>
  <si>
    <t>OM%</t>
  </si>
  <si>
    <t>PR</t>
  </si>
  <si>
    <t>..</t>
  </si>
  <si>
    <t>Costs % Sales</t>
  </si>
  <si>
    <t>SGA % Sales</t>
  </si>
  <si>
    <t>q3'22</t>
  </si>
  <si>
    <t>Tax Rt</t>
  </si>
  <si>
    <t>Terminal</t>
  </si>
  <si>
    <t>Discount</t>
  </si>
  <si>
    <t>NPV</t>
  </si>
  <si>
    <t>Estimate</t>
  </si>
  <si>
    <t>NC</t>
  </si>
  <si>
    <t>T.NPV</t>
  </si>
  <si>
    <t>Current</t>
  </si>
  <si>
    <t>Delta</t>
  </si>
  <si>
    <t xml:space="preserve">Cash </t>
  </si>
  <si>
    <t>Note 11/14/22</t>
  </si>
  <si>
    <t>A/R</t>
  </si>
  <si>
    <t>Inv</t>
  </si>
  <si>
    <t>Prepaid E</t>
  </si>
  <si>
    <t>CA</t>
  </si>
  <si>
    <t>PPE</t>
  </si>
  <si>
    <t>Goodwill</t>
  </si>
  <si>
    <t>Intangible ass</t>
  </si>
  <si>
    <t>Other</t>
  </si>
  <si>
    <t>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</si>
</sst>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70" formatCode="0.0%"/>
  </numFmts>
  <fonts count="9">
    <font>
      <sz val="10"/>
      <color theme="1"/>
      <name val="IntelClear-Regular"/>
      <family val="2"/>
    </font>
    <font>
      <b/>
      <sz val="10"/>
      <color theme="1"/>
      <name val="IntelClear-Regular"/>
    </font>
    <font>
      <b/>
      <u/>
      <sz val="10"/>
      <color theme="1"/>
      <name val="IntelClear-Regular"/>
    </font>
    <font>
      <sz val="10"/>
      <color theme="1"/>
      <name val="IntelClear-Regular"/>
    </font>
    <font>
      <u/>
      <sz val="10"/>
      <color theme="10"/>
      <name val="IntelClear-Regular"/>
      <family val="2"/>
    </font>
    <font>
      <sz val="10"/>
      <color rgb="FF000000"/>
      <name val="Tahoma"/>
      <family val="2"/>
    </font>
    <font>
      <b/>
      <sz val="10"/>
      <color rgb="FF000000"/>
      <name val="Tahoma"/>
      <family val="2"/>
    </font>
    <font>
      <sz val="10"/>
      <color rgb="FF000000"/>
      <name val="IntelClear-Regular"/>
    </font>
    <font>
      <b/>
      <sz val="10"/>
      <color rgb="FF0432FF"/>
      <name val="IntelClear-Regular"/>
    </font>
  </fonts>
  <fills count="3">
    <fill>
      <patternFill patternType="none"/>
    </fill>
    <fill>
      <patternFill patternType="gray125"/>
    </fill>
    <fill>
      <patternFill patternType="solid">
        <fgColor theme="1"/>
        <bgColor indexed="64"/>
      </patternFill>
    </fill>
  </fills>
  <borders count="10">
    <border>
      <left/>
      <right/>
      <top/>
      <bottom/>
      <diagonal/>
    </border>
    <border>
      <left style="thin">
        <color theme="0"/>
      </left>
      <right style="thin">
        <color theme="0"/>
      </right>
      <top style="thin">
        <color theme="0"/>
      </top>
      <bottom style="thin">
        <color theme="0"/>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s>
  <cellStyleXfs count="2">
    <xf numFmtId="0" fontId="0" fillId="0" borderId="0"/>
    <xf numFmtId="0" fontId="4" fillId="0" borderId="0" applyNumberFormat="0" applyFill="0" applyBorder="0" applyAlignment="0" applyProtection="0"/>
  </cellStyleXfs>
  <cellXfs count="47">
    <xf numFmtId="0" fontId="0" fillId="0" borderId="0" xfId="0"/>
    <xf numFmtId="3" fontId="0" fillId="0" borderId="0" xfId="0" applyNumberFormat="1"/>
    <xf numFmtId="4" fontId="0" fillId="0" borderId="0" xfId="0" applyNumberFormat="1"/>
    <xf numFmtId="3" fontId="0" fillId="0" borderId="0" xfId="0" applyNumberFormat="1" applyAlignment="1">
      <alignment horizontal="left"/>
    </xf>
    <xf numFmtId="1" fontId="0" fillId="0" borderId="0" xfId="0" applyNumberFormat="1" applyAlignment="1">
      <alignment horizontal="left"/>
    </xf>
    <xf numFmtId="3" fontId="1" fillId="0" borderId="0" xfId="0" applyNumberFormat="1" applyFont="1" applyAlignment="1">
      <alignment horizontal="left"/>
    </xf>
    <xf numFmtId="9" fontId="2" fillId="0" borderId="0" xfId="0" applyNumberFormat="1" applyFont="1" applyAlignment="1">
      <alignment horizontal="left"/>
    </xf>
    <xf numFmtId="9" fontId="0" fillId="0" borderId="0" xfId="0" applyNumberFormat="1" applyAlignment="1">
      <alignment horizontal="left"/>
    </xf>
    <xf numFmtId="3" fontId="3" fillId="0" borderId="0" xfId="0" applyNumberFormat="1" applyFont="1" applyAlignment="1">
      <alignment horizontal="left"/>
    </xf>
    <xf numFmtId="2" fontId="3" fillId="0" borderId="0" xfId="0" applyNumberFormat="1" applyFont="1" applyAlignment="1">
      <alignment horizontal="left"/>
    </xf>
    <xf numFmtId="3" fontId="0" fillId="2" borderId="0" xfId="0" applyNumberFormat="1" applyFill="1" applyAlignment="1">
      <alignment horizontal="left"/>
    </xf>
    <xf numFmtId="3" fontId="1" fillId="2" borderId="0" xfId="0" applyNumberFormat="1" applyFont="1" applyFill="1" applyAlignment="1">
      <alignment horizontal="left"/>
    </xf>
    <xf numFmtId="3" fontId="3" fillId="2" borderId="0" xfId="0" applyNumberFormat="1" applyFont="1" applyFill="1" applyAlignment="1">
      <alignment horizontal="left"/>
    </xf>
    <xf numFmtId="2" fontId="3" fillId="2" borderId="0" xfId="0" applyNumberFormat="1" applyFont="1" applyFill="1" applyAlignment="1">
      <alignment horizontal="left"/>
    </xf>
    <xf numFmtId="9" fontId="0" fillId="2" borderId="0" xfId="0" applyNumberFormat="1" applyFill="1" applyAlignment="1">
      <alignment horizontal="left"/>
    </xf>
    <xf numFmtId="9" fontId="3" fillId="0" borderId="0" xfId="0" applyNumberFormat="1" applyFont="1" applyAlignment="1">
      <alignment horizontal="left"/>
    </xf>
    <xf numFmtId="9" fontId="0" fillId="0" borderId="0" xfId="0" applyNumberFormat="1" applyBorder="1" applyAlignment="1">
      <alignment horizontal="left"/>
    </xf>
    <xf numFmtId="3" fontId="0" fillId="0" borderId="0" xfId="0" applyNumberFormat="1" applyBorder="1" applyAlignment="1">
      <alignment horizontal="left"/>
    </xf>
    <xf numFmtId="170" fontId="0" fillId="0" borderId="0" xfId="0" applyNumberFormat="1" applyAlignment="1">
      <alignment horizontal="left"/>
    </xf>
    <xf numFmtId="9" fontId="0" fillId="0" borderId="2" xfId="0" applyNumberFormat="1" applyBorder="1" applyAlignment="1">
      <alignment horizontal="left"/>
    </xf>
    <xf numFmtId="9" fontId="0" fillId="0" borderId="3" xfId="0" applyNumberFormat="1" applyBorder="1" applyAlignment="1">
      <alignment horizontal="left"/>
    </xf>
    <xf numFmtId="9" fontId="0" fillId="0" borderId="4" xfId="0" applyNumberFormat="1" applyBorder="1" applyAlignment="1">
      <alignment horizontal="left"/>
    </xf>
    <xf numFmtId="9" fontId="0" fillId="0" borderId="5" xfId="0" applyNumberFormat="1" applyBorder="1" applyAlignment="1">
      <alignment horizontal="left"/>
    </xf>
    <xf numFmtId="9" fontId="0" fillId="0" borderId="1" xfId="0" applyNumberFormat="1" applyBorder="1" applyAlignment="1">
      <alignment horizontal="left"/>
    </xf>
    <xf numFmtId="9" fontId="0" fillId="0" borderId="6" xfId="0" applyNumberFormat="1" applyBorder="1" applyAlignment="1">
      <alignment horizontal="left"/>
    </xf>
    <xf numFmtId="8" fontId="0" fillId="0" borderId="1" xfId="0" applyNumberFormat="1" applyBorder="1" applyAlignment="1">
      <alignment horizontal="left"/>
    </xf>
    <xf numFmtId="8" fontId="0" fillId="0" borderId="6" xfId="0" applyNumberFormat="1" applyBorder="1" applyAlignment="1">
      <alignment horizontal="left"/>
    </xf>
    <xf numFmtId="3" fontId="0" fillId="0" borderId="1" xfId="0" applyNumberFormat="1" applyBorder="1" applyAlignment="1">
      <alignment horizontal="left"/>
    </xf>
    <xf numFmtId="8" fontId="1" fillId="0" borderId="1" xfId="0" applyNumberFormat="1" applyFont="1" applyBorder="1" applyAlignment="1">
      <alignment horizontal="left"/>
    </xf>
    <xf numFmtId="8" fontId="1" fillId="0" borderId="6" xfId="0" applyNumberFormat="1" applyFont="1" applyBorder="1" applyAlignment="1">
      <alignment horizontal="left"/>
    </xf>
    <xf numFmtId="1" fontId="0" fillId="0" borderId="1" xfId="0" applyNumberFormat="1" applyBorder="1" applyAlignment="1">
      <alignment horizontal="left"/>
    </xf>
    <xf numFmtId="9" fontId="1" fillId="0" borderId="5" xfId="0" applyNumberFormat="1" applyFont="1" applyBorder="1" applyAlignment="1">
      <alignment horizontal="left"/>
    </xf>
    <xf numFmtId="1" fontId="1" fillId="0" borderId="1" xfId="0" applyNumberFormat="1" applyFont="1" applyBorder="1" applyAlignment="1">
      <alignment horizontal="left"/>
    </xf>
    <xf numFmtId="3" fontId="1" fillId="0" borderId="1" xfId="0" applyNumberFormat="1" applyFont="1" applyBorder="1" applyAlignment="1">
      <alignment horizontal="left"/>
    </xf>
    <xf numFmtId="3" fontId="1" fillId="0" borderId="6" xfId="0" applyNumberFormat="1" applyFont="1" applyBorder="1" applyAlignment="1">
      <alignment horizontal="left"/>
    </xf>
    <xf numFmtId="3" fontId="0" fillId="0" borderId="5" xfId="0" applyNumberFormat="1" applyBorder="1" applyAlignment="1">
      <alignment horizontal="left"/>
    </xf>
    <xf numFmtId="3" fontId="0" fillId="0" borderId="6" xfId="0" applyNumberFormat="1" applyBorder="1" applyAlignment="1">
      <alignment horizontal="left"/>
    </xf>
    <xf numFmtId="3" fontId="0" fillId="0" borderId="7" xfId="0" applyNumberFormat="1" applyBorder="1" applyAlignment="1">
      <alignment horizontal="left"/>
    </xf>
    <xf numFmtId="9" fontId="0" fillId="0" borderId="8" xfId="0" applyNumberFormat="1" applyBorder="1" applyAlignment="1">
      <alignment horizontal="left"/>
    </xf>
    <xf numFmtId="3" fontId="0" fillId="0" borderId="8" xfId="0" applyNumberFormat="1" applyBorder="1" applyAlignment="1">
      <alignment horizontal="left"/>
    </xf>
    <xf numFmtId="3" fontId="0" fillId="0" borderId="9" xfId="0" applyNumberFormat="1" applyBorder="1" applyAlignment="1">
      <alignment horizontal="left"/>
    </xf>
    <xf numFmtId="9" fontId="8" fillId="0" borderId="1" xfId="0" applyNumberFormat="1" applyFont="1" applyBorder="1" applyAlignment="1">
      <alignment horizontal="left"/>
    </xf>
    <xf numFmtId="9" fontId="8" fillId="0" borderId="6" xfId="0" applyNumberFormat="1" applyFont="1" applyBorder="1" applyAlignment="1">
      <alignment horizontal="left"/>
    </xf>
    <xf numFmtId="14" fontId="0" fillId="0" borderId="0" xfId="0" applyNumberFormat="1" applyAlignment="1">
      <alignment horizontal="left"/>
    </xf>
    <xf numFmtId="14" fontId="4" fillId="0" borderId="0" xfId="1" applyNumberFormat="1" applyAlignment="1">
      <alignment horizontal="left"/>
    </xf>
    <xf numFmtId="4" fontId="0" fillId="0" borderId="0" xfId="0" applyNumberFormat="1" applyAlignment="1">
      <alignment horizontal="left"/>
    </xf>
    <xf numFmtId="9" fontId="1" fillId="0" borderId="0" xfId="0" applyNumberFormat="1" applyFont="1" applyAlignment="1">
      <alignment horizontal="left"/>
    </xf>
  </cellXfs>
  <cellStyles count="2">
    <cellStyle name="Hyperlink" xfId="1" builtinId="8"/>
    <cellStyle name="Normal" xfId="0" builtinId="0"/>
  </cellStyles>
  <dxfs count="0"/>
  <tableStyles count="0" defaultTableStyle="TableStyleMedium2" defaultPivotStyle="PivotStyleLight16"/>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13</xdr:col>
      <xdr:colOff>482600</xdr:colOff>
      <xdr:row>0</xdr:row>
      <xdr:rowOff>2078</xdr:rowOff>
    </xdr:from>
    <xdr:to>
      <xdr:col>13</xdr:col>
      <xdr:colOff>491836</xdr:colOff>
      <xdr:row>55</xdr:row>
      <xdr:rowOff>147320</xdr:rowOff>
    </xdr:to>
    <xdr:cxnSp macro="">
      <xdr:nvCxnSpPr>
        <xdr:cNvPr id="3" name="Straight Connector 2">
          <a:extLst>
            <a:ext uri="{FF2B5EF4-FFF2-40B4-BE49-F238E27FC236}">
              <a16:creationId xmlns:a16="http://schemas.microsoft.com/office/drawing/2014/main" id="{2404E0D0-566E-A673-A615-CB1928CC6139}"/>
            </a:ext>
          </a:extLst>
        </xdr:cNvPr>
        <xdr:cNvCxnSpPr/>
      </xdr:nvCxnSpPr>
      <xdr:spPr>
        <a:xfrm flipH="1">
          <a:off x="6954520" y="2078"/>
          <a:ext cx="9236" cy="9924242"/>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17318</xdr:colOff>
      <xdr:row>0</xdr:row>
      <xdr:rowOff>0</xdr:rowOff>
    </xdr:from>
    <xdr:to>
      <xdr:col>31</xdr:col>
      <xdr:colOff>57727</xdr:colOff>
      <xdr:row>40</xdr:row>
      <xdr:rowOff>115455</xdr:rowOff>
    </xdr:to>
    <xdr:cxnSp macro="">
      <xdr:nvCxnSpPr>
        <xdr:cNvPr id="4" name="Straight Connector 3">
          <a:extLst>
            <a:ext uri="{FF2B5EF4-FFF2-40B4-BE49-F238E27FC236}">
              <a16:creationId xmlns:a16="http://schemas.microsoft.com/office/drawing/2014/main" id="{42D616A1-C7EB-BC4C-943C-F5EF7F5B5542}"/>
            </a:ext>
          </a:extLst>
        </xdr:cNvPr>
        <xdr:cNvCxnSpPr/>
      </xdr:nvCxnSpPr>
      <xdr:spPr>
        <a:xfrm>
          <a:off x="11014363" y="0"/>
          <a:ext cx="40409" cy="5842000"/>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ir.mccormick.com/news-releases/news-release-details/mccormick-reports-third-quarter-performance-and-reaffirms-2022" TargetMode="External"/><Relationship Id="rId1" Type="http://schemas.openxmlformats.org/officeDocument/2006/relationships/hyperlink" Target="https://ir.mccormick.com/news-releases/news-release-details/mccormick-announces-lisa-manzones-plan-retire"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BEFDA-0EC5-6945-B883-72090DEF022B}">
  <dimension ref="B2:DE42"/>
  <sheetViews>
    <sheetView tabSelected="1" topLeftCell="B1" zoomScale="250" zoomScaleNormal="250" workbookViewId="0">
      <pane xSplit="2" ySplit="2" topLeftCell="D5" activePane="bottomRight" state="frozen"/>
      <selection activeCell="B1" sqref="B1"/>
      <selection pane="topRight" activeCell="D1" sqref="D1"/>
      <selection pane="bottomLeft" activeCell="B3" sqref="B3"/>
      <selection pane="bottomRight" activeCell="C6" sqref="C6"/>
    </sheetView>
  </sheetViews>
  <sheetFormatPr baseColWidth="10" defaultRowHeight="14"/>
  <cols>
    <col min="1" max="1" width="10.83203125" style="3"/>
    <col min="2" max="2" width="4.83203125" style="3" customWidth="1"/>
    <col min="3" max="3" width="11" style="3" bestFit="1" customWidth="1"/>
    <col min="4" max="10" width="5.6640625" style="3" bestFit="1" customWidth="1"/>
    <col min="11" max="11" width="7.1640625" style="3" bestFit="1" customWidth="1"/>
    <col min="12" max="13" width="5.6640625" style="3" bestFit="1" customWidth="1"/>
    <col min="14" max="14" width="6.5" style="3" bestFit="1" customWidth="1"/>
    <col min="15" max="15" width="5.6640625" style="3" bestFit="1" customWidth="1"/>
    <col min="16" max="16" width="0.83203125" style="10" customWidth="1"/>
    <col min="17" max="20" width="10.83203125" style="3"/>
    <col min="21" max="21" width="5.1640625" style="3" bestFit="1" customWidth="1"/>
    <col min="22" max="25" width="5.5" style="3" bestFit="1" customWidth="1"/>
    <col min="26" max="30" width="5.6640625" style="3" bestFit="1" customWidth="1"/>
    <col min="31" max="31" width="6.6640625" style="3" bestFit="1" customWidth="1"/>
    <col min="32" max="38" width="5.6640625" style="3" bestFit="1" customWidth="1"/>
    <col min="39" max="41" width="5.5" style="3" bestFit="1" customWidth="1"/>
    <col min="42" max="16384" width="10.83203125" style="3"/>
  </cols>
  <sheetData>
    <row r="2" spans="3:42">
      <c r="D2" s="3" t="s">
        <v>33</v>
      </c>
      <c r="E2" s="3" t="s">
        <v>34</v>
      </c>
      <c r="F2" s="3" t="s">
        <v>35</v>
      </c>
      <c r="G2" s="3" t="s">
        <v>36</v>
      </c>
      <c r="H2" s="3" t="s">
        <v>0</v>
      </c>
      <c r="I2" s="3" t="s">
        <v>2</v>
      </c>
      <c r="J2" s="3" t="s">
        <v>3</v>
      </c>
      <c r="K2" s="3" t="s">
        <v>4</v>
      </c>
      <c r="L2" s="3" t="s">
        <v>5</v>
      </c>
      <c r="M2" s="3" t="s">
        <v>1</v>
      </c>
      <c r="N2" s="3" t="s">
        <v>6</v>
      </c>
      <c r="O2" s="3" t="s">
        <v>7</v>
      </c>
      <c r="S2" s="4">
        <v>2009</v>
      </c>
      <c r="T2" s="4">
        <f>+S2+1</f>
        <v>2010</v>
      </c>
      <c r="U2" s="4">
        <f t="shared" ref="U2:X2" si="0">+T2+1</f>
        <v>2011</v>
      </c>
      <c r="V2" s="4">
        <f t="shared" si="0"/>
        <v>2012</v>
      </c>
      <c r="W2" s="4">
        <f t="shared" si="0"/>
        <v>2013</v>
      </c>
      <c r="X2" s="4">
        <f t="shared" si="0"/>
        <v>2014</v>
      </c>
      <c r="Y2" s="4">
        <v>2015</v>
      </c>
      <c r="Z2" s="4">
        <f>+Y2+1</f>
        <v>2016</v>
      </c>
      <c r="AA2" s="4">
        <f t="shared" ref="AA2:AO2" si="1">+Z2+1</f>
        <v>2017</v>
      </c>
      <c r="AB2" s="4">
        <f t="shared" si="1"/>
        <v>2018</v>
      </c>
      <c r="AC2" s="4">
        <f t="shared" si="1"/>
        <v>2019</v>
      </c>
      <c r="AD2" s="4">
        <f t="shared" si="1"/>
        <v>2020</v>
      </c>
      <c r="AE2" s="4">
        <f t="shared" si="1"/>
        <v>2021</v>
      </c>
      <c r="AF2" s="4">
        <f t="shared" si="1"/>
        <v>2022</v>
      </c>
      <c r="AG2" s="4">
        <f t="shared" si="1"/>
        <v>2023</v>
      </c>
      <c r="AH2" s="4">
        <f t="shared" si="1"/>
        <v>2024</v>
      </c>
      <c r="AI2" s="4">
        <f t="shared" si="1"/>
        <v>2025</v>
      </c>
      <c r="AJ2" s="4">
        <f t="shared" si="1"/>
        <v>2026</v>
      </c>
      <c r="AK2" s="4">
        <f t="shared" si="1"/>
        <v>2027</v>
      </c>
      <c r="AL2" s="4">
        <f t="shared" si="1"/>
        <v>2028</v>
      </c>
      <c r="AM2" s="4">
        <f t="shared" si="1"/>
        <v>2029</v>
      </c>
      <c r="AN2" s="4">
        <f t="shared" si="1"/>
        <v>2030</v>
      </c>
      <c r="AO2" s="4">
        <f t="shared" si="1"/>
        <v>2031</v>
      </c>
      <c r="AP2" s="4"/>
    </row>
    <row r="3" spans="3:42">
      <c r="Y3" s="4"/>
      <c r="Z3" s="4"/>
      <c r="AA3" s="4"/>
      <c r="AB3" s="4"/>
      <c r="AC3" s="4"/>
      <c r="AD3" s="4"/>
      <c r="AE3" s="4"/>
      <c r="AF3" s="4"/>
      <c r="AG3" s="4"/>
      <c r="AH3" s="4"/>
      <c r="AI3" s="4"/>
      <c r="AJ3" s="4"/>
      <c r="AK3" s="4"/>
      <c r="AL3" s="4"/>
      <c r="AM3" s="4"/>
      <c r="AN3" s="4"/>
      <c r="AO3" s="4"/>
      <c r="AP3" s="4"/>
    </row>
    <row r="4" spans="3:42">
      <c r="Y4" s="4"/>
      <c r="Z4" s="4"/>
      <c r="AA4" s="4"/>
      <c r="AB4" s="4"/>
      <c r="AC4" s="4"/>
      <c r="AD4" s="4"/>
      <c r="AE4" s="4"/>
      <c r="AF4" s="4"/>
      <c r="AG4" s="4"/>
      <c r="AH4" s="4"/>
      <c r="AI4" s="4"/>
      <c r="AJ4" s="4"/>
      <c r="AK4" s="4"/>
      <c r="AL4" s="4"/>
      <c r="AM4" s="4"/>
      <c r="AN4" s="4"/>
      <c r="AO4" s="4"/>
      <c r="AP4" s="4"/>
    </row>
    <row r="5" spans="3:42">
      <c r="Y5" s="4"/>
      <c r="Z5" s="4"/>
      <c r="AA5" s="4"/>
      <c r="AB5" s="4"/>
      <c r="AC5" s="4"/>
      <c r="AD5" s="4"/>
      <c r="AE5" s="4"/>
      <c r="AF5" s="4"/>
      <c r="AG5" s="4"/>
      <c r="AH5" s="4"/>
      <c r="AI5" s="4"/>
      <c r="AJ5" s="4"/>
      <c r="AK5" s="4"/>
      <c r="AL5" s="4"/>
      <c r="AM5" s="4"/>
      <c r="AN5" s="4"/>
      <c r="AO5" s="4"/>
      <c r="AP5" s="4"/>
    </row>
    <row r="6" spans="3:42">
      <c r="Y6" s="4"/>
      <c r="Z6" s="4"/>
      <c r="AA6" s="4"/>
      <c r="AB6" s="4"/>
      <c r="AC6" s="4"/>
      <c r="AD6" s="4"/>
      <c r="AE6" s="4">
        <f>+AE7-V7</f>
        <v>2303.4999999999995</v>
      </c>
      <c r="AF6" s="4"/>
      <c r="AG6" s="4"/>
      <c r="AH6" s="4"/>
      <c r="AI6" s="4"/>
      <c r="AJ6" s="4"/>
      <c r="AK6" s="4"/>
      <c r="AL6" s="4"/>
      <c r="AM6" s="4"/>
      <c r="AN6" s="4"/>
      <c r="AO6" s="4"/>
      <c r="AP6" s="4"/>
    </row>
    <row r="7" spans="3:42" s="5" customFormat="1">
      <c r="C7" s="5" t="s">
        <v>8</v>
      </c>
      <c r="D7" s="5">
        <v>1212</v>
      </c>
      <c r="E7" s="5">
        <v>1401.1</v>
      </c>
      <c r="F7" s="5">
        <v>1430.3</v>
      </c>
      <c r="G7" s="5">
        <f t="shared" ref="G7:G22" si="2">+AD7-SUM(D7:F7)</f>
        <v>1557.9000000000005</v>
      </c>
      <c r="H7" s="5">
        <v>1481.5</v>
      </c>
      <c r="I7" s="5">
        <v>1556.7</v>
      </c>
      <c r="J7" s="5">
        <v>1549.4</v>
      </c>
      <c r="K7" s="5">
        <f t="shared" ref="K7:K20" si="3">+AE7-SUM(H7:J7)</f>
        <v>1730.2999999999993</v>
      </c>
      <c r="L7" s="5">
        <v>1522.4</v>
      </c>
      <c r="M7" s="5">
        <v>1536.8</v>
      </c>
      <c r="N7" s="5">
        <v>1595</v>
      </c>
      <c r="O7" s="5">
        <f>+K7*1.02</f>
        <v>1764.9059999999993</v>
      </c>
      <c r="P7" s="11"/>
      <c r="V7" s="5">
        <v>4014.4</v>
      </c>
      <c r="W7" s="5">
        <v>4123.3999999999996</v>
      </c>
      <c r="X7" s="5">
        <v>4243.2</v>
      </c>
      <c r="Y7" s="5">
        <v>4296.3</v>
      </c>
      <c r="Z7" s="5">
        <v>4313.8999999999996</v>
      </c>
      <c r="AA7" s="5">
        <v>4730.3</v>
      </c>
      <c r="AB7" s="5">
        <v>5302.8</v>
      </c>
      <c r="AC7" s="5">
        <v>5347.4</v>
      </c>
      <c r="AD7" s="5">
        <v>5601.3</v>
      </c>
      <c r="AE7" s="5">
        <v>6317.9</v>
      </c>
      <c r="AF7" s="5">
        <f>SUM(L7:O7)</f>
        <v>6419.1059999999989</v>
      </c>
      <c r="AG7" s="5">
        <f>+AF7*(1+AG24)</f>
        <v>6643.7747099999979</v>
      </c>
      <c r="AH7" s="5">
        <f t="shared" ref="AH7:AO7" si="4">+AG7*(1+AH24)</f>
        <v>6876.3068248499976</v>
      </c>
      <c r="AI7" s="5">
        <f t="shared" si="4"/>
        <v>7116.9775637197472</v>
      </c>
      <c r="AJ7" s="5">
        <f t="shared" si="4"/>
        <v>7366.0717784499375</v>
      </c>
      <c r="AK7" s="5">
        <f t="shared" si="4"/>
        <v>7623.8842906956843</v>
      </c>
      <c r="AL7" s="5">
        <f t="shared" si="4"/>
        <v>7890.7202408700323</v>
      </c>
      <c r="AM7" s="5">
        <f t="shared" si="4"/>
        <v>8166.8954493004831</v>
      </c>
      <c r="AN7" s="5">
        <f t="shared" si="4"/>
        <v>8452.7367900259997</v>
      </c>
      <c r="AO7" s="5">
        <f t="shared" si="4"/>
        <v>8748.5825776769088</v>
      </c>
    </row>
    <row r="8" spans="3:42" s="8" customFormat="1">
      <c r="C8" s="8" t="s">
        <v>9</v>
      </c>
      <c r="D8" s="8">
        <v>742.1</v>
      </c>
      <c r="E8" s="8">
        <v>821.6</v>
      </c>
      <c r="F8" s="8">
        <v>840</v>
      </c>
      <c r="G8" s="8">
        <f t="shared" si="2"/>
        <v>897.20000000000027</v>
      </c>
      <c r="H8" s="8">
        <v>904</v>
      </c>
      <c r="I8" s="8">
        <v>942.1</v>
      </c>
      <c r="J8" s="8">
        <v>949.8</v>
      </c>
      <c r="K8" s="8">
        <f t="shared" si="3"/>
        <v>1027.4000000000005</v>
      </c>
      <c r="L8" s="8">
        <v>962</v>
      </c>
      <c r="M8" s="8">
        <v>1013.8</v>
      </c>
      <c r="N8" s="8">
        <v>1028.9000000000001</v>
      </c>
      <c r="O8" s="8">
        <f>+O7*O25</f>
        <v>1147.1888999999996</v>
      </c>
      <c r="P8" s="12"/>
      <c r="AC8" s="8">
        <v>3202.1</v>
      </c>
      <c r="AD8" s="8">
        <v>3300.9</v>
      </c>
      <c r="AE8" s="8">
        <v>3823.3</v>
      </c>
      <c r="AF8" s="8">
        <f t="shared" ref="AF8:AF22" si="5">SUM(L8:O8)</f>
        <v>4151.8888999999999</v>
      </c>
      <c r="AG8" s="8">
        <f>+AG7*(AG25)</f>
        <v>4185.578067299999</v>
      </c>
      <c r="AH8" s="8">
        <f t="shared" ref="AH8:AO8" si="6">+AH7*(AH25)</f>
        <v>4332.0732996554989</v>
      </c>
      <c r="AI8" s="8">
        <f t="shared" si="6"/>
        <v>4483.6958651434406</v>
      </c>
      <c r="AJ8" s="8">
        <f t="shared" si="6"/>
        <v>4566.9645026389608</v>
      </c>
      <c r="AK8" s="8">
        <f t="shared" si="6"/>
        <v>4726.8082602313243</v>
      </c>
      <c r="AL8" s="8">
        <f t="shared" si="6"/>
        <v>4813.3393469307193</v>
      </c>
      <c r="AM8" s="8">
        <f t="shared" si="6"/>
        <v>4981.8062240732943</v>
      </c>
      <c r="AN8" s="8">
        <f t="shared" si="6"/>
        <v>5156.1694419158594</v>
      </c>
      <c r="AO8" s="8">
        <f t="shared" si="6"/>
        <v>5336.6353723829143</v>
      </c>
    </row>
    <row r="9" spans="3:42" s="8" customFormat="1">
      <c r="C9" s="8" t="s">
        <v>10</v>
      </c>
      <c r="D9" s="8">
        <f>+D7-D8</f>
        <v>469.9</v>
      </c>
      <c r="E9" s="8">
        <f>+E7-E8</f>
        <v>579.49999999999989</v>
      </c>
      <c r="F9" s="8">
        <f>+F7-F8</f>
        <v>590.29999999999995</v>
      </c>
      <c r="G9" s="8">
        <f t="shared" si="2"/>
        <v>660.70000000000027</v>
      </c>
      <c r="H9" s="8">
        <f>+H7-H8</f>
        <v>577.5</v>
      </c>
      <c r="I9" s="8">
        <f>+I7-I8</f>
        <v>614.6</v>
      </c>
      <c r="J9" s="8">
        <f>+J7-J8</f>
        <v>599.60000000000014</v>
      </c>
      <c r="K9" s="8">
        <f t="shared" si="3"/>
        <v>702.89999999999941</v>
      </c>
      <c r="L9" s="8">
        <f>+L7-L8</f>
        <v>560.40000000000009</v>
      </c>
      <c r="M9" s="8">
        <f>+M7-M8</f>
        <v>523</v>
      </c>
      <c r="N9" s="8">
        <f>+N7-N8</f>
        <v>566.09999999999991</v>
      </c>
      <c r="O9" s="8">
        <f>+O7-O8</f>
        <v>617.71709999999962</v>
      </c>
      <c r="P9" s="12"/>
      <c r="AC9" s="8">
        <f>+AC7-AC8</f>
        <v>2145.2999999999997</v>
      </c>
      <c r="AD9" s="8">
        <f>+AD7-AD8</f>
        <v>2300.4</v>
      </c>
      <c r="AE9" s="8">
        <f>+AE7-AE8</f>
        <v>2494.5999999999995</v>
      </c>
      <c r="AF9" s="8">
        <f t="shared" si="5"/>
        <v>2267.2170999999998</v>
      </c>
      <c r="AG9" s="8">
        <f>+AG7-AG8</f>
        <v>2458.1966426999988</v>
      </c>
      <c r="AH9" s="8">
        <f t="shared" ref="AH9:AO9" si="7">+AH7-AH8</f>
        <v>2544.2335251944987</v>
      </c>
      <c r="AI9" s="8">
        <f t="shared" si="7"/>
        <v>2633.2816985763066</v>
      </c>
      <c r="AJ9" s="8">
        <f t="shared" si="7"/>
        <v>2799.1072758109767</v>
      </c>
      <c r="AK9" s="8">
        <f t="shared" si="7"/>
        <v>2897.07603046436</v>
      </c>
      <c r="AL9" s="8">
        <f t="shared" si="7"/>
        <v>3077.380893939313</v>
      </c>
      <c r="AM9" s="8">
        <f t="shared" si="7"/>
        <v>3185.0892252271888</v>
      </c>
      <c r="AN9" s="8">
        <f t="shared" si="7"/>
        <v>3296.5673481101403</v>
      </c>
      <c r="AO9" s="8">
        <f t="shared" si="7"/>
        <v>3411.9472052939946</v>
      </c>
    </row>
    <row r="10" spans="3:42" s="8" customFormat="1">
      <c r="C10" s="8" t="s">
        <v>11</v>
      </c>
      <c r="D10" s="8">
        <v>274.7</v>
      </c>
      <c r="E10" s="8">
        <v>319.2</v>
      </c>
      <c r="F10" s="8">
        <v>317.2</v>
      </c>
      <c r="G10" s="8">
        <f t="shared" si="2"/>
        <v>370.5</v>
      </c>
      <c r="H10" s="8">
        <v>321.3</v>
      </c>
      <c r="I10" s="8">
        <v>356.6</v>
      </c>
      <c r="J10" s="8">
        <v>327.3</v>
      </c>
      <c r="K10" s="8">
        <f t="shared" si="3"/>
        <v>398.89999999999986</v>
      </c>
      <c r="L10" s="8">
        <v>333.3</v>
      </c>
      <c r="M10" s="8">
        <v>349.2</v>
      </c>
      <c r="N10" s="8">
        <v>328.1</v>
      </c>
      <c r="O10" s="8">
        <f>+O7*(N10/N7)</f>
        <v>363.0505696551723</v>
      </c>
      <c r="P10" s="12"/>
      <c r="AC10" s="8">
        <v>1166.8</v>
      </c>
      <c r="AD10" s="8">
        <v>1281.5999999999999</v>
      </c>
      <c r="AE10" s="8">
        <v>1404.1</v>
      </c>
      <c r="AF10" s="8">
        <f t="shared" si="5"/>
        <v>1373.6505696551724</v>
      </c>
      <c r="AG10" s="8">
        <f>+AG7*AG26</f>
        <v>1395.1926890999996</v>
      </c>
      <c r="AH10" s="8">
        <f t="shared" ref="AH10:AO10" si="8">+AH7*AH26</f>
        <v>1444.0244332184996</v>
      </c>
      <c r="AI10" s="8">
        <f t="shared" si="8"/>
        <v>1494.565288381147</v>
      </c>
      <c r="AJ10" s="8">
        <f t="shared" si="8"/>
        <v>1546.8750734744867</v>
      </c>
      <c r="AK10" s="8">
        <f t="shared" si="8"/>
        <v>1601.0157010460937</v>
      </c>
      <c r="AL10" s="8">
        <f t="shared" si="8"/>
        <v>1657.0512505827066</v>
      </c>
      <c r="AM10" s="8">
        <f t="shared" si="8"/>
        <v>1715.0480443531014</v>
      </c>
      <c r="AN10" s="8">
        <f t="shared" si="8"/>
        <v>1775.0747259054599</v>
      </c>
      <c r="AO10" s="8">
        <f t="shared" si="8"/>
        <v>1837.2023413121508</v>
      </c>
    </row>
    <row r="11" spans="3:42" s="8" customFormat="1">
      <c r="C11" s="8" t="s">
        <v>12</v>
      </c>
      <c r="D11" s="8">
        <v>0</v>
      </c>
      <c r="E11" s="8">
        <v>0</v>
      </c>
      <c r="F11" s="8">
        <v>0</v>
      </c>
      <c r="G11" s="8">
        <f t="shared" si="2"/>
        <v>12.4</v>
      </c>
      <c r="H11" s="8">
        <v>18.8</v>
      </c>
      <c r="I11" s="8">
        <v>6.9</v>
      </c>
      <c r="J11" s="8">
        <v>1.3</v>
      </c>
      <c r="K11" s="8">
        <f t="shared" si="3"/>
        <v>1.9999999999999964</v>
      </c>
      <c r="L11" s="8">
        <v>0.7</v>
      </c>
      <c r="M11" s="8">
        <v>1.5</v>
      </c>
      <c r="N11" s="8">
        <v>0</v>
      </c>
      <c r="O11" s="8">
        <v>2</v>
      </c>
      <c r="P11" s="12"/>
      <c r="AC11" s="8">
        <v>0</v>
      </c>
      <c r="AD11" s="8">
        <v>12.4</v>
      </c>
      <c r="AE11" s="8">
        <v>29</v>
      </c>
      <c r="AF11" s="8">
        <f t="shared" si="5"/>
        <v>4.2</v>
      </c>
    </row>
    <row r="12" spans="3:42" s="8" customFormat="1">
      <c r="C12" s="8" t="s">
        <v>13</v>
      </c>
      <c r="D12" s="8">
        <v>1</v>
      </c>
      <c r="E12" s="8">
        <v>2.9</v>
      </c>
      <c r="F12" s="8">
        <v>0.1</v>
      </c>
      <c r="G12" s="8">
        <f t="shared" si="2"/>
        <v>2.9000000000000004</v>
      </c>
      <c r="H12" s="8">
        <v>1.1000000000000001</v>
      </c>
      <c r="I12" s="8">
        <v>13.7</v>
      </c>
      <c r="J12" s="8">
        <v>5.8</v>
      </c>
      <c r="K12" s="8">
        <f t="shared" si="3"/>
        <v>25.8</v>
      </c>
      <c r="L12" s="8">
        <v>19.5</v>
      </c>
      <c r="M12" s="8">
        <v>15.1</v>
      </c>
      <c r="N12" s="8">
        <v>3.4</v>
      </c>
      <c r="O12" s="8">
        <v>8</v>
      </c>
      <c r="P12" s="12"/>
      <c r="AC12" s="8">
        <v>20.8</v>
      </c>
      <c r="AD12" s="8">
        <v>6.9</v>
      </c>
      <c r="AE12" s="8">
        <v>46.4</v>
      </c>
      <c r="AF12" s="8">
        <f t="shared" si="5"/>
        <v>46</v>
      </c>
    </row>
    <row r="13" spans="3:42" s="8" customFormat="1">
      <c r="C13" s="8" t="s">
        <v>14</v>
      </c>
      <c r="D13" s="8">
        <f>+D9-SUM(D10:D12)</f>
        <v>194.2</v>
      </c>
      <c r="E13" s="8">
        <f>+E9-SUM(E10:E12)</f>
        <v>257.39999999999992</v>
      </c>
      <c r="F13" s="8">
        <f>+F9-SUM(F10:F12)</f>
        <v>272.99999999999994</v>
      </c>
      <c r="G13" s="8">
        <f t="shared" si="2"/>
        <v>274.90000000000009</v>
      </c>
      <c r="H13" s="8">
        <f>+H9-SUM(H10:H12)</f>
        <v>236.29999999999995</v>
      </c>
      <c r="I13" s="8">
        <f>+I9-SUM(I10:I12)</f>
        <v>237.40000000000003</v>
      </c>
      <c r="J13" s="8">
        <f>+J9-SUM(J10:J12)</f>
        <v>265.2000000000001</v>
      </c>
      <c r="K13" s="8">
        <f t="shared" si="3"/>
        <v>276.19999999999936</v>
      </c>
      <c r="L13" s="8">
        <f>+L9-SUM(L10:L12)</f>
        <v>206.90000000000009</v>
      </c>
      <c r="M13" s="8">
        <f>+M9-SUM(M10:M12)</f>
        <v>157.19999999999999</v>
      </c>
      <c r="N13" s="8">
        <f>+N9-SUM(N10:N12)</f>
        <v>234.59999999999991</v>
      </c>
      <c r="O13" s="8">
        <f>+O9-SUM(O10:O12)</f>
        <v>244.66653034482732</v>
      </c>
      <c r="P13" s="12"/>
      <c r="V13" s="8">
        <v>578.29999999999995</v>
      </c>
      <c r="W13" s="8">
        <v>550.5</v>
      </c>
      <c r="X13" s="8">
        <v>603</v>
      </c>
      <c r="Y13" s="8">
        <v>548.4</v>
      </c>
      <c r="Z13" s="8">
        <v>649.4</v>
      </c>
      <c r="AA13" s="8">
        <v>699.8</v>
      </c>
      <c r="AB13" s="8">
        <v>891.1</v>
      </c>
      <c r="AC13" s="8">
        <f>+AC9-SUM(AC10:AC12)</f>
        <v>957.69999999999982</v>
      </c>
      <c r="AD13" s="8">
        <f>+AD9-SUM(AD10:AD12)</f>
        <v>999.5</v>
      </c>
      <c r="AE13" s="8">
        <f>+AE9-SUM(AE10:AE12)</f>
        <v>1015.0999999999995</v>
      </c>
      <c r="AF13" s="8">
        <f t="shared" si="5"/>
        <v>843.36653034482742</v>
      </c>
      <c r="AG13" s="8">
        <f>+AG9-SUM(AG10:AG12)</f>
        <v>1063.0039535999992</v>
      </c>
      <c r="AH13" s="8">
        <f t="shared" ref="AH13:AO13" si="9">+AH9-SUM(AH10:AH12)</f>
        <v>1100.2090919759992</v>
      </c>
      <c r="AI13" s="8">
        <f t="shared" si="9"/>
        <v>1138.7164101951596</v>
      </c>
      <c r="AJ13" s="8">
        <f t="shared" si="9"/>
        <v>1252.23220233649</v>
      </c>
      <c r="AK13" s="8">
        <f t="shared" si="9"/>
        <v>1296.0603294182663</v>
      </c>
      <c r="AL13" s="8">
        <f t="shared" si="9"/>
        <v>1420.3296433566063</v>
      </c>
      <c r="AM13" s="8">
        <f t="shared" si="9"/>
        <v>1470.0411808740873</v>
      </c>
      <c r="AN13" s="8">
        <f t="shared" si="9"/>
        <v>1521.4926222046804</v>
      </c>
      <c r="AO13" s="8">
        <f t="shared" si="9"/>
        <v>1574.7448639818438</v>
      </c>
    </row>
    <row r="14" spans="3:42" s="8" customFormat="1">
      <c r="C14" s="8" t="s">
        <v>15</v>
      </c>
      <c r="D14" s="8">
        <v>35.299999999999997</v>
      </c>
      <c r="E14" s="8">
        <v>34.1</v>
      </c>
      <c r="F14" s="8">
        <v>33.5</v>
      </c>
      <c r="G14" s="8">
        <f t="shared" si="2"/>
        <v>32.699999999999989</v>
      </c>
      <c r="H14" s="8">
        <v>33.799999999999997</v>
      </c>
      <c r="I14" s="8">
        <v>35.6</v>
      </c>
      <c r="J14" s="8">
        <v>33.9</v>
      </c>
      <c r="K14" s="8">
        <f t="shared" si="3"/>
        <v>33.299999999999983</v>
      </c>
      <c r="L14" s="8">
        <v>33.1</v>
      </c>
      <c r="M14" s="8">
        <v>33.700000000000003</v>
      </c>
      <c r="N14" s="8">
        <v>37.9</v>
      </c>
      <c r="O14" s="8">
        <f>+O13*(N14/N13)</f>
        <v>39.526263853661376</v>
      </c>
      <c r="P14" s="12"/>
      <c r="AC14" s="8">
        <v>165.2</v>
      </c>
      <c r="AD14" s="8">
        <v>135.6</v>
      </c>
      <c r="AE14" s="8">
        <v>136.6</v>
      </c>
      <c r="AF14" s="8">
        <f t="shared" si="5"/>
        <v>144.22626385366141</v>
      </c>
      <c r="AG14" s="8">
        <f>+AG13*(AF14/AF13)</f>
        <v>181.78702043904158</v>
      </c>
      <c r="AH14" s="8">
        <f t="shared" ref="AH14:AO14" si="10">+AH13*(AG14/AG13)</f>
        <v>188.14956615440803</v>
      </c>
      <c r="AI14" s="8">
        <f t="shared" si="10"/>
        <v>194.7348009698124</v>
      </c>
      <c r="AJ14" s="8">
        <f t="shared" si="10"/>
        <v>214.14742644149064</v>
      </c>
      <c r="AK14" s="8">
        <f t="shared" si="10"/>
        <v>221.64258636694268</v>
      </c>
      <c r="AL14" s="8">
        <f t="shared" si="10"/>
        <v>242.89419905977311</v>
      </c>
      <c r="AM14" s="8">
        <f t="shared" si="10"/>
        <v>251.39549602686515</v>
      </c>
      <c r="AN14" s="8">
        <f t="shared" si="10"/>
        <v>260.19433838780543</v>
      </c>
      <c r="AO14" s="8">
        <f t="shared" si="10"/>
        <v>269.30114023137855</v>
      </c>
    </row>
    <row r="15" spans="3:42" s="8" customFormat="1">
      <c r="C15" s="8" t="s">
        <v>16</v>
      </c>
      <c r="D15" s="8">
        <v>5.5</v>
      </c>
      <c r="E15" s="8">
        <v>3.1</v>
      </c>
      <c r="F15" s="8">
        <v>3.9</v>
      </c>
      <c r="G15" s="8">
        <f t="shared" si="2"/>
        <v>5.1000000000000014</v>
      </c>
      <c r="H15" s="8">
        <v>4.5999999999999996</v>
      </c>
      <c r="I15" s="8">
        <v>3.9</v>
      </c>
      <c r="J15" s="8">
        <v>3.5</v>
      </c>
      <c r="K15" s="8">
        <f t="shared" si="3"/>
        <v>5.3000000000000007</v>
      </c>
      <c r="L15" s="8">
        <v>6.2</v>
      </c>
      <c r="M15" s="8">
        <v>6.3</v>
      </c>
      <c r="N15" s="8">
        <v>77.400000000000006</v>
      </c>
      <c r="O15" s="8">
        <f>+O13*(N15/N13)</f>
        <v>80.721182645735894</v>
      </c>
      <c r="P15" s="12"/>
      <c r="AC15" s="8">
        <v>26.7</v>
      </c>
      <c r="AD15" s="8">
        <v>17.600000000000001</v>
      </c>
      <c r="AE15" s="8">
        <v>17.3</v>
      </c>
      <c r="AF15" s="8">
        <f t="shared" si="5"/>
        <v>170.6211826457359</v>
      </c>
      <c r="AG15" s="8">
        <f>+AG13*(AF15/AF13)</f>
        <v>215.05595158746416</v>
      </c>
      <c r="AH15" s="8">
        <f t="shared" ref="AH15:AO15" si="11">+AH13*(AG15/AG13)</f>
        <v>222.5829098930254</v>
      </c>
      <c r="AI15" s="8">
        <f t="shared" si="11"/>
        <v>230.37331173928138</v>
      </c>
      <c r="AJ15" s="8">
        <f t="shared" si="11"/>
        <v>253.33865125329106</v>
      </c>
      <c r="AK15" s="8">
        <f t="shared" si="11"/>
        <v>262.20550404715607</v>
      </c>
      <c r="AL15" s="8">
        <f t="shared" si="11"/>
        <v>287.3463847293246</v>
      </c>
      <c r="AM15" s="8">
        <f t="shared" si="11"/>
        <v>297.40350819485093</v>
      </c>
      <c r="AN15" s="8">
        <f t="shared" si="11"/>
        <v>307.81263098167074</v>
      </c>
      <c r="AO15" s="8">
        <f t="shared" si="11"/>
        <v>318.58607306602909</v>
      </c>
    </row>
    <row r="16" spans="3:42" s="8" customFormat="1">
      <c r="C16" s="8" t="s">
        <v>17</v>
      </c>
      <c r="D16" s="8">
        <f>+D13-D14+D15</f>
        <v>164.39999999999998</v>
      </c>
      <c r="E16" s="8">
        <f>+E13-E14+E15</f>
        <v>226.39999999999992</v>
      </c>
      <c r="F16" s="8">
        <f>+F13-F14+F15</f>
        <v>243.39999999999995</v>
      </c>
      <c r="G16" s="8">
        <f t="shared" si="2"/>
        <v>247.30000000000018</v>
      </c>
      <c r="H16" s="8">
        <f>+H13-H14+H15</f>
        <v>207.09999999999994</v>
      </c>
      <c r="I16" s="8">
        <f>+I13-I14+I15</f>
        <v>205.70000000000005</v>
      </c>
      <c r="J16" s="8">
        <f>+J13-J14+J15</f>
        <v>234.8000000000001</v>
      </c>
      <c r="K16" s="8">
        <f t="shared" si="3"/>
        <v>248.19999999999936</v>
      </c>
      <c r="L16" s="8">
        <f>+L13-L14+L15</f>
        <v>180.00000000000009</v>
      </c>
      <c r="M16" s="8">
        <f>+M13-M14+M15</f>
        <v>129.79999999999998</v>
      </c>
      <c r="N16" s="8">
        <f>+N13-N14+N15</f>
        <v>274.09999999999991</v>
      </c>
      <c r="O16" s="8">
        <f>+O13-O14+O15</f>
        <v>285.86144913690185</v>
      </c>
      <c r="P16" s="12"/>
      <c r="AC16" s="8">
        <f>+AC13-AC14+AC15</f>
        <v>819.19999999999982</v>
      </c>
      <c r="AD16" s="8">
        <f>+AD13-AD14+AD15</f>
        <v>881.5</v>
      </c>
      <c r="AE16" s="8">
        <f>+AE13-AE14+AE15</f>
        <v>895.79999999999939</v>
      </c>
      <c r="AF16" s="8">
        <f t="shared" si="5"/>
        <v>869.76144913690177</v>
      </c>
      <c r="AG16" s="8">
        <f>+AG13-AG14+AG15</f>
        <v>1096.2728847484218</v>
      </c>
      <c r="AH16" s="8">
        <f t="shared" ref="AH16:AO16" si="12">+AH13-AH14+AH15</f>
        <v>1134.6424357146166</v>
      </c>
      <c r="AI16" s="8">
        <f t="shared" si="12"/>
        <v>1174.3549209646287</v>
      </c>
      <c r="AJ16" s="8">
        <f t="shared" si="12"/>
        <v>1291.4234271482906</v>
      </c>
      <c r="AK16" s="8">
        <f t="shared" si="12"/>
        <v>1336.6232470984796</v>
      </c>
      <c r="AL16" s="8">
        <f t="shared" si="12"/>
        <v>1464.7818290261578</v>
      </c>
      <c r="AM16" s="8">
        <f t="shared" si="12"/>
        <v>1516.0491930420731</v>
      </c>
      <c r="AN16" s="8">
        <f t="shared" si="12"/>
        <v>1569.1109147985458</v>
      </c>
      <c r="AO16" s="8">
        <f t="shared" si="12"/>
        <v>1624.0297968164944</v>
      </c>
    </row>
    <row r="17" spans="2:109" s="8" customFormat="1">
      <c r="C17" s="8" t="s">
        <v>18</v>
      </c>
      <c r="D17" s="8">
        <v>30.1</v>
      </c>
      <c r="E17" s="8">
        <v>40.4</v>
      </c>
      <c r="F17" s="8">
        <v>46.9</v>
      </c>
      <c r="G17" s="8">
        <f t="shared" si="2"/>
        <v>57.5</v>
      </c>
      <c r="H17" s="8">
        <v>58.6</v>
      </c>
      <c r="I17" s="8">
        <v>45.4</v>
      </c>
      <c r="J17" s="8">
        <v>31.5</v>
      </c>
      <c r="K17" s="8">
        <f t="shared" si="3"/>
        <v>57.199999999999989</v>
      </c>
      <c r="L17" s="8">
        <v>34.4</v>
      </c>
      <c r="M17" s="8">
        <v>21.7</v>
      </c>
      <c r="N17" s="8">
        <v>59.3</v>
      </c>
      <c r="O17" s="8">
        <f>+O16*O27</f>
        <v>62.88951881011841</v>
      </c>
      <c r="P17" s="12"/>
      <c r="AC17" s="8">
        <v>157.4</v>
      </c>
      <c r="AD17" s="8">
        <v>174.9</v>
      </c>
      <c r="AE17" s="8">
        <v>192.7</v>
      </c>
      <c r="AF17" s="8">
        <f t="shared" si="5"/>
        <v>178.28951881011841</v>
      </c>
      <c r="AG17" s="8">
        <f>+AG16*(AF17/AF16)</f>
        <v>224.72134779063055</v>
      </c>
      <c r="AH17" s="8">
        <f t="shared" ref="AH17:AO17" si="13">+AH16*(AG17/AG16)</f>
        <v>232.58659496330262</v>
      </c>
      <c r="AI17" s="8">
        <f t="shared" si="13"/>
        <v>240.72712578701831</v>
      </c>
      <c r="AJ17" s="8">
        <f t="shared" si="13"/>
        <v>264.72461113891177</v>
      </c>
      <c r="AK17" s="8">
        <f t="shared" si="13"/>
        <v>273.98997252877348</v>
      </c>
      <c r="AL17" s="8">
        <f t="shared" si="13"/>
        <v>300.26077577712067</v>
      </c>
      <c r="AM17" s="8">
        <f t="shared" si="13"/>
        <v>310.76990292931981</v>
      </c>
      <c r="AN17" s="8">
        <f t="shared" si="13"/>
        <v>321.64684953184604</v>
      </c>
      <c r="AO17" s="8">
        <f t="shared" si="13"/>
        <v>332.90448926546054</v>
      </c>
    </row>
    <row r="18" spans="2:109" s="8" customFormat="1">
      <c r="C18" s="8" t="s">
        <v>19</v>
      </c>
      <c r="D18" s="8">
        <f>+D16-D17</f>
        <v>134.29999999999998</v>
      </c>
      <c r="E18" s="8">
        <f>+E16-E17</f>
        <v>185.99999999999991</v>
      </c>
      <c r="F18" s="8">
        <f>+F16-F17</f>
        <v>196.49999999999994</v>
      </c>
      <c r="G18" s="8">
        <f t="shared" si="2"/>
        <v>189.80000000000018</v>
      </c>
      <c r="H18" s="8">
        <f>+H16-H17</f>
        <v>148.49999999999994</v>
      </c>
      <c r="I18" s="8">
        <f>+I16-I17</f>
        <v>160.30000000000004</v>
      </c>
      <c r="J18" s="8">
        <f>+J16-J17</f>
        <v>203.3000000000001</v>
      </c>
      <c r="K18" s="8">
        <f t="shared" si="3"/>
        <v>190.99999999999943</v>
      </c>
      <c r="L18" s="8">
        <f>+L16-L17</f>
        <v>145.60000000000008</v>
      </c>
      <c r="M18" s="8">
        <f>+M16-M17</f>
        <v>108.09999999999998</v>
      </c>
      <c r="N18" s="8">
        <f>+N16-N17</f>
        <v>214.7999999999999</v>
      </c>
      <c r="O18" s="8">
        <f>+O16-O17</f>
        <v>222.97193032678345</v>
      </c>
      <c r="P18" s="12"/>
      <c r="AC18" s="8">
        <f>+AC16-AC17</f>
        <v>661.79999999999984</v>
      </c>
      <c r="AD18" s="8">
        <f>+AD16-AD17</f>
        <v>706.6</v>
      </c>
      <c r="AE18" s="8">
        <f>+AE16-AE17</f>
        <v>703.09999999999945</v>
      </c>
      <c r="AF18" s="8">
        <f t="shared" si="5"/>
        <v>691.47193032678342</v>
      </c>
      <c r="AG18" s="8">
        <f>+AG16-AG17</f>
        <v>871.55153695779131</v>
      </c>
      <c r="AH18" s="8">
        <f t="shared" ref="AH18:AO18" si="14">+AH16-AH17</f>
        <v>902.05584075131401</v>
      </c>
      <c r="AI18" s="8">
        <f t="shared" si="14"/>
        <v>933.62779517761044</v>
      </c>
      <c r="AJ18" s="8">
        <f t="shared" si="14"/>
        <v>1026.6988160093788</v>
      </c>
      <c r="AK18" s="8">
        <f t="shared" si="14"/>
        <v>1062.6332745697061</v>
      </c>
      <c r="AL18" s="8">
        <f t="shared" si="14"/>
        <v>1164.5210532490371</v>
      </c>
      <c r="AM18" s="8">
        <f t="shared" si="14"/>
        <v>1205.2792901127532</v>
      </c>
      <c r="AN18" s="8">
        <f t="shared" si="14"/>
        <v>1247.4640652666997</v>
      </c>
      <c r="AO18" s="8">
        <f t="shared" si="14"/>
        <v>1291.1253075510338</v>
      </c>
    </row>
    <row r="19" spans="2:109" s="8" customFormat="1">
      <c r="C19" s="8" t="s">
        <v>20</v>
      </c>
      <c r="D19" s="8">
        <v>10.4</v>
      </c>
      <c r="E19" s="8">
        <v>10.199999999999999</v>
      </c>
      <c r="F19" s="8">
        <v>9.6</v>
      </c>
      <c r="G19" s="8">
        <f t="shared" si="2"/>
        <v>10.599999999999994</v>
      </c>
      <c r="H19" s="8">
        <v>13.3</v>
      </c>
      <c r="I19" s="8">
        <v>23.4</v>
      </c>
      <c r="J19" s="8">
        <v>9.1</v>
      </c>
      <c r="K19" s="8">
        <f t="shared" si="3"/>
        <v>6.3999999999999986</v>
      </c>
      <c r="L19" s="8">
        <v>9.3000000000000007</v>
      </c>
      <c r="M19" s="8">
        <v>7.5</v>
      </c>
      <c r="N19" s="8">
        <v>7.5</v>
      </c>
      <c r="O19" s="8">
        <v>0</v>
      </c>
      <c r="P19" s="12"/>
      <c r="AC19" s="8">
        <v>40.9</v>
      </c>
      <c r="AD19" s="8">
        <v>40.799999999999997</v>
      </c>
      <c r="AE19" s="8">
        <v>52.2</v>
      </c>
      <c r="AF19" s="8">
        <f t="shared" si="5"/>
        <v>24.3</v>
      </c>
      <c r="AG19" s="8">
        <f>+AF19</f>
        <v>24.3</v>
      </c>
      <c r="AH19" s="8">
        <f t="shared" ref="AH19:AO19" si="15">+AG19</f>
        <v>24.3</v>
      </c>
      <c r="AI19" s="8">
        <f t="shared" si="15"/>
        <v>24.3</v>
      </c>
      <c r="AJ19" s="8">
        <f t="shared" si="15"/>
        <v>24.3</v>
      </c>
      <c r="AK19" s="8">
        <f t="shared" si="15"/>
        <v>24.3</v>
      </c>
      <c r="AL19" s="8">
        <f t="shared" si="15"/>
        <v>24.3</v>
      </c>
      <c r="AM19" s="8">
        <f t="shared" si="15"/>
        <v>24.3</v>
      </c>
      <c r="AN19" s="8">
        <f t="shared" si="15"/>
        <v>24.3</v>
      </c>
      <c r="AO19" s="8">
        <f t="shared" si="15"/>
        <v>24.3</v>
      </c>
    </row>
    <row r="20" spans="2:109" s="5" customFormat="1">
      <c r="C20" s="5" t="s">
        <v>21</v>
      </c>
      <c r="D20" s="5">
        <f>+D18+D19</f>
        <v>144.69999999999999</v>
      </c>
      <c r="E20" s="5">
        <f>+E18+E19</f>
        <v>196.1999999999999</v>
      </c>
      <c r="F20" s="5">
        <f>+F18+F19</f>
        <v>206.09999999999994</v>
      </c>
      <c r="G20" s="5">
        <f t="shared" si="2"/>
        <v>200.4000000000002</v>
      </c>
      <c r="H20" s="5">
        <f>+H18+H19</f>
        <v>161.79999999999995</v>
      </c>
      <c r="I20" s="5">
        <f>+I18+I19</f>
        <v>183.70000000000005</v>
      </c>
      <c r="J20" s="5">
        <f>+J18+J19</f>
        <v>212.40000000000009</v>
      </c>
      <c r="K20" s="5">
        <f t="shared" si="3"/>
        <v>197.39999999999941</v>
      </c>
      <c r="L20" s="5">
        <f>+L18+L19</f>
        <v>154.90000000000009</v>
      </c>
      <c r="M20" s="5">
        <f>+M18+M19</f>
        <v>115.59999999999998</v>
      </c>
      <c r="N20" s="5">
        <f>+N18+N19</f>
        <v>222.2999999999999</v>
      </c>
      <c r="O20" s="5">
        <f>+O18+O19</f>
        <v>222.97193032678345</v>
      </c>
      <c r="P20" s="11"/>
      <c r="V20" s="5">
        <v>407.8</v>
      </c>
      <c r="W20" s="5">
        <v>389</v>
      </c>
      <c r="X20" s="5">
        <v>437.9</v>
      </c>
      <c r="Y20" s="5">
        <v>401.6</v>
      </c>
      <c r="Z20" s="5">
        <v>472.3</v>
      </c>
      <c r="AA20" s="5">
        <v>477.4</v>
      </c>
      <c r="AB20" s="5">
        <v>933.4</v>
      </c>
      <c r="AC20" s="5">
        <f>+AC18+AC19</f>
        <v>702.69999999999982</v>
      </c>
      <c r="AD20" s="5">
        <f>+AD18+AD19</f>
        <v>747.4</v>
      </c>
      <c r="AE20" s="5">
        <f>+AE18+AE19</f>
        <v>755.2999999999995</v>
      </c>
      <c r="AF20" s="5">
        <f t="shared" si="5"/>
        <v>715.77193032678338</v>
      </c>
      <c r="AG20" s="5">
        <f>+AG18+AG19</f>
        <v>895.85153695779127</v>
      </c>
      <c r="AH20" s="5">
        <f t="shared" ref="AH20:AO20" si="16">+AH18+AH19</f>
        <v>926.35584075131396</v>
      </c>
      <c r="AI20" s="5">
        <f t="shared" si="16"/>
        <v>957.92779517761039</v>
      </c>
      <c r="AJ20" s="5">
        <f t="shared" si="16"/>
        <v>1050.9988160093787</v>
      </c>
      <c r="AK20" s="5">
        <f t="shared" si="16"/>
        <v>1086.9332745697061</v>
      </c>
      <c r="AL20" s="5">
        <f t="shared" si="16"/>
        <v>1188.821053249037</v>
      </c>
      <c r="AM20" s="5">
        <f t="shared" si="16"/>
        <v>1229.5792901127531</v>
      </c>
      <c r="AN20" s="5">
        <f t="shared" si="16"/>
        <v>1271.7640652666996</v>
      </c>
      <c r="AO20" s="5">
        <f t="shared" si="16"/>
        <v>1315.4253075510337</v>
      </c>
      <c r="AP20" s="5">
        <f>+AO20*(1+$AS$25)</f>
        <v>1328.579560626544</v>
      </c>
      <c r="AQ20" s="5">
        <f t="shared" ref="AQ20:DB20" si="17">+AP20*(1+$AS$25)</f>
        <v>1341.8653562328095</v>
      </c>
      <c r="AR20" s="5">
        <f t="shared" si="17"/>
        <v>1355.2840097951375</v>
      </c>
      <c r="AS20" s="5">
        <f t="shared" si="17"/>
        <v>1368.8368498930888</v>
      </c>
      <c r="AT20" s="5">
        <f t="shared" si="17"/>
        <v>1382.5252183920197</v>
      </c>
      <c r="AU20" s="5">
        <f t="shared" si="17"/>
        <v>1396.3504705759399</v>
      </c>
      <c r="AV20" s="5">
        <f t="shared" si="17"/>
        <v>1410.3139752816992</v>
      </c>
      <c r="AW20" s="5">
        <f t="shared" si="17"/>
        <v>1424.4171150345162</v>
      </c>
      <c r="AX20" s="5">
        <f t="shared" si="17"/>
        <v>1438.6612861848614</v>
      </c>
      <c r="AY20" s="5">
        <f t="shared" si="17"/>
        <v>1453.04789904671</v>
      </c>
      <c r="AZ20" s="5">
        <f t="shared" si="17"/>
        <v>1467.5783780371771</v>
      </c>
      <c r="BA20" s="5">
        <f t="shared" si="17"/>
        <v>1482.2541618175489</v>
      </c>
      <c r="BB20" s="5">
        <f t="shared" si="17"/>
        <v>1497.0767034357245</v>
      </c>
      <c r="BC20" s="5">
        <f t="shared" si="17"/>
        <v>1512.0474704700819</v>
      </c>
      <c r="BD20" s="5">
        <f t="shared" si="17"/>
        <v>1527.1679451747827</v>
      </c>
      <c r="BE20" s="5">
        <f t="shared" si="17"/>
        <v>1542.4396246265305</v>
      </c>
      <c r="BF20" s="5">
        <f t="shared" si="17"/>
        <v>1557.8640208727959</v>
      </c>
      <c r="BG20" s="5">
        <f t="shared" si="17"/>
        <v>1573.442661081524</v>
      </c>
      <c r="BH20" s="5">
        <f t="shared" si="17"/>
        <v>1589.1770876923392</v>
      </c>
      <c r="BI20" s="5">
        <f t="shared" si="17"/>
        <v>1605.0688585692626</v>
      </c>
      <c r="BJ20" s="5">
        <f t="shared" si="17"/>
        <v>1621.1195471549552</v>
      </c>
      <c r="BK20" s="5">
        <f t="shared" si="17"/>
        <v>1637.3307426265048</v>
      </c>
      <c r="BL20" s="5">
        <f t="shared" si="17"/>
        <v>1653.7040500527698</v>
      </c>
      <c r="BM20" s="5">
        <f t="shared" si="17"/>
        <v>1670.2410905532975</v>
      </c>
      <c r="BN20" s="5">
        <f t="shared" si="17"/>
        <v>1686.9435014588305</v>
      </c>
      <c r="BO20" s="5">
        <f t="shared" si="17"/>
        <v>1703.8129364734189</v>
      </c>
      <c r="BP20" s="5">
        <f t="shared" si="17"/>
        <v>1720.8510658381531</v>
      </c>
      <c r="BQ20" s="5">
        <f t="shared" si="17"/>
        <v>1738.0595764965346</v>
      </c>
      <c r="BR20" s="5">
        <f t="shared" si="17"/>
        <v>1755.4401722615</v>
      </c>
      <c r="BS20" s="5">
        <f t="shared" si="17"/>
        <v>1772.994573984115</v>
      </c>
      <c r="BT20" s="5">
        <f t="shared" si="17"/>
        <v>1790.7245197239563</v>
      </c>
      <c r="BU20" s="5">
        <f t="shared" si="17"/>
        <v>1808.6317649211958</v>
      </c>
      <c r="BV20" s="5">
        <f t="shared" si="17"/>
        <v>1826.7180825704077</v>
      </c>
      <c r="BW20" s="5">
        <f t="shared" si="17"/>
        <v>1844.9852633961118</v>
      </c>
      <c r="BX20" s="5">
        <f t="shared" si="17"/>
        <v>1863.435116030073</v>
      </c>
      <c r="BY20" s="5">
        <f t="shared" si="17"/>
        <v>1882.0694671903736</v>
      </c>
      <c r="BZ20" s="5">
        <f t="shared" si="17"/>
        <v>1900.8901618622774</v>
      </c>
      <c r="CA20" s="5">
        <f t="shared" si="17"/>
        <v>1919.8990634809002</v>
      </c>
      <c r="CB20" s="5">
        <f t="shared" si="17"/>
        <v>1939.0980541157091</v>
      </c>
      <c r="CC20" s="5">
        <f t="shared" si="17"/>
        <v>1958.4890346568664</v>
      </c>
      <c r="CD20" s="5">
        <f t="shared" si="17"/>
        <v>1978.0739250034351</v>
      </c>
      <c r="CE20" s="5">
        <f t="shared" si="17"/>
        <v>1997.8546642534695</v>
      </c>
      <c r="CF20" s="5">
        <f t="shared" si="17"/>
        <v>2017.8332108960042</v>
      </c>
      <c r="CG20" s="5">
        <f t="shared" si="17"/>
        <v>2038.0115430049643</v>
      </c>
      <c r="CH20" s="5">
        <f t="shared" si="17"/>
        <v>2058.3916584350141</v>
      </c>
      <c r="CI20" s="5">
        <f t="shared" si="17"/>
        <v>2078.975575019364</v>
      </c>
      <c r="CJ20" s="5">
        <f t="shared" si="17"/>
        <v>2099.7653307695577</v>
      </c>
      <c r="CK20" s="5">
        <f t="shared" si="17"/>
        <v>2120.7629840772533</v>
      </c>
      <c r="CL20" s="5">
        <f t="shared" si="17"/>
        <v>2141.9706139180257</v>
      </c>
      <c r="CM20" s="5">
        <f t="shared" si="17"/>
        <v>2163.3903200572058</v>
      </c>
      <c r="CN20" s="5">
        <f t="shared" si="17"/>
        <v>2185.024223257778</v>
      </c>
      <c r="CO20" s="5">
        <f t="shared" si="17"/>
        <v>2206.8744654903558</v>
      </c>
      <c r="CP20" s="5">
        <f t="shared" si="17"/>
        <v>2228.9432101452594</v>
      </c>
      <c r="CQ20" s="5">
        <f t="shared" si="17"/>
        <v>2251.2326422467122</v>
      </c>
      <c r="CR20" s="5">
        <f t="shared" si="17"/>
        <v>2273.7449686691793</v>
      </c>
      <c r="CS20" s="5">
        <f t="shared" si="17"/>
        <v>2296.4824183558712</v>
      </c>
      <c r="CT20" s="5">
        <f t="shared" si="17"/>
        <v>2319.4472425394301</v>
      </c>
      <c r="CU20" s="5">
        <f t="shared" si="17"/>
        <v>2342.6417149648246</v>
      </c>
      <c r="CV20" s="5">
        <f t="shared" si="17"/>
        <v>2366.068132114473</v>
      </c>
      <c r="CW20" s="5">
        <f t="shared" si="17"/>
        <v>2389.7288134356177</v>
      </c>
      <c r="CX20" s="5">
        <f t="shared" si="17"/>
        <v>2413.6261015699738</v>
      </c>
      <c r="CY20" s="5">
        <f t="shared" si="17"/>
        <v>2437.7623625856736</v>
      </c>
      <c r="CZ20" s="5">
        <f t="shared" si="17"/>
        <v>2462.1399862115304</v>
      </c>
      <c r="DA20" s="5">
        <f t="shared" si="17"/>
        <v>2486.7613860736456</v>
      </c>
      <c r="DB20" s="5">
        <f t="shared" si="17"/>
        <v>2511.6289999343821</v>
      </c>
      <c r="DC20" s="5">
        <f t="shared" ref="DC20:DE20" si="18">+DB20*(1+$AS$25)</f>
        <v>2536.7452899337259</v>
      </c>
      <c r="DD20" s="5">
        <f t="shared" si="18"/>
        <v>2562.1127428330633</v>
      </c>
      <c r="DE20" s="5">
        <f t="shared" si="18"/>
        <v>2587.7338702613938</v>
      </c>
    </row>
    <row r="21" spans="2:109" s="8" customFormat="1">
      <c r="C21" s="8" t="s">
        <v>22</v>
      </c>
      <c r="D21" s="8">
        <v>268.7</v>
      </c>
      <c r="E21" s="8">
        <v>268.5</v>
      </c>
      <c r="F21" s="8">
        <v>269.60000000000002</v>
      </c>
      <c r="G21" s="8">
        <f t="shared" si="2"/>
        <v>-537.95107913669062</v>
      </c>
      <c r="H21" s="8">
        <v>269.89999999999998</v>
      </c>
      <c r="I21" s="8">
        <v>270</v>
      </c>
      <c r="J21" s="8">
        <v>270</v>
      </c>
      <c r="K21" s="8">
        <f>+K20/K22</f>
        <v>269.12737850977874</v>
      </c>
      <c r="L21" s="8">
        <v>270.5</v>
      </c>
      <c r="M21" s="8">
        <v>270.2</v>
      </c>
      <c r="N21" s="8">
        <v>270.2</v>
      </c>
      <c r="O21" s="8">
        <f>+N21</f>
        <v>270.2</v>
      </c>
      <c r="P21" s="12"/>
      <c r="V21" s="8">
        <f t="shared" ref="V21" si="19">+V20/V22</f>
        <v>134.14473684210526</v>
      </c>
      <c r="W21" s="8">
        <f t="shared" ref="W21" si="20">+W20/W22</f>
        <v>133.67697594501718</v>
      </c>
      <c r="X21" s="8">
        <f t="shared" ref="X21" si="21">+X20/X22</f>
        <v>131.10778443113773</v>
      </c>
      <c r="Y21" s="8">
        <f t="shared" ref="Y21" si="22">+Y20/Y22</f>
        <v>129.13183279742768</v>
      </c>
      <c r="Z21" s="8">
        <f t="shared" ref="Z21:AA21" si="23">+Z20/Z22</f>
        <v>255.29729729729729</v>
      </c>
      <c r="AA21" s="8">
        <f t="shared" si="23"/>
        <v>256.66666666666663</v>
      </c>
      <c r="AB21" s="8">
        <f>+AB20/AB22</f>
        <v>266.68571428571425</v>
      </c>
      <c r="AC21" s="8">
        <f>+AC20/AC22</f>
        <v>268.20610687022895</v>
      </c>
      <c r="AD21" s="8">
        <f>+AD20/AD22</f>
        <v>268.84892086330939</v>
      </c>
      <c r="AE21" s="8">
        <f>+AE20/AE22</f>
        <v>269.74999999999983</v>
      </c>
      <c r="AF21" s="8">
        <f>+AF20/AF22</f>
        <v>270.26486648015333</v>
      </c>
      <c r="AG21" s="8">
        <f>+AF21</f>
        <v>270.26486648015333</v>
      </c>
      <c r="AH21" s="8">
        <f t="shared" ref="AH21:AO21" si="24">+AG21</f>
        <v>270.26486648015333</v>
      </c>
      <c r="AI21" s="8">
        <f t="shared" si="24"/>
        <v>270.26486648015333</v>
      </c>
      <c r="AJ21" s="8">
        <f t="shared" si="24"/>
        <v>270.26486648015333</v>
      </c>
      <c r="AK21" s="8">
        <f t="shared" si="24"/>
        <v>270.26486648015333</v>
      </c>
      <c r="AL21" s="8">
        <f t="shared" si="24"/>
        <v>270.26486648015333</v>
      </c>
      <c r="AM21" s="8">
        <f t="shared" si="24"/>
        <v>270.26486648015333</v>
      </c>
      <c r="AN21" s="8">
        <f t="shared" si="24"/>
        <v>270.26486648015333</v>
      </c>
      <c r="AO21" s="8">
        <f t="shared" si="24"/>
        <v>270.26486648015333</v>
      </c>
    </row>
    <row r="22" spans="2:109" s="9" customFormat="1">
      <c r="C22" s="9" t="s">
        <v>23</v>
      </c>
      <c r="D22" s="9">
        <f>+D20/D21</f>
        <v>0.53851879419426874</v>
      </c>
      <c r="E22" s="9">
        <f>+E20/E21</f>
        <v>0.7307262569832399</v>
      </c>
      <c r="F22" s="9">
        <f>+F20/F21</f>
        <v>0.76446587537091959</v>
      </c>
      <c r="G22" s="9">
        <f t="shared" si="2"/>
        <v>0.74628907345157147</v>
      </c>
      <c r="H22" s="9">
        <f>+H20/H21</f>
        <v>0.59948128936643186</v>
      </c>
      <c r="I22" s="9">
        <f>+I20/I21</f>
        <v>0.68037037037037051</v>
      </c>
      <c r="J22" s="9">
        <f>+J20/J21</f>
        <v>0.78666666666666696</v>
      </c>
      <c r="K22" s="9">
        <f>+AE22-SUM(H22:J22)</f>
        <v>0.73348167359653038</v>
      </c>
      <c r="L22" s="9">
        <f>+L20/L21</f>
        <v>0.57264325323475085</v>
      </c>
      <c r="M22" s="9">
        <f>+M20/M21</f>
        <v>0.42783123612139151</v>
      </c>
      <c r="N22" s="9">
        <f>+N20/N21</f>
        <v>0.82272390821613584</v>
      </c>
      <c r="O22" s="9">
        <f>+O20/O21</f>
        <v>0.82521069699031624</v>
      </c>
      <c r="P22" s="13"/>
      <c r="V22" s="9">
        <v>3.04</v>
      </c>
      <c r="W22" s="9">
        <v>2.91</v>
      </c>
      <c r="X22" s="9">
        <v>3.34</v>
      </c>
      <c r="Y22" s="9">
        <v>3.11</v>
      </c>
      <c r="Z22" s="9">
        <v>1.85</v>
      </c>
      <c r="AA22" s="9">
        <v>1.86</v>
      </c>
      <c r="AB22" s="9">
        <v>3.5</v>
      </c>
      <c r="AC22" s="9">
        <v>2.62</v>
      </c>
      <c r="AD22" s="9">
        <v>2.78</v>
      </c>
      <c r="AE22" s="9">
        <v>2.8</v>
      </c>
      <c r="AF22" s="9">
        <f t="shared" si="5"/>
        <v>2.6484090945625947</v>
      </c>
      <c r="AG22" s="9">
        <f>+AG20/AG21</f>
        <v>3.3147169612724241</v>
      </c>
      <c r="AH22" s="9">
        <f t="shared" ref="AH22:AO22" si="25">+AH20/AH21</f>
        <v>3.4275851419975081</v>
      </c>
      <c r="AI22" s="9">
        <f t="shared" si="25"/>
        <v>3.5444037090479719</v>
      </c>
      <c r="AJ22" s="9">
        <f t="shared" si="25"/>
        <v>3.8887733714606147</v>
      </c>
      <c r="AK22" s="9">
        <f t="shared" si="25"/>
        <v>4.021733526542282</v>
      </c>
      <c r="AL22" s="9">
        <f t="shared" si="25"/>
        <v>4.3987258452490607</v>
      </c>
      <c r="AM22" s="9">
        <f t="shared" si="25"/>
        <v>4.549534336913327</v>
      </c>
      <c r="AN22" s="9">
        <f t="shared" si="25"/>
        <v>4.7056211257858429</v>
      </c>
      <c r="AO22" s="9">
        <f t="shared" si="25"/>
        <v>4.8671709522688955</v>
      </c>
    </row>
    <row r="23" spans="2:109">
      <c r="AF23" s="8" t="s">
        <v>40</v>
      </c>
    </row>
    <row r="24" spans="2:109" s="7" customFormat="1">
      <c r="C24" s="6" t="s">
        <v>24</v>
      </c>
      <c r="D24" s="6"/>
      <c r="G24" s="6"/>
      <c r="H24" s="7">
        <f t="shared" ref="H24" si="26">+H7/D7-1</f>
        <v>0.22235973597359737</v>
      </c>
      <c r="I24" s="7">
        <f t="shared" ref="I24" si="27">+I7/E7-1</f>
        <v>0.11105559917207919</v>
      </c>
      <c r="J24" s="7">
        <f t="shared" ref="J24:L24" si="28">+J7/F7-1</f>
        <v>8.3269244214500659E-2</v>
      </c>
      <c r="K24" s="7">
        <f t="shared" si="28"/>
        <v>0.11066178830476847</v>
      </c>
      <c r="L24" s="7">
        <f t="shared" si="28"/>
        <v>2.7607154910563647E-2</v>
      </c>
      <c r="M24" s="7">
        <f>+M7/I7-1</f>
        <v>-1.2783452174471743E-2</v>
      </c>
      <c r="N24" s="7">
        <f>+N7/J7-1</f>
        <v>2.9430747386084866E-2</v>
      </c>
      <c r="O24" s="7">
        <f>+O7/K7-1</f>
        <v>2.0000000000000018E-2</v>
      </c>
      <c r="P24" s="14"/>
      <c r="W24" s="7">
        <f t="shared" ref="W24:AA24" si="29">+W7/V7-1</f>
        <v>2.7152251893184376E-2</v>
      </c>
      <c r="X24" s="7">
        <f t="shared" si="29"/>
        <v>2.9053693553863447E-2</v>
      </c>
      <c r="Y24" s="7">
        <f t="shared" si="29"/>
        <v>1.2514140271493224E-2</v>
      </c>
      <c r="Z24" s="7">
        <f t="shared" si="29"/>
        <v>4.0965481926307223E-3</v>
      </c>
      <c r="AA24" s="46">
        <f t="shared" ref="AA24:AC24" si="30">+AA7/Z7-1</f>
        <v>9.6525186026565457E-2</v>
      </c>
      <c r="AB24" s="46">
        <f t="shared" si="30"/>
        <v>0.1210282645920977</v>
      </c>
      <c r="AC24" s="7">
        <f t="shared" si="30"/>
        <v>8.4106509768422377E-3</v>
      </c>
      <c r="AD24" s="7">
        <f>+AD7/AC7-1</f>
        <v>4.7481018812881137E-2</v>
      </c>
      <c r="AE24" s="46">
        <f>+AE7/AD7-1</f>
        <v>0.12793458661382173</v>
      </c>
      <c r="AF24" s="7">
        <f>+AF7/AE7-1</f>
        <v>1.6018930340777615E-2</v>
      </c>
      <c r="AG24" s="18">
        <v>3.5000000000000003E-2</v>
      </c>
      <c r="AH24" s="18">
        <v>3.5000000000000003E-2</v>
      </c>
      <c r="AI24" s="18">
        <v>3.5000000000000003E-2</v>
      </c>
      <c r="AJ24" s="18">
        <v>3.5000000000000003E-2</v>
      </c>
      <c r="AK24" s="18">
        <v>3.5000000000000003E-2</v>
      </c>
      <c r="AL24" s="18">
        <v>3.5000000000000003E-2</v>
      </c>
      <c r="AM24" s="18">
        <v>3.5000000000000003E-2</v>
      </c>
      <c r="AN24" s="18">
        <v>3.5000000000000003E-2</v>
      </c>
      <c r="AO24" s="18">
        <v>3.5000000000000003E-2</v>
      </c>
      <c r="AR24" s="19"/>
      <c r="AS24" s="20"/>
      <c r="AT24" s="20"/>
      <c r="AU24" s="20"/>
      <c r="AV24" s="21"/>
    </row>
    <row r="25" spans="2:109" s="7" customFormat="1">
      <c r="B25" s="15"/>
      <c r="C25" s="15" t="s">
        <v>41</v>
      </c>
      <c r="D25" s="15">
        <f>+D8/D$7</f>
        <v>0.61229372937293736</v>
      </c>
      <c r="E25" s="15">
        <f t="shared" ref="E25:N25" si="31">+E8/E$7</f>
        <v>0.58639640282635075</v>
      </c>
      <c r="F25" s="15">
        <f t="shared" si="31"/>
        <v>0.5872893798503811</v>
      </c>
      <c r="G25" s="15">
        <f t="shared" si="31"/>
        <v>0.57590345978560875</v>
      </c>
      <c r="H25" s="15">
        <f t="shared" si="31"/>
        <v>0.61019237259534254</v>
      </c>
      <c r="I25" s="15">
        <f t="shared" si="31"/>
        <v>0.60519046701355428</v>
      </c>
      <c r="J25" s="15">
        <f t="shared" si="31"/>
        <v>0.61301148831805852</v>
      </c>
      <c r="K25" s="15">
        <f t="shared" si="31"/>
        <v>0.59376986649713981</v>
      </c>
      <c r="L25" s="15">
        <f t="shared" si="31"/>
        <v>0.6318970047293746</v>
      </c>
      <c r="M25" s="15">
        <f t="shared" si="31"/>
        <v>0.65968245705361794</v>
      </c>
      <c r="N25" s="15">
        <f t="shared" si="31"/>
        <v>0.64507836990595613</v>
      </c>
      <c r="O25" s="15">
        <v>0.65</v>
      </c>
      <c r="P25" s="14"/>
      <c r="AC25" s="15">
        <f>+AC8/AC$7</f>
        <v>0.59881437708045038</v>
      </c>
      <c r="AD25" s="15">
        <f>+AD8/AD$7</f>
        <v>0.58930962455144342</v>
      </c>
      <c r="AE25" s="15">
        <f>+AE8/AE$7</f>
        <v>0.60515361116826805</v>
      </c>
      <c r="AF25" s="15">
        <f>+AF8/AF$7</f>
        <v>0.646801735319529</v>
      </c>
      <c r="AG25" s="15">
        <v>0.63</v>
      </c>
      <c r="AH25" s="15">
        <v>0.63</v>
      </c>
      <c r="AI25" s="15">
        <v>0.63</v>
      </c>
      <c r="AJ25" s="15">
        <v>0.62</v>
      </c>
      <c r="AK25" s="15">
        <v>0.62</v>
      </c>
      <c r="AL25" s="15">
        <v>0.61</v>
      </c>
      <c r="AM25" s="15">
        <v>0.61</v>
      </c>
      <c r="AN25" s="15">
        <v>0.61</v>
      </c>
      <c r="AO25" s="15">
        <v>0.61</v>
      </c>
      <c r="AR25" s="22" t="s">
        <v>45</v>
      </c>
      <c r="AS25" s="41">
        <v>0.01</v>
      </c>
      <c r="AT25" s="41"/>
      <c r="AU25" s="41"/>
      <c r="AV25" s="42"/>
      <c r="AW25" s="16"/>
      <c r="AX25" s="16"/>
    </row>
    <row r="26" spans="2:109" s="7" customFormat="1">
      <c r="B26" s="15"/>
      <c r="C26" s="15" t="s">
        <v>42</v>
      </c>
      <c r="D26" s="15">
        <f>+D10/D$7</f>
        <v>0.22665016501650165</v>
      </c>
      <c r="E26" s="15">
        <f>+E10/E$7</f>
        <v>0.22782099778745271</v>
      </c>
      <c r="F26" s="15">
        <f>+F10/F$7</f>
        <v>0.22177165629588197</v>
      </c>
      <c r="G26" s="15">
        <f>+G10/G$7</f>
        <v>0.23782014249951849</v>
      </c>
      <c r="H26" s="15">
        <f>+H10/H$7</f>
        <v>0.21687478906513669</v>
      </c>
      <c r="I26" s="15">
        <f>+I10/I$7</f>
        <v>0.22907432389028073</v>
      </c>
      <c r="J26" s="15">
        <f>+J10/J$7</f>
        <v>0.21124306183038596</v>
      </c>
      <c r="K26" s="15">
        <f>+K10/K$7</f>
        <v>0.23053805698433799</v>
      </c>
      <c r="L26" s="15">
        <f>+L10/L$7</f>
        <v>0.21893063583815028</v>
      </c>
      <c r="M26" s="15">
        <f>+M10/M$7</f>
        <v>0.22722540343571057</v>
      </c>
      <c r="N26" s="15">
        <f>+N10/N$7</f>
        <v>0.20570532915360504</v>
      </c>
      <c r="O26" s="15">
        <v>0.23</v>
      </c>
      <c r="P26" s="14"/>
      <c r="AC26" s="15">
        <f>+AC10/AC$7</f>
        <v>0.21819949882185735</v>
      </c>
      <c r="AD26" s="15">
        <f>+AD10/AD$7</f>
        <v>0.2288040276364415</v>
      </c>
      <c r="AE26" s="15">
        <f>+AE10/AE$7</f>
        <v>0.22224156760949049</v>
      </c>
      <c r="AF26" s="15">
        <f>+AF10/AF$7</f>
        <v>0.21399406235933363</v>
      </c>
      <c r="AG26" s="15">
        <v>0.21</v>
      </c>
      <c r="AH26" s="15">
        <v>0.21</v>
      </c>
      <c r="AI26" s="15">
        <v>0.21</v>
      </c>
      <c r="AJ26" s="15">
        <v>0.21</v>
      </c>
      <c r="AK26" s="15">
        <v>0.21</v>
      </c>
      <c r="AL26" s="15">
        <v>0.21</v>
      </c>
      <c r="AM26" s="15">
        <v>0.21</v>
      </c>
      <c r="AN26" s="15">
        <v>0.21</v>
      </c>
      <c r="AO26" s="15">
        <v>0.21</v>
      </c>
      <c r="AR26" s="22" t="s">
        <v>46</v>
      </c>
      <c r="AS26" s="41">
        <v>0.05</v>
      </c>
      <c r="AT26" s="41">
        <v>0.06</v>
      </c>
      <c r="AU26" s="41">
        <v>7.0000000000000007E-2</v>
      </c>
      <c r="AV26" s="42">
        <v>0.08</v>
      </c>
      <c r="AW26" s="16"/>
      <c r="AX26" s="16"/>
    </row>
    <row r="27" spans="2:109" s="7" customFormat="1">
      <c r="C27" s="15" t="s">
        <v>44</v>
      </c>
      <c r="D27" s="15">
        <f>+D17/D16</f>
        <v>0.18309002433090027</v>
      </c>
      <c r="E27" s="15">
        <f t="shared" ref="E27:N27" si="32">+E17/E16</f>
        <v>0.17844522968197885</v>
      </c>
      <c r="F27" s="15">
        <f t="shared" si="32"/>
        <v>0.19268693508627777</v>
      </c>
      <c r="G27" s="15">
        <f t="shared" si="32"/>
        <v>0.23251112009704794</v>
      </c>
      <c r="H27" s="15">
        <f t="shared" si="32"/>
        <v>0.28295509415741199</v>
      </c>
      <c r="I27" s="15">
        <f t="shared" si="32"/>
        <v>0.22070977151191049</v>
      </c>
      <c r="J27" s="15">
        <f t="shared" si="32"/>
        <v>0.13415672913117541</v>
      </c>
      <c r="K27" s="15">
        <f t="shared" si="32"/>
        <v>0.23045930701047596</v>
      </c>
      <c r="L27" s="15">
        <f t="shared" si="32"/>
        <v>0.19111111111111101</v>
      </c>
      <c r="M27" s="15">
        <f t="shared" si="32"/>
        <v>0.1671802773497689</v>
      </c>
      <c r="N27" s="15">
        <f t="shared" si="32"/>
        <v>0.21634439985406792</v>
      </c>
      <c r="O27" s="15">
        <v>0.22</v>
      </c>
      <c r="P27" s="14"/>
      <c r="AR27" s="22" t="s">
        <v>47</v>
      </c>
      <c r="AS27" s="25">
        <f>NPV(AS26,$AF$20:$DE$20)</f>
        <v>26958.894282072015</v>
      </c>
      <c r="AT27" s="25">
        <f>NPV(AT26,$AF$20:$DE$20)</f>
        <v>21892.381204713187</v>
      </c>
      <c r="AU27" s="25">
        <f>NPV(AU26,$AF$20:$DE$20)</f>
        <v>18262.39467589173</v>
      </c>
      <c r="AV27" s="26">
        <f>NPV(AV26,$AF$20:$DE$20)</f>
        <v>15572.986299921675</v>
      </c>
      <c r="AW27" s="16"/>
      <c r="AX27" s="16"/>
    </row>
    <row r="28" spans="2:109" s="7" customFormat="1">
      <c r="C28" s="6"/>
      <c r="D28" s="6"/>
      <c r="G28" s="6"/>
      <c r="P28" s="14"/>
      <c r="AR28" s="22" t="s">
        <v>49</v>
      </c>
      <c r="AS28" s="27">
        <f>+model!E7-model!E8</f>
        <v>-5017.9000000000005</v>
      </c>
      <c r="AT28" s="23"/>
      <c r="AU28" s="23"/>
      <c r="AV28" s="24"/>
      <c r="AW28" s="16"/>
      <c r="AX28" s="16"/>
    </row>
    <row r="29" spans="2:109" s="7" customFormat="1">
      <c r="C29" s="7" t="s">
        <v>37</v>
      </c>
      <c r="D29" s="7">
        <f t="shared" ref="D29:E29" si="33">+D9/D7</f>
        <v>0.3877062706270627</v>
      </c>
      <c r="E29" s="7">
        <f t="shared" si="33"/>
        <v>0.4136035971736492</v>
      </c>
      <c r="F29" s="7">
        <f t="shared" ref="F29:G29" si="34">+F9/F7</f>
        <v>0.41271062014961896</v>
      </c>
      <c r="G29" s="7">
        <f t="shared" si="34"/>
        <v>0.42409654021439119</v>
      </c>
      <c r="H29" s="7">
        <f t="shared" ref="H29:M29" si="35">+H9/H7</f>
        <v>0.38980762740465746</v>
      </c>
      <c r="I29" s="7">
        <f t="shared" si="35"/>
        <v>0.39480953298644567</v>
      </c>
      <c r="J29" s="7">
        <f t="shared" si="35"/>
        <v>0.38698851168194148</v>
      </c>
      <c r="K29" s="7">
        <f t="shared" si="35"/>
        <v>0.40623013350286058</v>
      </c>
      <c r="L29" s="7">
        <f t="shared" si="35"/>
        <v>0.36810299527062534</v>
      </c>
      <c r="M29" s="7">
        <f t="shared" si="35"/>
        <v>0.34031754294638211</v>
      </c>
      <c r="N29" s="7">
        <f>+N9/N7</f>
        <v>0.35492163009404382</v>
      </c>
      <c r="O29" s="7">
        <f>+O9/O7</f>
        <v>0.34999999999999992</v>
      </c>
      <c r="P29" s="14"/>
      <c r="AC29" s="7">
        <f>+AC9/AC7</f>
        <v>0.40118562291954968</v>
      </c>
      <c r="AD29" s="7">
        <f>+AD9/AD7</f>
        <v>0.41069037544855658</v>
      </c>
      <c r="AE29" s="7">
        <f>+AE9/AE7</f>
        <v>0.39484638883173201</v>
      </c>
      <c r="AF29" s="7">
        <f t="shared" ref="AF29:AO29" si="36">+AF9/AF7</f>
        <v>0.35319826468047111</v>
      </c>
      <c r="AG29" s="7">
        <f t="shared" si="36"/>
        <v>0.36999999999999994</v>
      </c>
      <c r="AH29" s="7">
        <f t="shared" si="36"/>
        <v>0.36999999999999994</v>
      </c>
      <c r="AI29" s="7">
        <f t="shared" si="36"/>
        <v>0.37</v>
      </c>
      <c r="AJ29" s="7">
        <f t="shared" si="36"/>
        <v>0.38000000000000006</v>
      </c>
      <c r="AK29" s="7">
        <f t="shared" si="36"/>
        <v>0.38</v>
      </c>
      <c r="AL29" s="7">
        <f t="shared" si="36"/>
        <v>0.39000000000000007</v>
      </c>
      <c r="AM29" s="7">
        <f t="shared" si="36"/>
        <v>0.39000000000000007</v>
      </c>
      <c r="AN29" s="7">
        <f t="shared" si="36"/>
        <v>0.39000000000000007</v>
      </c>
      <c r="AO29" s="7">
        <f t="shared" si="36"/>
        <v>0.39</v>
      </c>
      <c r="AR29" s="22" t="s">
        <v>50</v>
      </c>
      <c r="AS29" s="28">
        <f>+AS27+$AS$28</f>
        <v>21940.994282072013</v>
      </c>
      <c r="AT29" s="28">
        <f t="shared" ref="AT29:AV29" si="37">+AT27+$AS$28</f>
        <v>16874.481204713185</v>
      </c>
      <c r="AU29" s="28">
        <f t="shared" si="37"/>
        <v>13244.494675891729</v>
      </c>
      <c r="AV29" s="29">
        <f t="shared" si="37"/>
        <v>10555.086299921673</v>
      </c>
      <c r="AW29" s="16"/>
      <c r="AX29" s="16"/>
    </row>
    <row r="30" spans="2:109" s="7" customFormat="1">
      <c r="C30" s="7" t="s">
        <v>38</v>
      </c>
      <c r="D30" s="7">
        <f t="shared" ref="D30:E30" si="38">+D13/D7</f>
        <v>0.16023102310231022</v>
      </c>
      <c r="E30" s="7">
        <f t="shared" si="38"/>
        <v>0.18371279708800223</v>
      </c>
      <c r="F30" s="7">
        <f t="shared" ref="F30" si="39">+F13/F7</f>
        <v>0.19086904845137381</v>
      </c>
      <c r="G30" s="7">
        <f>+G13/G7</f>
        <v>0.17645548494768598</v>
      </c>
      <c r="H30" s="7">
        <f>+H13/H7</f>
        <v>0.15950050624367193</v>
      </c>
      <c r="I30" s="7">
        <f t="shared" ref="I30:N30" si="40">+I13/I7</f>
        <v>0.15250208774972701</v>
      </c>
      <c r="J30" s="7">
        <f t="shared" si="40"/>
        <v>0.17116303085065193</v>
      </c>
      <c r="K30" s="7">
        <f t="shared" si="40"/>
        <v>0.15962549846847338</v>
      </c>
      <c r="L30" s="7">
        <f>+L13/L7</f>
        <v>0.13590383604834477</v>
      </c>
      <c r="M30" s="7">
        <f t="shared" si="40"/>
        <v>0.10229047371160853</v>
      </c>
      <c r="N30" s="7">
        <f t="shared" si="40"/>
        <v>0.14708463949843253</v>
      </c>
      <c r="O30" s="7">
        <f t="shared" ref="O30" si="41">+O13/O7</f>
        <v>0.13862864670686564</v>
      </c>
      <c r="P30" s="14"/>
      <c r="V30" s="7">
        <f t="shared" ref="V30:Z30" si="42">+V13/V7</f>
        <v>0.14405639697090472</v>
      </c>
      <c r="W30" s="7">
        <f t="shared" si="42"/>
        <v>0.13350632972789447</v>
      </c>
      <c r="X30" s="7">
        <f t="shared" si="42"/>
        <v>0.14210972850678733</v>
      </c>
      <c r="Y30" s="7">
        <f t="shared" si="42"/>
        <v>0.12764471754765727</v>
      </c>
      <c r="Z30" s="7">
        <f t="shared" ref="Z30:AC30" si="43">+Z13/Z7</f>
        <v>0.15053663738148776</v>
      </c>
      <c r="AA30" s="7">
        <f t="shared" si="43"/>
        <v>0.1479398769634061</v>
      </c>
      <c r="AB30" s="7">
        <f t="shared" si="43"/>
        <v>0.16804329788036509</v>
      </c>
      <c r="AC30" s="7">
        <f t="shared" ref="AC30" si="44">+AC13/AC7</f>
        <v>0.17909638328907504</v>
      </c>
      <c r="AD30" s="7">
        <f t="shared" ref="AD30:AE30" si="45">+AD13/AD7</f>
        <v>0.17844071911877599</v>
      </c>
      <c r="AE30" s="7">
        <f t="shared" si="45"/>
        <v>0.16067047594928688</v>
      </c>
      <c r="AF30" s="7">
        <f t="shared" ref="AF30:AO30" si="46">+AF13/AF7</f>
        <v>0.13138379866991254</v>
      </c>
      <c r="AG30" s="7">
        <f t="shared" si="46"/>
        <v>0.15999999999999995</v>
      </c>
      <c r="AH30" s="7">
        <f t="shared" si="46"/>
        <v>0.15999999999999995</v>
      </c>
      <c r="AI30" s="7">
        <f t="shared" si="46"/>
        <v>0.16</v>
      </c>
      <c r="AJ30" s="7">
        <f t="shared" si="46"/>
        <v>0.1700000000000001</v>
      </c>
      <c r="AK30" s="7">
        <f t="shared" si="46"/>
        <v>0.16999999999999998</v>
      </c>
      <c r="AL30" s="7">
        <f t="shared" si="46"/>
        <v>0.18000000000000008</v>
      </c>
      <c r="AM30" s="7">
        <f t="shared" si="46"/>
        <v>0.18000000000000005</v>
      </c>
      <c r="AN30" s="7">
        <f t="shared" si="46"/>
        <v>0.18000000000000005</v>
      </c>
      <c r="AO30" s="7">
        <f t="shared" si="46"/>
        <v>0.18000000000000002</v>
      </c>
      <c r="AR30" s="22" t="s">
        <v>22</v>
      </c>
      <c r="AS30" s="30">
        <f>+model!E5</f>
        <v>268.20702199999999</v>
      </c>
      <c r="AT30" s="23"/>
      <c r="AU30" s="23"/>
      <c r="AV30" s="24"/>
      <c r="AW30" s="16"/>
      <c r="AX30" s="16"/>
    </row>
    <row r="31" spans="2:109">
      <c r="AR31" s="31" t="s">
        <v>48</v>
      </c>
      <c r="AS31" s="32">
        <f>+AS29/AS30</f>
        <v>81.806188810641999</v>
      </c>
      <c r="AT31" s="33">
        <f>+AT29/$AS$30</f>
        <v>62.915881466791667</v>
      </c>
      <c r="AU31" s="33">
        <f t="shared" ref="AU31:AV31" si="47">+AU29/$AS$30</f>
        <v>49.381610433345507</v>
      </c>
      <c r="AV31" s="34">
        <f t="shared" si="47"/>
        <v>39.354250389170176</v>
      </c>
      <c r="AW31" s="17"/>
      <c r="AX31" s="17"/>
    </row>
    <row r="32" spans="2:109">
      <c r="AR32" s="35" t="s">
        <v>51</v>
      </c>
      <c r="AS32" s="27">
        <f>+model!E4</f>
        <v>83.46</v>
      </c>
      <c r="AT32" s="27"/>
      <c r="AU32" s="27"/>
      <c r="AV32" s="36"/>
    </row>
    <row r="33" spans="3:48">
      <c r="C33" s="3" t="s">
        <v>53</v>
      </c>
      <c r="N33" s="3">
        <v>343.9</v>
      </c>
      <c r="AR33" s="37" t="s">
        <v>52</v>
      </c>
      <c r="AS33" s="38">
        <f>+AS31/AS32-1</f>
        <v>-1.9815614538197912E-2</v>
      </c>
      <c r="AT33" s="39"/>
      <c r="AU33" s="39"/>
      <c r="AV33" s="40"/>
    </row>
    <row r="34" spans="3:48">
      <c r="C34" s="3" t="s">
        <v>55</v>
      </c>
      <c r="N34" s="3">
        <v>565.79999999999995</v>
      </c>
    </row>
    <row r="35" spans="3:48">
      <c r="C35" s="3" t="s">
        <v>56</v>
      </c>
      <c r="N35" s="3">
        <v>1379.5</v>
      </c>
    </row>
    <row r="36" spans="3:48">
      <c r="C36" s="3" t="s">
        <v>57</v>
      </c>
      <c r="N36" s="3">
        <v>123.6</v>
      </c>
    </row>
    <row r="37" spans="3:48" s="5" customFormat="1">
      <c r="C37" s="5" t="s">
        <v>58</v>
      </c>
      <c r="N37" s="5">
        <f>+SUM(N33:N36)</f>
        <v>2412.7999999999997</v>
      </c>
      <c r="P37" s="11"/>
    </row>
    <row r="38" spans="3:48">
      <c r="C38" s="3" t="s">
        <v>59</v>
      </c>
      <c r="N38" s="3">
        <v>1139.0999999999999</v>
      </c>
    </row>
    <row r="39" spans="3:48">
      <c r="C39" s="3" t="s">
        <v>60</v>
      </c>
      <c r="N39" s="3">
        <v>5209.7</v>
      </c>
    </row>
    <row r="40" spans="3:48">
      <c r="C40" s="3" t="s">
        <v>61</v>
      </c>
      <c r="N40" s="3">
        <v>3396.6</v>
      </c>
    </row>
    <row r="41" spans="3:48">
      <c r="C41" s="3" t="s">
        <v>62</v>
      </c>
      <c r="N41" s="3">
        <v>782.8</v>
      </c>
    </row>
    <row r="42" spans="3:48" s="5" customFormat="1">
      <c r="C42" s="5" t="s">
        <v>63</v>
      </c>
      <c r="N42" s="5">
        <f>+SUM(N37:N41)</f>
        <v>12940.999999999998</v>
      </c>
      <c r="P42" s="11"/>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47874-B2B8-A245-9A81-CB8BFA968A07}">
  <dimension ref="A1:F12"/>
  <sheetViews>
    <sheetView zoomScale="292" workbookViewId="0">
      <selection activeCell="B15" sqref="B15"/>
    </sheetView>
  </sheetViews>
  <sheetFormatPr baseColWidth="10" defaultRowHeight="14"/>
  <cols>
    <col min="1" max="1" width="10.83203125" style="1"/>
    <col min="2" max="2" width="12.33203125" style="43" bestFit="1" customWidth="1"/>
    <col min="3" max="3" width="10.83203125" style="1"/>
    <col min="4" max="4" width="4.83203125" style="1" bestFit="1" customWidth="1"/>
    <col min="5" max="5" width="10.83203125" style="2"/>
    <col min="6" max="6" width="5.83203125" style="1" bestFit="1" customWidth="1"/>
    <col min="7" max="16384" width="10.83203125" style="1"/>
  </cols>
  <sheetData>
    <row r="1" spans="1:6">
      <c r="A1" s="1" t="s">
        <v>25</v>
      </c>
    </row>
    <row r="4" spans="1:6">
      <c r="D4" s="3" t="s">
        <v>26</v>
      </c>
      <c r="E4" s="45">
        <v>83.46</v>
      </c>
      <c r="F4" s="3"/>
    </row>
    <row r="5" spans="1:6">
      <c r="D5" s="3" t="s">
        <v>27</v>
      </c>
      <c r="E5" s="45">
        <f>17.606187+250.600835</f>
        <v>268.20702199999999</v>
      </c>
      <c r="F5" s="3" t="s">
        <v>32</v>
      </c>
    </row>
    <row r="6" spans="1:6">
      <c r="B6" s="43" t="s">
        <v>39</v>
      </c>
      <c r="D6" s="3" t="s">
        <v>28</v>
      </c>
      <c r="E6" s="45">
        <f>+E4*E5</f>
        <v>22384.558056119997</v>
      </c>
      <c r="F6" s="3"/>
    </row>
    <row r="7" spans="1:6">
      <c r="B7" s="44">
        <v>44866</v>
      </c>
      <c r="D7" s="3" t="s">
        <v>29</v>
      </c>
      <c r="E7" s="45">
        <v>343.9</v>
      </c>
      <c r="F7" s="3" t="s">
        <v>32</v>
      </c>
    </row>
    <row r="8" spans="1:6">
      <c r="B8" s="44" t="s">
        <v>43</v>
      </c>
      <c r="D8" s="3" t="s">
        <v>30</v>
      </c>
      <c r="E8" s="45">
        <f>1436.4+20.6+3904.8</f>
        <v>5361.8</v>
      </c>
      <c r="F8" s="3" t="s">
        <v>32</v>
      </c>
    </row>
    <row r="9" spans="1:6">
      <c r="D9" s="3" t="s">
        <v>31</v>
      </c>
      <c r="E9" s="45">
        <f>+E6-E7+E8</f>
        <v>27402.458056119995</v>
      </c>
      <c r="F9" s="3"/>
    </row>
    <row r="12" spans="1:6">
      <c r="B12" s="43" t="s">
        <v>54</v>
      </c>
    </row>
  </sheetData>
  <hyperlinks>
    <hyperlink ref="B7" r:id="rId1" display="https://ir.mccormick.com/news-releases/news-release-details/mccormick-announces-lisa-manzones-plan-retire" xr:uid="{DBB02231-9E9B-3B47-967E-F665F52A6B68}"/>
    <hyperlink ref="B8" r:id="rId2" xr:uid="{17EB53B2-A0FA-544C-8035-C4AF67F32540}"/>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main</vt:lpstr>
      <vt:lpstr>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Brannon, Jameel A.</dc:creator>
  <cp:lastModifiedBy>Brannon, Jameel A.</cp:lastModifiedBy>
  <dcterms:created xsi:type="dcterms:W3CDTF">2022-11-11T21:37:09Z</dcterms:created>
  <dcterms:modified xsi:type="dcterms:W3CDTF">2022-11-15T01:30:17Z</dcterms:modified>
</cp:coreProperties>
</file>