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meelbrannon/Dropbox/Models/"/>
    </mc:Choice>
  </mc:AlternateContent>
  <xr:revisionPtr revIDLastSave="0" documentId="13_ncr:1_{17A9162C-851B-CE4C-8075-EB4C37E3641E}" xr6:coauthVersionLast="47" xr6:coauthVersionMax="47" xr10:uidLastSave="{00000000-0000-0000-0000-000000000000}"/>
  <bookViews>
    <workbookView xWindow="23540" yWindow="500" windowWidth="21140" windowHeight="24700" activeTab="1" xr2:uid="{28322B6A-71B5-7F4F-B26F-4C76DEA0AEF7}"/>
  </bookViews>
  <sheets>
    <sheet name="Main" sheetId="2" r:id="rId1"/>
    <sheet name="Model" sheetId="1" r:id="rId2"/>
    <sheet name="Bond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1" l="1"/>
  <c r="F10" i="2"/>
  <c r="P94" i="1"/>
  <c r="O94" i="1"/>
  <c r="N94" i="1"/>
  <c r="M94" i="1"/>
  <c r="L94" i="1"/>
  <c r="K94" i="1"/>
  <c r="J94" i="1"/>
  <c r="I94" i="1"/>
  <c r="H94" i="1"/>
  <c r="G94" i="1"/>
  <c r="F94" i="1"/>
  <c r="E94" i="1"/>
  <c r="D94" i="1"/>
  <c r="C94" i="1"/>
  <c r="Q94" i="1"/>
  <c r="P91" i="1"/>
  <c r="O91" i="1"/>
  <c r="N91" i="1"/>
  <c r="Q91" i="1"/>
  <c r="Q90" i="1"/>
  <c r="Q87" i="1"/>
  <c r="Q88" i="1"/>
  <c r="N88" i="1"/>
  <c r="N79" i="1"/>
  <c r="N81" i="1" s="1"/>
  <c r="N82" i="1" s="1"/>
  <c r="P79" i="1"/>
  <c r="P81" i="1" s="1"/>
  <c r="P82" i="1" s="1"/>
  <c r="F9" i="2"/>
  <c r="AG42" i="1"/>
  <c r="AH42" i="1" s="1"/>
  <c r="AI42" i="1" s="1"/>
  <c r="AJ42" i="1" s="1"/>
  <c r="AK42" i="1" s="1"/>
  <c r="AL42" i="1" s="1"/>
  <c r="AM42" i="1" s="1"/>
  <c r="R26" i="1"/>
  <c r="AP34" i="1"/>
  <c r="AP32" i="1"/>
  <c r="AD26" i="1"/>
  <c r="AE26" i="1" s="1"/>
  <c r="AB47" i="1"/>
  <c r="AB45" i="1"/>
  <c r="AB44" i="1"/>
  <c r="AB43" i="1"/>
  <c r="AB42" i="1"/>
  <c r="AA47" i="1"/>
  <c r="AA46" i="1"/>
  <c r="AA45" i="1"/>
  <c r="C45" i="1"/>
  <c r="C44" i="1"/>
  <c r="C43" i="1"/>
  <c r="C42" i="1"/>
  <c r="D44" i="1"/>
  <c r="D43" i="1"/>
  <c r="D42" i="1"/>
  <c r="E47" i="1"/>
  <c r="E46" i="1"/>
  <c r="E42" i="1"/>
  <c r="F47" i="1"/>
  <c r="F46" i="1"/>
  <c r="F45" i="1"/>
  <c r="F44" i="1"/>
  <c r="F42" i="1"/>
  <c r="O47" i="1"/>
  <c r="I47" i="1"/>
  <c r="P46" i="1"/>
  <c r="I46" i="1"/>
  <c r="P45" i="1"/>
  <c r="I45" i="1"/>
  <c r="I43" i="1"/>
  <c r="P42" i="1"/>
  <c r="O42" i="1"/>
  <c r="I42" i="1"/>
  <c r="G46" i="1"/>
  <c r="R22" i="1"/>
  <c r="AD22" i="1"/>
  <c r="AE22" i="1" s="1"/>
  <c r="AF22" i="1" s="1"/>
  <c r="AG22" i="1" s="1"/>
  <c r="O81" i="1"/>
  <c r="O82" i="1" s="1"/>
  <c r="M81" i="1"/>
  <c r="L81" i="1"/>
  <c r="K81" i="1"/>
  <c r="J81" i="1"/>
  <c r="I81" i="1"/>
  <c r="H81" i="1"/>
  <c r="G81" i="1"/>
  <c r="F81" i="1"/>
  <c r="E81" i="1"/>
  <c r="D81" i="1"/>
  <c r="C81" i="1"/>
  <c r="P75" i="1"/>
  <c r="O75" i="1"/>
  <c r="N75" i="1"/>
  <c r="M75" i="1"/>
  <c r="L75" i="1"/>
  <c r="K75" i="1"/>
  <c r="J75" i="1"/>
  <c r="I75" i="1"/>
  <c r="H75" i="1"/>
  <c r="G75" i="1"/>
  <c r="F75" i="1"/>
  <c r="E75" i="1"/>
  <c r="D75" i="1"/>
  <c r="C75" i="1"/>
  <c r="Q75" i="1"/>
  <c r="Q79" i="1" s="1"/>
  <c r="Q81" i="1" s="1"/>
  <c r="P61" i="1"/>
  <c r="P66" i="1" s="1"/>
  <c r="O61" i="1"/>
  <c r="O66" i="1" s="1"/>
  <c r="N61" i="1"/>
  <c r="N66" i="1" s="1"/>
  <c r="M61" i="1"/>
  <c r="M66" i="1" s="1"/>
  <c r="L61" i="1"/>
  <c r="L66" i="1" s="1"/>
  <c r="K61" i="1"/>
  <c r="K66" i="1" s="1"/>
  <c r="J61" i="1"/>
  <c r="J66" i="1" s="1"/>
  <c r="I61" i="1"/>
  <c r="I66" i="1" s="1"/>
  <c r="H61" i="1"/>
  <c r="H66" i="1" s="1"/>
  <c r="G61" i="1"/>
  <c r="G66" i="1" s="1"/>
  <c r="F61" i="1"/>
  <c r="F66" i="1" s="1"/>
  <c r="E61" i="1"/>
  <c r="E66" i="1" s="1"/>
  <c r="D61" i="1"/>
  <c r="D66" i="1" s="1"/>
  <c r="C61" i="1"/>
  <c r="C66" i="1" s="1"/>
  <c r="Q61" i="1"/>
  <c r="Q66" i="1" s="1"/>
  <c r="N4" i="1"/>
  <c r="N3" i="1"/>
  <c r="AC5" i="1"/>
  <c r="AB5" i="1"/>
  <c r="J24" i="1"/>
  <c r="J22" i="1"/>
  <c r="J19" i="1"/>
  <c r="J18" i="1"/>
  <c r="J39" i="1" s="1"/>
  <c r="J17" i="1"/>
  <c r="J38" i="1" s="1"/>
  <c r="J16" i="1"/>
  <c r="J37" i="1" s="1"/>
  <c r="J15" i="1"/>
  <c r="J36" i="1" s="1"/>
  <c r="J14" i="1"/>
  <c r="J13" i="1"/>
  <c r="J34" i="1" s="1"/>
  <c r="J11" i="1"/>
  <c r="J10" i="1"/>
  <c r="J32" i="1" s="1"/>
  <c r="J9" i="1"/>
  <c r="J31" i="1" s="1"/>
  <c r="AA20" i="1"/>
  <c r="AA12" i="1"/>
  <c r="AA44" i="1" s="1"/>
  <c r="AB39" i="1"/>
  <c r="AB38" i="1"/>
  <c r="AB37" i="1"/>
  <c r="AB36" i="1"/>
  <c r="AB35" i="1"/>
  <c r="AB33" i="1"/>
  <c r="AB32" i="1"/>
  <c r="AB31" i="1"/>
  <c r="G20" i="1"/>
  <c r="G12" i="1"/>
  <c r="G45" i="1" s="1"/>
  <c r="H20" i="1"/>
  <c r="H12" i="1"/>
  <c r="H45" i="1" s="1"/>
  <c r="I20" i="1"/>
  <c r="I12" i="1"/>
  <c r="I44" i="1" s="1"/>
  <c r="N24" i="1"/>
  <c r="N22" i="1"/>
  <c r="N19" i="1"/>
  <c r="N18" i="1"/>
  <c r="R18" i="1" s="1"/>
  <c r="N17" i="1"/>
  <c r="N16" i="1"/>
  <c r="N15" i="1"/>
  <c r="N14" i="1"/>
  <c r="N13" i="1"/>
  <c r="N11" i="1"/>
  <c r="N10" i="1"/>
  <c r="N9" i="1"/>
  <c r="AC39" i="1"/>
  <c r="AC38" i="1"/>
  <c r="AC37" i="1"/>
  <c r="AC36" i="1"/>
  <c r="AC35" i="1"/>
  <c r="AC33" i="1"/>
  <c r="AC31" i="1"/>
  <c r="AC32" i="1"/>
  <c r="AC20" i="1"/>
  <c r="AC12" i="1"/>
  <c r="AC46" i="1" s="1"/>
  <c r="AB12" i="1"/>
  <c r="AB46" i="1" s="1"/>
  <c r="AB20" i="1"/>
  <c r="P5" i="1"/>
  <c r="O5" i="1"/>
  <c r="M5" i="1"/>
  <c r="L5" i="1"/>
  <c r="K5" i="1"/>
  <c r="J5" i="1"/>
  <c r="I5" i="1"/>
  <c r="H5" i="1"/>
  <c r="G5" i="1"/>
  <c r="F5" i="1"/>
  <c r="E5" i="1"/>
  <c r="D5" i="1"/>
  <c r="C5" i="1"/>
  <c r="Q5" i="1"/>
  <c r="P39" i="1"/>
  <c r="O39" i="1"/>
  <c r="M39" i="1"/>
  <c r="L39" i="1"/>
  <c r="K39" i="1"/>
  <c r="I39" i="1"/>
  <c r="H39" i="1"/>
  <c r="G39" i="1"/>
  <c r="P38" i="1"/>
  <c r="O38" i="1"/>
  <c r="M38" i="1"/>
  <c r="L38" i="1"/>
  <c r="K38" i="1"/>
  <c r="I38" i="1"/>
  <c r="H38" i="1"/>
  <c r="G38" i="1"/>
  <c r="P37" i="1"/>
  <c r="O37" i="1"/>
  <c r="M37" i="1"/>
  <c r="L37" i="1"/>
  <c r="K37" i="1"/>
  <c r="I37" i="1"/>
  <c r="H37" i="1"/>
  <c r="G37" i="1"/>
  <c r="P36" i="1"/>
  <c r="O36" i="1"/>
  <c r="M36" i="1"/>
  <c r="L36" i="1"/>
  <c r="K36" i="1"/>
  <c r="I36" i="1"/>
  <c r="H36" i="1"/>
  <c r="G36" i="1"/>
  <c r="P35" i="1"/>
  <c r="O35" i="1"/>
  <c r="M35" i="1"/>
  <c r="L35" i="1"/>
  <c r="K35" i="1"/>
  <c r="J35" i="1"/>
  <c r="I35" i="1"/>
  <c r="H35" i="1"/>
  <c r="G35" i="1"/>
  <c r="P34" i="1"/>
  <c r="O34" i="1"/>
  <c r="M34" i="1"/>
  <c r="L34" i="1"/>
  <c r="K34" i="1"/>
  <c r="I34" i="1"/>
  <c r="H34" i="1"/>
  <c r="G34" i="1"/>
  <c r="P32" i="1"/>
  <c r="O32" i="1"/>
  <c r="M32" i="1"/>
  <c r="L32" i="1"/>
  <c r="K32" i="1"/>
  <c r="I32" i="1"/>
  <c r="H32" i="1"/>
  <c r="G32" i="1"/>
  <c r="P31" i="1"/>
  <c r="O31" i="1"/>
  <c r="M31" i="1"/>
  <c r="L31" i="1"/>
  <c r="K31" i="1"/>
  <c r="I31" i="1"/>
  <c r="H31" i="1"/>
  <c r="G31" i="1"/>
  <c r="Q39" i="1"/>
  <c r="Q38" i="1"/>
  <c r="Q37" i="1"/>
  <c r="Q36" i="1"/>
  <c r="Q35" i="1"/>
  <c r="Q34" i="1"/>
  <c r="Q32" i="1"/>
  <c r="Q31" i="1"/>
  <c r="P20" i="1"/>
  <c r="O20" i="1"/>
  <c r="M20" i="1"/>
  <c r="L20" i="1"/>
  <c r="K20" i="1"/>
  <c r="F20" i="1"/>
  <c r="E20" i="1"/>
  <c r="D20" i="1"/>
  <c r="C20" i="1"/>
  <c r="Q20" i="1"/>
  <c r="P12" i="1"/>
  <c r="P44" i="1" s="1"/>
  <c r="O12" i="1"/>
  <c r="O45" i="1" s="1"/>
  <c r="M12" i="1"/>
  <c r="M46" i="1" s="1"/>
  <c r="L12" i="1"/>
  <c r="L7" i="1" s="1"/>
  <c r="K12" i="1"/>
  <c r="K7" i="1" s="1"/>
  <c r="F12" i="1"/>
  <c r="F43" i="1" s="1"/>
  <c r="E12" i="1"/>
  <c r="E45" i="1" s="1"/>
  <c r="D12" i="1"/>
  <c r="D47" i="1" s="1"/>
  <c r="C12" i="1"/>
  <c r="C46" i="1" s="1"/>
  <c r="Q12" i="1"/>
  <c r="Q44" i="1" s="1"/>
  <c r="G9" i="2"/>
  <c r="G10" i="2" s="1"/>
  <c r="F8" i="2"/>
  <c r="F11" i="2" s="1"/>
  <c r="W2" i="1"/>
  <c r="X2" i="1" s="1"/>
  <c r="Y2" i="1" s="1"/>
  <c r="Z2" i="1" s="1"/>
  <c r="AA2" i="1" s="1"/>
  <c r="AB2" i="1" s="1"/>
  <c r="AC2" i="1" s="1"/>
  <c r="AD2" i="1" s="1"/>
  <c r="AE2" i="1" s="1"/>
  <c r="AF2" i="1" s="1"/>
  <c r="AG2" i="1" s="1"/>
  <c r="AH2" i="1" s="1"/>
  <c r="AI2" i="1" s="1"/>
  <c r="AJ2" i="1" s="1"/>
  <c r="AK2" i="1" s="1"/>
  <c r="AL2" i="1" s="1"/>
  <c r="AM2" i="1" s="1"/>
  <c r="N46" i="1" l="1"/>
  <c r="J43" i="1"/>
  <c r="G47" i="1"/>
  <c r="M43" i="1"/>
  <c r="K44" i="1"/>
  <c r="Q45" i="1"/>
  <c r="O46" i="1"/>
  <c r="M47" i="1"/>
  <c r="AC44" i="1"/>
  <c r="H42" i="1"/>
  <c r="L44" i="1"/>
  <c r="H46" i="1"/>
  <c r="Q42" i="1"/>
  <c r="O43" i="1"/>
  <c r="M44" i="1"/>
  <c r="K45" i="1"/>
  <c r="Q46" i="1"/>
  <c r="AC47" i="1"/>
  <c r="G42" i="1"/>
  <c r="J42" i="1"/>
  <c r="H43" i="1"/>
  <c r="P43" i="1"/>
  <c r="L45" i="1"/>
  <c r="H47" i="1"/>
  <c r="P47" i="1"/>
  <c r="AC42" i="1"/>
  <c r="O44" i="1"/>
  <c r="M45" i="1"/>
  <c r="Q47" i="1"/>
  <c r="E43" i="1"/>
  <c r="D45" i="1"/>
  <c r="C47" i="1"/>
  <c r="AA42" i="1"/>
  <c r="AC45" i="1"/>
  <c r="G43" i="1"/>
  <c r="K42" i="1"/>
  <c r="Q43" i="1"/>
  <c r="K46" i="1"/>
  <c r="N35" i="1"/>
  <c r="G44" i="1"/>
  <c r="L42" i="1"/>
  <c r="H44" i="1"/>
  <c r="L46" i="1"/>
  <c r="J47" i="1"/>
  <c r="E44" i="1"/>
  <c r="D46" i="1"/>
  <c r="AA43" i="1"/>
  <c r="M42" i="1"/>
  <c r="K43" i="1"/>
  <c r="K47" i="1"/>
  <c r="AC43" i="1"/>
  <c r="L43" i="1"/>
  <c r="L47" i="1"/>
  <c r="AF26" i="1"/>
  <c r="AH22" i="1"/>
  <c r="AB7" i="1"/>
  <c r="Q82" i="1"/>
  <c r="N5" i="1"/>
  <c r="O7" i="1"/>
  <c r="N36" i="1"/>
  <c r="Q7" i="1"/>
  <c r="AC7" i="1"/>
  <c r="P7" i="1"/>
  <c r="R12" i="1"/>
  <c r="R15" i="1" s="1"/>
  <c r="R44" i="1" s="1"/>
  <c r="M7" i="1"/>
  <c r="N31" i="1"/>
  <c r="N39" i="1"/>
  <c r="N37" i="1"/>
  <c r="AB34" i="1"/>
  <c r="J20" i="1"/>
  <c r="N34" i="1"/>
  <c r="J12" i="1"/>
  <c r="N32" i="1"/>
  <c r="AA21" i="1"/>
  <c r="AA23" i="1" s="1"/>
  <c r="AA25" i="1" s="1"/>
  <c r="AA27" i="1" s="1"/>
  <c r="G21" i="1"/>
  <c r="G23" i="1" s="1"/>
  <c r="G25" i="1" s="1"/>
  <c r="G27" i="1" s="1"/>
  <c r="H21" i="1"/>
  <c r="H23" i="1" s="1"/>
  <c r="H25" i="1" s="1"/>
  <c r="H27" i="1" s="1"/>
  <c r="AC34" i="1"/>
  <c r="N12" i="1"/>
  <c r="I21" i="1"/>
  <c r="I23" i="1" s="1"/>
  <c r="I25" i="1" s="1"/>
  <c r="I27" i="1" s="1"/>
  <c r="AC21" i="1"/>
  <c r="AC23" i="1" s="1"/>
  <c r="AC25" i="1" s="1"/>
  <c r="AC27" i="1" s="1"/>
  <c r="N20" i="1"/>
  <c r="N38" i="1"/>
  <c r="AB21" i="1"/>
  <c r="AB23" i="1" s="1"/>
  <c r="Q33" i="1"/>
  <c r="D21" i="1"/>
  <c r="E21" i="1"/>
  <c r="M33" i="1"/>
  <c r="F21" i="1"/>
  <c r="G33" i="1"/>
  <c r="H33" i="1"/>
  <c r="K33" i="1"/>
  <c r="I33" i="1"/>
  <c r="L33" i="1"/>
  <c r="M21" i="1"/>
  <c r="M23" i="1" s="1"/>
  <c r="M25" i="1" s="1"/>
  <c r="M27" i="1" s="1"/>
  <c r="O21" i="1"/>
  <c r="O23" i="1" s="1"/>
  <c r="O33" i="1"/>
  <c r="P21" i="1"/>
  <c r="P23" i="1" s="1"/>
  <c r="P25" i="1" s="1"/>
  <c r="P27" i="1" s="1"/>
  <c r="P33" i="1"/>
  <c r="Q21" i="1"/>
  <c r="Q23" i="1" s="1"/>
  <c r="Q25" i="1" s="1"/>
  <c r="Q27" i="1" s="1"/>
  <c r="K21" i="1"/>
  <c r="K23" i="1" s="1"/>
  <c r="K25" i="1" s="1"/>
  <c r="K27" i="1" s="1"/>
  <c r="L21" i="1"/>
  <c r="L23" i="1" s="1"/>
  <c r="L25" i="1" s="1"/>
  <c r="L27" i="1" s="1"/>
  <c r="C21" i="1"/>
  <c r="R47" i="1" l="1"/>
  <c r="J33" i="1"/>
  <c r="J44" i="1"/>
  <c r="J46" i="1"/>
  <c r="J45" i="1"/>
  <c r="N7" i="1"/>
  <c r="N42" i="1"/>
  <c r="N44" i="1"/>
  <c r="N43" i="1"/>
  <c r="N47" i="1"/>
  <c r="N45" i="1"/>
  <c r="AG26" i="1"/>
  <c r="AI22" i="1"/>
  <c r="N21" i="1"/>
  <c r="N23" i="1" s="1"/>
  <c r="N25" i="1" s="1"/>
  <c r="R13" i="1"/>
  <c r="R42" i="1" s="1"/>
  <c r="AD18" i="1"/>
  <c r="AD47" i="1" s="1"/>
  <c r="R17" i="1"/>
  <c r="R16" i="1"/>
  <c r="R14" i="1"/>
  <c r="R19" i="1"/>
  <c r="AD19" i="1" s="1"/>
  <c r="AD15" i="1"/>
  <c r="O25" i="1"/>
  <c r="AD12" i="1"/>
  <c r="N33" i="1"/>
  <c r="J21" i="1"/>
  <c r="AB25" i="1"/>
  <c r="J23" i="1"/>
  <c r="N27" i="1"/>
  <c r="N26" i="1" l="1"/>
  <c r="AD17" i="1"/>
  <c r="R46" i="1"/>
  <c r="AD34" i="1"/>
  <c r="AE12" i="1"/>
  <c r="AD44" i="1"/>
  <c r="AD37" i="1"/>
  <c r="AD14" i="1"/>
  <c r="R43" i="1"/>
  <c r="AD16" i="1"/>
  <c r="R45" i="1"/>
  <c r="AH26" i="1"/>
  <c r="AJ22" i="1"/>
  <c r="O27" i="1"/>
  <c r="AD13" i="1"/>
  <c r="R20" i="1"/>
  <c r="AB27" i="1"/>
  <c r="J27" i="1" s="1"/>
  <c r="J25" i="1"/>
  <c r="AD43" i="1" l="1"/>
  <c r="AD36" i="1"/>
  <c r="AE17" i="1"/>
  <c r="AE16" i="1"/>
  <c r="AE15" i="1"/>
  <c r="AF12" i="1"/>
  <c r="AE34" i="1"/>
  <c r="AE19" i="1"/>
  <c r="AE18" i="1"/>
  <c r="AD45" i="1"/>
  <c r="AD38" i="1"/>
  <c r="AD39" i="1"/>
  <c r="AD46" i="1"/>
  <c r="AD35" i="1"/>
  <c r="AD42" i="1"/>
  <c r="AE42" i="1" s="1"/>
  <c r="AI26" i="1"/>
  <c r="AK22" i="1"/>
  <c r="J26" i="1"/>
  <c r="R21" i="1"/>
  <c r="AD20" i="1"/>
  <c r="AG12" i="1" l="1"/>
  <c r="AF34" i="1"/>
  <c r="AF14" i="1"/>
  <c r="AF13" i="1"/>
  <c r="AF15" i="1"/>
  <c r="AE37" i="1"/>
  <c r="AE44" i="1"/>
  <c r="AF16" i="1"/>
  <c r="AE38" i="1"/>
  <c r="AE45" i="1"/>
  <c r="AF17" i="1"/>
  <c r="AE39" i="1"/>
  <c r="AE46" i="1"/>
  <c r="AF18" i="1"/>
  <c r="AE47" i="1"/>
  <c r="AF19" i="1"/>
  <c r="AG19" i="1" s="1"/>
  <c r="AJ26" i="1"/>
  <c r="AL22" i="1"/>
  <c r="AM22" i="1" s="1"/>
  <c r="AD21" i="1"/>
  <c r="R23" i="1"/>
  <c r="AG16" i="1" l="1"/>
  <c r="AF38" i="1"/>
  <c r="AF45" i="1"/>
  <c r="AG18" i="1"/>
  <c r="AF47" i="1"/>
  <c r="AG15" i="1"/>
  <c r="AF37" i="1"/>
  <c r="AF44" i="1"/>
  <c r="AG17" i="1"/>
  <c r="AF39" i="1"/>
  <c r="AF46" i="1"/>
  <c r="AH12" i="1"/>
  <c r="AG34" i="1"/>
  <c r="AG14" i="1"/>
  <c r="AG36" i="1" s="1"/>
  <c r="AG13" i="1"/>
  <c r="AG35" i="1" s="1"/>
  <c r="AK26" i="1"/>
  <c r="R24" i="1"/>
  <c r="AD23" i="1"/>
  <c r="AE14" i="1"/>
  <c r="AE13" i="1"/>
  <c r="AI12" i="1" l="1"/>
  <c r="AH34" i="1"/>
  <c r="AH14" i="1"/>
  <c r="AH36" i="1" s="1"/>
  <c r="AH13" i="1"/>
  <c r="AH35" i="1" s="1"/>
  <c r="AD24" i="1"/>
  <c r="R25" i="1"/>
  <c r="AH19" i="1"/>
  <c r="AI19" i="1" s="1"/>
  <c r="AH15" i="1"/>
  <c r="AG44" i="1"/>
  <c r="AG37" i="1"/>
  <c r="AH18" i="1"/>
  <c r="AG47" i="1"/>
  <c r="AH17" i="1"/>
  <c r="AG46" i="1"/>
  <c r="AG39" i="1"/>
  <c r="AH16" i="1"/>
  <c r="AG38" i="1"/>
  <c r="AG45" i="1"/>
  <c r="AE36" i="1"/>
  <c r="AF36" i="1"/>
  <c r="AE35" i="1"/>
  <c r="AF35" i="1"/>
  <c r="AL26" i="1"/>
  <c r="AF20" i="1"/>
  <c r="AF21" i="1" s="1"/>
  <c r="AF23" i="1" s="1"/>
  <c r="AE20" i="1"/>
  <c r="AE21" i="1" s="1"/>
  <c r="AE23" i="1" s="1"/>
  <c r="AI15" i="1" l="1"/>
  <c r="AH44" i="1"/>
  <c r="AH37" i="1"/>
  <c r="AI18" i="1"/>
  <c r="AH47" i="1"/>
  <c r="AI16" i="1"/>
  <c r="AH38" i="1"/>
  <c r="AH45" i="1"/>
  <c r="R27" i="1"/>
  <c r="AD27" i="1" s="1"/>
  <c r="AD25" i="1"/>
  <c r="AI17" i="1"/>
  <c r="AH46" i="1"/>
  <c r="AH39" i="1"/>
  <c r="AJ12" i="1"/>
  <c r="AI34" i="1"/>
  <c r="AI14" i="1"/>
  <c r="AI36" i="1" s="1"/>
  <c r="AI13" i="1"/>
  <c r="AI35" i="1" s="1"/>
  <c r="AM26" i="1"/>
  <c r="AE24" i="1"/>
  <c r="AE25" i="1" s="1"/>
  <c r="AE27" i="1" s="1"/>
  <c r="AG20" i="1"/>
  <c r="AG21" i="1" s="1"/>
  <c r="AG23" i="1" s="1"/>
  <c r="AK12" i="1" l="1"/>
  <c r="AJ34" i="1"/>
  <c r="AJ14" i="1"/>
  <c r="AJ36" i="1" s="1"/>
  <c r="AJ13" i="1"/>
  <c r="AJ35" i="1" s="1"/>
  <c r="AJ16" i="1"/>
  <c r="AI45" i="1"/>
  <c r="AI38" i="1"/>
  <c r="AJ18" i="1"/>
  <c r="AI47" i="1"/>
  <c r="AJ17" i="1"/>
  <c r="AI46" i="1"/>
  <c r="AI39" i="1"/>
  <c r="AJ19" i="1"/>
  <c r="AK19" i="1" s="1"/>
  <c r="AJ15" i="1"/>
  <c r="AI44" i="1"/>
  <c r="AI37" i="1"/>
  <c r="AF24" i="1"/>
  <c r="AF25" i="1" s="1"/>
  <c r="AG24" i="1"/>
  <c r="AG25" i="1" s="1"/>
  <c r="AG27" i="1" s="1"/>
  <c r="AH20" i="1"/>
  <c r="AH21" i="1" s="1"/>
  <c r="AH23" i="1" s="1"/>
  <c r="AK18" i="1" l="1"/>
  <c r="AJ47" i="1"/>
  <c r="AK15" i="1"/>
  <c r="AJ37" i="1"/>
  <c r="AJ44" i="1"/>
  <c r="AL19" i="1"/>
  <c r="AK16" i="1"/>
  <c r="AJ38" i="1"/>
  <c r="AJ45" i="1"/>
  <c r="AK17" i="1"/>
  <c r="AJ46" i="1"/>
  <c r="AJ39" i="1"/>
  <c r="AL12" i="1"/>
  <c r="AK34" i="1"/>
  <c r="AK14" i="1"/>
  <c r="AK36" i="1" s="1"/>
  <c r="AK13" i="1"/>
  <c r="AK35" i="1" s="1"/>
  <c r="AF27" i="1"/>
  <c r="AI20" i="1"/>
  <c r="AI21" i="1" s="1"/>
  <c r="AI23" i="1" s="1"/>
  <c r="AH24" i="1"/>
  <c r="AH25" i="1" s="1"/>
  <c r="AM12" i="1" l="1"/>
  <c r="AL34" i="1"/>
  <c r="AL14" i="1"/>
  <c r="AL36" i="1" s="1"/>
  <c r="AL13" i="1"/>
  <c r="AL35" i="1" s="1"/>
  <c r="AL16" i="1"/>
  <c r="AK38" i="1"/>
  <c r="AK45" i="1"/>
  <c r="AL15" i="1"/>
  <c r="AK37" i="1"/>
  <c r="AK44" i="1"/>
  <c r="AL17" i="1"/>
  <c r="AK46" i="1"/>
  <c r="AK39" i="1"/>
  <c r="AL18" i="1"/>
  <c r="AL47" i="1" s="1"/>
  <c r="AK47" i="1"/>
  <c r="AH27" i="1"/>
  <c r="AI24" i="1"/>
  <c r="AI25" i="1" s="1"/>
  <c r="AI27" i="1" s="1"/>
  <c r="AJ20" i="1"/>
  <c r="AJ21" i="1" s="1"/>
  <c r="AJ23" i="1" s="1"/>
  <c r="AL39" i="1" l="1"/>
  <c r="AL46" i="1"/>
  <c r="AL38" i="1"/>
  <c r="AL45" i="1"/>
  <c r="AL37" i="1"/>
  <c r="AL44" i="1"/>
  <c r="AM19" i="1"/>
  <c r="AM16" i="1"/>
  <c r="AM34" i="1"/>
  <c r="AM15" i="1"/>
  <c r="AM14" i="1"/>
  <c r="AM36" i="1" s="1"/>
  <c r="AM17" i="1"/>
  <c r="AM18" i="1"/>
  <c r="AM47" i="1" s="1"/>
  <c r="AM13" i="1"/>
  <c r="AL20" i="1"/>
  <c r="AL21" i="1" s="1"/>
  <c r="AL23" i="1" s="1"/>
  <c r="AK20" i="1"/>
  <c r="AK21" i="1" s="1"/>
  <c r="AK23" i="1" s="1"/>
  <c r="AJ24" i="1"/>
  <c r="AJ25" i="1" s="1"/>
  <c r="AM38" i="1" l="1"/>
  <c r="AM45" i="1"/>
  <c r="AM39" i="1"/>
  <c r="AM46" i="1"/>
  <c r="AM37" i="1"/>
  <c r="AM44" i="1"/>
  <c r="AM20" i="1"/>
  <c r="AM21" i="1" s="1"/>
  <c r="AM23" i="1" s="1"/>
  <c r="AM35" i="1"/>
  <c r="AJ27" i="1"/>
  <c r="AK24" i="1"/>
  <c r="AK25" i="1" s="1"/>
  <c r="AK27" i="1" s="1"/>
  <c r="AL24" i="1" l="1"/>
  <c r="AL25" i="1" s="1"/>
  <c r="AM24" i="1"/>
  <c r="AM25" i="1" s="1"/>
  <c r="AN25" i="1" l="1"/>
  <c r="AO25" i="1" s="1"/>
  <c r="AP25" i="1" s="1"/>
  <c r="AQ25" i="1" s="1"/>
  <c r="AR25" i="1" s="1"/>
  <c r="AS25" i="1" s="1"/>
  <c r="AT25" i="1" s="1"/>
  <c r="AU25" i="1" s="1"/>
  <c r="AV25" i="1" s="1"/>
  <c r="AW25" i="1" s="1"/>
  <c r="AX25" i="1" s="1"/>
  <c r="AY25" i="1" s="1"/>
  <c r="AZ25" i="1" s="1"/>
  <c r="BA25" i="1" s="1"/>
  <c r="BB25" i="1" s="1"/>
  <c r="BC25" i="1" s="1"/>
  <c r="BD25" i="1" s="1"/>
  <c r="BE25" i="1" s="1"/>
  <c r="BF25" i="1" s="1"/>
  <c r="BG25" i="1" s="1"/>
  <c r="BH25" i="1" s="1"/>
  <c r="BI25" i="1" s="1"/>
  <c r="BJ25" i="1" s="1"/>
  <c r="BK25" i="1" s="1"/>
  <c r="BL25" i="1" s="1"/>
  <c r="BM25" i="1" s="1"/>
  <c r="BN25" i="1" s="1"/>
  <c r="BO25" i="1" s="1"/>
  <c r="BP25" i="1" s="1"/>
  <c r="BQ25" i="1" s="1"/>
  <c r="BR25" i="1" s="1"/>
  <c r="BS25" i="1" s="1"/>
  <c r="BT25" i="1" s="1"/>
  <c r="BU25" i="1" s="1"/>
  <c r="BV25" i="1" s="1"/>
  <c r="BW25" i="1" s="1"/>
  <c r="BX25" i="1" s="1"/>
  <c r="BY25" i="1" s="1"/>
  <c r="BZ25" i="1" s="1"/>
  <c r="CA25" i="1" s="1"/>
  <c r="CB25" i="1" s="1"/>
  <c r="CC25" i="1" s="1"/>
  <c r="CD25" i="1" s="1"/>
  <c r="CE25" i="1" s="1"/>
  <c r="CF25" i="1" s="1"/>
  <c r="CG25" i="1" s="1"/>
  <c r="CH25" i="1" s="1"/>
  <c r="CI25" i="1" s="1"/>
  <c r="CJ25" i="1" s="1"/>
  <c r="CK25" i="1" s="1"/>
  <c r="CL25" i="1" s="1"/>
  <c r="CM25" i="1" s="1"/>
  <c r="CN25" i="1" s="1"/>
  <c r="CO25" i="1" s="1"/>
  <c r="CP25" i="1" s="1"/>
  <c r="CQ25" i="1" s="1"/>
  <c r="CR25" i="1" s="1"/>
  <c r="CS25" i="1" s="1"/>
  <c r="CT25" i="1" s="1"/>
  <c r="CU25" i="1" s="1"/>
  <c r="CV25" i="1" s="1"/>
  <c r="CW25" i="1" s="1"/>
  <c r="CX25" i="1" s="1"/>
  <c r="CY25" i="1" s="1"/>
  <c r="CZ25" i="1" s="1"/>
  <c r="DA25" i="1" s="1"/>
  <c r="DB25" i="1" s="1"/>
  <c r="DC25" i="1" s="1"/>
  <c r="DD25" i="1" s="1"/>
  <c r="DE25" i="1" s="1"/>
  <c r="AP31" i="1" s="1"/>
  <c r="AM27" i="1"/>
  <c r="AL27" i="1"/>
  <c r="AP33" i="1" l="1"/>
  <c r="AP3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jameelbrannon</author>
  </authors>
  <commentList>
    <comment ref="AD18" authorId="0" shapeId="0" xr:uid="{F2BFBD17-E952-A04A-A199-E55CFC59C09A}">
      <text>
        <r>
          <rPr>
            <b/>
            <sz val="10"/>
            <color rgb="FF000000"/>
            <rFont val="Tahoma"/>
            <family val="2"/>
          </rPr>
          <t>jameelbrannon: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Guide: $123M-$127M</t>
        </r>
      </text>
    </comment>
    <comment ref="P31" authorId="0" shapeId="0" xr:uid="{4E54A8AE-EC99-5948-B6F8-9B354ADCB3C0}">
      <text>
        <r>
          <rPr>
            <b/>
            <sz val="10"/>
            <color rgb="FF000000"/>
            <rFont val="Tahoma"/>
            <family val="2"/>
          </rPr>
          <t>jameelbrannon: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6% decrease in guest count</t>
        </r>
      </text>
    </comment>
    <comment ref="Q31" authorId="0" shapeId="0" xr:uid="{4F17582D-4588-D245-96D9-E68672026335}">
      <text>
        <r>
          <rPr>
            <b/>
            <sz val="10"/>
            <color rgb="FF000000"/>
            <rFont val="Tahoma"/>
            <family val="2"/>
          </rPr>
          <t>jameelbrannon: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1. 10.4% decrease in guest count due to removal of </t>
        </r>
        <r>
          <rPr>
            <sz val="10"/>
            <color rgb="FF000000"/>
            <rFont val="IntelClear-Regular"/>
          </rPr>
          <t>$10 Meal Deal</t>
        </r>
        <r>
          <rPr>
            <sz val="10"/>
            <color rgb="FF000000"/>
            <rFont val="IntelClear-Regular"/>
          </rPr>
          <t xml:space="preserve"> that</t>
        </r>
        <r>
          <rPr>
            <sz val="10"/>
            <color rgb="FF000000"/>
            <rFont val="IntelClear-Regular"/>
          </rPr>
          <t xml:space="preserve"> was offered in Q322</t>
        </r>
        <r>
          <rPr>
            <sz val="10"/>
            <color rgb="FF000000"/>
            <rFont val="Tahoma"/>
            <family val="2"/>
          </rPr>
          <t xml:space="preserve"> 
</t>
        </r>
        <r>
          <rPr>
            <sz val="10"/>
            <color rgb="FF000000"/>
            <rFont val="Tahoma"/>
            <family val="2"/>
          </rPr>
          <t xml:space="preserve">2. </t>
        </r>
      </text>
    </comment>
    <comment ref="Q34" authorId="0" shapeId="0" xr:uid="{11082911-3BA8-8D48-8258-FC6ED162D61A}">
      <text>
        <r>
          <rPr>
            <b/>
            <sz val="10"/>
            <color rgb="FF000000"/>
            <rFont val="Tahoma"/>
            <family val="2"/>
          </rPr>
          <t>jameelbrannon: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Menu price increase benefit</t>
        </r>
      </text>
    </comment>
  </commentList>
</comments>
</file>

<file path=xl/sharedStrings.xml><?xml version="1.0" encoding="utf-8"?>
<sst xmlns="http://schemas.openxmlformats.org/spreadsheetml/2006/main" count="109" uniqueCount="85">
  <si>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</si>
  <si>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</si>
  <si>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</si>
  <si>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</si>
  <si>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</si>
  <si>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</si>
  <si>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</si>
  <si>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</si>
  <si>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</si>
  <si>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</si>
  <si>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Q322</t>
  </si>
  <si>
    <t>Q422</t>
  </si>
  <si>
    <t>Price</t>
  </si>
  <si>
    <t>Shares</t>
  </si>
  <si>
    <t>MC</t>
  </si>
  <si>
    <t xml:space="preserve">Cash </t>
  </si>
  <si>
    <t>Debt</t>
  </si>
  <si>
    <t>EV</t>
  </si>
  <si>
    <t>Q123</t>
  </si>
  <si>
    <t>Q223</t>
  </si>
  <si>
    <t>Q323</t>
  </si>
  <si>
    <t>Q423</t>
  </si>
  <si>
    <t>RR</t>
  </si>
  <si>
    <t xml:space="preserve">Franchise </t>
  </si>
  <si>
    <t xml:space="preserve">Total Revenues </t>
  </si>
  <si>
    <t>C</t>
  </si>
  <si>
    <t>Labor</t>
  </si>
  <si>
    <t xml:space="preserve">Occupany </t>
  </si>
  <si>
    <t>Other</t>
  </si>
  <si>
    <t>D&amp;A</t>
  </si>
  <si>
    <t>SG&amp;A</t>
  </si>
  <si>
    <t>TC + E</t>
  </si>
  <si>
    <t xml:space="preserve">Op Income </t>
  </si>
  <si>
    <t>Interest expense</t>
  </si>
  <si>
    <t>EBT</t>
  </si>
  <si>
    <t>Taxes</t>
  </si>
  <si>
    <t xml:space="preserve">Net Income </t>
  </si>
  <si>
    <t>EPS</t>
  </si>
  <si>
    <t>GA Y/Y</t>
  </si>
  <si>
    <t>Franchised</t>
  </si>
  <si>
    <t xml:space="preserve">Net </t>
  </si>
  <si>
    <t>Owned</t>
  </si>
  <si>
    <t xml:space="preserve">Guest count </t>
  </si>
  <si>
    <t>Founded</t>
  </si>
  <si>
    <t xml:space="preserve">1ST Franchise </t>
  </si>
  <si>
    <t>$M</t>
  </si>
  <si>
    <t>RPS</t>
  </si>
  <si>
    <t>CA</t>
  </si>
  <si>
    <t>A/R</t>
  </si>
  <si>
    <t>Cash</t>
  </si>
  <si>
    <t>Inventories</t>
  </si>
  <si>
    <t>Income tax Rec</t>
  </si>
  <si>
    <t>Prepaid E</t>
  </si>
  <si>
    <t xml:space="preserve">Restricted cash </t>
  </si>
  <si>
    <t>PPE</t>
  </si>
  <si>
    <t>Op Lease</t>
  </si>
  <si>
    <t>Intangibles</t>
  </si>
  <si>
    <t>OA</t>
  </si>
  <si>
    <t>TA</t>
  </si>
  <si>
    <t>CL</t>
  </si>
  <si>
    <t>A/P</t>
  </si>
  <si>
    <t>Accrued payroll</t>
  </si>
  <si>
    <t>Unearned</t>
  </si>
  <si>
    <t>Op lease</t>
  </si>
  <si>
    <t>Accrued Liab</t>
  </si>
  <si>
    <t>LTD</t>
  </si>
  <si>
    <t>ONCL</t>
  </si>
  <si>
    <t xml:space="preserve">TL </t>
  </si>
  <si>
    <t>TL + E</t>
  </si>
  <si>
    <t>Equity</t>
  </si>
  <si>
    <t xml:space="preserve">Check </t>
  </si>
  <si>
    <t xml:space="preserve">% Rev </t>
  </si>
  <si>
    <t xml:space="preserve">Terminal </t>
  </si>
  <si>
    <t>Discount</t>
  </si>
  <si>
    <t>NPV</t>
  </si>
  <si>
    <t xml:space="preserve">Estimate </t>
  </si>
  <si>
    <t>Current</t>
  </si>
  <si>
    <t>Founder</t>
  </si>
  <si>
    <t>Term Loan</t>
  </si>
  <si>
    <t>Notes Payable</t>
  </si>
  <si>
    <t>Total Borrowings</t>
  </si>
  <si>
    <t>Unamortized debt costs/discounts</t>
  </si>
  <si>
    <t>current</t>
  </si>
  <si>
    <t>Revolving Credit</t>
  </si>
  <si>
    <t xml:space="preserve">Total Debt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</si>
</sst>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43" formatCode="_(* #,##0.00_);_(* \(#,##0.00\);_(* &quot;-&quot;??_);_(@_)"/>
    <numFmt numFmtId="164" formatCode="0.0%"/>
  </numFmts>
  <fonts count="10">
    <font>
      <sz val="10"/>
      <color theme="1"/>
      <name val="IntelClear-Regular"/>
      <family val="2"/>
    </font>
    <font>
      <b/>
      <sz val="10"/>
      <color theme="1"/>
      <name val="IntelClear-Regula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0"/>
      <color rgb="FF000000"/>
      <name val="IntelClear-Regular"/>
    </font>
    <font>
      <sz val="10"/>
      <color theme="1"/>
      <name val="Arial"/>
      <family val="2"/>
    </font>
    <font>
      <b/>
      <u/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"/>
      <name val="Arial"/>
      <family val="2"/>
    </font>
    <font>
      <b/>
      <sz val="10"/>
      <color rgb="FF0000F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3" fontId="0" fillId="0" borderId="0" xfId="0" applyNumberFormat="1"/>
    <xf numFmtId="1" fontId="0" fillId="0" borderId="0" xfId="0" applyNumberFormat="1"/>
    <xf numFmtId="3" fontId="0" fillId="0" borderId="0" xfId="0" applyNumberFormat="1" applyAlignment="1">
      <alignment horizontal="right"/>
    </xf>
    <xf numFmtId="3" fontId="1" fillId="0" borderId="0" xfId="0" applyNumberFormat="1" applyFont="1"/>
    <xf numFmtId="9" fontId="0" fillId="0" borderId="0" xfId="0" applyNumberFormat="1"/>
    <xf numFmtId="3" fontId="5" fillId="0" borderId="0" xfId="0" applyNumberFormat="1" applyFont="1"/>
    <xf numFmtId="1" fontId="5" fillId="0" borderId="0" xfId="0" applyNumberFormat="1" applyFont="1"/>
    <xf numFmtId="3" fontId="6" fillId="0" borderId="0" xfId="0" applyNumberFormat="1" applyFont="1"/>
    <xf numFmtId="3" fontId="7" fillId="0" borderId="0" xfId="0" applyNumberFormat="1" applyFont="1"/>
    <xf numFmtId="4" fontId="5" fillId="0" borderId="0" xfId="0" applyNumberFormat="1" applyFont="1"/>
    <xf numFmtId="3" fontId="8" fillId="0" borderId="0" xfId="0" applyNumberFormat="1" applyFont="1"/>
    <xf numFmtId="10" fontId="5" fillId="0" borderId="0" xfId="0" applyNumberFormat="1" applyFont="1"/>
    <xf numFmtId="9" fontId="5" fillId="0" borderId="0" xfId="0" applyNumberFormat="1" applyFont="1"/>
    <xf numFmtId="9" fontId="7" fillId="0" borderId="0" xfId="0" applyNumberFormat="1" applyFont="1"/>
    <xf numFmtId="9" fontId="7" fillId="2" borderId="0" xfId="0" applyNumberFormat="1" applyFont="1" applyFill="1"/>
    <xf numFmtId="2" fontId="5" fillId="0" borderId="0" xfId="0" applyNumberFormat="1" applyFont="1"/>
    <xf numFmtId="2" fontId="7" fillId="0" borderId="0" xfId="0" applyNumberFormat="1" applyFont="1"/>
    <xf numFmtId="43" fontId="5" fillId="0" borderId="0" xfId="0" applyNumberFormat="1" applyFont="1"/>
    <xf numFmtId="9" fontId="5" fillId="2" borderId="0" xfId="0" applyNumberFormat="1" applyFont="1" applyFill="1"/>
    <xf numFmtId="8" fontId="5" fillId="0" borderId="0" xfId="0" applyNumberFormat="1" applyFont="1"/>
    <xf numFmtId="164" fontId="5" fillId="0" borderId="0" xfId="0" applyNumberFormat="1" applyFont="1"/>
    <xf numFmtId="164" fontId="5" fillId="2" borderId="0" xfId="0" applyNumberFormat="1" applyFont="1" applyFill="1"/>
    <xf numFmtId="9" fontId="9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1953</xdr:colOff>
      <xdr:row>0</xdr:row>
      <xdr:rowOff>32564</xdr:rowOff>
    </xdr:from>
    <xdr:to>
      <xdr:col>17</xdr:col>
      <xdr:colOff>25400</xdr:colOff>
      <xdr:row>133</xdr:row>
      <xdr:rowOff>114300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A1DD9BC-EBDA-499F-A197-7782EC738684}"/>
            </a:ext>
          </a:extLst>
        </xdr:cNvPr>
        <xdr:cNvCxnSpPr/>
      </xdr:nvCxnSpPr>
      <xdr:spPr>
        <a:xfrm>
          <a:off x="9349153" y="32564"/>
          <a:ext cx="23447" cy="21874936"/>
        </a:xfrm>
        <a:prstGeom prst="line">
          <a:avLst/>
        </a:prstGeom>
        <a:ln w="127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7937</xdr:colOff>
      <xdr:row>0</xdr:row>
      <xdr:rowOff>15875</xdr:rowOff>
    </xdr:from>
    <xdr:to>
      <xdr:col>29</xdr:col>
      <xdr:colOff>25400</xdr:colOff>
      <xdr:row>133</xdr:row>
      <xdr:rowOff>101600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6B43D02D-BF9C-3F49-90C6-F9BB9650DABD}"/>
            </a:ext>
          </a:extLst>
        </xdr:cNvPr>
        <xdr:cNvCxnSpPr/>
      </xdr:nvCxnSpPr>
      <xdr:spPr>
        <a:xfrm>
          <a:off x="15298737" y="15875"/>
          <a:ext cx="17463" cy="21878925"/>
        </a:xfrm>
        <a:prstGeom prst="line">
          <a:avLst/>
        </a:prstGeom>
        <a:ln w="127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1AD3FA-BAF7-C449-8E59-A1FB3D3CEEF9}">
  <dimension ref="B2:G11"/>
  <sheetViews>
    <sheetView zoomScale="180" zoomScaleNormal="180" workbookViewId="0">
      <selection activeCell="F11" sqref="F11"/>
    </sheetView>
  </sheetViews>
  <sheetFormatPr baseColWidth="10" defaultRowHeight="14"/>
  <cols>
    <col min="1" max="1" width="10.83203125" style="1"/>
    <col min="2" max="2" width="12" style="1" bestFit="1" customWidth="1"/>
    <col min="3" max="3" width="5.1640625" style="1" bestFit="1" customWidth="1"/>
    <col min="4" max="4" width="10.83203125" style="1"/>
    <col min="5" max="5" width="6.33203125" style="1" bestFit="1" customWidth="1"/>
    <col min="6" max="6" width="4.6640625" style="1" bestFit="1" customWidth="1"/>
    <col min="7" max="7" width="5.5" style="3" bestFit="1" customWidth="1"/>
    <col min="8" max="16384" width="10.83203125" style="1"/>
  </cols>
  <sheetData>
    <row r="2" spans="2:7">
      <c r="B2" s="1" t="s">
        <v>77</v>
      </c>
    </row>
    <row r="3" spans="2:7">
      <c r="B3" s="1" t="s">
        <v>43</v>
      </c>
      <c r="C3" s="2">
        <v>1969</v>
      </c>
    </row>
    <row r="4" spans="2:7">
      <c r="B4" s="1" t="s">
        <v>44</v>
      </c>
      <c r="C4" s="2">
        <v>1979</v>
      </c>
    </row>
    <row r="5" spans="2:7">
      <c r="E5" s="4" t="s">
        <v>45</v>
      </c>
      <c r="F5" s="5"/>
    </row>
    <row r="6" spans="2:7">
      <c r="E6" s="1" t="s">
        <v>12</v>
      </c>
      <c r="F6" s="1">
        <v>10.68</v>
      </c>
    </row>
    <row r="7" spans="2:7">
      <c r="E7" s="1" t="s">
        <v>13</v>
      </c>
      <c r="F7" s="1">
        <v>15.48</v>
      </c>
      <c r="G7" s="3" t="s">
        <v>20</v>
      </c>
    </row>
    <row r="8" spans="2:7">
      <c r="E8" s="1" t="s">
        <v>14</v>
      </c>
      <c r="F8" s="1">
        <f>+F6*F7</f>
        <v>165.32640000000001</v>
      </c>
    </row>
    <row r="9" spans="2:7">
      <c r="E9" s="1" t="s">
        <v>15</v>
      </c>
      <c r="F9" s="1">
        <f>48.55+12.268</f>
        <v>60.817999999999998</v>
      </c>
      <c r="G9" s="3" t="str">
        <f>+G7</f>
        <v>Q323</v>
      </c>
    </row>
    <row r="10" spans="2:7">
      <c r="E10" s="1" t="s">
        <v>16</v>
      </c>
      <c r="F10" s="1">
        <f>+Model!Q94/1000</f>
        <v>183.017</v>
      </c>
      <c r="G10" s="3" t="str">
        <f>+G9</f>
        <v>Q323</v>
      </c>
    </row>
    <row r="11" spans="2:7">
      <c r="E11" s="1" t="s">
        <v>17</v>
      </c>
      <c r="F11" s="1">
        <f>+F8-F9+F10</f>
        <v>287.52539999999999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71F65-07E6-EF49-83E4-A4B71A3FEDEB}">
  <dimension ref="B2:DE94"/>
  <sheetViews>
    <sheetView tabSelected="1" zoomScale="130" zoomScaleNormal="130" workbookViewId="0">
      <pane xSplit="2" ySplit="2" topLeftCell="AF3" activePane="bottomRight" state="frozen"/>
      <selection pane="topRight" activeCell="C1" sqref="C1"/>
      <selection pane="bottomLeft" activeCell="A3" sqref="A3"/>
      <selection pane="bottomRight" activeCell="E6" sqref="E6"/>
    </sheetView>
  </sheetViews>
  <sheetFormatPr baseColWidth="10" defaultColWidth="11" defaultRowHeight="13"/>
  <cols>
    <col min="1" max="1" width="2.1640625" style="6" customWidth="1"/>
    <col min="2" max="2" width="14.1640625" style="6" bestFit="1" customWidth="1"/>
    <col min="3" max="6" width="5.5" style="6" bestFit="1" customWidth="1"/>
    <col min="7" max="9" width="7.6640625" style="6" bestFit="1" customWidth="1"/>
    <col min="10" max="10" width="7.6640625" style="16" bestFit="1" customWidth="1"/>
    <col min="11" max="18" width="7.6640625" style="6" bestFit="1" customWidth="1"/>
    <col min="19" max="20" width="5.5" style="6" customWidth="1"/>
    <col min="21" max="21" width="6" style="6" customWidth="1"/>
    <col min="22" max="26" width="5.1640625" style="6" bestFit="1" customWidth="1"/>
    <col min="27" max="39" width="9.1640625" style="6" bestFit="1" customWidth="1"/>
    <col min="40" max="40" width="6.6640625" style="6" bestFit="1" customWidth="1"/>
    <col min="41" max="41" width="8.33203125" style="6" bestFit="1" customWidth="1"/>
    <col min="42" max="42" width="11.6640625" style="6" bestFit="1" customWidth="1"/>
    <col min="43" max="100" width="6.6640625" style="6" bestFit="1" customWidth="1"/>
    <col min="101" max="109" width="7.6640625" style="6" bestFit="1" customWidth="1"/>
    <col min="110" max="16384" width="11" style="6"/>
  </cols>
  <sheetData>
    <row r="2" spans="2:39">
      <c r="C2" s="6" t="s">
        <v>0</v>
      </c>
      <c r="D2" s="6" t="s">
        <v>1</v>
      </c>
      <c r="E2" s="6" t="s">
        <v>2</v>
      </c>
      <c r="F2" s="6" t="s">
        <v>3</v>
      </c>
      <c r="G2" s="6" t="s">
        <v>4</v>
      </c>
      <c r="H2" s="6" t="s">
        <v>5</v>
      </c>
      <c r="I2" s="6" t="s">
        <v>6</v>
      </c>
      <c r="J2" s="16" t="s">
        <v>7</v>
      </c>
      <c r="K2" s="6" t="s">
        <v>8</v>
      </c>
      <c r="L2" s="6" t="s">
        <v>9</v>
      </c>
      <c r="M2" s="6" t="s">
        <v>10</v>
      </c>
      <c r="N2" s="6" t="s">
        <v>11</v>
      </c>
      <c r="O2" s="6" t="s">
        <v>18</v>
      </c>
      <c r="P2" s="6" t="s">
        <v>19</v>
      </c>
      <c r="Q2" s="6" t="s">
        <v>20</v>
      </c>
      <c r="R2" s="6" t="s">
        <v>21</v>
      </c>
      <c r="V2" s="7">
        <v>2015</v>
      </c>
      <c r="W2" s="7">
        <f>+V2+1</f>
        <v>2016</v>
      </c>
      <c r="X2" s="7">
        <f t="shared" ref="X2:AM2" si="0">+W2+1</f>
        <v>2017</v>
      </c>
      <c r="Y2" s="7">
        <f t="shared" si="0"/>
        <v>2018</v>
      </c>
      <c r="Z2" s="7">
        <f t="shared" si="0"/>
        <v>2019</v>
      </c>
      <c r="AA2" s="7">
        <f t="shared" si="0"/>
        <v>2020</v>
      </c>
      <c r="AB2" s="7">
        <f t="shared" si="0"/>
        <v>2021</v>
      </c>
      <c r="AC2" s="7">
        <f t="shared" si="0"/>
        <v>2022</v>
      </c>
      <c r="AD2" s="7">
        <f t="shared" si="0"/>
        <v>2023</v>
      </c>
      <c r="AE2" s="7">
        <f t="shared" si="0"/>
        <v>2024</v>
      </c>
      <c r="AF2" s="7">
        <f t="shared" si="0"/>
        <v>2025</v>
      </c>
      <c r="AG2" s="7">
        <f t="shared" si="0"/>
        <v>2026</v>
      </c>
      <c r="AH2" s="7">
        <f t="shared" si="0"/>
        <v>2027</v>
      </c>
      <c r="AI2" s="7">
        <f t="shared" si="0"/>
        <v>2028</v>
      </c>
      <c r="AJ2" s="7">
        <f t="shared" si="0"/>
        <v>2029</v>
      </c>
      <c r="AK2" s="7">
        <f t="shared" si="0"/>
        <v>2030</v>
      </c>
      <c r="AL2" s="7">
        <f t="shared" si="0"/>
        <v>2031</v>
      </c>
      <c r="AM2" s="7">
        <f t="shared" si="0"/>
        <v>2032</v>
      </c>
    </row>
    <row r="3" spans="2:39">
      <c r="B3" s="6" t="s">
        <v>41</v>
      </c>
      <c r="K3" s="6">
        <v>426</v>
      </c>
      <c r="L3" s="6">
        <v>426</v>
      </c>
      <c r="M3" s="6">
        <v>424</v>
      </c>
      <c r="N3" s="6">
        <f>+AC3</f>
        <v>430</v>
      </c>
      <c r="O3" s="6">
        <v>415</v>
      </c>
      <c r="P3" s="6">
        <v>418</v>
      </c>
      <c r="Q3" s="6">
        <v>417</v>
      </c>
      <c r="V3" s="7"/>
      <c r="W3" s="7"/>
      <c r="X3" s="7"/>
      <c r="Y3" s="7"/>
      <c r="Z3" s="7"/>
      <c r="AA3" s="7"/>
      <c r="AB3" s="7">
        <v>414</v>
      </c>
      <c r="AC3" s="7">
        <v>430</v>
      </c>
      <c r="AD3" s="7"/>
      <c r="AE3" s="7"/>
      <c r="AF3" s="7"/>
      <c r="AG3" s="7"/>
      <c r="AH3" s="7"/>
      <c r="AI3" s="7"/>
      <c r="AJ3" s="7"/>
      <c r="AK3" s="7"/>
      <c r="AL3" s="7"/>
      <c r="AM3" s="7"/>
    </row>
    <row r="4" spans="2:39">
      <c r="B4" s="6" t="s">
        <v>39</v>
      </c>
      <c r="K4" s="6">
        <v>101</v>
      </c>
      <c r="L4" s="6">
        <v>102</v>
      </c>
      <c r="M4" s="6">
        <v>101</v>
      </c>
      <c r="N4" s="6">
        <f>+AC4</f>
        <v>101</v>
      </c>
      <c r="O4" s="6">
        <v>96</v>
      </c>
      <c r="P4" s="6">
        <v>91</v>
      </c>
      <c r="Q4" s="6">
        <v>91</v>
      </c>
      <c r="V4" s="7"/>
      <c r="W4" s="7"/>
      <c r="X4" s="7"/>
      <c r="Y4" s="7"/>
      <c r="Z4" s="7"/>
      <c r="AA4" s="7"/>
      <c r="AB4" s="7">
        <v>97</v>
      </c>
      <c r="AC4" s="7">
        <v>101</v>
      </c>
      <c r="AD4" s="7"/>
      <c r="AE4" s="7"/>
      <c r="AF4" s="7"/>
      <c r="AG4" s="7"/>
      <c r="AH4" s="7"/>
      <c r="AI4" s="7"/>
      <c r="AJ4" s="7"/>
      <c r="AK4" s="7"/>
      <c r="AL4" s="7"/>
      <c r="AM4" s="7"/>
    </row>
    <row r="5" spans="2:39">
      <c r="B5" s="8" t="s">
        <v>40</v>
      </c>
      <c r="C5" s="6">
        <f t="shared" ref="C5:P6" si="1">SUM(C3:C4)</f>
        <v>0</v>
      </c>
      <c r="D5" s="6">
        <f t="shared" si="1"/>
        <v>0</v>
      </c>
      <c r="E5" s="6">
        <f t="shared" si="1"/>
        <v>0</v>
      </c>
      <c r="F5" s="6">
        <f t="shared" si="1"/>
        <v>0</v>
      </c>
      <c r="G5" s="6">
        <f t="shared" si="1"/>
        <v>0</v>
      </c>
      <c r="H5" s="6">
        <f t="shared" si="1"/>
        <v>0</v>
      </c>
      <c r="I5" s="6">
        <f t="shared" si="1"/>
        <v>0</v>
      </c>
      <c r="J5" s="16">
        <f t="shared" si="1"/>
        <v>0</v>
      </c>
      <c r="K5" s="6">
        <f t="shared" si="1"/>
        <v>527</v>
      </c>
      <c r="L5" s="6">
        <f t="shared" si="1"/>
        <v>528</v>
      </c>
      <c r="M5" s="6">
        <f t="shared" si="1"/>
        <v>525</v>
      </c>
      <c r="N5" s="6">
        <f t="shared" si="1"/>
        <v>531</v>
      </c>
      <c r="O5" s="6">
        <f t="shared" si="1"/>
        <v>511</v>
      </c>
      <c r="P5" s="6">
        <f t="shared" si="1"/>
        <v>509</v>
      </c>
      <c r="Q5" s="6">
        <f>SUM(Q3:Q4)</f>
        <v>508</v>
      </c>
      <c r="V5" s="7"/>
      <c r="W5" s="7"/>
      <c r="X5" s="7"/>
      <c r="Y5" s="7"/>
      <c r="Z5" s="7"/>
      <c r="AA5" s="7"/>
      <c r="AB5" s="7">
        <f>+SUM(AB3:AB4)</f>
        <v>511</v>
      </c>
      <c r="AC5" s="7">
        <f>+SUM(AC3:AC4)</f>
        <v>531</v>
      </c>
      <c r="AD5" s="7"/>
      <c r="AE5" s="7"/>
      <c r="AF5" s="7"/>
      <c r="AG5" s="7"/>
      <c r="AH5" s="7"/>
      <c r="AI5" s="7"/>
      <c r="AJ5" s="7"/>
      <c r="AK5" s="7"/>
      <c r="AL5" s="7"/>
      <c r="AM5" s="7"/>
    </row>
    <row r="6" spans="2:39">
      <c r="B6" s="8"/>
      <c r="E6" s="6">
        <f t="shared" si="1"/>
        <v>0</v>
      </c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</row>
    <row r="7" spans="2:39">
      <c r="B7" s="8" t="s">
        <v>46</v>
      </c>
      <c r="J7" s="6"/>
      <c r="K7" s="6">
        <f t="shared" ref="K7:Q7" si="2">+K12/K5</f>
        <v>750.56925996204939</v>
      </c>
      <c r="L7" s="6">
        <f t="shared" si="2"/>
        <v>556.92424242424238</v>
      </c>
      <c r="M7" s="6">
        <f t="shared" si="2"/>
        <v>546.29523809523812</v>
      </c>
      <c r="N7" s="6">
        <f t="shared" si="2"/>
        <v>514.52542372881351</v>
      </c>
      <c r="O7" s="6">
        <f t="shared" si="2"/>
        <v>817.94129158512715</v>
      </c>
      <c r="P7" s="6">
        <f t="shared" si="2"/>
        <v>586.73477406679763</v>
      </c>
      <c r="Q7" s="6">
        <f t="shared" si="2"/>
        <v>546.37795275590554</v>
      </c>
      <c r="AB7" s="6">
        <f>+AB12/AB5</f>
        <v>2274.1252446183953</v>
      </c>
      <c r="AC7" s="6">
        <f>+AC12/AC5</f>
        <v>2385.3427495291903</v>
      </c>
    </row>
    <row r="8" spans="2:39"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</row>
    <row r="9" spans="2:39">
      <c r="B9" s="6" t="s">
        <v>22</v>
      </c>
      <c r="G9" s="6">
        <v>318677</v>
      </c>
      <c r="H9" s="6">
        <v>272157</v>
      </c>
      <c r="I9" s="6">
        <v>270202</v>
      </c>
      <c r="J9" s="6">
        <f>+AB9-SUM(G9:I9)</f>
        <v>276697</v>
      </c>
      <c r="K9" s="6">
        <v>380612</v>
      </c>
      <c r="L9" s="6">
        <v>288621</v>
      </c>
      <c r="M9" s="6">
        <v>282415</v>
      </c>
      <c r="N9" s="6">
        <f>+AC9-SUM(K9:M9)</f>
        <v>278670</v>
      </c>
      <c r="O9" s="6">
        <v>406893</v>
      </c>
      <c r="P9" s="6">
        <v>293281</v>
      </c>
      <c r="Q9" s="6">
        <v>273133</v>
      </c>
      <c r="AA9" s="6">
        <v>854136</v>
      </c>
      <c r="AB9" s="6">
        <v>1137733</v>
      </c>
      <c r="AC9" s="6">
        <v>1230318</v>
      </c>
    </row>
    <row r="10" spans="2:39">
      <c r="B10" s="6" t="s">
        <v>23</v>
      </c>
      <c r="G10" s="6">
        <v>7598</v>
      </c>
      <c r="H10" s="6">
        <v>4818</v>
      </c>
      <c r="I10" s="6">
        <v>5242</v>
      </c>
      <c r="J10" s="6">
        <f>+AB10-SUM(G10:I10)</f>
        <v>-422</v>
      </c>
      <c r="K10" s="6">
        <v>14938</v>
      </c>
      <c r="L10" s="6">
        <v>5435</v>
      </c>
      <c r="M10" s="6">
        <v>4390</v>
      </c>
      <c r="N10" s="6">
        <f>+AC10-SUM(K10:M10)</f>
        <v>-5457</v>
      </c>
      <c r="O10" s="6">
        <v>11075</v>
      </c>
      <c r="P10" s="6">
        <v>5367</v>
      </c>
      <c r="Q10" s="6">
        <v>4427</v>
      </c>
      <c r="AA10" s="6">
        <v>8853</v>
      </c>
      <c r="AB10" s="6">
        <v>17236</v>
      </c>
      <c r="AC10" s="6">
        <v>19306</v>
      </c>
    </row>
    <row r="11" spans="2:39">
      <c r="B11" s="6" t="s">
        <v>28</v>
      </c>
      <c r="J11" s="6">
        <f>+AB11-SUM(G11:I11)</f>
        <v>7109</v>
      </c>
      <c r="N11" s="6">
        <f>+AC11-SUM(K11:M11)</f>
        <v>16993</v>
      </c>
      <c r="AA11" s="6">
        <v>5726</v>
      </c>
      <c r="AB11" s="6">
        <v>7109</v>
      </c>
      <c r="AC11" s="6">
        <v>16993</v>
      </c>
    </row>
    <row r="12" spans="2:39">
      <c r="B12" s="6" t="s">
        <v>24</v>
      </c>
      <c r="C12" s="6">
        <f t="shared" ref="C12:P12" si="3">SUM(C9:C10)</f>
        <v>0</v>
      </c>
      <c r="D12" s="6">
        <f t="shared" si="3"/>
        <v>0</v>
      </c>
      <c r="E12" s="6">
        <f t="shared" si="3"/>
        <v>0</v>
      </c>
      <c r="F12" s="6">
        <f t="shared" si="3"/>
        <v>0</v>
      </c>
      <c r="G12" s="6">
        <f t="shared" ref="G12" si="4">SUM(G9:G10)</f>
        <v>326275</v>
      </c>
      <c r="H12" s="6">
        <f t="shared" ref="H12" si="5">SUM(H9:H10)</f>
        <v>276975</v>
      </c>
      <c r="I12" s="6">
        <f t="shared" ref="I12" si="6">SUM(I9:I10)</f>
        <v>275444</v>
      </c>
      <c r="J12" s="6">
        <f t="shared" si="3"/>
        <v>276275</v>
      </c>
      <c r="K12" s="6">
        <f t="shared" si="3"/>
        <v>395550</v>
      </c>
      <c r="L12" s="6">
        <f t="shared" si="3"/>
        <v>294056</v>
      </c>
      <c r="M12" s="6">
        <f t="shared" si="3"/>
        <v>286805</v>
      </c>
      <c r="N12" s="6">
        <f t="shared" si="3"/>
        <v>273213</v>
      </c>
      <c r="O12" s="6">
        <f t="shared" si="3"/>
        <v>417968</v>
      </c>
      <c r="P12" s="6">
        <f t="shared" si="3"/>
        <v>298648</v>
      </c>
      <c r="Q12" s="6">
        <f>SUM(Q9:Q10)</f>
        <v>277560</v>
      </c>
      <c r="R12" s="6">
        <f>1300000-SUM(O12:Q12)</f>
        <v>305824</v>
      </c>
      <c r="AA12" s="6">
        <f>SUM(AA9:AA11)</f>
        <v>868715</v>
      </c>
      <c r="AB12" s="6">
        <f>SUM(AB9:AB11)</f>
        <v>1162078</v>
      </c>
      <c r="AC12" s="6">
        <f>SUM(AC9:AC11)</f>
        <v>1266617</v>
      </c>
      <c r="AD12" s="6">
        <f t="shared" ref="AD12:AD25" si="7">SUM(O12:R12)</f>
        <v>1300000</v>
      </c>
      <c r="AE12" s="6">
        <f>+AD12*1.03</f>
        <v>1339000</v>
      </c>
      <c r="AF12" s="6">
        <f t="shared" ref="AF12:AL12" si="8">+AE12*1.03</f>
        <v>1379170</v>
      </c>
      <c r="AG12" s="6">
        <f t="shared" si="8"/>
        <v>1420545.1</v>
      </c>
      <c r="AH12" s="6">
        <f t="shared" si="8"/>
        <v>1463161.4530000002</v>
      </c>
      <c r="AI12" s="6">
        <f t="shared" si="8"/>
        <v>1507056.2965900002</v>
      </c>
      <c r="AJ12" s="6">
        <f t="shared" si="8"/>
        <v>1552267.9854877002</v>
      </c>
      <c r="AK12" s="6">
        <f t="shared" si="8"/>
        <v>1598836.0250523312</v>
      </c>
      <c r="AL12" s="6">
        <f t="shared" si="8"/>
        <v>1646801.1058039011</v>
      </c>
      <c r="AM12" s="6">
        <f t="shared" ref="AM12" si="9">+AL12*1.03</f>
        <v>1696205.1389780182</v>
      </c>
    </row>
    <row r="13" spans="2:39">
      <c r="B13" s="6" t="s">
        <v>25</v>
      </c>
      <c r="G13" s="6">
        <v>69166</v>
      </c>
      <c r="H13" s="6">
        <v>61917</v>
      </c>
      <c r="I13" s="6">
        <v>62671</v>
      </c>
      <c r="J13" s="6">
        <f t="shared" ref="J13:J19" si="10">+AB13-SUM(G13:I13)</f>
        <v>67142</v>
      </c>
      <c r="K13" s="6">
        <v>90941</v>
      </c>
      <c r="L13" s="6">
        <v>72702</v>
      </c>
      <c r="M13" s="6">
        <v>70640</v>
      </c>
      <c r="N13" s="6">
        <f t="shared" ref="N13:N19" si="11">+AC13-SUM(K13:M13)</f>
        <v>72226</v>
      </c>
      <c r="O13" s="6">
        <v>99670</v>
      </c>
      <c r="P13" s="6">
        <v>71372</v>
      </c>
      <c r="Q13" s="6">
        <v>65128</v>
      </c>
      <c r="R13" s="6">
        <f>+R$12*(N13/N$12)</f>
        <v>80846.973694516739</v>
      </c>
      <c r="AA13" s="6">
        <v>198487</v>
      </c>
      <c r="AB13" s="6">
        <v>260896</v>
      </c>
      <c r="AC13" s="6">
        <v>306509</v>
      </c>
      <c r="AD13" s="6">
        <f t="shared" si="7"/>
        <v>317016.97369451675</v>
      </c>
      <c r="AE13" s="6">
        <f>+AE12*AE42</f>
        <v>323849.48290535226</v>
      </c>
      <c r="AF13" s="6">
        <f t="shared" ref="AF13:AM13" si="12">+AF12*AF42</f>
        <v>331000.8</v>
      </c>
      <c r="AG13" s="6">
        <f t="shared" si="12"/>
        <v>338089.73379999999</v>
      </c>
      <c r="AH13" s="6">
        <f t="shared" si="12"/>
        <v>345306.10290800006</v>
      </c>
      <c r="AI13" s="6">
        <f t="shared" si="12"/>
        <v>352651.17340206</v>
      </c>
      <c r="AJ13" s="6">
        <f t="shared" si="12"/>
        <v>360126.1726331464</v>
      </c>
      <c r="AK13" s="6">
        <f t="shared" si="12"/>
        <v>367732.28576203616</v>
      </c>
      <c r="AL13" s="6">
        <f t="shared" si="12"/>
        <v>375470.65212328942</v>
      </c>
      <c r="AM13" s="6">
        <f t="shared" si="12"/>
        <v>383342.36140903208</v>
      </c>
    </row>
    <row r="14" spans="2:39">
      <c r="B14" s="6" t="s">
        <v>26</v>
      </c>
      <c r="G14" s="6">
        <v>111659</v>
      </c>
      <c r="H14" s="6">
        <v>98949</v>
      </c>
      <c r="I14" s="6">
        <v>99725</v>
      </c>
      <c r="J14" s="6">
        <f t="shared" si="10"/>
        <v>99568</v>
      </c>
      <c r="K14" s="6">
        <v>138108</v>
      </c>
      <c r="L14" s="6">
        <v>101643</v>
      </c>
      <c r="M14" s="6">
        <v>100522</v>
      </c>
      <c r="N14" s="6">
        <f t="shared" si="11"/>
        <v>100291</v>
      </c>
      <c r="O14" s="6">
        <v>145421</v>
      </c>
      <c r="P14" s="6">
        <v>109678</v>
      </c>
      <c r="Q14" s="6">
        <v>103741</v>
      </c>
      <c r="R14" s="6">
        <f>+R$12*(N14/N$12)</f>
        <v>112261.8425331152</v>
      </c>
      <c r="AA14" s="6">
        <v>332827</v>
      </c>
      <c r="AB14" s="6">
        <v>409901</v>
      </c>
      <c r="AC14" s="6">
        <v>440564</v>
      </c>
      <c r="AD14" s="6">
        <f t="shared" si="7"/>
        <v>471101.84253311518</v>
      </c>
      <c r="AE14" s="6">
        <f>+AE12*AE43</f>
        <v>468649.99999999994</v>
      </c>
      <c r="AF14" s="6">
        <f t="shared" ref="AF14:AL14" si="13">+AF12*AF43</f>
        <v>468917.80000000005</v>
      </c>
      <c r="AG14" s="6">
        <f t="shared" si="13"/>
        <v>468779.88300000003</v>
      </c>
      <c r="AH14" s="6">
        <f t="shared" si="13"/>
        <v>468211.66496000008</v>
      </c>
      <c r="AI14" s="6">
        <f t="shared" si="13"/>
        <v>467187.45194290002</v>
      </c>
      <c r="AJ14" s="6">
        <f t="shared" si="13"/>
        <v>481203.07550118706</v>
      </c>
      <c r="AK14" s="6">
        <f t="shared" si="13"/>
        <v>479650.8075156993</v>
      </c>
      <c r="AL14" s="6">
        <f t="shared" si="13"/>
        <v>494040.33174117032</v>
      </c>
      <c r="AM14" s="6">
        <f t="shared" ref="AM14" si="14">+AM12*AM43</f>
        <v>508861.54169340542</v>
      </c>
    </row>
    <row r="15" spans="2:39">
      <c r="B15" s="6" t="s">
        <v>28</v>
      </c>
      <c r="G15" s="6">
        <v>57712</v>
      </c>
      <c r="H15" s="6">
        <v>46928</v>
      </c>
      <c r="I15" s="6">
        <v>51462</v>
      </c>
      <c r="J15" s="6">
        <f t="shared" si="10"/>
        <v>51727</v>
      </c>
      <c r="K15" s="6">
        <v>67864</v>
      </c>
      <c r="L15" s="6">
        <v>52003</v>
      </c>
      <c r="M15" s="6">
        <v>52858</v>
      </c>
      <c r="N15" s="6">
        <f t="shared" si="11"/>
        <v>51979</v>
      </c>
      <c r="O15" s="6">
        <v>72050</v>
      </c>
      <c r="P15" s="6">
        <v>51842</v>
      </c>
      <c r="Q15" s="6">
        <v>50351</v>
      </c>
      <c r="R15" s="6">
        <f>+R$12*(Q15/Q$12)</f>
        <v>55478.254157659612</v>
      </c>
      <c r="AA15" s="6">
        <v>164468</v>
      </c>
      <c r="AB15" s="6">
        <v>207829</v>
      </c>
      <c r="AC15" s="6">
        <v>224704</v>
      </c>
      <c r="AD15" s="6">
        <f t="shared" si="7"/>
        <v>229721.2541576596</v>
      </c>
      <c r="AE15" s="6">
        <f t="shared" ref="AE15:AL15" si="15">+AE$12*(AD15/AD$12)</f>
        <v>236612.8917823894</v>
      </c>
      <c r="AF15" s="6">
        <f t="shared" si="15"/>
        <v>243711.27853586109</v>
      </c>
      <c r="AG15" s="6">
        <f t="shared" si="15"/>
        <v>251022.61689193692</v>
      </c>
      <c r="AH15" s="6">
        <f t="shared" si="15"/>
        <v>258553.29539869505</v>
      </c>
      <c r="AI15" s="6">
        <f t="shared" si="15"/>
        <v>266309.89426065591</v>
      </c>
      <c r="AJ15" s="6">
        <f t="shared" si="15"/>
        <v>274299.19108847564</v>
      </c>
      <c r="AK15" s="6">
        <f t="shared" si="15"/>
        <v>282528.16682112985</v>
      </c>
      <c r="AL15" s="6">
        <f t="shared" si="15"/>
        <v>291004.0118257638</v>
      </c>
      <c r="AM15" s="6">
        <f t="shared" ref="AM15" si="16">+AM$12*(AL15/AL$12)</f>
        <v>299734.13218053669</v>
      </c>
    </row>
    <row r="16" spans="2:39">
      <c r="B16" s="6" t="s">
        <v>27</v>
      </c>
      <c r="G16" s="6">
        <v>30100</v>
      </c>
      <c r="H16" s="6">
        <v>21614</v>
      </c>
      <c r="I16" s="6">
        <v>22519</v>
      </c>
      <c r="J16" s="6">
        <f t="shared" si="10"/>
        <v>22251</v>
      </c>
      <c r="K16" s="6">
        <v>30599</v>
      </c>
      <c r="L16" s="6">
        <v>22980</v>
      </c>
      <c r="M16" s="6">
        <v>22828</v>
      </c>
      <c r="N16" s="6">
        <f t="shared" si="11"/>
        <v>22461</v>
      </c>
      <c r="O16" s="6">
        <v>29801</v>
      </c>
      <c r="P16" s="6">
        <v>23482</v>
      </c>
      <c r="Q16" s="6">
        <v>23523</v>
      </c>
      <c r="R16" s="6">
        <f>+R$12*(N16/N$12)</f>
        <v>25141.969320639939</v>
      </c>
      <c r="AA16" s="6">
        <v>99521</v>
      </c>
      <c r="AB16" s="6">
        <v>96484</v>
      </c>
      <c r="AC16" s="6">
        <v>98868</v>
      </c>
      <c r="AD16" s="6">
        <f t="shared" si="7"/>
        <v>101947.96932063994</v>
      </c>
      <c r="AE16" s="6">
        <f t="shared" ref="AE16:AL16" si="17">+AE$12*(AD16/AD$12)</f>
        <v>105006.40840025914</v>
      </c>
      <c r="AF16" s="6">
        <f t="shared" si="17"/>
        <v>108156.6006522669</v>
      </c>
      <c r="AG16" s="6">
        <f t="shared" si="17"/>
        <v>111401.29867183493</v>
      </c>
      <c r="AH16" s="6">
        <f t="shared" si="17"/>
        <v>114743.33763198998</v>
      </c>
      <c r="AI16" s="6">
        <f t="shared" si="17"/>
        <v>118185.63776094967</v>
      </c>
      <c r="AJ16" s="6">
        <f t="shared" si="17"/>
        <v>121731.20689377817</v>
      </c>
      <c r="AK16" s="6">
        <f t="shared" si="17"/>
        <v>125383.14310059151</v>
      </c>
      <c r="AL16" s="6">
        <f t="shared" si="17"/>
        <v>129144.63739360926</v>
      </c>
      <c r="AM16" s="6">
        <f t="shared" ref="AM16" si="18">+AM$12*(AL16/AL$12)</f>
        <v>133018.97651541754</v>
      </c>
    </row>
    <row r="17" spans="2:109">
      <c r="B17" s="6" t="s">
        <v>29</v>
      </c>
      <c r="G17" s="6">
        <v>25888</v>
      </c>
      <c r="H17" s="6">
        <v>19215</v>
      </c>
      <c r="I17" s="6">
        <v>18881</v>
      </c>
      <c r="J17" s="6">
        <f t="shared" si="10"/>
        <v>19454</v>
      </c>
      <c r="K17" s="6">
        <v>23919</v>
      </c>
      <c r="L17" s="6">
        <v>17637</v>
      </c>
      <c r="M17" s="6">
        <v>17368</v>
      </c>
      <c r="N17" s="6">
        <f t="shared" si="11"/>
        <v>17321</v>
      </c>
      <c r="O17" s="6">
        <v>21825</v>
      </c>
      <c r="P17" s="6">
        <v>15756</v>
      </c>
      <c r="Q17" s="6">
        <v>14672</v>
      </c>
      <c r="R17" s="6">
        <f>+R$12*(N17/N$12)</f>
        <v>19388.453345924241</v>
      </c>
      <c r="AA17" s="6">
        <v>87557</v>
      </c>
      <c r="AB17" s="6">
        <v>83438</v>
      </c>
      <c r="AC17" s="6">
        <v>76245</v>
      </c>
      <c r="AD17" s="6">
        <f t="shared" si="7"/>
        <v>71641.453345924238</v>
      </c>
      <c r="AE17" s="6">
        <f t="shared" ref="AE17:AL17" si="19">+AE$12*(AD17/AD$12)</f>
        <v>73790.696946301963</v>
      </c>
      <c r="AF17" s="6">
        <f t="shared" si="19"/>
        <v>76004.417854691012</v>
      </c>
      <c r="AG17" s="6">
        <f t="shared" si="19"/>
        <v>78284.550390331744</v>
      </c>
      <c r="AH17" s="6">
        <f t="shared" si="19"/>
        <v>80633.086902041701</v>
      </c>
      <c r="AI17" s="6">
        <f t="shared" si="19"/>
        <v>83052.079509102958</v>
      </c>
      <c r="AJ17" s="6">
        <f t="shared" si="19"/>
        <v>85543.641894376051</v>
      </c>
      <c r="AK17" s="6">
        <f t="shared" si="19"/>
        <v>88109.951151207337</v>
      </c>
      <c r="AL17" s="6">
        <f t="shared" si="19"/>
        <v>90753.249685743562</v>
      </c>
      <c r="AM17" s="6">
        <f t="shared" ref="AM17" si="20">+AM$12*(AL17/AL$12)</f>
        <v>93475.847176315874</v>
      </c>
    </row>
    <row r="18" spans="2:109">
      <c r="B18" s="6" t="s">
        <v>30</v>
      </c>
      <c r="G18" s="6">
        <v>30610</v>
      </c>
      <c r="H18" s="6">
        <v>28346</v>
      </c>
      <c r="I18" s="6">
        <v>30343</v>
      </c>
      <c r="J18" s="6">
        <f t="shared" si="10"/>
        <v>33444</v>
      </c>
      <c r="K18" s="6">
        <v>34380</v>
      </c>
      <c r="L18" s="6">
        <v>32095</v>
      </c>
      <c r="M18" s="6">
        <v>35692</v>
      </c>
      <c r="N18" s="6">
        <f t="shared" si="11"/>
        <v>34445</v>
      </c>
      <c r="O18" s="6">
        <v>34523</v>
      </c>
      <c r="P18" s="6">
        <v>26864</v>
      </c>
      <c r="Q18" s="6">
        <v>27961</v>
      </c>
      <c r="R18" s="6">
        <f>+N18*1.05</f>
        <v>36167.25</v>
      </c>
      <c r="AA18" s="6">
        <v>106822</v>
      </c>
      <c r="AB18" s="6">
        <v>122743</v>
      </c>
      <c r="AC18" s="6">
        <v>136612</v>
      </c>
      <c r="AD18" s="6">
        <f t="shared" si="7"/>
        <v>125515.25</v>
      </c>
      <c r="AE18" s="6">
        <f t="shared" ref="AE18:AL18" si="21">+AE$12*(AD18/AD$12)</f>
        <v>129280.7075</v>
      </c>
      <c r="AF18" s="6">
        <f t="shared" si="21"/>
        <v>133159.12872499999</v>
      </c>
      <c r="AG18" s="6">
        <f t="shared" si="21"/>
        <v>137153.90258674999</v>
      </c>
      <c r="AH18" s="6">
        <f t="shared" si="21"/>
        <v>141268.5196643525</v>
      </c>
      <c r="AI18" s="6">
        <f t="shared" si="21"/>
        <v>145506.57525428306</v>
      </c>
      <c r="AJ18" s="6">
        <f t="shared" si="21"/>
        <v>149871.77251191155</v>
      </c>
      <c r="AK18" s="6">
        <f t="shared" si="21"/>
        <v>154367.9256872689</v>
      </c>
      <c r="AL18" s="6">
        <f t="shared" si="21"/>
        <v>158998.96345788697</v>
      </c>
      <c r="AM18" s="6">
        <f t="shared" ref="AM18" si="22">+AM$12*(AL18/AL$12)</f>
        <v>163768.93236162359</v>
      </c>
    </row>
    <row r="19" spans="2:109">
      <c r="B19" s="6" t="s">
        <v>28</v>
      </c>
      <c r="G19" s="6">
        <v>5471</v>
      </c>
      <c r="H19" s="6">
        <v>2196</v>
      </c>
      <c r="I19" s="6">
        <v>418</v>
      </c>
      <c r="J19" s="6">
        <f t="shared" si="10"/>
        <v>7989</v>
      </c>
      <c r="K19" s="6">
        <v>5307</v>
      </c>
      <c r="L19" s="6">
        <v>8146</v>
      </c>
      <c r="M19" s="6">
        <v>-5217</v>
      </c>
      <c r="N19" s="6">
        <f t="shared" si="11"/>
        <v>30725</v>
      </c>
      <c r="O19" s="6">
        <v>9759</v>
      </c>
      <c r="P19" s="6">
        <v>-10607</v>
      </c>
      <c r="Q19" s="6">
        <v>-5878</v>
      </c>
      <c r="R19" s="6">
        <f>+R$12*(N19/N$12)</f>
        <v>34392.369323568062</v>
      </c>
      <c r="AA19" s="6">
        <v>153883</v>
      </c>
      <c r="AB19" s="6">
        <v>16074</v>
      </c>
      <c r="AC19" s="6">
        <v>38961</v>
      </c>
      <c r="AD19" s="6">
        <f t="shared" si="7"/>
        <v>27666.369323568062</v>
      </c>
      <c r="AE19" s="6">
        <f t="shared" ref="AE19:AL19" si="23">+AE$12*(AD19/AD$12)</f>
        <v>28496.360403275103</v>
      </c>
      <c r="AF19" s="6">
        <f t="shared" si="23"/>
        <v>29351.251215373359</v>
      </c>
      <c r="AG19" s="6">
        <f t="shared" si="23"/>
        <v>30231.78875183456</v>
      </c>
      <c r="AH19" s="6">
        <f t="shared" si="23"/>
        <v>31138.742414389599</v>
      </c>
      <c r="AI19" s="6">
        <f t="shared" si="23"/>
        <v>32072.904686821286</v>
      </c>
      <c r="AJ19" s="6">
        <f t="shared" si="23"/>
        <v>33035.091827425924</v>
      </c>
      <c r="AK19" s="6">
        <f t="shared" si="23"/>
        <v>34026.1445822487</v>
      </c>
      <c r="AL19" s="6">
        <f t="shared" si="23"/>
        <v>35046.928919716163</v>
      </c>
      <c r="AM19" s="6">
        <f t="shared" ref="AM19" si="24">+AM$12*(AL19/AL$12)</f>
        <v>36098.33678730765</v>
      </c>
    </row>
    <row r="20" spans="2:109">
      <c r="B20" s="6" t="s">
        <v>31</v>
      </c>
      <c r="C20" s="6">
        <f t="shared" ref="C20:R20" si="25">+SUM(C13:C19)</f>
        <v>0</v>
      </c>
      <c r="D20" s="6">
        <f t="shared" si="25"/>
        <v>0</v>
      </c>
      <c r="E20" s="6">
        <f t="shared" si="25"/>
        <v>0</v>
      </c>
      <c r="F20" s="6">
        <f t="shared" si="25"/>
        <v>0</v>
      </c>
      <c r="G20" s="6">
        <f t="shared" si="25"/>
        <v>330606</v>
      </c>
      <c r="H20" s="6">
        <f t="shared" si="25"/>
        <v>279165</v>
      </c>
      <c r="I20" s="6">
        <f t="shared" si="25"/>
        <v>286019</v>
      </c>
      <c r="J20" s="6">
        <f t="shared" si="25"/>
        <v>301575</v>
      </c>
      <c r="K20" s="6">
        <f t="shared" si="25"/>
        <v>391118</v>
      </c>
      <c r="L20" s="6">
        <f t="shared" si="25"/>
        <v>307206</v>
      </c>
      <c r="M20" s="6">
        <f t="shared" si="25"/>
        <v>294691</v>
      </c>
      <c r="N20" s="6">
        <f t="shared" si="25"/>
        <v>329448</v>
      </c>
      <c r="O20" s="6">
        <f t="shared" si="25"/>
        <v>413049</v>
      </c>
      <c r="P20" s="6">
        <f t="shared" si="25"/>
        <v>288387</v>
      </c>
      <c r="Q20" s="6">
        <f t="shared" si="25"/>
        <v>279498</v>
      </c>
      <c r="R20" s="6">
        <f t="shared" si="25"/>
        <v>363677.11237542378</v>
      </c>
      <c r="AA20" s="6">
        <f>+SUM(AA13:AA19)</f>
        <v>1143565</v>
      </c>
      <c r="AB20" s="6">
        <f>+SUM(AB13:AB19)</f>
        <v>1197365</v>
      </c>
      <c r="AC20" s="6">
        <f>+SUM(AC13:AC19)</f>
        <v>1322463</v>
      </c>
      <c r="AD20" s="6">
        <f t="shared" si="7"/>
        <v>1344611.1123754238</v>
      </c>
      <c r="AE20" s="6">
        <f>+SUM(AE13:AE19)</f>
        <v>1365686.5479375778</v>
      </c>
      <c r="AF20" s="6">
        <f t="shared" ref="AF20:AM20" si="26">+SUM(AF13:AF19)</f>
        <v>1390301.2769831924</v>
      </c>
      <c r="AG20" s="6">
        <f t="shared" si="26"/>
        <v>1414963.774092688</v>
      </c>
      <c r="AH20" s="6">
        <f t="shared" si="26"/>
        <v>1439854.7498794687</v>
      </c>
      <c r="AI20" s="6">
        <f t="shared" si="26"/>
        <v>1464965.7168167729</v>
      </c>
      <c r="AJ20" s="6">
        <f t="shared" si="26"/>
        <v>1505810.1523503007</v>
      </c>
      <c r="AK20" s="6">
        <f t="shared" si="26"/>
        <v>1531798.4246201818</v>
      </c>
      <c r="AL20" s="6">
        <f t="shared" si="26"/>
        <v>1574458.7751471796</v>
      </c>
      <c r="AM20" s="6">
        <f t="shared" si="26"/>
        <v>1618300.1281236387</v>
      </c>
    </row>
    <row r="21" spans="2:109">
      <c r="B21" s="6" t="s">
        <v>32</v>
      </c>
      <c r="C21" s="6">
        <f t="shared" ref="C21:R21" si="27">+C12-C20</f>
        <v>0</v>
      </c>
      <c r="D21" s="6">
        <f t="shared" si="27"/>
        <v>0</v>
      </c>
      <c r="E21" s="6">
        <f t="shared" si="27"/>
        <v>0</v>
      </c>
      <c r="F21" s="6">
        <f t="shared" si="27"/>
        <v>0</v>
      </c>
      <c r="G21" s="6">
        <f t="shared" si="27"/>
        <v>-4331</v>
      </c>
      <c r="H21" s="6">
        <f t="shared" si="27"/>
        <v>-2190</v>
      </c>
      <c r="I21" s="6">
        <f t="shared" si="27"/>
        <v>-10575</v>
      </c>
      <c r="J21" s="6">
        <f t="shared" si="27"/>
        <v>-25300</v>
      </c>
      <c r="K21" s="6">
        <f t="shared" si="27"/>
        <v>4432</v>
      </c>
      <c r="L21" s="6">
        <f t="shared" si="27"/>
        <v>-13150</v>
      </c>
      <c r="M21" s="6">
        <f t="shared" si="27"/>
        <v>-7886</v>
      </c>
      <c r="N21" s="6">
        <f t="shared" si="27"/>
        <v>-56235</v>
      </c>
      <c r="O21" s="6">
        <f t="shared" si="27"/>
        <v>4919</v>
      </c>
      <c r="P21" s="6">
        <f t="shared" si="27"/>
        <v>10261</v>
      </c>
      <c r="Q21" s="6">
        <f t="shared" si="27"/>
        <v>-1938</v>
      </c>
      <c r="R21" s="6">
        <f t="shared" si="27"/>
        <v>-57853.112375423778</v>
      </c>
      <c r="AA21" s="6">
        <f>+AA12-AA20</f>
        <v>-274850</v>
      </c>
      <c r="AB21" s="6">
        <f>+AB12-AB20</f>
        <v>-35287</v>
      </c>
      <c r="AC21" s="6">
        <f>+AC12-AC20</f>
        <v>-55846</v>
      </c>
      <c r="AD21" s="6">
        <f t="shared" si="7"/>
        <v>-44611.112375423778</v>
      </c>
      <c r="AE21" s="6">
        <f>+AE12-AE20</f>
        <v>-26686.547937577823</v>
      </c>
      <c r="AF21" s="6">
        <f t="shared" ref="AF21:AM21" si="28">+AF12-AF20</f>
        <v>-11131.276983192423</v>
      </c>
      <c r="AG21" s="6">
        <f t="shared" si="28"/>
        <v>5581.3259073121008</v>
      </c>
      <c r="AH21" s="6">
        <f t="shared" si="28"/>
        <v>23306.703120531514</v>
      </c>
      <c r="AI21" s="6">
        <f t="shared" si="28"/>
        <v>42090.579773227219</v>
      </c>
      <c r="AJ21" s="6">
        <f t="shared" si="28"/>
        <v>46457.833137399517</v>
      </c>
      <c r="AK21" s="6">
        <f t="shared" si="28"/>
        <v>67037.600432149367</v>
      </c>
      <c r="AL21" s="6">
        <f t="shared" si="28"/>
        <v>72342.33065672149</v>
      </c>
      <c r="AM21" s="6">
        <f t="shared" si="28"/>
        <v>77905.010854379507</v>
      </c>
    </row>
    <row r="22" spans="2:109">
      <c r="B22" s="6" t="s">
        <v>33</v>
      </c>
      <c r="G22" s="6">
        <v>4330</v>
      </c>
      <c r="H22" s="6">
        <v>2786</v>
      </c>
      <c r="I22" s="6">
        <v>2870</v>
      </c>
      <c r="J22" s="6">
        <f>+AB22-SUM(G22:I22)</f>
        <v>4190</v>
      </c>
      <c r="K22" s="6">
        <v>7413</v>
      </c>
      <c r="L22" s="6">
        <v>4147</v>
      </c>
      <c r="M22" s="6">
        <v>4590</v>
      </c>
      <c r="N22" s="6">
        <f>+AC22-SUM(K22:M22)</f>
        <v>4493</v>
      </c>
      <c r="O22" s="6">
        <v>7417</v>
      </c>
      <c r="P22" s="6">
        <v>6179</v>
      </c>
      <c r="Q22" s="6">
        <v>5945</v>
      </c>
      <c r="R22" s="6">
        <f>+Q22</f>
        <v>5945</v>
      </c>
      <c r="AA22" s="6">
        <v>10163</v>
      </c>
      <c r="AB22" s="6">
        <v>14176</v>
      </c>
      <c r="AC22" s="6">
        <v>20643</v>
      </c>
      <c r="AD22" s="6">
        <f t="shared" si="7"/>
        <v>25486</v>
      </c>
      <c r="AE22" s="6">
        <f>+AD22</f>
        <v>25486</v>
      </c>
      <c r="AF22" s="6">
        <f t="shared" ref="AF22:AL22" si="29">+AE22</f>
        <v>25486</v>
      </c>
      <c r="AG22" s="6">
        <f t="shared" si="29"/>
        <v>25486</v>
      </c>
      <c r="AH22" s="6">
        <f t="shared" si="29"/>
        <v>25486</v>
      </c>
      <c r="AI22" s="6">
        <f t="shared" si="29"/>
        <v>25486</v>
      </c>
      <c r="AJ22" s="6">
        <f t="shared" si="29"/>
        <v>25486</v>
      </c>
      <c r="AK22" s="6">
        <f t="shared" si="29"/>
        <v>25486</v>
      </c>
      <c r="AL22" s="6">
        <f t="shared" si="29"/>
        <v>25486</v>
      </c>
      <c r="AM22" s="6">
        <f t="shared" ref="AM22" si="30">+AL22</f>
        <v>25486</v>
      </c>
    </row>
    <row r="23" spans="2:109">
      <c r="B23" s="6" t="s">
        <v>34</v>
      </c>
      <c r="G23" s="6">
        <f t="shared" ref="G23" si="31">+G21-G22</f>
        <v>-8661</v>
      </c>
      <c r="H23" s="6">
        <f t="shared" ref="H23" si="32">+H21-H22</f>
        <v>-4976</v>
      </c>
      <c r="I23" s="6">
        <f t="shared" ref="I23" si="33">+I21-I22</f>
        <v>-13445</v>
      </c>
      <c r="J23" s="6">
        <f>+AB23-SUM(G23:I23)</f>
        <v>-22381</v>
      </c>
      <c r="K23" s="6">
        <f t="shared" ref="K23:R23" si="34">+K21-K22</f>
        <v>-2981</v>
      </c>
      <c r="L23" s="6">
        <f t="shared" si="34"/>
        <v>-17297</v>
      </c>
      <c r="M23" s="6">
        <f t="shared" si="34"/>
        <v>-12476</v>
      </c>
      <c r="N23" s="6">
        <f t="shared" si="34"/>
        <v>-60728</v>
      </c>
      <c r="O23" s="6">
        <f t="shared" si="34"/>
        <v>-2498</v>
      </c>
      <c r="P23" s="6">
        <f t="shared" si="34"/>
        <v>4082</v>
      </c>
      <c r="Q23" s="6">
        <f t="shared" si="34"/>
        <v>-7883</v>
      </c>
      <c r="R23" s="6">
        <f t="shared" si="34"/>
        <v>-63798.112375423778</v>
      </c>
      <c r="AA23" s="6">
        <f>+AA21-AA22</f>
        <v>-285013</v>
      </c>
      <c r="AB23" s="6">
        <f>+AB21-AB22</f>
        <v>-49463</v>
      </c>
      <c r="AC23" s="6">
        <f>+AC21-AC22</f>
        <v>-76489</v>
      </c>
      <c r="AD23" s="6">
        <f t="shared" si="7"/>
        <v>-70097.112375423778</v>
      </c>
      <c r="AE23" s="6">
        <f>+AE21-AE22</f>
        <v>-52172.547937577823</v>
      </c>
      <c r="AF23" s="6">
        <f t="shared" ref="AF23:AM23" si="35">+AF21-AF22</f>
        <v>-36617.276983192423</v>
      </c>
      <c r="AG23" s="6">
        <f t="shared" si="35"/>
        <v>-19904.674092687899</v>
      </c>
      <c r="AH23" s="6">
        <f t="shared" si="35"/>
        <v>-2179.2968794684857</v>
      </c>
      <c r="AI23" s="6">
        <f t="shared" si="35"/>
        <v>16604.579773227219</v>
      </c>
      <c r="AJ23" s="6">
        <f t="shared" si="35"/>
        <v>20971.833137399517</v>
      </c>
      <c r="AK23" s="6">
        <f t="shared" si="35"/>
        <v>41551.600432149367</v>
      </c>
      <c r="AL23" s="6">
        <f t="shared" si="35"/>
        <v>46856.33065672149</v>
      </c>
      <c r="AM23" s="6">
        <f t="shared" si="35"/>
        <v>52419.010854379507</v>
      </c>
    </row>
    <row r="24" spans="2:109">
      <c r="B24" s="6" t="s">
        <v>35</v>
      </c>
      <c r="G24" s="6">
        <v>52</v>
      </c>
      <c r="H24" s="6">
        <v>-354</v>
      </c>
      <c r="I24" s="6">
        <v>-26</v>
      </c>
      <c r="J24" s="6">
        <f>+AB24-SUM(G24:I24)</f>
        <v>176</v>
      </c>
      <c r="K24" s="6">
        <v>62</v>
      </c>
      <c r="L24" s="6">
        <v>434</v>
      </c>
      <c r="M24" s="6">
        <v>-43</v>
      </c>
      <c r="N24" s="6">
        <f>+AC24-SUM(K24:M24)</f>
        <v>294</v>
      </c>
      <c r="O24" s="6">
        <v>20</v>
      </c>
      <c r="P24" s="6">
        <v>156</v>
      </c>
      <c r="Q24" s="6">
        <v>278</v>
      </c>
      <c r="R24" s="6">
        <f>+R23*(Q24/Q23)</f>
        <v>2249.889032141039</v>
      </c>
      <c r="AA24" s="6">
        <v>-7484</v>
      </c>
      <c r="AB24" s="6">
        <v>-152</v>
      </c>
      <c r="AC24" s="6">
        <v>747</v>
      </c>
      <c r="AD24" s="6">
        <f t="shared" si="7"/>
        <v>2703.889032141039</v>
      </c>
      <c r="AE24" s="6">
        <f>+AE23*(AD24/AD23)</f>
        <v>2012.476339848891</v>
      </c>
      <c r="AF24" s="6">
        <f t="shared" ref="AF24:AM24" si="36">+AF23*(AE24/AE23)</f>
        <v>1412.4555244366575</v>
      </c>
      <c r="AG24" s="6">
        <f t="shared" si="36"/>
        <v>767.79239748583609</v>
      </c>
      <c r="AH24" s="6">
        <f t="shared" si="36"/>
        <v>84.063048112663509</v>
      </c>
      <c r="AI24" s="6">
        <f t="shared" si="36"/>
        <v>-640.49630021394421</v>
      </c>
      <c r="AJ24" s="6">
        <f t="shared" si="36"/>
        <v>-808.95642748313321</v>
      </c>
      <c r="AK24" s="6">
        <f t="shared" si="36"/>
        <v>-1602.7895139912503</v>
      </c>
      <c r="AL24" s="6">
        <f t="shared" si="36"/>
        <v>-1807.4113790955889</v>
      </c>
      <c r="AM24" s="6">
        <f t="shared" si="36"/>
        <v>-2021.9832703769339</v>
      </c>
    </row>
    <row r="25" spans="2:109" s="9" customFormat="1">
      <c r="B25" s="9" t="s">
        <v>36</v>
      </c>
      <c r="G25" s="9">
        <f t="shared" ref="G25" si="37">+G23-G24</f>
        <v>-8713</v>
      </c>
      <c r="H25" s="9">
        <f t="shared" ref="H25" si="38">+H23-H24</f>
        <v>-4622</v>
      </c>
      <c r="I25" s="9">
        <f t="shared" ref="I25" si="39">+I23-I24</f>
        <v>-13419</v>
      </c>
      <c r="J25" s="6">
        <f>+AB25-SUM(G25:I25)</f>
        <v>-22557</v>
      </c>
      <c r="K25" s="9">
        <f t="shared" ref="K25:Q25" si="40">+K23-K24</f>
        <v>-3043</v>
      </c>
      <c r="L25" s="9">
        <f t="shared" si="40"/>
        <v>-17731</v>
      </c>
      <c r="M25" s="9">
        <f t="shared" si="40"/>
        <v>-12433</v>
      </c>
      <c r="N25" s="9">
        <f t="shared" si="40"/>
        <v>-61022</v>
      </c>
      <c r="O25" s="9">
        <f t="shared" si="40"/>
        <v>-2518</v>
      </c>
      <c r="P25" s="9">
        <f t="shared" si="40"/>
        <v>3926</v>
      </c>
      <c r="Q25" s="9">
        <f t="shared" si="40"/>
        <v>-8161</v>
      </c>
      <c r="R25" s="6">
        <f>+R24*(Q25/Q24)</f>
        <v>-66048.001407564821</v>
      </c>
      <c r="AA25" s="9">
        <f>+AA23-AA24</f>
        <v>-277529</v>
      </c>
      <c r="AB25" s="9">
        <f>+AB23-AB24</f>
        <v>-49311</v>
      </c>
      <c r="AC25" s="9">
        <f>+AC23-AC24</f>
        <v>-77236</v>
      </c>
      <c r="AD25" s="6">
        <f t="shared" si="7"/>
        <v>-72801.001407564821</v>
      </c>
      <c r="AE25" s="9">
        <f>+AE23-AE24</f>
        <v>-54185.024277426717</v>
      </c>
      <c r="AF25" s="9">
        <f t="shared" ref="AF25:AM25" si="41">+AF23-AF24</f>
        <v>-38029.73250762908</v>
      </c>
      <c r="AG25" s="9">
        <f t="shared" si="41"/>
        <v>-20672.466490173734</v>
      </c>
      <c r="AH25" s="9">
        <f t="shared" si="41"/>
        <v>-2263.3599275811493</v>
      </c>
      <c r="AI25" s="9">
        <f t="shared" si="41"/>
        <v>17245.076073441163</v>
      </c>
      <c r="AJ25" s="9">
        <f t="shared" si="41"/>
        <v>21780.789564882649</v>
      </c>
      <c r="AK25" s="9">
        <f t="shared" si="41"/>
        <v>43154.389946140618</v>
      </c>
      <c r="AL25" s="9">
        <f t="shared" si="41"/>
        <v>48663.742035817078</v>
      </c>
      <c r="AM25" s="9">
        <f t="shared" si="41"/>
        <v>54440.994124756442</v>
      </c>
      <c r="AN25" s="9">
        <f>+AM25*(1+$AP$29)</f>
        <v>54985.404066004005</v>
      </c>
      <c r="AO25" s="9">
        <f t="shared" ref="AO25:CZ25" si="42">+AN25*(1+$AP$29)</f>
        <v>55535.258106664049</v>
      </c>
      <c r="AP25" s="9">
        <f t="shared" si="42"/>
        <v>56090.610687730688</v>
      </c>
      <c r="AQ25" s="9">
        <f t="shared" si="42"/>
        <v>56651.516794607996</v>
      </c>
      <c r="AR25" s="9">
        <f t="shared" si="42"/>
        <v>57218.03196255408</v>
      </c>
      <c r="AS25" s="9">
        <f t="shared" si="42"/>
        <v>57790.212282179622</v>
      </c>
      <c r="AT25" s="9">
        <f t="shared" si="42"/>
        <v>58368.114405001419</v>
      </c>
      <c r="AU25" s="9">
        <f t="shared" si="42"/>
        <v>58951.795549051436</v>
      </c>
      <c r="AV25" s="9">
        <f t="shared" si="42"/>
        <v>59541.313504541948</v>
      </c>
      <c r="AW25" s="9">
        <f t="shared" si="42"/>
        <v>60136.726639587367</v>
      </c>
      <c r="AX25" s="9">
        <f t="shared" si="42"/>
        <v>60738.093905983238</v>
      </c>
      <c r="AY25" s="9">
        <f t="shared" si="42"/>
        <v>61345.474845043071</v>
      </c>
      <c r="AZ25" s="9">
        <f t="shared" si="42"/>
        <v>61958.9295934935</v>
      </c>
      <c r="BA25" s="9">
        <f t="shared" si="42"/>
        <v>62578.518889428437</v>
      </c>
      <c r="BB25" s="9">
        <f t="shared" si="42"/>
        <v>63204.304078322719</v>
      </c>
      <c r="BC25" s="9">
        <f t="shared" si="42"/>
        <v>63836.347119105943</v>
      </c>
      <c r="BD25" s="9">
        <f t="shared" si="42"/>
        <v>64474.710590297007</v>
      </c>
      <c r="BE25" s="9">
        <f t="shared" si="42"/>
        <v>65119.457696199977</v>
      </c>
      <c r="BF25" s="9">
        <f t="shared" si="42"/>
        <v>65770.652273161977</v>
      </c>
      <c r="BG25" s="9">
        <f t="shared" si="42"/>
        <v>66428.358795893597</v>
      </c>
      <c r="BH25" s="9">
        <f t="shared" si="42"/>
        <v>67092.642383852537</v>
      </c>
      <c r="BI25" s="9">
        <f t="shared" si="42"/>
        <v>67763.568807691059</v>
      </c>
      <c r="BJ25" s="9">
        <f t="shared" si="42"/>
        <v>68441.204495767975</v>
      </c>
      <c r="BK25" s="9">
        <f t="shared" si="42"/>
        <v>69125.616540725663</v>
      </c>
      <c r="BL25" s="9">
        <f t="shared" si="42"/>
        <v>69816.872706132926</v>
      </c>
      <c r="BM25" s="9">
        <f t="shared" si="42"/>
        <v>70515.041433194259</v>
      </c>
      <c r="BN25" s="9">
        <f t="shared" si="42"/>
        <v>71220.191847526206</v>
      </c>
      <c r="BO25" s="9">
        <f t="shared" si="42"/>
        <v>71932.393766001464</v>
      </c>
      <c r="BP25" s="9">
        <f t="shared" si="42"/>
        <v>72651.717703661474</v>
      </c>
      <c r="BQ25" s="9">
        <f t="shared" si="42"/>
        <v>73378.234880698088</v>
      </c>
      <c r="BR25" s="9">
        <f t="shared" si="42"/>
        <v>74112.017229505072</v>
      </c>
      <c r="BS25" s="9">
        <f t="shared" si="42"/>
        <v>74853.137401800122</v>
      </c>
      <c r="BT25" s="9">
        <f t="shared" si="42"/>
        <v>75601.668775818122</v>
      </c>
      <c r="BU25" s="9">
        <f t="shared" si="42"/>
        <v>76357.685463576301</v>
      </c>
      <c r="BV25" s="9">
        <f t="shared" si="42"/>
        <v>77121.262318212059</v>
      </c>
      <c r="BW25" s="9">
        <f t="shared" si="42"/>
        <v>77892.474941394175</v>
      </c>
      <c r="BX25" s="9">
        <f t="shared" si="42"/>
        <v>78671.399690808117</v>
      </c>
      <c r="BY25" s="9">
        <f t="shared" si="42"/>
        <v>79458.113687716206</v>
      </c>
      <c r="BZ25" s="9">
        <f t="shared" si="42"/>
        <v>80252.694824593375</v>
      </c>
      <c r="CA25" s="9">
        <f t="shared" si="42"/>
        <v>81055.221772839315</v>
      </c>
      <c r="CB25" s="9">
        <f t="shared" si="42"/>
        <v>81865.773990567715</v>
      </c>
      <c r="CC25" s="9">
        <f t="shared" si="42"/>
        <v>82684.4317304734</v>
      </c>
      <c r="CD25" s="9">
        <f t="shared" si="42"/>
        <v>83511.276047778141</v>
      </c>
      <c r="CE25" s="9">
        <f t="shared" si="42"/>
        <v>84346.388808255928</v>
      </c>
      <c r="CF25" s="9">
        <f t="shared" si="42"/>
        <v>85189.852696338494</v>
      </c>
      <c r="CG25" s="9">
        <f t="shared" si="42"/>
        <v>86041.751223301879</v>
      </c>
      <c r="CH25" s="9">
        <f t="shared" si="42"/>
        <v>86902.168735534899</v>
      </c>
      <c r="CI25" s="9">
        <f t="shared" si="42"/>
        <v>87771.190422890242</v>
      </c>
      <c r="CJ25" s="9">
        <f t="shared" si="42"/>
        <v>88648.90232711914</v>
      </c>
      <c r="CK25" s="9">
        <f t="shared" si="42"/>
        <v>89535.391350390331</v>
      </c>
      <c r="CL25" s="9">
        <f t="shared" si="42"/>
        <v>90430.745263894234</v>
      </c>
      <c r="CM25" s="9">
        <f t="shared" si="42"/>
        <v>91335.052716533173</v>
      </c>
      <c r="CN25" s="9">
        <f t="shared" si="42"/>
        <v>92248.4032436985</v>
      </c>
      <c r="CO25" s="9">
        <f t="shared" si="42"/>
        <v>93170.887276135487</v>
      </c>
      <c r="CP25" s="9">
        <f t="shared" si="42"/>
        <v>94102.596148896846</v>
      </c>
      <c r="CQ25" s="9">
        <f t="shared" si="42"/>
        <v>95043.622110385812</v>
      </c>
      <c r="CR25" s="9">
        <f t="shared" si="42"/>
        <v>95994.058331489665</v>
      </c>
      <c r="CS25" s="9">
        <f t="shared" si="42"/>
        <v>96953.998914804557</v>
      </c>
      <c r="CT25" s="9">
        <f t="shared" si="42"/>
        <v>97923.538903952605</v>
      </c>
      <c r="CU25" s="9">
        <f t="shared" si="42"/>
        <v>98902.774292992137</v>
      </c>
      <c r="CV25" s="9">
        <f t="shared" si="42"/>
        <v>99891.802035922054</v>
      </c>
      <c r="CW25" s="9">
        <f t="shared" si="42"/>
        <v>100890.72005628128</v>
      </c>
      <c r="CX25" s="9">
        <f t="shared" si="42"/>
        <v>101899.62725684409</v>
      </c>
      <c r="CY25" s="9">
        <f t="shared" si="42"/>
        <v>102918.62352941254</v>
      </c>
      <c r="CZ25" s="9">
        <f t="shared" si="42"/>
        <v>103947.80976470666</v>
      </c>
      <c r="DA25" s="9">
        <f t="shared" ref="DA25:DE25" si="43">+CZ25*(1+$AP$29)</f>
        <v>104987.28786235373</v>
      </c>
      <c r="DB25" s="9">
        <f t="shared" si="43"/>
        <v>106037.16074097727</v>
      </c>
      <c r="DC25" s="9">
        <f t="shared" si="43"/>
        <v>107097.53234838705</v>
      </c>
      <c r="DD25" s="9">
        <f t="shared" si="43"/>
        <v>108168.50767187092</v>
      </c>
      <c r="DE25" s="9">
        <f t="shared" si="43"/>
        <v>109250.19274858963</v>
      </c>
    </row>
    <row r="26" spans="2:109">
      <c r="B26" s="6" t="s">
        <v>13</v>
      </c>
      <c r="G26" s="6">
        <v>15579</v>
      </c>
      <c r="H26" s="6">
        <v>15665</v>
      </c>
      <c r="I26" s="6">
        <v>15709</v>
      </c>
      <c r="J26" s="6">
        <f>+J25/J27</f>
        <v>15661.367313314997</v>
      </c>
      <c r="K26" s="6">
        <v>15748</v>
      </c>
      <c r="L26" s="6">
        <v>15830</v>
      </c>
      <c r="M26" s="6">
        <v>15892</v>
      </c>
      <c r="N26" s="6">
        <f>+N25/N27</f>
        <v>21947.616595808857</v>
      </c>
      <c r="O26" s="6">
        <v>15996</v>
      </c>
      <c r="P26" s="6">
        <v>16291</v>
      </c>
      <c r="Q26" s="6">
        <v>15799</v>
      </c>
      <c r="R26" s="6">
        <f>+Q26</f>
        <v>15799</v>
      </c>
      <c r="AA26" s="6">
        <v>14314</v>
      </c>
      <c r="AB26" s="6">
        <v>15660</v>
      </c>
      <c r="AC26" s="6">
        <v>15840</v>
      </c>
      <c r="AD26" s="6">
        <f>+AC26</f>
        <v>15840</v>
      </c>
      <c r="AE26" s="6">
        <f t="shared" ref="AE26:AM26" si="44">+AD26</f>
        <v>15840</v>
      </c>
      <c r="AF26" s="6">
        <f t="shared" si="44"/>
        <v>15840</v>
      </c>
      <c r="AG26" s="6">
        <f t="shared" si="44"/>
        <v>15840</v>
      </c>
      <c r="AH26" s="6">
        <f t="shared" si="44"/>
        <v>15840</v>
      </c>
      <c r="AI26" s="6">
        <f t="shared" si="44"/>
        <v>15840</v>
      </c>
      <c r="AJ26" s="6">
        <f t="shared" si="44"/>
        <v>15840</v>
      </c>
      <c r="AK26" s="6">
        <f t="shared" si="44"/>
        <v>15840</v>
      </c>
      <c r="AL26" s="6">
        <f t="shared" si="44"/>
        <v>15840</v>
      </c>
      <c r="AM26" s="6">
        <f t="shared" si="44"/>
        <v>15840</v>
      </c>
    </row>
    <row r="27" spans="2:109" s="16" customFormat="1">
      <c r="B27" s="16" t="s">
        <v>37</v>
      </c>
      <c r="G27" s="16">
        <f>+G25/G26</f>
        <v>-0.55927851595095968</v>
      </c>
      <c r="H27" s="16">
        <f>+H25/H26</f>
        <v>-0.29505266517714651</v>
      </c>
      <c r="I27" s="16">
        <f>+I25/I26</f>
        <v>-0.85422369342415172</v>
      </c>
      <c r="J27" s="16">
        <f>+AB27-SUM(G27:I27)</f>
        <v>-1.4402957001603856</v>
      </c>
      <c r="K27" s="16">
        <f>+K25/K26</f>
        <v>-0.19323088646177292</v>
      </c>
      <c r="L27" s="16">
        <f>+L25/L26</f>
        <v>-1.1200884396715098</v>
      </c>
      <c r="M27" s="16">
        <f>+M25/M26</f>
        <v>-0.78234331739239871</v>
      </c>
      <c r="N27" s="16">
        <f>+AC27-SUM(K27:M27)</f>
        <v>-2.7803474574844191</v>
      </c>
      <c r="O27" s="16">
        <f>+O25/O26</f>
        <v>-0.15741435358839709</v>
      </c>
      <c r="P27" s="16">
        <f>+P25/P26</f>
        <v>0.24099195875023019</v>
      </c>
      <c r="Q27" s="16">
        <f>+Q25/Q26</f>
        <v>-0.51655168048610667</v>
      </c>
      <c r="R27" s="16">
        <f>+R25/R26</f>
        <v>-4.1805178433802661</v>
      </c>
      <c r="AA27" s="16">
        <f>+AA25/AA26</f>
        <v>-19.388640491826184</v>
      </c>
      <c r="AB27" s="16">
        <f>+AB25/AB26</f>
        <v>-3.1488505747126436</v>
      </c>
      <c r="AC27" s="16">
        <f>+AC25/AC26</f>
        <v>-4.8760101010101007</v>
      </c>
      <c r="AD27" s="10">
        <f>SUM(O27:R27)</f>
        <v>-4.6134919187045398</v>
      </c>
      <c r="AE27" s="10">
        <f t="shared" ref="AE27:AM27" si="45">+AE25/AE26</f>
        <v>-3.42077173468603</v>
      </c>
      <c r="AF27" s="10">
        <f t="shared" si="45"/>
        <v>-2.4008669512392098</v>
      </c>
      <c r="AG27" s="10">
        <f t="shared" si="45"/>
        <v>-1.3050799551877357</v>
      </c>
      <c r="AH27" s="10">
        <f t="shared" si="45"/>
        <v>-0.14288888431699176</v>
      </c>
      <c r="AI27" s="10">
        <f t="shared" si="45"/>
        <v>1.08870429756573</v>
      </c>
      <c r="AJ27" s="10">
        <f t="shared" si="45"/>
        <v>1.375049846267844</v>
      </c>
      <c r="AK27" s="10">
        <f t="shared" si="45"/>
        <v>2.7243933046805946</v>
      </c>
      <c r="AL27" s="10">
        <f t="shared" si="45"/>
        <v>3.0722059366046137</v>
      </c>
      <c r="AM27" s="10">
        <f t="shared" si="45"/>
        <v>3.4369314472699775</v>
      </c>
    </row>
    <row r="29" spans="2:109">
      <c r="B29" s="11" t="s">
        <v>38</v>
      </c>
      <c r="AO29" s="6" t="s">
        <v>72</v>
      </c>
      <c r="AP29" s="23">
        <v>0.01</v>
      </c>
    </row>
    <row r="30" spans="2:109" s="12" customFormat="1">
      <c r="B30" s="12" t="s">
        <v>42</v>
      </c>
      <c r="J30" s="16"/>
      <c r="O30" s="12">
        <v>6.0000000000000001E-3</v>
      </c>
      <c r="P30" s="12">
        <v>-0.06</v>
      </c>
      <c r="Q30" s="12">
        <v>-0.104</v>
      </c>
      <c r="AO30" s="12" t="s">
        <v>73</v>
      </c>
      <c r="AP30" s="23">
        <v>0.08</v>
      </c>
    </row>
    <row r="31" spans="2:109" s="13" customFormat="1">
      <c r="B31" s="6" t="s">
        <v>22</v>
      </c>
      <c r="G31" s="14">
        <f t="shared" ref="G31:Q32" si="46">+IFERROR(G9/C9-1,0)</f>
        <v>0</v>
      </c>
      <c r="H31" s="14">
        <f t="shared" si="46"/>
        <v>0</v>
      </c>
      <c r="I31" s="14">
        <f t="shared" si="46"/>
        <v>0</v>
      </c>
      <c r="J31" s="17">
        <f t="shared" si="46"/>
        <v>0</v>
      </c>
      <c r="K31" s="14">
        <f t="shared" si="46"/>
        <v>0.19435039240359364</v>
      </c>
      <c r="L31" s="14">
        <f t="shared" si="46"/>
        <v>6.0494493986926745E-2</v>
      </c>
      <c r="M31" s="14">
        <f t="shared" si="46"/>
        <v>4.5199517398094802E-2</v>
      </c>
      <c r="N31" s="14">
        <f t="shared" si="46"/>
        <v>7.1305435187225541E-3</v>
      </c>
      <c r="O31" s="15">
        <f t="shared" si="46"/>
        <v>6.9049320567927452E-2</v>
      </c>
      <c r="P31" s="15">
        <f t="shared" si="46"/>
        <v>1.6145741300875649E-2</v>
      </c>
      <c r="Q31" s="15">
        <f t="shared" si="46"/>
        <v>-3.2866526211426494E-2</v>
      </c>
      <c r="AB31" s="13">
        <f t="shared" ref="AB31:AD39" si="47">+IFERROR(AB9/AA9-1,0)</f>
        <v>0.33202792061217412</v>
      </c>
      <c r="AC31" s="13">
        <f t="shared" si="47"/>
        <v>8.1376737775910479E-2</v>
      </c>
      <c r="AO31" s="13" t="s">
        <v>74</v>
      </c>
      <c r="AP31" s="20">
        <f>NPV(AP30,AD25:DE25)+(1000*Main!F9)-(1000*Main!F10)</f>
        <v>173966.27656662161</v>
      </c>
    </row>
    <row r="32" spans="2:109" s="13" customFormat="1">
      <c r="B32" s="6" t="s">
        <v>23</v>
      </c>
      <c r="G32" s="13">
        <f t="shared" si="46"/>
        <v>0</v>
      </c>
      <c r="H32" s="13">
        <f t="shared" si="46"/>
        <v>0</v>
      </c>
      <c r="I32" s="13">
        <f t="shared" si="46"/>
        <v>0</v>
      </c>
      <c r="J32" s="16">
        <f t="shared" si="46"/>
        <v>0</v>
      </c>
      <c r="K32" s="13">
        <f t="shared" si="46"/>
        <v>0.96604369570939719</v>
      </c>
      <c r="L32" s="13">
        <f t="shared" si="46"/>
        <v>0.12806143628061428</v>
      </c>
      <c r="M32" s="13">
        <f t="shared" si="46"/>
        <v>-0.16253338420450214</v>
      </c>
      <c r="N32" s="13">
        <f t="shared" si="46"/>
        <v>11.931279620853081</v>
      </c>
      <c r="O32" s="13">
        <f t="shared" si="46"/>
        <v>-0.25860222251974829</v>
      </c>
      <c r="P32" s="13">
        <f t="shared" si="46"/>
        <v>-1.25114995400184E-2</v>
      </c>
      <c r="Q32" s="13">
        <f t="shared" si="46"/>
        <v>8.4282460136673176E-3</v>
      </c>
      <c r="AB32" s="13">
        <f t="shared" si="47"/>
        <v>0.94691065175646671</v>
      </c>
      <c r="AC32" s="13">
        <f t="shared" si="47"/>
        <v>0.12009747041076824</v>
      </c>
      <c r="AO32" s="13" t="s">
        <v>13</v>
      </c>
      <c r="AP32" s="6">
        <f>+Main!F7*1000</f>
        <v>15480</v>
      </c>
    </row>
    <row r="33" spans="2:42" s="13" customFormat="1">
      <c r="B33" s="6" t="s">
        <v>24</v>
      </c>
      <c r="G33" s="13">
        <f t="shared" ref="G33:Q39" si="48">+IFERROR(G12/C12-1,0)</f>
        <v>0</v>
      </c>
      <c r="H33" s="13">
        <f t="shared" si="48"/>
        <v>0</v>
      </c>
      <c r="I33" s="13">
        <f t="shared" si="48"/>
        <v>0</v>
      </c>
      <c r="J33" s="16">
        <f t="shared" si="48"/>
        <v>0</v>
      </c>
      <c r="K33" s="13">
        <f t="shared" si="48"/>
        <v>0.2123208949505786</v>
      </c>
      <c r="L33" s="13">
        <f t="shared" si="48"/>
        <v>6.1669825796552002E-2</v>
      </c>
      <c r="M33" s="13">
        <f t="shared" si="48"/>
        <v>4.1246133515342454E-2</v>
      </c>
      <c r="N33" s="13">
        <f t="shared" si="48"/>
        <v>-1.1083159895032169E-2</v>
      </c>
      <c r="O33" s="13">
        <f t="shared" si="48"/>
        <v>5.6675515105549135E-2</v>
      </c>
      <c r="P33" s="13">
        <f t="shared" si="48"/>
        <v>1.5616073128927876E-2</v>
      </c>
      <c r="Q33" s="13">
        <f t="shared" si="48"/>
        <v>-3.2234445006188883E-2</v>
      </c>
      <c r="AB33" s="13">
        <f t="shared" si="47"/>
        <v>0.24152986377925245</v>
      </c>
      <c r="AC33" s="13">
        <f t="shared" si="47"/>
        <v>1.3903502602335069</v>
      </c>
      <c r="AO33" s="13" t="s">
        <v>75</v>
      </c>
      <c r="AP33" s="7">
        <f>+AP31/AP32</f>
        <v>11.238131561151267</v>
      </c>
    </row>
    <row r="34" spans="2:42" s="13" customFormat="1">
      <c r="B34" s="6" t="s">
        <v>25</v>
      </c>
      <c r="G34" s="13">
        <f t="shared" si="48"/>
        <v>0</v>
      </c>
      <c r="H34" s="13">
        <f t="shared" si="48"/>
        <v>0</v>
      </c>
      <c r="I34" s="13">
        <f t="shared" si="48"/>
        <v>0</v>
      </c>
      <c r="J34" s="16">
        <f t="shared" si="48"/>
        <v>0</v>
      </c>
      <c r="K34" s="13">
        <f t="shared" si="48"/>
        <v>0.31482231154035212</v>
      </c>
      <c r="L34" s="13">
        <f t="shared" si="48"/>
        <v>0.17418479577498913</v>
      </c>
      <c r="M34" s="13">
        <f t="shared" si="48"/>
        <v>0.12715610090791585</v>
      </c>
      <c r="N34" s="13">
        <f t="shared" si="48"/>
        <v>7.5720115575943492E-2</v>
      </c>
      <c r="O34" s="13">
        <f t="shared" si="48"/>
        <v>9.5985309156486176E-2</v>
      </c>
      <c r="P34" s="13">
        <f t="shared" si="48"/>
        <v>-1.8293857115347589E-2</v>
      </c>
      <c r="Q34" s="13">
        <f t="shared" si="48"/>
        <v>-7.8029445073612647E-2</v>
      </c>
      <c r="AB34" s="13">
        <f t="shared" si="47"/>
        <v>0.33769763386150808</v>
      </c>
      <c r="AC34" s="13">
        <f t="shared" si="47"/>
        <v>8.9958677472596449E-2</v>
      </c>
      <c r="AD34" s="13">
        <f t="shared" si="47"/>
        <v>2.6356033433942549E-2</v>
      </c>
      <c r="AE34" s="13">
        <f t="shared" ref="AE34:AE39" si="49">+IFERROR(AE12/AD12-1,0)</f>
        <v>3.0000000000000027E-2</v>
      </c>
      <c r="AF34" s="13">
        <f t="shared" ref="AF34:AF39" si="50">+IFERROR(AF12/AE12-1,0)</f>
        <v>3.0000000000000027E-2</v>
      </c>
      <c r="AG34" s="13">
        <f t="shared" ref="AG34:AG39" si="51">+IFERROR(AG12/AF12-1,0)</f>
        <v>3.0000000000000027E-2</v>
      </c>
      <c r="AH34" s="13">
        <f t="shared" ref="AH34:AH39" si="52">+IFERROR(AH12/AG12-1,0)</f>
        <v>3.0000000000000027E-2</v>
      </c>
      <c r="AI34" s="13">
        <f t="shared" ref="AI34:AI39" si="53">+IFERROR(AI12/AH12-1,0)</f>
        <v>3.0000000000000027E-2</v>
      </c>
      <c r="AJ34" s="13">
        <f t="shared" ref="AJ34:AJ39" si="54">+IFERROR(AJ12/AI12-1,0)</f>
        <v>3.0000000000000027E-2</v>
      </c>
      <c r="AK34" s="13">
        <f t="shared" ref="AK34:AK39" si="55">+IFERROR(AK12/AJ12-1,0)</f>
        <v>3.0000000000000027E-2</v>
      </c>
      <c r="AL34" s="13">
        <f t="shared" ref="AL34:AM39" si="56">+IFERROR(AL12/AK12-1,0)</f>
        <v>3.0000000000000027E-2</v>
      </c>
      <c r="AM34" s="13">
        <f t="shared" si="56"/>
        <v>3.0000000000000027E-2</v>
      </c>
      <c r="AO34" s="13" t="s">
        <v>76</v>
      </c>
      <c r="AP34" s="7">
        <f>+Main!F6</f>
        <v>10.68</v>
      </c>
    </row>
    <row r="35" spans="2:42" s="13" customFormat="1">
      <c r="B35" s="6" t="s">
        <v>26</v>
      </c>
      <c r="G35" s="13">
        <f t="shared" si="48"/>
        <v>0</v>
      </c>
      <c r="H35" s="13">
        <f t="shared" si="48"/>
        <v>0</v>
      </c>
      <c r="I35" s="13">
        <f t="shared" si="48"/>
        <v>0</v>
      </c>
      <c r="J35" s="16">
        <f t="shared" si="48"/>
        <v>0</v>
      </c>
      <c r="K35" s="13">
        <f t="shared" si="48"/>
        <v>0.23687297933887996</v>
      </c>
      <c r="L35" s="13">
        <f t="shared" si="48"/>
        <v>2.7226146802898477E-2</v>
      </c>
      <c r="M35" s="13">
        <f t="shared" si="48"/>
        <v>7.9919779393331503E-3</v>
      </c>
      <c r="N35" s="13">
        <f t="shared" si="48"/>
        <v>7.2613691145748671E-3</v>
      </c>
      <c r="O35" s="13">
        <f t="shared" si="48"/>
        <v>5.2951313464824734E-2</v>
      </c>
      <c r="P35" s="13">
        <f t="shared" si="48"/>
        <v>7.9051188965300057E-2</v>
      </c>
      <c r="Q35" s="13">
        <f t="shared" si="48"/>
        <v>3.2022840771174454E-2</v>
      </c>
      <c r="AB35" s="13">
        <f t="shared" si="47"/>
        <v>0.31442361464478785</v>
      </c>
      <c r="AC35" s="13">
        <f t="shared" si="47"/>
        <v>0.17483211701214274</v>
      </c>
      <c r="AD35" s="13">
        <f t="shared" si="47"/>
        <v>3.4282757421533416E-2</v>
      </c>
      <c r="AE35" s="13">
        <f t="shared" si="49"/>
        <v>2.1552502792545836E-2</v>
      </c>
      <c r="AF35" s="13">
        <f t="shared" si="50"/>
        <v>2.2082224836337927E-2</v>
      </c>
      <c r="AG35" s="13">
        <f t="shared" si="51"/>
        <v>2.1416666666666639E-2</v>
      </c>
      <c r="AH35" s="13">
        <f t="shared" si="52"/>
        <v>2.1344537815126241E-2</v>
      </c>
      <c r="AI35" s="13">
        <f t="shared" si="53"/>
        <v>2.1271186440677825E-2</v>
      </c>
      <c r="AJ35" s="13">
        <f t="shared" si="54"/>
        <v>2.1196581196581299E-2</v>
      </c>
      <c r="AK35" s="13">
        <f t="shared" si="55"/>
        <v>2.1120689655172553E-2</v>
      </c>
      <c r="AL35" s="13">
        <f t="shared" si="56"/>
        <v>2.1043478260869497E-2</v>
      </c>
      <c r="AM35" s="13">
        <f t="shared" si="56"/>
        <v>2.0964912280701853E-2</v>
      </c>
      <c r="AO35" s="13" t="s">
        <v>75</v>
      </c>
      <c r="AP35" s="13">
        <f>+AP33/AP34-1</f>
        <v>5.225950947109248E-2</v>
      </c>
    </row>
    <row r="36" spans="2:42" s="13" customFormat="1">
      <c r="B36" s="6" t="s">
        <v>28</v>
      </c>
      <c r="G36" s="13">
        <f t="shared" si="48"/>
        <v>0</v>
      </c>
      <c r="H36" s="13">
        <f t="shared" si="48"/>
        <v>0</v>
      </c>
      <c r="I36" s="13">
        <f t="shared" si="48"/>
        <v>0</v>
      </c>
      <c r="J36" s="16">
        <f t="shared" si="48"/>
        <v>0</v>
      </c>
      <c r="K36" s="13">
        <f t="shared" si="48"/>
        <v>0.17590795675076243</v>
      </c>
      <c r="L36" s="13">
        <f t="shared" si="48"/>
        <v>0.1081443914081146</v>
      </c>
      <c r="M36" s="13">
        <f t="shared" si="48"/>
        <v>2.7126812016633695E-2</v>
      </c>
      <c r="N36" s="13">
        <f t="shared" si="48"/>
        <v>4.8717304309162657E-3</v>
      </c>
      <c r="O36" s="13">
        <f t="shared" si="48"/>
        <v>6.1682187905222285E-2</v>
      </c>
      <c r="P36" s="13">
        <f t="shared" si="48"/>
        <v>-3.0959752321981782E-3</v>
      </c>
      <c r="Q36" s="13">
        <f t="shared" si="48"/>
        <v>-4.7428960611449522E-2</v>
      </c>
      <c r="AB36" s="13">
        <f t="shared" si="47"/>
        <v>0.23157376054226364</v>
      </c>
      <c r="AC36" s="13">
        <f t="shared" si="47"/>
        <v>7.4805867758312328E-2</v>
      </c>
      <c r="AD36" s="13">
        <f t="shared" si="47"/>
        <v>6.9315337914843678E-2</v>
      </c>
      <c r="AE36" s="13">
        <f t="shared" si="49"/>
        <v>-5.2044851277415205E-3</v>
      </c>
      <c r="AF36" s="13">
        <f t="shared" si="50"/>
        <v>5.7142857142888914E-4</v>
      </c>
      <c r="AG36" s="13">
        <f t="shared" si="51"/>
        <v>-2.941176470588891E-4</v>
      </c>
      <c r="AH36" s="13">
        <f t="shared" si="52"/>
        <v>-1.2121212121211089E-3</v>
      </c>
      <c r="AI36" s="13">
        <f t="shared" si="53"/>
        <v>-2.1875000000001199E-3</v>
      </c>
      <c r="AJ36" s="13">
        <f t="shared" si="54"/>
        <v>3.0000000000000027E-2</v>
      </c>
      <c r="AK36" s="13">
        <f t="shared" si="55"/>
        <v>-3.225806451613078E-3</v>
      </c>
      <c r="AL36" s="13">
        <f t="shared" si="56"/>
        <v>3.0000000000000027E-2</v>
      </c>
      <c r="AM36" s="13">
        <f t="shared" si="56"/>
        <v>3.0000000000000027E-2</v>
      </c>
    </row>
    <row r="37" spans="2:42">
      <c r="B37" s="6" t="s">
        <v>27</v>
      </c>
      <c r="G37" s="13">
        <f t="shared" si="48"/>
        <v>0</v>
      </c>
      <c r="H37" s="13">
        <f t="shared" si="48"/>
        <v>0</v>
      </c>
      <c r="I37" s="13">
        <f t="shared" si="48"/>
        <v>0</v>
      </c>
      <c r="J37" s="16">
        <f t="shared" si="48"/>
        <v>0</v>
      </c>
      <c r="K37" s="13">
        <f t="shared" si="48"/>
        <v>1.657807308970094E-2</v>
      </c>
      <c r="L37" s="13">
        <f t="shared" si="48"/>
        <v>6.3199777921717493E-2</v>
      </c>
      <c r="M37" s="13">
        <f t="shared" si="48"/>
        <v>1.3721746081087005E-2</v>
      </c>
      <c r="N37" s="13">
        <f t="shared" si="48"/>
        <v>9.437778077389769E-3</v>
      </c>
      <c r="O37" s="13">
        <f t="shared" si="48"/>
        <v>-2.6079283636720185E-2</v>
      </c>
      <c r="P37" s="13">
        <f t="shared" si="48"/>
        <v>2.1845082680591821E-2</v>
      </c>
      <c r="Q37" s="13">
        <f t="shared" si="48"/>
        <v>3.0445067461012831E-2</v>
      </c>
      <c r="AB37" s="13">
        <f t="shared" si="47"/>
        <v>0.26364399153634754</v>
      </c>
      <c r="AC37" s="13">
        <f t="shared" si="47"/>
        <v>8.1196560633982839E-2</v>
      </c>
      <c r="AD37" s="13">
        <f t="shared" si="47"/>
        <v>2.2328281462099531E-2</v>
      </c>
      <c r="AE37" s="13">
        <f t="shared" si="49"/>
        <v>3.0000000000000027E-2</v>
      </c>
      <c r="AF37" s="13">
        <f t="shared" si="50"/>
        <v>3.0000000000000027E-2</v>
      </c>
      <c r="AG37" s="13">
        <f t="shared" si="51"/>
        <v>3.0000000000000027E-2</v>
      </c>
      <c r="AH37" s="13">
        <f t="shared" si="52"/>
        <v>3.0000000000000027E-2</v>
      </c>
      <c r="AI37" s="13">
        <f t="shared" si="53"/>
        <v>3.0000000000000027E-2</v>
      </c>
      <c r="AJ37" s="13">
        <f t="shared" si="54"/>
        <v>3.0000000000000249E-2</v>
      </c>
      <c r="AK37" s="13">
        <f t="shared" si="55"/>
        <v>2.9999999999999805E-2</v>
      </c>
      <c r="AL37" s="13">
        <f t="shared" si="56"/>
        <v>3.0000000000000249E-2</v>
      </c>
      <c r="AM37" s="13">
        <f t="shared" si="56"/>
        <v>3.0000000000000027E-2</v>
      </c>
    </row>
    <row r="38" spans="2:42">
      <c r="B38" s="6" t="s">
        <v>29</v>
      </c>
      <c r="G38" s="13">
        <f t="shared" si="48"/>
        <v>0</v>
      </c>
      <c r="H38" s="13">
        <f t="shared" si="48"/>
        <v>0</v>
      </c>
      <c r="I38" s="13">
        <f t="shared" si="48"/>
        <v>0</v>
      </c>
      <c r="J38" s="16">
        <f t="shared" si="48"/>
        <v>0</v>
      </c>
      <c r="K38" s="13">
        <f t="shared" si="48"/>
        <v>-7.605840543881337E-2</v>
      </c>
      <c r="L38" s="13">
        <f t="shared" si="48"/>
        <v>-8.2123341139734629E-2</v>
      </c>
      <c r="M38" s="13">
        <f t="shared" si="48"/>
        <v>-8.0133467507017664E-2</v>
      </c>
      <c r="N38" s="13">
        <f t="shared" si="48"/>
        <v>-0.10964326102601007</v>
      </c>
      <c r="O38" s="13">
        <f t="shared" si="48"/>
        <v>-8.7545465947573065E-2</v>
      </c>
      <c r="P38" s="13">
        <f t="shared" si="48"/>
        <v>-0.10665079095084196</v>
      </c>
      <c r="Q38" s="13">
        <f t="shared" si="48"/>
        <v>-0.15522800552740668</v>
      </c>
      <c r="AB38" s="13">
        <f t="shared" si="47"/>
        <v>-3.0516172466112712E-2</v>
      </c>
      <c r="AC38" s="13">
        <f t="shared" si="47"/>
        <v>2.4708760001658225E-2</v>
      </c>
      <c r="AD38" s="13">
        <f t="shared" si="47"/>
        <v>3.1152337668810315E-2</v>
      </c>
      <c r="AE38" s="13">
        <f t="shared" si="49"/>
        <v>3.0000000000000027E-2</v>
      </c>
      <c r="AF38" s="13">
        <f t="shared" si="50"/>
        <v>2.9999999999999805E-2</v>
      </c>
      <c r="AG38" s="13">
        <f t="shared" si="51"/>
        <v>3.0000000000000249E-2</v>
      </c>
      <c r="AH38" s="13">
        <f t="shared" si="52"/>
        <v>3.0000000000000027E-2</v>
      </c>
      <c r="AI38" s="13">
        <f t="shared" si="53"/>
        <v>2.9999999999999805E-2</v>
      </c>
      <c r="AJ38" s="13">
        <f t="shared" si="54"/>
        <v>3.0000000000000027E-2</v>
      </c>
      <c r="AK38" s="13">
        <f t="shared" si="55"/>
        <v>2.9999999999999805E-2</v>
      </c>
      <c r="AL38" s="13">
        <f t="shared" si="56"/>
        <v>3.0000000000000027E-2</v>
      </c>
      <c r="AM38" s="13">
        <f t="shared" si="56"/>
        <v>3.0000000000000027E-2</v>
      </c>
    </row>
    <row r="39" spans="2:42">
      <c r="B39" s="6" t="s">
        <v>30</v>
      </c>
      <c r="G39" s="13">
        <f t="shared" si="48"/>
        <v>0</v>
      </c>
      <c r="H39" s="13">
        <f t="shared" si="48"/>
        <v>0</v>
      </c>
      <c r="I39" s="13">
        <f t="shared" si="48"/>
        <v>0</v>
      </c>
      <c r="J39" s="16">
        <f t="shared" si="48"/>
        <v>0</v>
      </c>
      <c r="K39" s="13">
        <f t="shared" si="48"/>
        <v>0.1231623652401177</v>
      </c>
      <c r="L39" s="13">
        <f t="shared" si="48"/>
        <v>0.13225851972059544</v>
      </c>
      <c r="M39" s="13">
        <f t="shared" si="48"/>
        <v>0.17628448076986447</v>
      </c>
      <c r="N39" s="13">
        <f t="shared" si="48"/>
        <v>2.9930630307379413E-2</v>
      </c>
      <c r="O39" s="13">
        <f t="shared" si="48"/>
        <v>4.1593949970912814E-3</v>
      </c>
      <c r="P39" s="13">
        <f t="shared" si="48"/>
        <v>-0.16298488861193328</v>
      </c>
      <c r="Q39" s="13">
        <f t="shared" si="48"/>
        <v>-0.21660316037207217</v>
      </c>
      <c r="AB39" s="13">
        <f t="shared" si="47"/>
        <v>-4.704364014299256E-2</v>
      </c>
      <c r="AC39" s="13">
        <f t="shared" si="47"/>
        <v>-8.6207723099786637E-2</v>
      </c>
      <c r="AD39" s="13">
        <f t="shared" si="47"/>
        <v>-6.0378341584048312E-2</v>
      </c>
      <c r="AE39" s="13">
        <f t="shared" si="49"/>
        <v>3.0000000000000027E-2</v>
      </c>
      <c r="AF39" s="13">
        <f t="shared" si="50"/>
        <v>2.9999999999999805E-2</v>
      </c>
      <c r="AG39" s="13">
        <f t="shared" si="51"/>
        <v>3.0000000000000027E-2</v>
      </c>
      <c r="AH39" s="13">
        <f t="shared" si="52"/>
        <v>3.0000000000000027E-2</v>
      </c>
      <c r="AI39" s="13">
        <f t="shared" si="53"/>
        <v>3.0000000000000027E-2</v>
      </c>
      <c r="AJ39" s="13">
        <f t="shared" si="54"/>
        <v>3.0000000000000027E-2</v>
      </c>
      <c r="AK39" s="13">
        <f t="shared" si="55"/>
        <v>3.0000000000000027E-2</v>
      </c>
      <c r="AL39" s="13">
        <f t="shared" si="56"/>
        <v>3.0000000000000027E-2</v>
      </c>
      <c r="AM39" s="13">
        <f t="shared" si="56"/>
        <v>3.0000000000000027E-2</v>
      </c>
    </row>
    <row r="41" spans="2:42">
      <c r="B41" s="9" t="s">
        <v>71</v>
      </c>
    </row>
    <row r="42" spans="2:42">
      <c r="B42" s="6" t="s">
        <v>25</v>
      </c>
      <c r="C42" s="13">
        <f>IFERROR(C13/C$12,0)</f>
        <v>0</v>
      </c>
      <c r="D42" s="13">
        <f>IFERROR(D13/D$12,0)</f>
        <v>0</v>
      </c>
      <c r="E42" s="13">
        <f>IFERROR(E13/E$12,0)</f>
        <v>0</v>
      </c>
      <c r="F42" s="13">
        <f>IFERROR(F13/F$12,0)</f>
        <v>0</v>
      </c>
      <c r="G42" s="13">
        <f>IFERROR(G13/G$12,0)</f>
        <v>0.21198682093326182</v>
      </c>
      <c r="H42" s="13">
        <f t="shared" ref="H42:Q42" si="57">IFERROR(H13/H$12,0)</f>
        <v>0.22354725155699973</v>
      </c>
      <c r="I42" s="13">
        <f t="shared" si="57"/>
        <v>0.22752719246017339</v>
      </c>
      <c r="J42" s="13">
        <f t="shared" si="57"/>
        <v>0.2430259705004072</v>
      </c>
      <c r="K42" s="13">
        <f t="shared" si="57"/>
        <v>0.2299102515484768</v>
      </c>
      <c r="L42" s="13">
        <f t="shared" si="57"/>
        <v>0.24723862121500667</v>
      </c>
      <c r="M42" s="13">
        <f t="shared" si="57"/>
        <v>0.24629975070169627</v>
      </c>
      <c r="N42" s="13">
        <f t="shared" si="57"/>
        <v>0.26435784534410883</v>
      </c>
      <c r="O42" s="13">
        <f t="shared" si="57"/>
        <v>0.2384632316349577</v>
      </c>
      <c r="P42" s="13">
        <f t="shared" si="57"/>
        <v>0.23898368648040502</v>
      </c>
      <c r="Q42" s="13">
        <f t="shared" si="57"/>
        <v>0.23464476149301053</v>
      </c>
      <c r="R42" s="13">
        <f t="shared" ref="R42" si="58">IFERROR(R13/R$12,0)</f>
        <v>0.26435784534410883</v>
      </c>
      <c r="AA42" s="22">
        <f t="shared" ref="AA42:AL47" si="59">IFERROR(AA13/AA$12,0)</f>
        <v>0.22848344969293727</v>
      </c>
      <c r="AB42" s="22">
        <f t="shared" si="59"/>
        <v>0.22450816554482572</v>
      </c>
      <c r="AC42" s="21">
        <f t="shared" si="59"/>
        <v>0.24199027803984946</v>
      </c>
      <c r="AD42" s="21">
        <f t="shared" si="59"/>
        <v>0.24385921053424367</v>
      </c>
      <c r="AE42" s="21">
        <f>+AD42-0.2%</f>
        <v>0.24185921053424367</v>
      </c>
      <c r="AF42" s="21">
        <v>0.24</v>
      </c>
      <c r="AG42" s="21">
        <f t="shared" ref="AG42:AM42" si="60">+AF42-0.2%</f>
        <v>0.23799999999999999</v>
      </c>
      <c r="AH42" s="21">
        <f t="shared" si="60"/>
        <v>0.23599999999999999</v>
      </c>
      <c r="AI42" s="21">
        <f t="shared" si="60"/>
        <v>0.23399999999999999</v>
      </c>
      <c r="AJ42" s="21">
        <f t="shared" si="60"/>
        <v>0.23199999999999998</v>
      </c>
      <c r="AK42" s="21">
        <f t="shared" si="60"/>
        <v>0.22999999999999998</v>
      </c>
      <c r="AL42" s="21">
        <f t="shared" si="60"/>
        <v>0.22799999999999998</v>
      </c>
      <c r="AM42" s="21">
        <f t="shared" si="60"/>
        <v>0.22599999999999998</v>
      </c>
    </row>
    <row r="43" spans="2:42">
      <c r="B43" s="6" t="s">
        <v>26</v>
      </c>
      <c r="C43" s="13">
        <f t="shared" ref="C43" si="61">IFERROR(C14/C$12,0)</f>
        <v>0</v>
      </c>
      <c r="D43" s="13">
        <f t="shared" ref="D43" si="62">IFERROR(D14/D$12,0)</f>
        <v>0</v>
      </c>
      <c r="E43" s="13">
        <f t="shared" ref="E43" si="63">IFERROR(E14/E$12,0)</f>
        <v>0</v>
      </c>
      <c r="F43" s="13">
        <f t="shared" ref="F43" si="64">IFERROR(F14/F$12,0)</f>
        <v>0</v>
      </c>
      <c r="G43" s="13">
        <f t="shared" ref="G43:Q47" si="65">IFERROR(G14/G$12,0)</f>
        <v>0.34222358439966288</v>
      </c>
      <c r="H43" s="13">
        <f t="shared" si="65"/>
        <v>0.3572488491741132</v>
      </c>
      <c r="I43" s="13">
        <f t="shared" si="65"/>
        <v>0.36205181452491253</v>
      </c>
      <c r="J43" s="13">
        <f t="shared" si="65"/>
        <v>0.36039453443127317</v>
      </c>
      <c r="K43" s="13">
        <f t="shared" si="65"/>
        <v>0.34915434205536594</v>
      </c>
      <c r="L43" s="13">
        <f t="shared" si="65"/>
        <v>0.34565865005305113</v>
      </c>
      <c r="M43" s="13">
        <f t="shared" si="65"/>
        <v>0.35048900821115392</v>
      </c>
      <c r="N43" s="13">
        <f t="shared" si="65"/>
        <v>0.36707989736945168</v>
      </c>
      <c r="O43" s="13">
        <f t="shared" si="65"/>
        <v>0.34792376449871759</v>
      </c>
      <c r="P43" s="13">
        <f t="shared" si="65"/>
        <v>0.36724839945353727</v>
      </c>
      <c r="Q43" s="13">
        <f t="shared" si="65"/>
        <v>0.37376062833261275</v>
      </c>
      <c r="R43" s="13">
        <f t="shared" ref="R43" si="66">IFERROR(R14/R$12,0)</f>
        <v>0.36707989736945168</v>
      </c>
      <c r="AA43" s="13">
        <f t="shared" si="59"/>
        <v>0.38312565110536828</v>
      </c>
      <c r="AB43" s="13">
        <f t="shared" si="59"/>
        <v>0.35273105591879372</v>
      </c>
      <c r="AC43" s="13">
        <f t="shared" si="59"/>
        <v>0.3478273227029165</v>
      </c>
      <c r="AD43" s="13">
        <f t="shared" si="59"/>
        <v>0.36238603271778091</v>
      </c>
      <c r="AE43" s="19">
        <v>0.35</v>
      </c>
      <c r="AF43" s="19">
        <v>0.34</v>
      </c>
      <c r="AG43" s="19">
        <v>0.33</v>
      </c>
      <c r="AH43" s="19">
        <v>0.32</v>
      </c>
      <c r="AI43" s="19">
        <v>0.31</v>
      </c>
      <c r="AJ43" s="19">
        <v>0.31</v>
      </c>
      <c r="AK43" s="19">
        <v>0.3</v>
      </c>
      <c r="AL43" s="19">
        <v>0.3</v>
      </c>
      <c r="AM43" s="19">
        <v>0.3</v>
      </c>
    </row>
    <row r="44" spans="2:42">
      <c r="B44" s="6" t="s">
        <v>28</v>
      </c>
      <c r="C44" s="13">
        <f t="shared" ref="C44" si="67">IFERROR(C15/C$12,0)</f>
        <v>0</v>
      </c>
      <c r="D44" s="13">
        <f t="shared" ref="D44" si="68">IFERROR(D15/D$12,0)</f>
        <v>0</v>
      </c>
      <c r="E44" s="13">
        <f t="shared" ref="E44" si="69">IFERROR(E15/E$12,0)</f>
        <v>0</v>
      </c>
      <c r="F44" s="13">
        <f t="shared" ref="F44" si="70">IFERROR(F15/F$12,0)</f>
        <v>0</v>
      </c>
      <c r="G44" s="13">
        <f t="shared" si="65"/>
        <v>0.17688146502183741</v>
      </c>
      <c r="H44" s="13">
        <f t="shared" si="65"/>
        <v>0.16943045401209494</v>
      </c>
      <c r="I44" s="13">
        <f t="shared" si="65"/>
        <v>0.18683289525275554</v>
      </c>
      <c r="J44" s="13">
        <f t="shared" si="65"/>
        <v>0.18723011492172653</v>
      </c>
      <c r="K44" s="13">
        <f t="shared" si="65"/>
        <v>0.17156870180760966</v>
      </c>
      <c r="L44" s="13">
        <f t="shared" si="65"/>
        <v>0.17684726718720245</v>
      </c>
      <c r="M44" s="13">
        <f t="shared" si="65"/>
        <v>0.18429943689963565</v>
      </c>
      <c r="N44" s="13">
        <f t="shared" si="65"/>
        <v>0.19025082993854611</v>
      </c>
      <c r="O44" s="13">
        <f t="shared" si="65"/>
        <v>0.17238161773150099</v>
      </c>
      <c r="P44" s="13">
        <f t="shared" si="65"/>
        <v>0.17358897431089443</v>
      </c>
      <c r="Q44" s="13">
        <f t="shared" si="65"/>
        <v>0.18140582216457704</v>
      </c>
      <c r="R44" s="13">
        <f t="shared" ref="R44" si="71">IFERROR(R15/R$12,0)</f>
        <v>0.18140582216457704</v>
      </c>
      <c r="AA44" s="13">
        <f t="shared" si="59"/>
        <v>0.18932331086720042</v>
      </c>
      <c r="AB44" s="13">
        <f t="shared" si="59"/>
        <v>0.17884255617953357</v>
      </c>
      <c r="AC44" s="13">
        <f t="shared" si="59"/>
        <v>0.17740485087441588</v>
      </c>
      <c r="AD44" s="13">
        <f t="shared" si="59"/>
        <v>0.17670865704435354</v>
      </c>
      <c r="AE44" s="13">
        <f t="shared" si="59"/>
        <v>0.17670865704435354</v>
      </c>
      <c r="AF44" s="13">
        <f t="shared" si="59"/>
        <v>0.17670865704435354</v>
      </c>
      <c r="AG44" s="13">
        <f t="shared" si="59"/>
        <v>0.17670865704435354</v>
      </c>
      <c r="AH44" s="13">
        <f t="shared" si="59"/>
        <v>0.17670865704435354</v>
      </c>
      <c r="AI44" s="13">
        <f t="shared" si="59"/>
        <v>0.17670865704435357</v>
      </c>
      <c r="AJ44" s="13">
        <f t="shared" si="59"/>
        <v>0.17670865704435357</v>
      </c>
      <c r="AK44" s="13">
        <f t="shared" si="59"/>
        <v>0.17670865704435357</v>
      </c>
      <c r="AL44" s="13">
        <f t="shared" si="59"/>
        <v>0.17670865704435357</v>
      </c>
      <c r="AM44" s="13">
        <f t="shared" ref="AM44" si="72">IFERROR(AM15/AM$12,0)</f>
        <v>0.17670865704435357</v>
      </c>
    </row>
    <row r="45" spans="2:42">
      <c r="B45" s="6" t="s">
        <v>27</v>
      </c>
      <c r="C45" s="13">
        <f t="shared" ref="C45" si="73">IFERROR(C16/C$12,0)</f>
        <v>0</v>
      </c>
      <c r="D45" s="13">
        <f t="shared" ref="D45" si="74">IFERROR(D16/D$12,0)</f>
        <v>0</v>
      </c>
      <c r="E45" s="13">
        <f t="shared" ref="E45" si="75">IFERROR(E16/E$12,0)</f>
        <v>0</v>
      </c>
      <c r="F45" s="13">
        <f t="shared" ref="F45" si="76">IFERROR(F16/F$12,0)</f>
        <v>0</v>
      </c>
      <c r="G45" s="13">
        <f t="shared" si="65"/>
        <v>9.2253467167266873E-2</v>
      </c>
      <c r="H45" s="13">
        <f t="shared" si="65"/>
        <v>7.8035923819839342E-2</v>
      </c>
      <c r="I45" s="13">
        <f t="shared" si="65"/>
        <v>8.1755275119443513E-2</v>
      </c>
      <c r="J45" s="13">
        <f t="shared" si="65"/>
        <v>8.0539317708804639E-2</v>
      </c>
      <c r="K45" s="13">
        <f t="shared" si="65"/>
        <v>7.7358108962204519E-2</v>
      </c>
      <c r="L45" s="13">
        <f t="shared" si="65"/>
        <v>7.8148379900427126E-2</v>
      </c>
      <c r="M45" s="13">
        <f t="shared" si="65"/>
        <v>7.9594149334913961E-2</v>
      </c>
      <c r="N45" s="13">
        <f t="shared" si="65"/>
        <v>8.2210582951762909E-2</v>
      </c>
      <c r="O45" s="13">
        <f t="shared" si="65"/>
        <v>7.1299716724725334E-2</v>
      </c>
      <c r="P45" s="13">
        <f t="shared" si="65"/>
        <v>7.8627682087273318E-2</v>
      </c>
      <c r="Q45" s="13">
        <f t="shared" si="65"/>
        <v>8.474924340683096E-2</v>
      </c>
      <c r="R45" s="13">
        <f t="shared" ref="R45" si="77">IFERROR(R16/R$12,0)</f>
        <v>8.2210582951762909E-2</v>
      </c>
      <c r="AA45" s="13">
        <f t="shared" si="59"/>
        <v>0.1145611621763179</v>
      </c>
      <c r="AB45" s="13">
        <f t="shared" si="59"/>
        <v>8.3027128987899268E-2</v>
      </c>
      <c r="AC45" s="13">
        <f t="shared" si="59"/>
        <v>7.8056744856574642E-2</v>
      </c>
      <c r="AD45" s="13">
        <f t="shared" si="59"/>
        <v>7.8421514862030722E-2</v>
      </c>
      <c r="AE45" s="13">
        <f t="shared" si="59"/>
        <v>7.8421514862030722E-2</v>
      </c>
      <c r="AF45" s="13">
        <f t="shared" si="59"/>
        <v>7.8421514862030722E-2</v>
      </c>
      <c r="AG45" s="13">
        <f t="shared" si="59"/>
        <v>7.8421514862030722E-2</v>
      </c>
      <c r="AH45" s="13">
        <f t="shared" si="59"/>
        <v>7.8421514862030722E-2</v>
      </c>
      <c r="AI45" s="13">
        <f t="shared" si="59"/>
        <v>7.8421514862030722E-2</v>
      </c>
      <c r="AJ45" s="13">
        <f t="shared" si="59"/>
        <v>7.8421514862030722E-2</v>
      </c>
      <c r="AK45" s="13">
        <f t="shared" si="59"/>
        <v>7.8421514862030722E-2</v>
      </c>
      <c r="AL45" s="13">
        <f t="shared" si="59"/>
        <v>7.8421514862030722E-2</v>
      </c>
      <c r="AM45" s="13">
        <f t="shared" ref="AM45" si="78">IFERROR(AM16/AM$12,0)</f>
        <v>7.8421514862030722E-2</v>
      </c>
    </row>
    <row r="46" spans="2:42">
      <c r="B46" s="6" t="s">
        <v>29</v>
      </c>
      <c r="C46" s="13">
        <f t="shared" ref="C46" si="79">IFERROR(C17/C$12,0)</f>
        <v>0</v>
      </c>
      <c r="D46" s="13">
        <f t="shared" ref="D46" si="80">IFERROR(D17/D$12,0)</f>
        <v>0</v>
      </c>
      <c r="E46" s="13">
        <f t="shared" ref="E46" si="81">IFERROR(E17/E$12,0)</f>
        <v>0</v>
      </c>
      <c r="F46" s="13">
        <f t="shared" ref="F46" si="82">IFERROR(F17/F$12,0)</f>
        <v>0</v>
      </c>
      <c r="G46" s="13">
        <f t="shared" si="65"/>
        <v>7.9344111562332384E-2</v>
      </c>
      <c r="H46" s="13">
        <f t="shared" si="65"/>
        <v>6.9374492282697001E-2</v>
      </c>
      <c r="I46" s="13">
        <f t="shared" si="65"/>
        <v>6.8547508749509878E-2</v>
      </c>
      <c r="J46" s="13">
        <f t="shared" si="65"/>
        <v>7.0415347027418335E-2</v>
      </c>
      <c r="K46" s="13">
        <f t="shared" si="65"/>
        <v>6.0470231323473643E-2</v>
      </c>
      <c r="L46" s="13">
        <f t="shared" si="65"/>
        <v>5.9978371466659415E-2</v>
      </c>
      <c r="M46" s="13">
        <f t="shared" si="65"/>
        <v>6.0556824323146387E-2</v>
      </c>
      <c r="N46" s="13">
        <f t="shared" si="65"/>
        <v>6.3397422523818414E-2</v>
      </c>
      <c r="O46" s="13">
        <f t="shared" si="65"/>
        <v>5.2216916127550438E-2</v>
      </c>
      <c r="P46" s="13">
        <f t="shared" si="65"/>
        <v>5.275776164581715E-2</v>
      </c>
      <c r="Q46" s="13">
        <f t="shared" si="65"/>
        <v>5.2860642743911224E-2</v>
      </c>
      <c r="R46" s="13">
        <f t="shared" ref="R46" si="83">IFERROR(R17/R$12,0)</f>
        <v>6.3397422523818414E-2</v>
      </c>
      <c r="AA46" s="13">
        <f t="shared" si="59"/>
        <v>0.10078909653914114</v>
      </c>
      <c r="AB46" s="13">
        <f t="shared" si="59"/>
        <v>7.180068807773661E-2</v>
      </c>
      <c r="AC46" s="13">
        <f t="shared" si="59"/>
        <v>6.019578136090073E-2</v>
      </c>
      <c r="AD46" s="13">
        <f t="shared" si="59"/>
        <v>5.510881026609557E-2</v>
      </c>
      <c r="AE46" s="13">
        <f t="shared" si="59"/>
        <v>5.5108810266095563E-2</v>
      </c>
      <c r="AF46" s="13">
        <f t="shared" si="59"/>
        <v>5.5108810266095556E-2</v>
      </c>
      <c r="AG46" s="13">
        <f t="shared" si="59"/>
        <v>5.5108810266095556E-2</v>
      </c>
      <c r="AH46" s="13">
        <f t="shared" si="59"/>
        <v>5.5108810266095556E-2</v>
      </c>
      <c r="AI46" s="13">
        <f t="shared" si="59"/>
        <v>5.5108810266095563E-2</v>
      </c>
      <c r="AJ46" s="13">
        <f t="shared" si="59"/>
        <v>5.5108810266095563E-2</v>
      </c>
      <c r="AK46" s="13">
        <f t="shared" si="59"/>
        <v>5.510881026609557E-2</v>
      </c>
      <c r="AL46" s="13">
        <f t="shared" si="59"/>
        <v>5.510881026609557E-2</v>
      </c>
      <c r="AM46" s="13">
        <f t="shared" ref="AM46" si="84">IFERROR(AM17/AM$12,0)</f>
        <v>5.510881026609557E-2</v>
      </c>
    </row>
    <row r="47" spans="2:42">
      <c r="B47" s="6" t="s">
        <v>30</v>
      </c>
      <c r="C47" s="13">
        <f t="shared" ref="C47" si="85">IFERROR(C18/C$12,0)</f>
        <v>0</v>
      </c>
      <c r="D47" s="13">
        <f t="shared" ref="D47" si="86">IFERROR(D18/D$12,0)</f>
        <v>0</v>
      </c>
      <c r="E47" s="13">
        <f t="shared" ref="E47" si="87">IFERROR(E18/E$12,0)</f>
        <v>0</v>
      </c>
      <c r="F47" s="13">
        <f t="shared" ref="F47" si="88">IFERROR(F18/F$12,0)</f>
        <v>0</v>
      </c>
      <c r="G47" s="13">
        <f t="shared" si="65"/>
        <v>9.3816565780399971E-2</v>
      </c>
      <c r="H47" s="13">
        <f t="shared" si="65"/>
        <v>0.10234136654932756</v>
      </c>
      <c r="I47" s="13">
        <f t="shared" si="65"/>
        <v>0.11016032296946021</v>
      </c>
      <c r="J47" s="13">
        <f t="shared" si="65"/>
        <v>0.12105329834404126</v>
      </c>
      <c r="K47" s="13">
        <f t="shared" si="65"/>
        <v>8.6916951080773602E-2</v>
      </c>
      <c r="L47" s="13">
        <f t="shared" si="65"/>
        <v>0.10914587697581413</v>
      </c>
      <c r="M47" s="13">
        <f t="shared" si="65"/>
        <v>0.1244469238681334</v>
      </c>
      <c r="N47" s="13">
        <f t="shared" si="65"/>
        <v>0.12607379590283038</v>
      </c>
      <c r="O47" s="13">
        <f t="shared" si="65"/>
        <v>8.2597232324005662E-2</v>
      </c>
      <c r="P47" s="13">
        <f t="shared" si="65"/>
        <v>8.9952050574589479E-2</v>
      </c>
      <c r="Q47" s="13">
        <f t="shared" si="65"/>
        <v>0.10073857904597204</v>
      </c>
      <c r="R47" s="13">
        <f t="shared" ref="R47" si="89">IFERROR(R18/R$12,0)</f>
        <v>0.11826164722193157</v>
      </c>
      <c r="AA47" s="13">
        <f t="shared" si="59"/>
        <v>0.1229655295465141</v>
      </c>
      <c r="AB47" s="13">
        <f t="shared" si="59"/>
        <v>0.10562371888978192</v>
      </c>
      <c r="AC47" s="13">
        <f t="shared" si="59"/>
        <v>0.10785580803036751</v>
      </c>
      <c r="AD47" s="13">
        <f t="shared" si="59"/>
        <v>9.6550192307692309E-2</v>
      </c>
      <c r="AE47" s="13">
        <f t="shared" si="59"/>
        <v>9.6550192307692309E-2</v>
      </c>
      <c r="AF47" s="13">
        <f t="shared" si="59"/>
        <v>9.6550192307692295E-2</v>
      </c>
      <c r="AG47" s="13">
        <f t="shared" si="59"/>
        <v>9.6550192307692295E-2</v>
      </c>
      <c r="AH47" s="13">
        <f t="shared" si="59"/>
        <v>9.6550192307692295E-2</v>
      </c>
      <c r="AI47" s="13">
        <f t="shared" si="59"/>
        <v>9.6550192307692281E-2</v>
      </c>
      <c r="AJ47" s="13">
        <f t="shared" si="59"/>
        <v>9.6550192307692281E-2</v>
      </c>
      <c r="AK47" s="13">
        <f t="shared" si="59"/>
        <v>9.6550192307692295E-2</v>
      </c>
      <c r="AL47" s="13">
        <f t="shared" si="59"/>
        <v>9.6550192307692295E-2</v>
      </c>
      <c r="AM47" s="13">
        <f t="shared" ref="AM47" si="90">IFERROR(AM18/AM$12,0)</f>
        <v>9.6550192307692295E-2</v>
      </c>
    </row>
    <row r="55" spans="2:17">
      <c r="B55" s="6" t="s">
        <v>49</v>
      </c>
      <c r="N55" s="6">
        <v>48826</v>
      </c>
      <c r="P55" s="6">
        <v>44034</v>
      </c>
      <c r="Q55" s="6">
        <v>48550</v>
      </c>
    </row>
    <row r="56" spans="2:17">
      <c r="B56" s="6" t="s">
        <v>48</v>
      </c>
      <c r="N56" s="6">
        <v>21427</v>
      </c>
      <c r="P56" s="6">
        <v>12723</v>
      </c>
      <c r="Q56" s="6">
        <v>11819</v>
      </c>
    </row>
    <row r="57" spans="2:17">
      <c r="B57" s="6" t="s">
        <v>50</v>
      </c>
      <c r="N57" s="6">
        <v>26447</v>
      </c>
      <c r="P57" s="6">
        <v>26899</v>
      </c>
      <c r="Q57" s="6">
        <v>27013</v>
      </c>
    </row>
    <row r="58" spans="2:17">
      <c r="B58" s="6" t="s">
        <v>51</v>
      </c>
      <c r="N58" s="6">
        <v>562</v>
      </c>
      <c r="P58" s="6">
        <v>461</v>
      </c>
      <c r="Q58" s="6">
        <v>462</v>
      </c>
    </row>
    <row r="59" spans="2:17">
      <c r="B59" s="6" t="s">
        <v>52</v>
      </c>
      <c r="N59" s="6">
        <v>12938</v>
      </c>
      <c r="P59" s="6">
        <v>13368</v>
      </c>
      <c r="Q59" s="6">
        <v>12945</v>
      </c>
    </row>
    <row r="60" spans="2:17">
      <c r="B60" s="6" t="s">
        <v>53</v>
      </c>
      <c r="N60" s="6">
        <v>9380</v>
      </c>
      <c r="P60" s="6">
        <v>12213</v>
      </c>
      <c r="Q60" s="6">
        <v>12268</v>
      </c>
    </row>
    <row r="61" spans="2:17">
      <c r="B61" s="6" t="s">
        <v>47</v>
      </c>
      <c r="C61" s="6">
        <f t="shared" ref="C61:P61" si="91">+SUM(C55:C60)</f>
        <v>0</v>
      </c>
      <c r="D61" s="6">
        <f t="shared" si="91"/>
        <v>0</v>
      </c>
      <c r="E61" s="6">
        <f t="shared" si="91"/>
        <v>0</v>
      </c>
      <c r="F61" s="6">
        <f t="shared" si="91"/>
        <v>0</v>
      </c>
      <c r="G61" s="6">
        <f t="shared" si="91"/>
        <v>0</v>
      </c>
      <c r="H61" s="6">
        <f t="shared" si="91"/>
        <v>0</v>
      </c>
      <c r="I61" s="6">
        <f t="shared" si="91"/>
        <v>0</v>
      </c>
      <c r="J61" s="6">
        <f t="shared" si="91"/>
        <v>0</v>
      </c>
      <c r="K61" s="6">
        <f t="shared" si="91"/>
        <v>0</v>
      </c>
      <c r="L61" s="6">
        <f t="shared" si="91"/>
        <v>0</v>
      </c>
      <c r="M61" s="6">
        <f t="shared" si="91"/>
        <v>0</v>
      </c>
      <c r="N61" s="6">
        <f t="shared" si="91"/>
        <v>119580</v>
      </c>
      <c r="O61" s="6">
        <f t="shared" si="91"/>
        <v>0</v>
      </c>
      <c r="P61" s="6">
        <f t="shared" si="91"/>
        <v>109698</v>
      </c>
      <c r="Q61" s="6">
        <f>+SUM(Q55:Q60)</f>
        <v>113057</v>
      </c>
    </row>
    <row r="62" spans="2:17">
      <c r="B62" s="6" t="s">
        <v>54</v>
      </c>
      <c r="N62" s="6">
        <v>318517</v>
      </c>
      <c r="P62" s="6">
        <v>289694</v>
      </c>
      <c r="Q62" s="6">
        <v>264278</v>
      </c>
    </row>
    <row r="63" spans="2:17">
      <c r="B63" s="6" t="s">
        <v>55</v>
      </c>
      <c r="N63" s="6">
        <v>361432</v>
      </c>
      <c r="P63" s="6">
        <v>369048</v>
      </c>
      <c r="Q63" s="6">
        <v>372057</v>
      </c>
    </row>
    <row r="64" spans="2:17">
      <c r="B64" s="6" t="s">
        <v>56</v>
      </c>
      <c r="N64" s="6">
        <v>17727</v>
      </c>
      <c r="P64" s="6">
        <v>17944</v>
      </c>
      <c r="Q64" s="6">
        <v>17114</v>
      </c>
    </row>
    <row r="65" spans="2:17">
      <c r="B65" s="6" t="s">
        <v>57</v>
      </c>
      <c r="N65" s="6">
        <v>14889</v>
      </c>
      <c r="P65" s="6">
        <v>12014</v>
      </c>
      <c r="Q65" s="6">
        <v>10808</v>
      </c>
    </row>
    <row r="66" spans="2:17" s="9" customFormat="1">
      <c r="B66" s="9" t="s">
        <v>58</v>
      </c>
      <c r="C66" s="9">
        <f t="shared" ref="C66:P66" si="92">+SUM(C61:C65)</f>
        <v>0</v>
      </c>
      <c r="D66" s="9">
        <f t="shared" si="92"/>
        <v>0</v>
      </c>
      <c r="E66" s="9">
        <f t="shared" si="92"/>
        <v>0</v>
      </c>
      <c r="F66" s="9">
        <f t="shared" si="92"/>
        <v>0</v>
      </c>
      <c r="G66" s="9">
        <f t="shared" si="92"/>
        <v>0</v>
      </c>
      <c r="H66" s="9">
        <f t="shared" si="92"/>
        <v>0</v>
      </c>
      <c r="I66" s="9">
        <f t="shared" si="92"/>
        <v>0</v>
      </c>
      <c r="J66" s="9">
        <f t="shared" si="92"/>
        <v>0</v>
      </c>
      <c r="K66" s="9">
        <f t="shared" si="92"/>
        <v>0</v>
      </c>
      <c r="L66" s="9">
        <f t="shared" si="92"/>
        <v>0</v>
      </c>
      <c r="M66" s="9">
        <f t="shared" si="92"/>
        <v>0</v>
      </c>
      <c r="N66" s="9">
        <f t="shared" si="92"/>
        <v>832145</v>
      </c>
      <c r="O66" s="9">
        <f t="shared" si="92"/>
        <v>0</v>
      </c>
      <c r="P66" s="9">
        <f t="shared" si="92"/>
        <v>798398</v>
      </c>
      <c r="Q66" s="9">
        <f>+SUM(Q61:Q65)</f>
        <v>777314</v>
      </c>
    </row>
    <row r="69" spans="2:17">
      <c r="B69" s="6" t="s">
        <v>60</v>
      </c>
      <c r="N69" s="6">
        <v>39336</v>
      </c>
      <c r="P69" s="6">
        <v>25890</v>
      </c>
      <c r="Q69" s="6">
        <v>30020</v>
      </c>
    </row>
    <row r="70" spans="2:17">
      <c r="B70" s="6" t="s">
        <v>61</v>
      </c>
      <c r="N70" s="6">
        <v>33666</v>
      </c>
      <c r="P70" s="6">
        <v>39350</v>
      </c>
      <c r="Q70" s="6">
        <v>37828</v>
      </c>
    </row>
    <row r="71" spans="2:17">
      <c r="B71" s="6" t="s">
        <v>62</v>
      </c>
      <c r="N71" s="6">
        <v>46944</v>
      </c>
      <c r="P71" s="6">
        <v>33808</v>
      </c>
      <c r="Q71" s="6">
        <v>31980</v>
      </c>
    </row>
    <row r="72" spans="2:17">
      <c r="B72" s="6" t="s">
        <v>63</v>
      </c>
      <c r="N72" s="6">
        <v>47394</v>
      </c>
      <c r="P72" s="6">
        <v>49213</v>
      </c>
      <c r="Q72" s="6">
        <v>50250</v>
      </c>
    </row>
    <row r="73" spans="2:17">
      <c r="B73" s="6" t="s">
        <v>16</v>
      </c>
      <c r="N73" s="6">
        <v>3375</v>
      </c>
      <c r="P73" s="6">
        <v>2875</v>
      </c>
      <c r="Q73" s="6">
        <v>875</v>
      </c>
    </row>
    <row r="74" spans="2:17">
      <c r="B74" s="6" t="s">
        <v>64</v>
      </c>
      <c r="N74" s="6">
        <v>49498</v>
      </c>
      <c r="P74" s="6">
        <v>53208</v>
      </c>
      <c r="Q74" s="6">
        <v>53495</v>
      </c>
    </row>
    <row r="75" spans="2:17">
      <c r="B75" s="6" t="s">
        <v>59</v>
      </c>
      <c r="C75" s="6">
        <f t="shared" ref="C75:P75" si="93">+SUM(C69:C74)</f>
        <v>0</v>
      </c>
      <c r="D75" s="6">
        <f t="shared" si="93"/>
        <v>0</v>
      </c>
      <c r="E75" s="6">
        <f t="shared" si="93"/>
        <v>0</v>
      </c>
      <c r="F75" s="6">
        <f t="shared" si="93"/>
        <v>0</v>
      </c>
      <c r="G75" s="6">
        <f t="shared" si="93"/>
        <v>0</v>
      </c>
      <c r="H75" s="6">
        <f t="shared" si="93"/>
        <v>0</v>
      </c>
      <c r="I75" s="6">
        <f t="shared" si="93"/>
        <v>0</v>
      </c>
      <c r="J75" s="6">
        <f t="shared" si="93"/>
        <v>0</v>
      </c>
      <c r="K75" s="6">
        <f t="shared" si="93"/>
        <v>0</v>
      </c>
      <c r="L75" s="6">
        <f t="shared" si="93"/>
        <v>0</v>
      </c>
      <c r="M75" s="6">
        <f t="shared" si="93"/>
        <v>0</v>
      </c>
      <c r="N75" s="6">
        <f t="shared" si="93"/>
        <v>220213</v>
      </c>
      <c r="O75" s="6">
        <f t="shared" si="93"/>
        <v>0</v>
      </c>
      <c r="P75" s="6">
        <f t="shared" si="93"/>
        <v>204344</v>
      </c>
      <c r="Q75" s="6">
        <f>+SUM(Q69:Q74)</f>
        <v>204448</v>
      </c>
    </row>
    <row r="76" spans="2:17">
      <c r="B76" s="6" t="s">
        <v>65</v>
      </c>
      <c r="N76" s="6">
        <v>203155</v>
      </c>
      <c r="P76" s="6">
        <v>188090</v>
      </c>
      <c r="Q76" s="6">
        <v>182142</v>
      </c>
    </row>
    <row r="77" spans="2:17">
      <c r="B77" s="6" t="s">
        <v>63</v>
      </c>
      <c r="N77" s="6">
        <v>393157</v>
      </c>
      <c r="P77" s="6">
        <v>391370</v>
      </c>
      <c r="Q77" s="6">
        <v>389416</v>
      </c>
    </row>
    <row r="78" spans="2:17">
      <c r="B78" s="6" t="s">
        <v>66</v>
      </c>
      <c r="N78" s="6">
        <v>13831</v>
      </c>
      <c r="P78" s="6">
        <v>11568</v>
      </c>
      <c r="Q78" s="6">
        <v>10051</v>
      </c>
    </row>
    <row r="79" spans="2:17">
      <c r="B79" s="6" t="s">
        <v>67</v>
      </c>
      <c r="N79" s="6">
        <f>SUM(N75:N78)</f>
        <v>830356</v>
      </c>
      <c r="P79" s="6">
        <f>SUM(P75:P78)</f>
        <v>795372</v>
      </c>
      <c r="Q79" s="6">
        <f>SUM(Q75:Q78)</f>
        <v>786057</v>
      </c>
    </row>
    <row r="80" spans="2:17">
      <c r="B80" s="6" t="s">
        <v>69</v>
      </c>
      <c r="N80" s="6">
        <v>1789</v>
      </c>
      <c r="P80" s="6">
        <v>3026</v>
      </c>
      <c r="Q80" s="6">
        <v>-8743</v>
      </c>
    </row>
    <row r="81" spans="2:17" s="9" customFormat="1">
      <c r="B81" s="9" t="s">
        <v>68</v>
      </c>
      <c r="C81" s="9">
        <f t="shared" ref="C81:P81" si="94">+SUM(C79:C80)</f>
        <v>0</v>
      </c>
      <c r="D81" s="9">
        <f t="shared" si="94"/>
        <v>0</v>
      </c>
      <c r="E81" s="9">
        <f t="shared" si="94"/>
        <v>0</v>
      </c>
      <c r="F81" s="9">
        <f t="shared" si="94"/>
        <v>0</v>
      </c>
      <c r="G81" s="9">
        <f t="shared" si="94"/>
        <v>0</v>
      </c>
      <c r="H81" s="9">
        <f t="shared" si="94"/>
        <v>0</v>
      </c>
      <c r="I81" s="9">
        <f t="shared" si="94"/>
        <v>0</v>
      </c>
      <c r="J81" s="9">
        <f t="shared" si="94"/>
        <v>0</v>
      </c>
      <c r="K81" s="9">
        <f t="shared" si="94"/>
        <v>0</v>
      </c>
      <c r="L81" s="9">
        <f t="shared" si="94"/>
        <v>0</v>
      </c>
      <c r="M81" s="9">
        <f t="shared" si="94"/>
        <v>0</v>
      </c>
      <c r="N81" s="9">
        <f t="shared" si="94"/>
        <v>832145</v>
      </c>
      <c r="O81" s="9">
        <f t="shared" si="94"/>
        <v>0</v>
      </c>
      <c r="P81" s="9">
        <f t="shared" si="94"/>
        <v>798398</v>
      </c>
      <c r="Q81" s="9">
        <f>+SUM(Q79:Q80)</f>
        <v>777314</v>
      </c>
    </row>
    <row r="82" spans="2:17" s="18" customFormat="1">
      <c r="B82" s="18" t="s">
        <v>70</v>
      </c>
      <c r="N82" s="18">
        <f>+N81-N66</f>
        <v>0</v>
      </c>
      <c r="O82" s="18">
        <f>+O81-O66</f>
        <v>0</v>
      </c>
      <c r="P82" s="18">
        <f>+P81-P66</f>
        <v>0</v>
      </c>
      <c r="Q82" s="18">
        <f>+Q81-Q66</f>
        <v>0</v>
      </c>
    </row>
    <row r="85" spans="2:17">
      <c r="B85" s="6" t="s">
        <v>83</v>
      </c>
      <c r="N85" s="6">
        <v>15000</v>
      </c>
      <c r="Q85" s="6">
        <v>0</v>
      </c>
    </row>
    <row r="86" spans="2:17">
      <c r="B86" s="6" t="s">
        <v>78</v>
      </c>
      <c r="N86" s="6">
        <v>199000</v>
      </c>
      <c r="Q86" s="6">
        <v>189142</v>
      </c>
    </row>
    <row r="87" spans="2:17">
      <c r="B87" s="6" t="s">
        <v>79</v>
      </c>
      <c r="N87" s="6">
        <v>875</v>
      </c>
      <c r="Q87" s="6">
        <f>+Q73</f>
        <v>875</v>
      </c>
    </row>
    <row r="88" spans="2:17">
      <c r="B88" s="6" t="s">
        <v>80</v>
      </c>
      <c r="N88" s="6">
        <f>SUM(N85:N87)</f>
        <v>214875</v>
      </c>
      <c r="Q88" s="6">
        <f>SUM(Q86:Q87)</f>
        <v>190017</v>
      </c>
    </row>
    <row r="89" spans="2:17">
      <c r="B89" s="6" t="s">
        <v>81</v>
      </c>
      <c r="N89" s="6">
        <v>8345</v>
      </c>
      <c r="Q89" s="6">
        <v>7000</v>
      </c>
    </row>
    <row r="90" spans="2:17">
      <c r="B90" s="6" t="s">
        <v>82</v>
      </c>
      <c r="N90" s="6">
        <v>3375</v>
      </c>
      <c r="Q90" s="6">
        <f>+Q87</f>
        <v>875</v>
      </c>
    </row>
    <row r="91" spans="2:17">
      <c r="B91" s="9" t="s">
        <v>65</v>
      </c>
      <c r="N91" s="6">
        <f>+N88-SUM(N89:N90)</f>
        <v>203155</v>
      </c>
      <c r="O91" s="6">
        <f>+O88-SUM(O89:O90)</f>
        <v>0</v>
      </c>
      <c r="P91" s="6">
        <f>+P88-SUM(P89:P90)</f>
        <v>0</v>
      </c>
      <c r="Q91" s="6">
        <f>+Q88-SUM(Q89:Q90)</f>
        <v>182142</v>
      </c>
    </row>
    <row r="92" spans="2:17" s="9" customFormat="1">
      <c r="J92" s="17"/>
      <c r="N92" s="6"/>
      <c r="O92" s="6"/>
      <c r="P92" s="6"/>
    </row>
    <row r="94" spans="2:17">
      <c r="B94" s="6" t="s">
        <v>84</v>
      </c>
      <c r="C94" s="6">
        <f t="shared" ref="C94:Q94" si="95">+C73+C76</f>
        <v>0</v>
      </c>
      <c r="D94" s="6">
        <f t="shared" si="95"/>
        <v>0</v>
      </c>
      <c r="E94" s="6">
        <f t="shared" si="95"/>
        <v>0</v>
      </c>
      <c r="F94" s="6">
        <f t="shared" si="95"/>
        <v>0</v>
      </c>
      <c r="G94" s="6">
        <f t="shared" si="95"/>
        <v>0</v>
      </c>
      <c r="H94" s="6">
        <f t="shared" si="95"/>
        <v>0</v>
      </c>
      <c r="I94" s="6">
        <f t="shared" si="95"/>
        <v>0</v>
      </c>
      <c r="J94" s="6">
        <f t="shared" si="95"/>
        <v>0</v>
      </c>
      <c r="K94" s="6">
        <f t="shared" si="95"/>
        <v>0</v>
      </c>
      <c r="L94" s="6">
        <f t="shared" si="95"/>
        <v>0</v>
      </c>
      <c r="M94" s="6">
        <f t="shared" si="95"/>
        <v>0</v>
      </c>
      <c r="N94" s="6">
        <f t="shared" si="95"/>
        <v>206530</v>
      </c>
      <c r="O94" s="6">
        <f t="shared" si="95"/>
        <v>0</v>
      </c>
      <c r="P94" s="6">
        <f t="shared" si="95"/>
        <v>190965</v>
      </c>
      <c r="Q94" s="6">
        <f>+Q73+Q76</f>
        <v>183017</v>
      </c>
    </row>
  </sheetData>
  <pageMargins left="0.7" right="0.7" top="0.75" bottom="0.75" header="0.3" footer="0.3"/>
  <ignoredErrors>
    <ignoredError sqref="J12:Q28 AD20:AN25 R15:R19 AD26:AD27" formula="1"/>
  </ignoredErrors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12457-53F2-024F-BED2-78AEA8A45267}">
  <dimension ref="A1"/>
  <sheetViews>
    <sheetView workbookViewId="0">
      <selection activeCell="C61" sqref="C61"/>
    </sheetView>
  </sheetViews>
  <sheetFormatPr baseColWidth="10" defaultRowHeight="1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Model</vt:lpstr>
      <vt:lpstr>Bonds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Brannon, Jameel A.</dc:creator>
  <cp:lastModifiedBy>jameelbrannon</cp:lastModifiedBy>
  <dcterms:created xsi:type="dcterms:W3CDTF">2022-10-27T01:52:37Z</dcterms:created>
  <dcterms:modified xsi:type="dcterms:W3CDTF">2024-01-19T05:58:25Z</dcterms:modified>
</cp:coreProperties>
</file>