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elbrannon/Dropbox/Models/"/>
    </mc:Choice>
  </mc:AlternateContent>
  <xr:revisionPtr revIDLastSave="0" documentId="8_{33930756-74CF-7741-A299-52E001BA328D}" xr6:coauthVersionLast="47" xr6:coauthVersionMax="47" xr10:uidLastSave="{00000000-0000-0000-0000-000000000000}"/>
  <bookViews>
    <workbookView xWindow="5060" yWindow="500" windowWidth="38160" windowHeight="24560" xr2:uid="{39773B44-95BC-A641-A327-344C16B2EF1F}"/>
  </bookViews>
  <sheets>
    <sheet name="Main" sheetId="2" r:id="rId1"/>
    <sheet name="Model" sheetId="1" r:id="rId2"/>
    <sheet name="Bon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D70" i="1" l="1"/>
  <c r="BD64" i="1"/>
  <c r="BD60" i="1"/>
  <c r="BD59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Z50" i="1"/>
  <c r="AP50" i="1"/>
  <c r="AQ50" i="1"/>
  <c r="AR50" i="1"/>
  <c r="AS50" i="1"/>
  <c r="BD46" i="1"/>
  <c r="BD45" i="1"/>
  <c r="AV54" i="1"/>
  <c r="AW54" i="1" s="1"/>
  <c r="AX54" i="1" s="1"/>
  <c r="AY54" i="1" s="1"/>
  <c r="AZ54" i="1" s="1"/>
  <c r="BA54" i="1" s="1"/>
  <c r="BB54" i="1" s="1"/>
  <c r="BC54" i="1" s="1"/>
  <c r="BD54" i="1" s="1"/>
  <c r="AT70" i="1"/>
  <c r="AU70" i="1" s="1"/>
  <c r="AV70" i="1" s="1"/>
  <c r="AW70" i="1" s="1"/>
  <c r="AX70" i="1" s="1"/>
  <c r="AY70" i="1" s="1"/>
  <c r="AZ70" i="1" s="1"/>
  <c r="BA70" i="1" s="1"/>
  <c r="BB70" i="1" s="1"/>
  <c r="BC70" i="1" s="1"/>
  <c r="Q113" i="1"/>
  <c r="P113" i="1"/>
  <c r="O113" i="1"/>
  <c r="N113" i="1"/>
  <c r="M113" i="1"/>
  <c r="L112" i="1"/>
  <c r="K112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Z104" i="1"/>
  <c r="Z105" i="1" s="1"/>
  <c r="Y104" i="1"/>
  <c r="Y105" i="1" s="1"/>
  <c r="Y106" i="1" s="1"/>
  <c r="X104" i="1"/>
  <c r="X105" i="1" s="1"/>
  <c r="X106" i="1" s="1"/>
  <c r="W104" i="1"/>
  <c r="W105" i="1" s="1"/>
  <c r="W106" i="1" s="1"/>
  <c r="V104" i="1"/>
  <c r="V105" i="1" s="1"/>
  <c r="V106" i="1" s="1"/>
  <c r="U104" i="1"/>
  <c r="U105" i="1" s="1"/>
  <c r="U106" i="1" s="1"/>
  <c r="T104" i="1"/>
  <c r="T105" i="1" s="1"/>
  <c r="T106" i="1" s="1"/>
  <c r="S104" i="1"/>
  <c r="S105" i="1" s="1"/>
  <c r="S106" i="1" s="1"/>
  <c r="R104" i="1"/>
  <c r="R105" i="1" s="1"/>
  <c r="R106" i="1" s="1"/>
  <c r="Q104" i="1"/>
  <c r="Q105" i="1" s="1"/>
  <c r="Q106" i="1" s="1"/>
  <c r="P104" i="1"/>
  <c r="P105" i="1" s="1"/>
  <c r="P106" i="1" s="1"/>
  <c r="O104" i="1"/>
  <c r="O105" i="1" s="1"/>
  <c r="O106" i="1" s="1"/>
  <c r="N104" i="1"/>
  <c r="N105" i="1" s="1"/>
  <c r="N106" i="1" s="1"/>
  <c r="M104" i="1"/>
  <c r="M105" i="1" s="1"/>
  <c r="M106" i="1" s="1"/>
  <c r="L104" i="1"/>
  <c r="L105" i="1" s="1"/>
  <c r="L106" i="1" s="1"/>
  <c r="K104" i="1"/>
  <c r="K105" i="1" s="1"/>
  <c r="K106" i="1" s="1"/>
  <c r="J104" i="1"/>
  <c r="J105" i="1" s="1"/>
  <c r="J106" i="1" s="1"/>
  <c r="B6" i="2"/>
  <c r="Z94" i="1"/>
  <c r="Z99" i="1" s="1"/>
  <c r="Z101" i="1" s="1"/>
  <c r="Z75" i="1"/>
  <c r="Z84" i="1" s="1"/>
  <c r="Z69" i="1"/>
  <c r="AT69" i="1" s="1"/>
  <c r="Z48" i="1"/>
  <c r="Z46" i="1"/>
  <c r="Z45" i="1"/>
  <c r="Z44" i="1"/>
  <c r="Z42" i="1"/>
  <c r="Z41" i="1"/>
  <c r="Z39" i="1"/>
  <c r="Z38" i="1"/>
  <c r="Z37" i="1"/>
  <c r="Z36" i="1"/>
  <c r="Z35" i="1"/>
  <c r="Z113" i="1" s="1"/>
  <c r="Z33" i="1"/>
  <c r="Z32" i="1"/>
  <c r="Z31" i="1"/>
  <c r="Z63" i="1"/>
  <c r="Z62" i="1"/>
  <c r="Z61" i="1"/>
  <c r="AT34" i="1"/>
  <c r="I7" i="2"/>
  <c r="I6" i="2"/>
  <c r="Z14" i="1"/>
  <c r="AT14" i="1" s="1"/>
  <c r="AU14" i="1" s="1"/>
  <c r="AU17" i="1" s="1"/>
  <c r="Z16" i="1"/>
  <c r="Z15" i="1"/>
  <c r="Y16" i="1"/>
  <c r="Y15" i="1"/>
  <c r="Y113" i="1"/>
  <c r="Y112" i="1"/>
  <c r="Y94" i="1"/>
  <c r="Y99" i="1" s="1"/>
  <c r="Y101" i="1" s="1"/>
  <c r="Y75" i="1"/>
  <c r="Y84" i="1" s="1"/>
  <c r="Y69" i="1"/>
  <c r="Y29" i="1"/>
  <c r="Y28" i="1"/>
  <c r="Y27" i="1"/>
  <c r="Y14" i="1"/>
  <c r="Y63" i="1"/>
  <c r="Y62" i="1"/>
  <c r="Y61" i="1"/>
  <c r="Y40" i="1"/>
  <c r="Y34" i="1"/>
  <c r="AQ17" i="1"/>
  <c r="AT10" i="1"/>
  <c r="AS10" i="1"/>
  <c r="AT6" i="1"/>
  <c r="AS6" i="1"/>
  <c r="T4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X215" i="1"/>
  <c r="X75" i="1"/>
  <c r="X84" i="1" s="1"/>
  <c r="X69" i="1"/>
  <c r="T63" i="1"/>
  <c r="X63" i="1"/>
  <c r="T62" i="1"/>
  <c r="X62" i="1"/>
  <c r="T61" i="1"/>
  <c r="X61" i="1"/>
  <c r="W16" i="1"/>
  <c r="V16" i="1"/>
  <c r="U16" i="1"/>
  <c r="T16" i="1"/>
  <c r="S16" i="1"/>
  <c r="R16" i="1"/>
  <c r="Q16" i="1"/>
  <c r="P16" i="1"/>
  <c r="W15" i="1"/>
  <c r="V15" i="1"/>
  <c r="U15" i="1"/>
  <c r="T15" i="1"/>
  <c r="S15" i="1"/>
  <c r="R15" i="1"/>
  <c r="Q15" i="1"/>
  <c r="P15" i="1"/>
  <c r="X16" i="1"/>
  <c r="X15" i="1"/>
  <c r="AO180" i="1"/>
  <c r="AP180" i="1"/>
  <c r="AQ180" i="1"/>
  <c r="AR180" i="1"/>
  <c r="AQ183" i="1"/>
  <c r="AQ191" i="1" s="1"/>
  <c r="AR184" i="1"/>
  <c r="AR183" i="1"/>
  <c r="AS183" i="1"/>
  <c r="AS191" i="1" s="1"/>
  <c r="AS180" i="1"/>
  <c r="AO191" i="1"/>
  <c r="AP191" i="1"/>
  <c r="AS171" i="1"/>
  <c r="V24" i="1"/>
  <c r="AS24" i="1" s="1"/>
  <c r="V23" i="1"/>
  <c r="V22" i="1"/>
  <c r="AS22" i="1" s="1"/>
  <c r="W27" i="1"/>
  <c r="X27" i="1"/>
  <c r="W28" i="1"/>
  <c r="X28" i="1"/>
  <c r="W29" i="1"/>
  <c r="X29" i="1"/>
  <c r="X190" i="1"/>
  <c r="X188" i="1"/>
  <c r="X186" i="1"/>
  <c r="W191" i="1"/>
  <c r="X175" i="1"/>
  <c r="X174" i="1"/>
  <c r="W180" i="1"/>
  <c r="W40" i="1"/>
  <c r="W34" i="1"/>
  <c r="X154" i="1"/>
  <c r="X192" i="1"/>
  <c r="X189" i="1"/>
  <c r="X187" i="1"/>
  <c r="X185" i="1"/>
  <c r="X184" i="1"/>
  <c r="X183" i="1"/>
  <c r="X178" i="1"/>
  <c r="X177" i="1"/>
  <c r="X176" i="1"/>
  <c r="X170" i="1"/>
  <c r="X169" i="1"/>
  <c r="X168" i="1"/>
  <c r="X167" i="1"/>
  <c r="X165" i="1"/>
  <c r="X164" i="1"/>
  <c r="X163" i="1"/>
  <c r="X162" i="1"/>
  <c r="X161" i="1"/>
  <c r="X159" i="1"/>
  <c r="X158" i="1"/>
  <c r="X157" i="1"/>
  <c r="X156" i="1"/>
  <c r="X155" i="1"/>
  <c r="X153" i="1"/>
  <c r="X113" i="1"/>
  <c r="X112" i="1"/>
  <c r="X94" i="1"/>
  <c r="X99" i="1" s="1"/>
  <c r="X101" i="1" s="1"/>
  <c r="X40" i="1"/>
  <c r="X34" i="1"/>
  <c r="X14" i="1"/>
  <c r="W14" i="1"/>
  <c r="V191" i="1"/>
  <c r="U191" i="1"/>
  <c r="T191" i="1"/>
  <c r="V180" i="1"/>
  <c r="U180" i="1"/>
  <c r="T180" i="1"/>
  <c r="V171" i="1"/>
  <c r="U171" i="1"/>
  <c r="T171" i="1"/>
  <c r="W113" i="1"/>
  <c r="W112" i="1"/>
  <c r="W94" i="1"/>
  <c r="W99" i="1" s="1"/>
  <c r="W101" i="1" s="1"/>
  <c r="W75" i="1"/>
  <c r="W84" i="1" s="1"/>
  <c r="W69" i="1"/>
  <c r="I10" i="2"/>
  <c r="V69" i="1"/>
  <c r="BI63" i="1" s="1"/>
  <c r="V113" i="1"/>
  <c r="V112" i="1"/>
  <c r="V94" i="1"/>
  <c r="V99" i="1" s="1"/>
  <c r="V101" i="1" s="1"/>
  <c r="V75" i="1"/>
  <c r="V84" i="1" s="1"/>
  <c r="AR92" i="1"/>
  <c r="V14" i="1"/>
  <c r="AS14" i="1" s="1"/>
  <c r="AS48" i="1"/>
  <c r="AS46" i="1"/>
  <c r="AS45" i="1"/>
  <c r="AS44" i="1"/>
  <c r="AS41" i="1"/>
  <c r="AS39" i="1"/>
  <c r="AS38" i="1"/>
  <c r="AS37" i="1"/>
  <c r="AS36" i="1"/>
  <c r="AS35" i="1"/>
  <c r="AS33" i="1"/>
  <c r="AS32" i="1"/>
  <c r="AS31" i="1"/>
  <c r="V34" i="1"/>
  <c r="I34" i="1"/>
  <c r="H34" i="1"/>
  <c r="AU45" i="1" l="1"/>
  <c r="BE54" i="1"/>
  <c r="BF54" i="1" s="1"/>
  <c r="BG54" i="1" s="1"/>
  <c r="BH54" i="1" s="1"/>
  <c r="BI54" i="1" s="1"/>
  <c r="BJ54" i="1" s="1"/>
  <c r="BK54" i="1" s="1"/>
  <c r="BL54" i="1" s="1"/>
  <c r="BM54" i="1" s="1"/>
  <c r="BN54" i="1" s="1"/>
  <c r="BO54" i="1" s="1"/>
  <c r="BP54" i="1" s="1"/>
  <c r="BQ54" i="1" s="1"/>
  <c r="BR54" i="1" s="1"/>
  <c r="BS54" i="1" s="1"/>
  <c r="BT54" i="1" s="1"/>
  <c r="BU54" i="1" s="1"/>
  <c r="BV54" i="1" s="1"/>
  <c r="BW54" i="1" s="1"/>
  <c r="BX54" i="1" s="1"/>
  <c r="BY54" i="1" s="1"/>
  <c r="BZ54" i="1" s="1"/>
  <c r="CA54" i="1" s="1"/>
  <c r="CB54" i="1" s="1"/>
  <c r="CC54" i="1" s="1"/>
  <c r="CD54" i="1" s="1"/>
  <c r="CE54" i="1" s="1"/>
  <c r="CF54" i="1" s="1"/>
  <c r="CG54" i="1" s="1"/>
  <c r="CH54" i="1" s="1"/>
  <c r="CI54" i="1" s="1"/>
  <c r="CJ54" i="1" s="1"/>
  <c r="CK54" i="1" s="1"/>
  <c r="CL54" i="1" s="1"/>
  <c r="CM54" i="1" s="1"/>
  <c r="CN54" i="1" s="1"/>
  <c r="CO54" i="1" s="1"/>
  <c r="CP54" i="1" s="1"/>
  <c r="CQ54" i="1" s="1"/>
  <c r="CR54" i="1" s="1"/>
  <c r="CS54" i="1" s="1"/>
  <c r="CT54" i="1" s="1"/>
  <c r="CU54" i="1" s="1"/>
  <c r="CV54" i="1" s="1"/>
  <c r="CW54" i="1" s="1"/>
  <c r="CX54" i="1" s="1"/>
  <c r="CY54" i="1" s="1"/>
  <c r="CZ54" i="1" s="1"/>
  <c r="DA54" i="1" s="1"/>
  <c r="DB54" i="1" s="1"/>
  <c r="DC54" i="1" s="1"/>
  <c r="DD54" i="1" s="1"/>
  <c r="DE54" i="1" s="1"/>
  <c r="DF54" i="1" s="1"/>
  <c r="DG54" i="1" s="1"/>
  <c r="DH54" i="1" s="1"/>
  <c r="DI54" i="1" s="1"/>
  <c r="DJ54" i="1" s="1"/>
  <c r="DK54" i="1" s="1"/>
  <c r="DL54" i="1" s="1"/>
  <c r="DM54" i="1" s="1"/>
  <c r="DN54" i="1" s="1"/>
  <c r="DO54" i="1" s="1"/>
  <c r="DP54" i="1" s="1"/>
  <c r="DQ54" i="1" s="1"/>
  <c r="DR54" i="1" s="1"/>
  <c r="DS54" i="1" s="1"/>
  <c r="DT54" i="1" s="1"/>
  <c r="DU54" i="1" s="1"/>
  <c r="DV54" i="1" s="1"/>
  <c r="DW54" i="1" s="1"/>
  <c r="DX54" i="1" s="1"/>
  <c r="DY54" i="1" s="1"/>
  <c r="DZ54" i="1" s="1"/>
  <c r="EA54" i="1" s="1"/>
  <c r="EB54" i="1" s="1"/>
  <c r="EC54" i="1" s="1"/>
  <c r="ED54" i="1" s="1"/>
  <c r="EE54" i="1" s="1"/>
  <c r="EF54" i="1" s="1"/>
  <c r="EG54" i="1" s="1"/>
  <c r="EH54" i="1" s="1"/>
  <c r="EI54" i="1" s="1"/>
  <c r="EJ54" i="1" s="1"/>
  <c r="EK54" i="1" s="1"/>
  <c r="EL54" i="1" s="1"/>
  <c r="EM54" i="1" s="1"/>
  <c r="EN54" i="1" s="1"/>
  <c r="EO54" i="1" s="1"/>
  <c r="EP54" i="1" s="1"/>
  <c r="EQ54" i="1" s="1"/>
  <c r="ER54" i="1" s="1"/>
  <c r="ES54" i="1" s="1"/>
  <c r="ET54" i="1" s="1"/>
  <c r="EU54" i="1" s="1"/>
  <c r="EV54" i="1" s="1"/>
  <c r="EW54" i="1" s="1"/>
  <c r="EX54" i="1" s="1"/>
  <c r="EY54" i="1" s="1"/>
  <c r="EZ54" i="1" s="1"/>
  <c r="FA54" i="1" s="1"/>
  <c r="FB54" i="1" s="1"/>
  <c r="FC54" i="1" s="1"/>
  <c r="FD54" i="1" s="1"/>
  <c r="FE54" i="1" s="1"/>
  <c r="FF54" i="1" s="1"/>
  <c r="FG54" i="1" s="1"/>
  <c r="FH54" i="1" s="1"/>
  <c r="FI54" i="1" s="1"/>
  <c r="FJ54" i="1" s="1"/>
  <c r="FK54" i="1" s="1"/>
  <c r="FL54" i="1" s="1"/>
  <c r="FM54" i="1" s="1"/>
  <c r="FN54" i="1" s="1"/>
  <c r="FO54" i="1" s="1"/>
  <c r="FP54" i="1" s="1"/>
  <c r="FQ54" i="1" s="1"/>
  <c r="FR54" i="1" s="1"/>
  <c r="FS54" i="1" s="1"/>
  <c r="FT54" i="1" s="1"/>
  <c r="FU54" i="1" s="1"/>
  <c r="FV54" i="1" s="1"/>
  <c r="FW54" i="1" s="1"/>
  <c r="FX54" i="1" s="1"/>
  <c r="FY54" i="1" s="1"/>
  <c r="FZ54" i="1" s="1"/>
  <c r="GA54" i="1" s="1"/>
  <c r="GB54" i="1" s="1"/>
  <c r="GC54" i="1" s="1"/>
  <c r="GD54" i="1" s="1"/>
  <c r="GE54" i="1" s="1"/>
  <c r="GF54" i="1" s="1"/>
  <c r="GG54" i="1" s="1"/>
  <c r="GH54" i="1" s="1"/>
  <c r="GI54" i="1" s="1"/>
  <c r="GJ54" i="1" s="1"/>
  <c r="GK54" i="1" s="1"/>
  <c r="GL54" i="1" s="1"/>
  <c r="GM54" i="1" s="1"/>
  <c r="GN54" i="1" s="1"/>
  <c r="GO54" i="1" s="1"/>
  <c r="GP54" i="1" s="1"/>
  <c r="GQ54" i="1" s="1"/>
  <c r="GR54" i="1" s="1"/>
  <c r="GS54" i="1" s="1"/>
  <c r="GT54" i="1" s="1"/>
  <c r="GU54" i="1" s="1"/>
  <c r="GV54" i="1" s="1"/>
  <c r="GW54" i="1" s="1"/>
  <c r="GX54" i="1" s="1"/>
  <c r="GY54" i="1" s="1"/>
  <c r="GZ54" i="1" s="1"/>
  <c r="HA54" i="1" s="1"/>
  <c r="HB54" i="1" s="1"/>
  <c r="HC54" i="1" s="1"/>
  <c r="HD54" i="1" s="1"/>
  <c r="HE54" i="1" s="1"/>
  <c r="HF54" i="1" s="1"/>
  <c r="HG54" i="1" s="1"/>
  <c r="HH54" i="1" s="1"/>
  <c r="HI54" i="1" s="1"/>
  <c r="HJ54" i="1" s="1"/>
  <c r="HK54" i="1" s="1"/>
  <c r="HL54" i="1" s="1"/>
  <c r="HM54" i="1" s="1"/>
  <c r="HN54" i="1" s="1"/>
  <c r="HO54" i="1" s="1"/>
  <c r="HP54" i="1" s="1"/>
  <c r="HQ54" i="1" s="1"/>
  <c r="HR54" i="1" s="1"/>
  <c r="HS54" i="1" s="1"/>
  <c r="HT54" i="1" s="1"/>
  <c r="HU54" i="1" s="1"/>
  <c r="J111" i="1"/>
  <c r="Z111" i="1"/>
  <c r="M111" i="1"/>
  <c r="P111" i="1"/>
  <c r="R111" i="1"/>
  <c r="X111" i="1"/>
  <c r="L111" i="1"/>
  <c r="T111" i="1"/>
  <c r="U111" i="1"/>
  <c r="N111" i="1"/>
  <c r="V111" i="1"/>
  <c r="O111" i="1"/>
  <c r="W111" i="1"/>
  <c r="Q111" i="1"/>
  <c r="Y111" i="1"/>
  <c r="K111" i="1"/>
  <c r="S111" i="1"/>
  <c r="Y18" i="1"/>
  <c r="Z34" i="1"/>
  <c r="Z59" i="1" s="1"/>
  <c r="Y43" i="1"/>
  <c r="Z108" i="1"/>
  <c r="Z112" i="1"/>
  <c r="Z40" i="1"/>
  <c r="Y108" i="1"/>
  <c r="AT11" i="1"/>
  <c r="AP193" i="1"/>
  <c r="AO193" i="1"/>
  <c r="AR191" i="1"/>
  <c r="AR193" i="1" s="1"/>
  <c r="X18" i="1"/>
  <c r="X43" i="1"/>
  <c r="T193" i="1"/>
  <c r="W18" i="1"/>
  <c r="V28" i="1"/>
  <c r="AS193" i="1"/>
  <c r="V193" i="1"/>
  <c r="AQ193" i="1"/>
  <c r="V29" i="1"/>
  <c r="U193" i="1"/>
  <c r="AS23" i="1"/>
  <c r="AS28" i="1" s="1"/>
  <c r="V27" i="1"/>
  <c r="X180" i="1" s="1"/>
  <c r="W43" i="1"/>
  <c r="W47" i="1" s="1"/>
  <c r="W49" i="1" s="1"/>
  <c r="W51" i="1" s="1"/>
  <c r="X191" i="1"/>
  <c r="X171" i="1"/>
  <c r="X108" i="1"/>
  <c r="W108" i="1"/>
  <c r="W171" i="1"/>
  <c r="W193" i="1" s="1"/>
  <c r="V18" i="1"/>
  <c r="Z18" i="1" s="1"/>
  <c r="V108" i="1"/>
  <c r="U113" i="1"/>
  <c r="U112" i="1"/>
  <c r="U94" i="1"/>
  <c r="U99" i="1" s="1"/>
  <c r="U101" i="1" s="1"/>
  <c r="U75" i="1"/>
  <c r="U84" i="1" s="1"/>
  <c r="U69" i="1"/>
  <c r="T29" i="1"/>
  <c r="T28" i="1"/>
  <c r="T27" i="1"/>
  <c r="T14" i="1"/>
  <c r="U29" i="1"/>
  <c r="U28" i="1"/>
  <c r="U27" i="1"/>
  <c r="U14" i="1"/>
  <c r="U40" i="1"/>
  <c r="U34" i="1"/>
  <c r="Y59" i="1" s="1"/>
  <c r="T113" i="1"/>
  <c r="T112" i="1"/>
  <c r="T94" i="1"/>
  <c r="T99" i="1" s="1"/>
  <c r="T101" i="1" s="1"/>
  <c r="T75" i="1"/>
  <c r="T84" i="1" s="1"/>
  <c r="S69" i="1"/>
  <c r="T69" i="1"/>
  <c r="T34" i="1"/>
  <c r="X59" i="1" s="1"/>
  <c r="S112" i="1"/>
  <c r="R112" i="1"/>
  <c r="Q112" i="1"/>
  <c r="P112" i="1"/>
  <c r="O112" i="1"/>
  <c r="N112" i="1"/>
  <c r="M112" i="1"/>
  <c r="J112" i="1"/>
  <c r="R113" i="1"/>
  <c r="L113" i="1"/>
  <c r="K113" i="1"/>
  <c r="J113" i="1"/>
  <c r="S113" i="1"/>
  <c r="AR95" i="1"/>
  <c r="AS95" i="1" s="1"/>
  <c r="AT95" i="1" s="1"/>
  <c r="AU95" i="1" s="1"/>
  <c r="AV95" i="1" s="1"/>
  <c r="AW95" i="1" s="1"/>
  <c r="AX95" i="1" s="1"/>
  <c r="AY95" i="1" s="1"/>
  <c r="AZ95" i="1" s="1"/>
  <c r="BA95" i="1" s="1"/>
  <c r="BB95" i="1" s="1"/>
  <c r="K94" i="1"/>
  <c r="K99" i="1" s="1"/>
  <c r="K101" i="1" s="1"/>
  <c r="K75" i="1"/>
  <c r="K69" i="1"/>
  <c r="L94" i="1"/>
  <c r="L99" i="1" s="1"/>
  <c r="L101" i="1" s="1"/>
  <c r="L75" i="1"/>
  <c r="L69" i="1"/>
  <c r="J69" i="1"/>
  <c r="J94" i="1"/>
  <c r="J99" i="1" s="1"/>
  <c r="J101" i="1" s="1"/>
  <c r="J75" i="1"/>
  <c r="M94" i="1"/>
  <c r="M99" i="1" s="1"/>
  <c r="M101" i="1" s="1"/>
  <c r="M75" i="1"/>
  <c r="M69" i="1"/>
  <c r="G27" i="1"/>
  <c r="H27" i="1"/>
  <c r="I27" i="1"/>
  <c r="G28" i="1"/>
  <c r="H28" i="1"/>
  <c r="I28" i="1"/>
  <c r="G29" i="1"/>
  <c r="H29" i="1"/>
  <c r="I29" i="1"/>
  <c r="C40" i="1"/>
  <c r="C34" i="1"/>
  <c r="D40" i="1"/>
  <c r="D34" i="1"/>
  <c r="E40" i="1"/>
  <c r="E34" i="1"/>
  <c r="I59" i="1" s="1"/>
  <c r="F40" i="1"/>
  <c r="F34" i="1"/>
  <c r="AJ24" i="1"/>
  <c r="AJ29" i="1" s="1"/>
  <c r="AK24" i="1"/>
  <c r="AK29" i="1" s="1"/>
  <c r="AJ40" i="1"/>
  <c r="AJ34" i="1"/>
  <c r="AK40" i="1"/>
  <c r="AK34" i="1"/>
  <c r="AH3" i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AL24" i="1"/>
  <c r="AL29" i="1" s="1"/>
  <c r="AM24" i="1"/>
  <c r="AM29" i="1" s="1"/>
  <c r="AN24" i="1"/>
  <c r="AN29" i="1" s="1"/>
  <c r="AL40" i="1"/>
  <c r="AL34" i="1"/>
  <c r="AM40" i="1"/>
  <c r="AM34" i="1"/>
  <c r="AN40" i="1"/>
  <c r="AN34" i="1"/>
  <c r="AN18" i="1" s="1"/>
  <c r="AO40" i="1"/>
  <c r="AO34" i="1"/>
  <c r="R69" i="1"/>
  <c r="Q69" i="1"/>
  <c r="P69" i="1"/>
  <c r="O69" i="1"/>
  <c r="N69" i="1"/>
  <c r="O94" i="1"/>
  <c r="O99" i="1" s="1"/>
  <c r="O101" i="1" s="1"/>
  <c r="O75" i="1"/>
  <c r="O84" i="1" s="1"/>
  <c r="O136" i="1" s="1"/>
  <c r="P189" i="1"/>
  <c r="Q189" i="1" s="1"/>
  <c r="R189" i="1" s="1"/>
  <c r="P188" i="1"/>
  <c r="Q188" i="1" s="1"/>
  <c r="R188" i="1" s="1"/>
  <c r="P187" i="1"/>
  <c r="Q187" i="1" s="1"/>
  <c r="R187" i="1" s="1"/>
  <c r="P186" i="1"/>
  <c r="Q186" i="1" s="1"/>
  <c r="R186" i="1" s="1"/>
  <c r="P185" i="1"/>
  <c r="P184" i="1"/>
  <c r="Q184" i="1" s="1"/>
  <c r="R184" i="1" s="1"/>
  <c r="P183" i="1"/>
  <c r="Q183" i="1" s="1"/>
  <c r="R183" i="1" s="1"/>
  <c r="P178" i="1"/>
  <c r="Q178" i="1" s="1"/>
  <c r="R178" i="1" s="1"/>
  <c r="P176" i="1"/>
  <c r="Q176" i="1" s="1"/>
  <c r="R176" i="1" s="1"/>
  <c r="P175" i="1"/>
  <c r="Q175" i="1" s="1"/>
  <c r="R175" i="1" s="1"/>
  <c r="P174" i="1"/>
  <c r="Q174" i="1" s="1"/>
  <c r="R174" i="1" s="1"/>
  <c r="P170" i="1"/>
  <c r="Q170" i="1" s="1"/>
  <c r="R170" i="1" s="1"/>
  <c r="P169" i="1"/>
  <c r="Q169" i="1" s="1"/>
  <c r="P168" i="1"/>
  <c r="Q168" i="1" s="1"/>
  <c r="R168" i="1" s="1"/>
  <c r="P167" i="1"/>
  <c r="P166" i="1"/>
  <c r="Q166" i="1" s="1"/>
  <c r="R166" i="1" s="1"/>
  <c r="P165" i="1"/>
  <c r="Q165" i="1" s="1"/>
  <c r="R165" i="1" s="1"/>
  <c r="P164" i="1"/>
  <c r="Q164" i="1" s="1"/>
  <c r="R164" i="1" s="1"/>
  <c r="P163" i="1"/>
  <c r="Q163" i="1" s="1"/>
  <c r="R163" i="1" s="1"/>
  <c r="P162" i="1"/>
  <c r="Q162" i="1" s="1"/>
  <c r="R162" i="1" s="1"/>
  <c r="P161" i="1"/>
  <c r="Q161" i="1" s="1"/>
  <c r="R161" i="1" s="1"/>
  <c r="P159" i="1"/>
  <c r="Q159" i="1" s="1"/>
  <c r="R159" i="1" s="1"/>
  <c r="P157" i="1"/>
  <c r="Q157" i="1" s="1"/>
  <c r="R157" i="1" s="1"/>
  <c r="P156" i="1"/>
  <c r="Q156" i="1" s="1"/>
  <c r="P155" i="1"/>
  <c r="P154" i="1"/>
  <c r="P153" i="1"/>
  <c r="Q153" i="1" s="1"/>
  <c r="R153" i="1" s="1"/>
  <c r="P94" i="1"/>
  <c r="P99" i="1" s="1"/>
  <c r="P101" i="1" s="1"/>
  <c r="P75" i="1"/>
  <c r="P84" i="1" s="1"/>
  <c r="P147" i="1" s="1"/>
  <c r="Q94" i="1"/>
  <c r="Q99" i="1" s="1"/>
  <c r="Q101" i="1" s="1"/>
  <c r="Q75" i="1"/>
  <c r="Q84" i="1" s="1"/>
  <c r="Q150" i="1" s="1"/>
  <c r="O171" i="1"/>
  <c r="R160" i="1"/>
  <c r="R158" i="1"/>
  <c r="N94" i="1"/>
  <c r="N99" i="1" s="1"/>
  <c r="N101" i="1" s="1"/>
  <c r="N75" i="1"/>
  <c r="N84" i="1" s="1"/>
  <c r="N143" i="1" s="1"/>
  <c r="AR29" i="1"/>
  <c r="AQ29" i="1"/>
  <c r="AP29" i="1"/>
  <c r="AR28" i="1"/>
  <c r="AQ28" i="1"/>
  <c r="AP28" i="1"/>
  <c r="AR27" i="1"/>
  <c r="AQ27" i="1"/>
  <c r="AP27" i="1"/>
  <c r="AO29" i="1"/>
  <c r="AO28" i="1"/>
  <c r="AO27" i="1"/>
  <c r="Q29" i="1"/>
  <c r="P29" i="1"/>
  <c r="O29" i="1"/>
  <c r="M29" i="1"/>
  <c r="L29" i="1"/>
  <c r="K29" i="1"/>
  <c r="Q28" i="1"/>
  <c r="P28" i="1"/>
  <c r="O28" i="1"/>
  <c r="M28" i="1"/>
  <c r="L28" i="1"/>
  <c r="K28" i="1"/>
  <c r="Q27" i="1"/>
  <c r="P27" i="1"/>
  <c r="O27" i="1"/>
  <c r="M27" i="1"/>
  <c r="L27" i="1"/>
  <c r="K27" i="1"/>
  <c r="S29" i="1"/>
  <c r="S28" i="1"/>
  <c r="S27" i="1"/>
  <c r="R24" i="1"/>
  <c r="R23" i="1"/>
  <c r="R22" i="1"/>
  <c r="S14" i="1"/>
  <c r="O191" i="1"/>
  <c r="O180" i="1"/>
  <c r="S191" i="1"/>
  <c r="S180" i="1"/>
  <c r="S156" i="1"/>
  <c r="S155" i="1"/>
  <c r="S94" i="1"/>
  <c r="S99" i="1" s="1"/>
  <c r="S101" i="1" s="1"/>
  <c r="S75" i="1"/>
  <c r="S84" i="1" s="1"/>
  <c r="S148" i="1" s="1"/>
  <c r="AP33" i="1"/>
  <c r="AP32" i="1"/>
  <c r="AP31" i="1"/>
  <c r="AQ33" i="1"/>
  <c r="AQ32" i="1"/>
  <c r="AQ31" i="1"/>
  <c r="AR33" i="1"/>
  <c r="AR32" i="1"/>
  <c r="AR31" i="1"/>
  <c r="S34" i="1"/>
  <c r="W59" i="1" s="1"/>
  <c r="R94" i="1"/>
  <c r="R99" i="1" s="1"/>
  <c r="R101" i="1" s="1"/>
  <c r="R75" i="1"/>
  <c r="R84" i="1" s="1"/>
  <c r="R121" i="1" s="1"/>
  <c r="J24" i="1"/>
  <c r="J23" i="1"/>
  <c r="J22" i="1"/>
  <c r="N22" i="1"/>
  <c r="N24" i="1"/>
  <c r="N23" i="1"/>
  <c r="BI67" i="1"/>
  <c r="BI65" i="1"/>
  <c r="AP17" i="1"/>
  <c r="AO17" i="1"/>
  <c r="AN17" i="1"/>
  <c r="Q14" i="1"/>
  <c r="P14" i="1"/>
  <c r="O14" i="1"/>
  <c r="M14" i="1"/>
  <c r="L14" i="1"/>
  <c r="K14" i="1"/>
  <c r="I14" i="1"/>
  <c r="H14" i="1"/>
  <c r="G14" i="1"/>
  <c r="R14" i="1"/>
  <c r="AR14" i="1" s="1"/>
  <c r="AS17" i="1" s="1"/>
  <c r="AR48" i="1"/>
  <c r="AQ48" i="1"/>
  <c r="AP48" i="1"/>
  <c r="AR46" i="1"/>
  <c r="AQ46" i="1"/>
  <c r="AP46" i="1"/>
  <c r="AR45" i="1"/>
  <c r="AQ45" i="1"/>
  <c r="AP45" i="1"/>
  <c r="AR41" i="1"/>
  <c r="AQ41" i="1"/>
  <c r="AP41" i="1"/>
  <c r="AR39" i="1"/>
  <c r="AQ39" i="1"/>
  <c r="AP39" i="1"/>
  <c r="AR38" i="1"/>
  <c r="AQ38" i="1"/>
  <c r="AP38" i="1"/>
  <c r="AR37" i="1"/>
  <c r="AQ37" i="1"/>
  <c r="AP37" i="1"/>
  <c r="AR36" i="1"/>
  <c r="AQ36" i="1"/>
  <c r="AP36" i="1"/>
  <c r="AR35" i="1"/>
  <c r="AQ35" i="1"/>
  <c r="AP35" i="1"/>
  <c r="G40" i="1"/>
  <c r="G34" i="1"/>
  <c r="H40" i="1"/>
  <c r="I40" i="1"/>
  <c r="J40" i="1"/>
  <c r="J34" i="1"/>
  <c r="J18" i="1" s="1"/>
  <c r="K40" i="1"/>
  <c r="K34" i="1"/>
  <c r="O40" i="1"/>
  <c r="O34" i="1"/>
  <c r="L40" i="1"/>
  <c r="L34" i="1"/>
  <c r="P40" i="1"/>
  <c r="P34" i="1"/>
  <c r="M40" i="1"/>
  <c r="M34" i="1"/>
  <c r="Q40" i="1"/>
  <c r="Q34" i="1"/>
  <c r="N40" i="1"/>
  <c r="N34" i="1"/>
  <c r="N18" i="1" s="1"/>
  <c r="R40" i="1"/>
  <c r="R34" i="1"/>
  <c r="I5" i="2"/>
  <c r="J6" i="2"/>
  <c r="J7" i="2" s="1"/>
  <c r="Y47" i="1" l="1"/>
  <c r="Y49" i="1" s="1"/>
  <c r="Y51" i="1" s="1"/>
  <c r="Y53" i="1" s="1"/>
  <c r="Y60" i="1"/>
  <c r="Z43" i="1"/>
  <c r="Z47" i="1" s="1"/>
  <c r="AT15" i="1"/>
  <c r="AT17" i="1"/>
  <c r="X60" i="1"/>
  <c r="X47" i="1"/>
  <c r="X49" i="1" s="1"/>
  <c r="X51" i="1" s="1"/>
  <c r="X196" i="1" s="1"/>
  <c r="W60" i="1"/>
  <c r="AS29" i="1"/>
  <c r="AS27" i="1"/>
  <c r="X193" i="1"/>
  <c r="W53" i="1"/>
  <c r="W196" i="1"/>
  <c r="U18" i="1"/>
  <c r="J27" i="1"/>
  <c r="AS34" i="1"/>
  <c r="AO59" i="1"/>
  <c r="L18" i="1"/>
  <c r="T18" i="1"/>
  <c r="T108" i="1"/>
  <c r="U108" i="1"/>
  <c r="U43" i="1"/>
  <c r="H59" i="1"/>
  <c r="M18" i="1"/>
  <c r="K108" i="1"/>
  <c r="J29" i="1"/>
  <c r="O18" i="1"/>
  <c r="F43" i="1"/>
  <c r="J28" i="1"/>
  <c r="AL59" i="1"/>
  <c r="AS92" i="1"/>
  <c r="P18" i="1"/>
  <c r="I18" i="1"/>
  <c r="K18" i="1"/>
  <c r="AK59" i="1"/>
  <c r="J59" i="1"/>
  <c r="S18" i="1"/>
  <c r="H18" i="1"/>
  <c r="AM28" i="1"/>
  <c r="G59" i="1"/>
  <c r="J108" i="1"/>
  <c r="K84" i="1"/>
  <c r="L108" i="1"/>
  <c r="L84" i="1"/>
  <c r="J84" i="1"/>
  <c r="M108" i="1"/>
  <c r="M84" i="1"/>
  <c r="C43" i="1"/>
  <c r="D43" i="1"/>
  <c r="E43" i="1"/>
  <c r="Q18" i="1"/>
  <c r="AK27" i="1"/>
  <c r="R18" i="1"/>
  <c r="AJ27" i="1"/>
  <c r="AJ28" i="1"/>
  <c r="AO18" i="1"/>
  <c r="AL27" i="1"/>
  <c r="AK28" i="1"/>
  <c r="AM59" i="1"/>
  <c r="AM27" i="1"/>
  <c r="AM18" i="1"/>
  <c r="AL28" i="1"/>
  <c r="AJ43" i="1"/>
  <c r="AN59" i="1"/>
  <c r="AK43" i="1"/>
  <c r="AN27" i="1"/>
  <c r="AN43" i="1"/>
  <c r="AN28" i="1"/>
  <c r="AO43" i="1"/>
  <c r="AL43" i="1"/>
  <c r="AM43" i="1"/>
  <c r="N151" i="1"/>
  <c r="N139" i="1"/>
  <c r="O124" i="1"/>
  <c r="P128" i="1"/>
  <c r="P135" i="1"/>
  <c r="P136" i="1"/>
  <c r="N128" i="1"/>
  <c r="O140" i="1"/>
  <c r="N132" i="1"/>
  <c r="O148" i="1"/>
  <c r="P151" i="1"/>
  <c r="N136" i="1"/>
  <c r="P148" i="1"/>
  <c r="R141" i="1"/>
  <c r="S151" i="1"/>
  <c r="S141" i="1"/>
  <c r="R120" i="1"/>
  <c r="R126" i="1"/>
  <c r="R133" i="1"/>
  <c r="S145" i="1"/>
  <c r="N131" i="1"/>
  <c r="S120" i="1"/>
  <c r="P127" i="1"/>
  <c r="S133" i="1"/>
  <c r="P140" i="1"/>
  <c r="R146" i="1"/>
  <c r="R122" i="1"/>
  <c r="N120" i="1"/>
  <c r="N140" i="1"/>
  <c r="P124" i="1"/>
  <c r="R130" i="1"/>
  <c r="S136" i="1"/>
  <c r="P143" i="1"/>
  <c r="S149" i="1"/>
  <c r="S121" i="1"/>
  <c r="R151" i="1"/>
  <c r="S129" i="1"/>
  <c r="R149" i="1"/>
  <c r="Q151" i="1"/>
  <c r="O151" i="1"/>
  <c r="N123" i="1"/>
  <c r="N147" i="1"/>
  <c r="R125" i="1"/>
  <c r="O132" i="1"/>
  <c r="S137" i="1"/>
  <c r="P144" i="1"/>
  <c r="R150" i="1"/>
  <c r="R134" i="1"/>
  <c r="S128" i="1"/>
  <c r="R142" i="1"/>
  <c r="N124" i="1"/>
  <c r="N148" i="1"/>
  <c r="S125" i="1"/>
  <c r="P132" i="1"/>
  <c r="R138" i="1"/>
  <c r="S144" i="1"/>
  <c r="N144" i="1"/>
  <c r="O120" i="1"/>
  <c r="Q123" i="1"/>
  <c r="O125" i="1"/>
  <c r="Q131" i="1"/>
  <c r="O133" i="1"/>
  <c r="Q139" i="1"/>
  <c r="O141" i="1"/>
  <c r="Q147" i="1"/>
  <c r="O149" i="1"/>
  <c r="N121" i="1"/>
  <c r="N129" i="1"/>
  <c r="N137" i="1"/>
  <c r="N145" i="1"/>
  <c r="P120" i="1"/>
  <c r="O122" i="1"/>
  <c r="R123" i="1"/>
  <c r="P125" i="1"/>
  <c r="S126" i="1"/>
  <c r="Q128" i="1"/>
  <c r="O130" i="1"/>
  <c r="R131" i="1"/>
  <c r="P133" i="1"/>
  <c r="S134" i="1"/>
  <c r="Q136" i="1"/>
  <c r="O138" i="1"/>
  <c r="R139" i="1"/>
  <c r="P141" i="1"/>
  <c r="S142" i="1"/>
  <c r="Q144" i="1"/>
  <c r="O146" i="1"/>
  <c r="R147" i="1"/>
  <c r="P149" i="1"/>
  <c r="S150" i="1"/>
  <c r="N122" i="1"/>
  <c r="N130" i="1"/>
  <c r="N138" i="1"/>
  <c r="N146" i="1"/>
  <c r="Q120" i="1"/>
  <c r="P122" i="1"/>
  <c r="S123" i="1"/>
  <c r="Q125" i="1"/>
  <c r="O127" i="1"/>
  <c r="R128" i="1"/>
  <c r="P130" i="1"/>
  <c r="S131" i="1"/>
  <c r="Q133" i="1"/>
  <c r="O135" i="1"/>
  <c r="R136" i="1"/>
  <c r="P138" i="1"/>
  <c r="S139" i="1"/>
  <c r="Q141" i="1"/>
  <c r="O143" i="1"/>
  <c r="R144" i="1"/>
  <c r="P146" i="1"/>
  <c r="S147" i="1"/>
  <c r="Q149" i="1"/>
  <c r="Q146" i="1"/>
  <c r="N125" i="1"/>
  <c r="N133" i="1"/>
  <c r="N141" i="1"/>
  <c r="N149" i="1"/>
  <c r="O121" i="1"/>
  <c r="S122" i="1"/>
  <c r="Q124" i="1"/>
  <c r="O126" i="1"/>
  <c r="R127" i="1"/>
  <c r="P129" i="1"/>
  <c r="S130" i="1"/>
  <c r="Q132" i="1"/>
  <c r="O134" i="1"/>
  <c r="R135" i="1"/>
  <c r="P137" i="1"/>
  <c r="S138" i="1"/>
  <c r="Q140" i="1"/>
  <c r="O142" i="1"/>
  <c r="R143" i="1"/>
  <c r="P145" i="1"/>
  <c r="S146" i="1"/>
  <c r="Q148" i="1"/>
  <c r="O150" i="1"/>
  <c r="Q122" i="1"/>
  <c r="Q130" i="1"/>
  <c r="Q138" i="1"/>
  <c r="Q127" i="1"/>
  <c r="O129" i="1"/>
  <c r="Q135" i="1"/>
  <c r="O137" i="1"/>
  <c r="Q143" i="1"/>
  <c r="O145" i="1"/>
  <c r="N126" i="1"/>
  <c r="N134" i="1"/>
  <c r="N142" i="1"/>
  <c r="N150" i="1"/>
  <c r="P121" i="1"/>
  <c r="O123" i="1"/>
  <c r="R124" i="1"/>
  <c r="P126" i="1"/>
  <c r="S127" i="1"/>
  <c r="Q129" i="1"/>
  <c r="O131" i="1"/>
  <c r="R132" i="1"/>
  <c r="P134" i="1"/>
  <c r="S135" i="1"/>
  <c r="Q137" i="1"/>
  <c r="O139" i="1"/>
  <c r="R140" i="1"/>
  <c r="P142" i="1"/>
  <c r="S143" i="1"/>
  <c r="Q145" i="1"/>
  <c r="O147" i="1"/>
  <c r="R148" i="1"/>
  <c r="P150" i="1"/>
  <c r="N127" i="1"/>
  <c r="N135" i="1"/>
  <c r="Q121" i="1"/>
  <c r="P123" i="1"/>
  <c r="S124" i="1"/>
  <c r="Q126" i="1"/>
  <c r="O128" i="1"/>
  <c r="R129" i="1"/>
  <c r="P131" i="1"/>
  <c r="S132" i="1"/>
  <c r="Q134" i="1"/>
  <c r="R137" i="1"/>
  <c r="P139" i="1"/>
  <c r="S140" i="1"/>
  <c r="Q142" i="1"/>
  <c r="O144" i="1"/>
  <c r="R145" i="1"/>
  <c r="Q108" i="1"/>
  <c r="O108" i="1"/>
  <c r="N108" i="1"/>
  <c r="P108" i="1"/>
  <c r="S108" i="1"/>
  <c r="R108" i="1"/>
  <c r="P180" i="1"/>
  <c r="P171" i="1"/>
  <c r="P191" i="1"/>
  <c r="Q154" i="1"/>
  <c r="R154" i="1" s="1"/>
  <c r="R156" i="1"/>
  <c r="R180" i="1" s="1"/>
  <c r="Q185" i="1"/>
  <c r="R185" i="1" s="1"/>
  <c r="Q167" i="1"/>
  <c r="R167" i="1" s="1"/>
  <c r="Q155" i="1"/>
  <c r="R155" i="1" s="1"/>
  <c r="R169" i="1"/>
  <c r="N29" i="1"/>
  <c r="S171" i="1"/>
  <c r="R27" i="1"/>
  <c r="R28" i="1"/>
  <c r="R29" i="1"/>
  <c r="N28" i="1"/>
  <c r="N27" i="1"/>
  <c r="O193" i="1"/>
  <c r="AR34" i="1"/>
  <c r="AR18" i="1" s="1"/>
  <c r="I8" i="2"/>
  <c r="AR17" i="1"/>
  <c r="L59" i="1"/>
  <c r="K59" i="1"/>
  <c r="P59" i="1"/>
  <c r="AP34" i="1"/>
  <c r="AP18" i="1" s="1"/>
  <c r="M59" i="1"/>
  <c r="Q59" i="1"/>
  <c r="O59" i="1"/>
  <c r="V59" i="1"/>
  <c r="R43" i="1"/>
  <c r="R59" i="1"/>
  <c r="AQ40" i="1"/>
  <c r="AP40" i="1"/>
  <c r="N59" i="1"/>
  <c r="AQ34" i="1"/>
  <c r="AQ18" i="1" s="1"/>
  <c r="AR40" i="1"/>
  <c r="U59" i="1"/>
  <c r="G43" i="1"/>
  <c r="H43" i="1"/>
  <c r="I43" i="1"/>
  <c r="J43" i="1"/>
  <c r="K43" i="1"/>
  <c r="O43" i="1"/>
  <c r="L43" i="1"/>
  <c r="P43" i="1"/>
  <c r="M43" i="1"/>
  <c r="Q43" i="1"/>
  <c r="N43" i="1"/>
  <c r="Z60" i="1" l="1"/>
  <c r="Z49" i="1"/>
  <c r="Z51" i="1" s="1"/>
  <c r="AV14" i="1"/>
  <c r="X53" i="1"/>
  <c r="G60" i="1"/>
  <c r="AJ47" i="1"/>
  <c r="AJ49" i="1" s="1"/>
  <c r="AJ51" i="1" s="1"/>
  <c r="AJ53" i="1" s="1"/>
  <c r="U47" i="1"/>
  <c r="U49" i="1" s="1"/>
  <c r="U51" i="1" s="1"/>
  <c r="O60" i="1"/>
  <c r="F47" i="1"/>
  <c r="F49" i="1" s="1"/>
  <c r="F51" i="1" s="1"/>
  <c r="F53" i="1" s="1"/>
  <c r="K60" i="1"/>
  <c r="E47" i="1"/>
  <c r="E49" i="1" s="1"/>
  <c r="E51" i="1" s="1"/>
  <c r="E53" i="1" s="1"/>
  <c r="AK47" i="1"/>
  <c r="AK49" i="1" s="1"/>
  <c r="AK51" i="1" s="1"/>
  <c r="AK53" i="1" s="1"/>
  <c r="D47" i="1"/>
  <c r="D49" i="1" s="1"/>
  <c r="D51" i="1" s="1"/>
  <c r="D53" i="1" s="1"/>
  <c r="AV45" i="1"/>
  <c r="C47" i="1"/>
  <c r="C49" i="1" s="1"/>
  <c r="C51" i="1" s="1"/>
  <c r="C53" i="1" s="1"/>
  <c r="AT92" i="1"/>
  <c r="AU46" i="1" s="1"/>
  <c r="AM47" i="1"/>
  <c r="AM49" i="1" s="1"/>
  <c r="AM51" i="1" s="1"/>
  <c r="AM53" i="1" s="1"/>
  <c r="AM60" i="1"/>
  <c r="AL47" i="1"/>
  <c r="AL49" i="1" s="1"/>
  <c r="AL51" i="1" s="1"/>
  <c r="AL53" i="1" s="1"/>
  <c r="AL60" i="1"/>
  <c r="AN47" i="1"/>
  <c r="AN49" i="1" s="1"/>
  <c r="AN51" i="1" s="1"/>
  <c r="AN53" i="1" s="1"/>
  <c r="AN60" i="1"/>
  <c r="AP59" i="1"/>
  <c r="AO47" i="1"/>
  <c r="AO49" i="1" s="1"/>
  <c r="AO51" i="1" s="1"/>
  <c r="AO199" i="1" s="1"/>
  <c r="AO60" i="1"/>
  <c r="P193" i="1"/>
  <c r="S193" i="1"/>
  <c r="Q171" i="1"/>
  <c r="R171" i="1"/>
  <c r="R191" i="1"/>
  <c r="Q180" i="1"/>
  <c r="Q191" i="1"/>
  <c r="L47" i="1"/>
  <c r="L49" i="1" s="1"/>
  <c r="L51" i="1" s="1"/>
  <c r="L60" i="1"/>
  <c r="J47" i="1"/>
  <c r="J49" i="1" s="1"/>
  <c r="J51" i="1" s="1"/>
  <c r="J60" i="1"/>
  <c r="N47" i="1"/>
  <c r="N49" i="1" s="1"/>
  <c r="N51" i="1" s="1"/>
  <c r="N60" i="1"/>
  <c r="I47" i="1"/>
  <c r="I49" i="1" s="1"/>
  <c r="I51" i="1" s="1"/>
  <c r="I60" i="1"/>
  <c r="H47" i="1"/>
  <c r="H49" i="1" s="1"/>
  <c r="H51" i="1" s="1"/>
  <c r="H60" i="1"/>
  <c r="M47" i="1"/>
  <c r="M49" i="1" s="1"/>
  <c r="M51" i="1" s="1"/>
  <c r="M60" i="1"/>
  <c r="P47" i="1"/>
  <c r="P49" i="1" s="1"/>
  <c r="P51" i="1" s="1"/>
  <c r="P60" i="1"/>
  <c r="R47" i="1"/>
  <c r="R49" i="1" s="1"/>
  <c r="R51" i="1" s="1"/>
  <c r="R60" i="1"/>
  <c r="Q47" i="1"/>
  <c r="Q49" i="1" s="1"/>
  <c r="Q51" i="1" s="1"/>
  <c r="Q60" i="1"/>
  <c r="AQ59" i="1"/>
  <c r="AR59" i="1"/>
  <c r="S59" i="1"/>
  <c r="AS18" i="1"/>
  <c r="O47" i="1"/>
  <c r="AR43" i="1"/>
  <c r="V40" i="1"/>
  <c r="V43" i="1" s="1"/>
  <c r="K47" i="1"/>
  <c r="AQ43" i="1"/>
  <c r="U60" i="1"/>
  <c r="T59" i="1"/>
  <c r="G47" i="1"/>
  <c r="AP43" i="1"/>
  <c r="Z114" i="1" l="1"/>
  <c r="AV17" i="1"/>
  <c r="AW14" i="1"/>
  <c r="U53" i="1"/>
  <c r="U196" i="1"/>
  <c r="AW45" i="1"/>
  <c r="AR60" i="1"/>
  <c r="AP60" i="1"/>
  <c r="AQ60" i="1"/>
  <c r="AO53" i="1"/>
  <c r="AO196" i="1"/>
  <c r="V60" i="1"/>
  <c r="L53" i="1"/>
  <c r="M53" i="1"/>
  <c r="N53" i="1"/>
  <c r="J53" i="1"/>
  <c r="H53" i="1"/>
  <c r="I53" i="1"/>
  <c r="AU92" i="1"/>
  <c r="AV46" i="1" s="1"/>
  <c r="Q193" i="1"/>
  <c r="R193" i="1"/>
  <c r="R53" i="1"/>
  <c r="R196" i="1"/>
  <c r="P53" i="1"/>
  <c r="P196" i="1"/>
  <c r="Q53" i="1"/>
  <c r="Q196" i="1"/>
  <c r="S40" i="1"/>
  <c r="T40" i="1"/>
  <c r="T43" i="1" s="1"/>
  <c r="K49" i="1"/>
  <c r="AQ47" i="1"/>
  <c r="G49" i="1"/>
  <c r="AP47" i="1"/>
  <c r="AS59" i="1"/>
  <c r="O49" i="1"/>
  <c r="AR47" i="1"/>
  <c r="AX14" i="1" l="1"/>
  <c r="AW17" i="1"/>
  <c r="S43" i="1"/>
  <c r="AS43" i="1" s="1"/>
  <c r="AS40" i="1"/>
  <c r="AX45" i="1"/>
  <c r="T60" i="1"/>
  <c r="AV92" i="1"/>
  <c r="AW46" i="1" s="1"/>
  <c r="O51" i="1"/>
  <c r="AR49" i="1"/>
  <c r="K51" i="1"/>
  <c r="AQ49" i="1"/>
  <c r="V47" i="1"/>
  <c r="V49" i="1" s="1"/>
  <c r="V51" i="1" s="1"/>
  <c r="Y114" i="1" s="1"/>
  <c r="G51" i="1"/>
  <c r="J114" i="1" s="1"/>
  <c r="AP49" i="1"/>
  <c r="AX17" i="1" l="1"/>
  <c r="AY14" i="1"/>
  <c r="V53" i="1"/>
  <c r="V196" i="1"/>
  <c r="X199" i="1" s="1"/>
  <c r="X114" i="1"/>
  <c r="AY45" i="1"/>
  <c r="S60" i="1"/>
  <c r="N114" i="1"/>
  <c r="M114" i="1"/>
  <c r="K114" i="1"/>
  <c r="L114" i="1"/>
  <c r="O196" i="1"/>
  <c r="R199" i="1" s="1"/>
  <c r="R114" i="1"/>
  <c r="P114" i="1"/>
  <c r="Q114" i="1"/>
  <c r="O114" i="1"/>
  <c r="AW92" i="1"/>
  <c r="AX46" i="1" s="1"/>
  <c r="T47" i="1"/>
  <c r="T49" i="1" s="1"/>
  <c r="T51" i="1" s="1"/>
  <c r="T196" i="1" s="1"/>
  <c r="K53" i="1"/>
  <c r="AQ53" i="1" s="1"/>
  <c r="AQ51" i="1"/>
  <c r="S47" i="1"/>
  <c r="G53" i="1"/>
  <c r="AP53" i="1" s="1"/>
  <c r="AP51" i="1"/>
  <c r="AT40" i="1"/>
  <c r="O53" i="1"/>
  <c r="AR53" i="1" s="1"/>
  <c r="AR51" i="1"/>
  <c r="AY17" i="1" l="1"/>
  <c r="AZ14" i="1"/>
  <c r="W199" i="1"/>
  <c r="AS60" i="1"/>
  <c r="AQ196" i="1"/>
  <c r="AQ199" i="1"/>
  <c r="AR196" i="1"/>
  <c r="AR199" i="1"/>
  <c r="AP196" i="1"/>
  <c r="AP199" i="1"/>
  <c r="AS47" i="1"/>
  <c r="T53" i="1"/>
  <c r="W114" i="1"/>
  <c r="AZ45" i="1"/>
  <c r="AX92" i="1"/>
  <c r="AY46" i="1" s="1"/>
  <c r="AQ52" i="1"/>
  <c r="AR52" i="1"/>
  <c r="AP52" i="1"/>
  <c r="AZ17" i="1" l="1"/>
  <c r="BA14" i="1"/>
  <c r="BA45" i="1"/>
  <c r="AY92" i="1"/>
  <c r="AZ46" i="1" s="1"/>
  <c r="S49" i="1"/>
  <c r="AS49" i="1" s="1"/>
  <c r="BB14" i="1" l="1"/>
  <c r="BA17" i="1"/>
  <c r="BC45" i="1"/>
  <c r="BB45" i="1"/>
  <c r="AZ92" i="1"/>
  <c r="BA46" i="1" s="1"/>
  <c r="S51" i="1"/>
  <c r="BC14" i="1" l="1"/>
  <c r="BD14" i="1" s="1"/>
  <c r="BB17" i="1"/>
  <c r="AS51" i="1"/>
  <c r="AS199" i="1" s="1"/>
  <c r="V114" i="1"/>
  <c r="U114" i="1"/>
  <c r="S196" i="1"/>
  <c r="S114" i="1"/>
  <c r="T114" i="1"/>
  <c r="BA92" i="1"/>
  <c r="BB46" i="1" s="1"/>
  <c r="S53" i="1"/>
  <c r="AS53" i="1" s="1"/>
  <c r="BD17" i="1" l="1"/>
  <c r="BC17" i="1"/>
  <c r="S199" i="1"/>
  <c r="V199" i="1"/>
  <c r="T199" i="1"/>
  <c r="U199" i="1"/>
  <c r="AS196" i="1"/>
  <c r="AS52" i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B92" i="1"/>
  <c r="BC46" i="1" s="1"/>
  <c r="AT59" i="1" l="1"/>
  <c r="AT43" i="1"/>
  <c r="AT18" i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D34" i="1" s="1"/>
  <c r="AT47" i="1" l="1"/>
  <c r="AT49" i="1" s="1"/>
  <c r="AT51" i="1" s="1"/>
  <c r="AT53" i="1" s="1"/>
  <c r="Z53" i="1" s="1"/>
  <c r="Z52" i="1" s="1"/>
  <c r="AT60" i="1"/>
  <c r="AU34" i="1"/>
  <c r="AU59" i="1" s="1"/>
  <c r="Z106" i="1" l="1"/>
  <c r="Z107" i="1"/>
  <c r="AV34" i="1"/>
  <c r="AV59" i="1" s="1"/>
  <c r="AU39" i="1"/>
  <c r="AU36" i="1"/>
  <c r="AU41" i="1"/>
  <c r="AU35" i="1"/>
  <c r="AU37" i="1"/>
  <c r="AW34" i="1" l="1"/>
  <c r="AW59" i="1" s="1"/>
  <c r="AU40" i="1"/>
  <c r="AU43" i="1" s="1"/>
  <c r="AV36" i="1"/>
  <c r="AV41" i="1"/>
  <c r="AV37" i="1"/>
  <c r="AV39" i="1"/>
  <c r="AV35" i="1"/>
  <c r="AV40" i="1" l="1"/>
  <c r="AV43" i="1" s="1"/>
  <c r="AU60" i="1"/>
  <c r="AU47" i="1"/>
  <c r="AX34" i="1"/>
  <c r="AX59" i="1" s="1"/>
  <c r="AW35" i="1"/>
  <c r="AW39" i="1"/>
  <c r="AW41" i="1"/>
  <c r="AW37" i="1"/>
  <c r="AW36" i="1"/>
  <c r="AV47" i="1" l="1"/>
  <c r="AV60" i="1"/>
  <c r="AX35" i="1"/>
  <c r="AX41" i="1"/>
  <c r="AX36" i="1"/>
  <c r="AX39" i="1"/>
  <c r="AX37" i="1"/>
  <c r="AU48" i="1"/>
  <c r="AU49" i="1" s="1"/>
  <c r="AU51" i="1" s="1"/>
  <c r="AU55" i="1" s="1"/>
  <c r="AY34" i="1"/>
  <c r="AY59" i="1" s="1"/>
  <c r="AW40" i="1"/>
  <c r="AW43" i="1" s="1"/>
  <c r="AU53" i="1" l="1"/>
  <c r="AU69" i="1"/>
  <c r="AW60" i="1"/>
  <c r="AW47" i="1"/>
  <c r="AY41" i="1"/>
  <c r="AY35" i="1"/>
  <c r="AY36" i="1"/>
  <c r="AY37" i="1"/>
  <c r="AY39" i="1"/>
  <c r="AZ34" i="1"/>
  <c r="AV48" i="1"/>
  <c r="AV49" i="1" s="1"/>
  <c r="AV51" i="1" s="1"/>
  <c r="AV55" i="1" s="1"/>
  <c r="AX40" i="1"/>
  <c r="AX43" i="1" s="1"/>
  <c r="AV53" i="1" l="1"/>
  <c r="AV69" i="1"/>
  <c r="AW48" i="1"/>
  <c r="AW49" i="1" s="1"/>
  <c r="AW51" i="1" s="1"/>
  <c r="AW55" i="1" s="1"/>
  <c r="BA34" i="1"/>
  <c r="AZ36" i="1"/>
  <c r="AZ37" i="1"/>
  <c r="AZ35" i="1"/>
  <c r="AZ59" i="1"/>
  <c r="AZ39" i="1"/>
  <c r="AZ41" i="1"/>
  <c r="AX60" i="1"/>
  <c r="AX47" i="1"/>
  <c r="AY40" i="1"/>
  <c r="AY43" i="1" s="1"/>
  <c r="AW53" i="1" l="1"/>
  <c r="AY60" i="1"/>
  <c r="AY47" i="1"/>
  <c r="AX48" i="1"/>
  <c r="AX49" i="1" s="1"/>
  <c r="AX51" i="1" s="1"/>
  <c r="AX55" i="1" s="1"/>
  <c r="AW69" i="1"/>
  <c r="BB34" i="1"/>
  <c r="BC34" i="1"/>
  <c r="BA37" i="1"/>
  <c r="BA59" i="1"/>
  <c r="BA36" i="1"/>
  <c r="BA35" i="1"/>
  <c r="BA39" i="1"/>
  <c r="BA41" i="1"/>
  <c r="AZ40" i="1"/>
  <c r="AZ43" i="1" s="1"/>
  <c r="AX53" i="1" l="1"/>
  <c r="AX69" i="1"/>
  <c r="AZ47" i="1"/>
  <c r="AZ60" i="1"/>
  <c r="BC59" i="1"/>
  <c r="BA40" i="1"/>
  <c r="BA43" i="1" s="1"/>
  <c r="AY48" i="1"/>
  <c r="AY49" i="1" s="1"/>
  <c r="AY51" i="1" s="1"/>
  <c r="BB59" i="1"/>
  <c r="BB36" i="1"/>
  <c r="BC36" i="1" s="1"/>
  <c r="BD36" i="1" s="1"/>
  <c r="BB35" i="1"/>
  <c r="BB41" i="1"/>
  <c r="BC41" i="1" s="1"/>
  <c r="BD41" i="1" s="1"/>
  <c r="BB37" i="1"/>
  <c r="BC37" i="1" s="1"/>
  <c r="BD37" i="1" s="1"/>
  <c r="BB39" i="1"/>
  <c r="BC39" i="1" s="1"/>
  <c r="BD39" i="1" s="1"/>
  <c r="AY53" i="1" l="1"/>
  <c r="AY55" i="1"/>
  <c r="AZ48" i="1"/>
  <c r="AZ49" i="1" s="1"/>
  <c r="AZ51" i="1" s="1"/>
  <c r="BA47" i="1"/>
  <c r="BA60" i="1"/>
  <c r="BB40" i="1"/>
  <c r="BB43" i="1" s="1"/>
  <c r="BC35" i="1"/>
  <c r="AY69" i="1"/>
  <c r="BC40" i="1" l="1"/>
  <c r="BC43" i="1" s="1"/>
  <c r="BD35" i="1"/>
  <c r="BD40" i="1" s="1"/>
  <c r="BD43" i="1" s="1"/>
  <c r="BD47" i="1" s="1"/>
  <c r="AZ53" i="1"/>
  <c r="AZ55" i="1"/>
  <c r="AZ69" i="1"/>
  <c r="BB60" i="1"/>
  <c r="BB47" i="1"/>
  <c r="BA48" i="1"/>
  <c r="BA49" i="1" s="1"/>
  <c r="BA51" i="1" s="1"/>
  <c r="BC60" i="1"/>
  <c r="BC47" i="1"/>
  <c r="BA53" i="1" l="1"/>
  <c r="BA55" i="1"/>
  <c r="BA69" i="1"/>
  <c r="BB48" i="1"/>
  <c r="BB49" i="1" s="1"/>
  <c r="BB51" i="1" s="1"/>
  <c r="BB53" i="1" l="1"/>
  <c r="BB55" i="1"/>
  <c r="BC48" i="1"/>
  <c r="BB69" i="1"/>
  <c r="BC49" i="1" l="1"/>
  <c r="BC51" i="1" s="1"/>
  <c r="BC53" i="1" s="1"/>
  <c r="BD48" i="1"/>
  <c r="BD49" i="1" s="1"/>
  <c r="BD51" i="1" s="1"/>
  <c r="BD69" i="1" s="1"/>
  <c r="BC55" i="1"/>
  <c r="BC69" i="1"/>
  <c r="BD55" i="1" l="1"/>
  <c r="BE51" i="1"/>
  <c r="BE55" i="1" s="1"/>
  <c r="BD53" i="1"/>
  <c r="BF51" i="1" l="1"/>
  <c r="BG51" i="1" l="1"/>
  <c r="BF55" i="1"/>
  <c r="BH51" i="1" l="1"/>
  <c r="BG55" i="1"/>
  <c r="BI51" i="1" l="1"/>
  <c r="BH55" i="1"/>
  <c r="BJ51" i="1" l="1"/>
  <c r="BI55" i="1"/>
  <c r="BK51" i="1" l="1"/>
  <c r="BJ55" i="1"/>
  <c r="BL51" i="1" l="1"/>
  <c r="BK55" i="1"/>
  <c r="BM51" i="1" l="1"/>
  <c r="BL55" i="1"/>
  <c r="BN51" i="1" l="1"/>
  <c r="BM55" i="1"/>
  <c r="BO51" i="1" l="1"/>
  <c r="BN55" i="1"/>
  <c r="BP51" i="1" l="1"/>
  <c r="BO55" i="1"/>
  <c r="BQ51" i="1" l="1"/>
  <c r="BP55" i="1"/>
  <c r="BR51" i="1" l="1"/>
  <c r="BQ55" i="1"/>
  <c r="BS51" i="1" l="1"/>
  <c r="BR55" i="1"/>
  <c r="BT51" i="1" l="1"/>
  <c r="BS55" i="1"/>
  <c r="BU51" i="1" l="1"/>
  <c r="BT55" i="1"/>
  <c r="BV51" i="1" l="1"/>
  <c r="BU55" i="1"/>
  <c r="BW51" i="1" l="1"/>
  <c r="BV55" i="1"/>
  <c r="BX51" i="1" l="1"/>
  <c r="BW55" i="1"/>
  <c r="BY51" i="1" l="1"/>
  <c r="BX55" i="1"/>
  <c r="BZ51" i="1" l="1"/>
  <c r="BY55" i="1"/>
  <c r="CA51" i="1" l="1"/>
  <c r="BZ55" i="1"/>
  <c r="CB51" i="1" l="1"/>
  <c r="CA55" i="1"/>
  <c r="CC51" i="1" l="1"/>
  <c r="CB55" i="1"/>
  <c r="CD51" i="1" l="1"/>
  <c r="CC55" i="1"/>
  <c r="CE51" i="1" l="1"/>
  <c r="CD55" i="1"/>
  <c r="CF51" i="1" l="1"/>
  <c r="CE55" i="1"/>
  <c r="CG51" i="1" l="1"/>
  <c r="CF55" i="1"/>
  <c r="CH51" i="1" l="1"/>
  <c r="CG55" i="1"/>
  <c r="CI51" i="1" l="1"/>
  <c r="CH55" i="1"/>
  <c r="CJ51" i="1" l="1"/>
  <c r="CI55" i="1"/>
  <c r="CK51" i="1" l="1"/>
  <c r="CJ55" i="1"/>
  <c r="CL51" i="1" l="1"/>
  <c r="CK55" i="1"/>
  <c r="CM51" i="1" l="1"/>
  <c r="CL55" i="1"/>
  <c r="CN51" i="1" l="1"/>
  <c r="CM55" i="1"/>
  <c r="CO51" i="1" l="1"/>
  <c r="CN55" i="1"/>
  <c r="CP51" i="1" l="1"/>
  <c r="CO55" i="1"/>
  <c r="CQ51" i="1" l="1"/>
  <c r="CP55" i="1"/>
  <c r="CR51" i="1" l="1"/>
  <c r="CQ55" i="1"/>
  <c r="CS51" i="1" l="1"/>
  <c r="CR55" i="1"/>
  <c r="CT51" i="1" l="1"/>
  <c r="CS55" i="1"/>
  <c r="CU51" i="1" l="1"/>
  <c r="CT55" i="1"/>
  <c r="CV51" i="1" l="1"/>
  <c r="CU55" i="1"/>
  <c r="CW51" i="1" l="1"/>
  <c r="CV55" i="1"/>
  <c r="CX51" i="1" l="1"/>
  <c r="CW55" i="1"/>
  <c r="CY51" i="1" l="1"/>
  <c r="CX55" i="1"/>
  <c r="CZ51" i="1" l="1"/>
  <c r="CY55" i="1"/>
  <c r="DA51" i="1" l="1"/>
  <c r="CZ55" i="1"/>
  <c r="DB51" i="1" l="1"/>
  <c r="DA55" i="1"/>
  <c r="DC51" i="1" l="1"/>
  <c r="DB55" i="1"/>
  <c r="DD51" i="1" l="1"/>
  <c r="DC55" i="1"/>
  <c r="DE51" i="1" l="1"/>
  <c r="DD55" i="1"/>
  <c r="DF51" i="1" l="1"/>
  <c r="DE55" i="1"/>
  <c r="DG51" i="1" l="1"/>
  <c r="DF55" i="1"/>
  <c r="DH51" i="1" l="1"/>
  <c r="DG55" i="1"/>
  <c r="DI51" i="1" l="1"/>
  <c r="DH55" i="1"/>
  <c r="DJ51" i="1" l="1"/>
  <c r="DI55" i="1"/>
  <c r="DK51" i="1" l="1"/>
  <c r="DJ55" i="1"/>
  <c r="DL51" i="1" l="1"/>
  <c r="DK55" i="1"/>
  <c r="DM51" i="1" l="1"/>
  <c r="DL55" i="1"/>
  <c r="DN51" i="1" l="1"/>
  <c r="DM55" i="1"/>
  <c r="DO51" i="1" l="1"/>
  <c r="DN55" i="1"/>
  <c r="DP51" i="1" l="1"/>
  <c r="DO55" i="1"/>
  <c r="DQ51" i="1" l="1"/>
  <c r="DP55" i="1"/>
  <c r="DR51" i="1" l="1"/>
  <c r="DQ55" i="1"/>
  <c r="DS51" i="1" l="1"/>
  <c r="DR55" i="1"/>
  <c r="DT51" i="1" l="1"/>
  <c r="DS55" i="1"/>
  <c r="DU51" i="1" l="1"/>
  <c r="DT55" i="1"/>
  <c r="DV51" i="1" l="1"/>
  <c r="DU55" i="1"/>
  <c r="DW51" i="1" l="1"/>
  <c r="DV55" i="1"/>
  <c r="DX51" i="1" l="1"/>
  <c r="DW55" i="1"/>
  <c r="DY51" i="1" l="1"/>
  <c r="DX55" i="1"/>
  <c r="DZ51" i="1" l="1"/>
  <c r="DY55" i="1"/>
  <c r="EA51" i="1" l="1"/>
  <c r="DZ55" i="1"/>
  <c r="EB51" i="1" l="1"/>
  <c r="EA55" i="1"/>
  <c r="EC51" i="1" l="1"/>
  <c r="EB55" i="1"/>
  <c r="ED51" i="1" l="1"/>
  <c r="EC55" i="1"/>
  <c r="EE51" i="1" l="1"/>
  <c r="ED55" i="1"/>
  <c r="EF51" i="1" l="1"/>
  <c r="EE55" i="1"/>
  <c r="EG51" i="1" l="1"/>
  <c r="EF55" i="1"/>
  <c r="EH51" i="1" l="1"/>
  <c r="EG55" i="1"/>
  <c r="EI51" i="1" l="1"/>
  <c r="EH55" i="1"/>
  <c r="EJ51" i="1" l="1"/>
  <c r="EI55" i="1"/>
  <c r="EK51" i="1" l="1"/>
  <c r="EJ55" i="1"/>
  <c r="EL51" i="1" l="1"/>
  <c r="EK55" i="1"/>
  <c r="EM51" i="1" l="1"/>
  <c r="EL55" i="1"/>
  <c r="EN51" i="1" l="1"/>
  <c r="EM55" i="1"/>
  <c r="EO51" i="1" l="1"/>
  <c r="EN55" i="1"/>
  <c r="EP51" i="1" l="1"/>
  <c r="EO55" i="1"/>
  <c r="EQ51" i="1" l="1"/>
  <c r="EP55" i="1"/>
  <c r="ER51" i="1" l="1"/>
  <c r="EQ55" i="1"/>
  <c r="ES51" i="1" l="1"/>
  <c r="ER55" i="1"/>
  <c r="ET51" i="1" l="1"/>
  <c r="ES55" i="1"/>
  <c r="EU51" i="1" l="1"/>
  <c r="ET55" i="1"/>
  <c r="EV51" i="1" l="1"/>
  <c r="EU55" i="1"/>
  <c r="EW51" i="1" l="1"/>
  <c r="EV55" i="1"/>
  <c r="EX51" i="1" l="1"/>
  <c r="EW55" i="1"/>
  <c r="EY51" i="1" l="1"/>
  <c r="EX55" i="1"/>
  <c r="EZ51" i="1" l="1"/>
  <c r="EY55" i="1"/>
  <c r="FA51" i="1" l="1"/>
  <c r="EZ55" i="1"/>
  <c r="FB51" i="1" l="1"/>
  <c r="FA55" i="1"/>
  <c r="FC51" i="1" l="1"/>
  <c r="FB55" i="1"/>
  <c r="FD51" i="1" l="1"/>
  <c r="FC55" i="1"/>
  <c r="FE51" i="1" l="1"/>
  <c r="FD55" i="1"/>
  <c r="FF51" i="1" l="1"/>
  <c r="FE55" i="1"/>
  <c r="FG51" i="1" l="1"/>
  <c r="FF55" i="1"/>
  <c r="FH51" i="1" l="1"/>
  <c r="FG55" i="1"/>
  <c r="FI51" i="1" l="1"/>
  <c r="FH55" i="1"/>
  <c r="FJ51" i="1" l="1"/>
  <c r="FI55" i="1"/>
  <c r="FK51" i="1" l="1"/>
  <c r="FJ55" i="1"/>
  <c r="FL51" i="1" l="1"/>
  <c r="FK55" i="1"/>
  <c r="FM51" i="1" l="1"/>
  <c r="FL55" i="1"/>
  <c r="FN51" i="1" l="1"/>
  <c r="FM55" i="1"/>
  <c r="FO51" i="1" l="1"/>
  <c r="FN55" i="1"/>
  <c r="FP51" i="1" l="1"/>
  <c r="FO55" i="1"/>
  <c r="FQ51" i="1" l="1"/>
  <c r="FP55" i="1"/>
  <c r="FR51" i="1" l="1"/>
  <c r="FQ55" i="1"/>
  <c r="FS51" i="1" l="1"/>
  <c r="FR55" i="1"/>
  <c r="FT51" i="1" l="1"/>
  <c r="FS55" i="1"/>
  <c r="FU51" i="1" l="1"/>
  <c r="FT55" i="1"/>
  <c r="FV51" i="1" l="1"/>
  <c r="FU55" i="1"/>
  <c r="FW51" i="1" l="1"/>
  <c r="FV55" i="1"/>
  <c r="FX51" i="1" l="1"/>
  <c r="FW55" i="1"/>
  <c r="FY51" i="1" l="1"/>
  <c r="FX55" i="1"/>
  <c r="FZ51" i="1" l="1"/>
  <c r="FY55" i="1"/>
  <c r="GA51" i="1" l="1"/>
  <c r="FZ55" i="1"/>
  <c r="GB51" i="1" l="1"/>
  <c r="GA55" i="1"/>
  <c r="GC51" i="1" l="1"/>
  <c r="GB55" i="1"/>
  <c r="GD51" i="1" l="1"/>
  <c r="GC55" i="1"/>
  <c r="GE51" i="1" l="1"/>
  <c r="GD55" i="1"/>
  <c r="GF51" i="1" l="1"/>
  <c r="GE55" i="1"/>
  <c r="GG51" i="1" l="1"/>
  <c r="GF55" i="1"/>
  <c r="GH51" i="1" l="1"/>
  <c r="GG55" i="1"/>
  <c r="GI51" i="1" l="1"/>
  <c r="GH55" i="1"/>
  <c r="GJ51" i="1" l="1"/>
  <c r="GI55" i="1"/>
  <c r="GK51" i="1" l="1"/>
  <c r="GJ55" i="1"/>
  <c r="GL51" i="1" l="1"/>
  <c r="GK55" i="1"/>
  <c r="GM51" i="1" l="1"/>
  <c r="GL55" i="1"/>
  <c r="GN51" i="1" l="1"/>
  <c r="GM55" i="1"/>
  <c r="GO51" i="1" l="1"/>
  <c r="GN55" i="1"/>
  <c r="GP51" i="1" l="1"/>
  <c r="GO55" i="1"/>
  <c r="GQ51" i="1" l="1"/>
  <c r="GP55" i="1"/>
  <c r="GR51" i="1" l="1"/>
  <c r="GQ55" i="1"/>
  <c r="GS51" i="1" l="1"/>
  <c r="GR55" i="1"/>
  <c r="GT51" i="1" l="1"/>
  <c r="GS55" i="1"/>
  <c r="GU51" i="1" l="1"/>
  <c r="GT55" i="1"/>
  <c r="GV51" i="1" l="1"/>
  <c r="GU55" i="1"/>
  <c r="GW51" i="1" l="1"/>
  <c r="GV55" i="1"/>
  <c r="GX51" i="1" l="1"/>
  <c r="GW55" i="1"/>
  <c r="GY51" i="1" l="1"/>
  <c r="GX55" i="1"/>
  <c r="GZ51" i="1" l="1"/>
  <c r="GY55" i="1"/>
  <c r="HA51" i="1" l="1"/>
  <c r="GZ55" i="1"/>
  <c r="HB51" i="1" l="1"/>
  <c r="HA55" i="1"/>
  <c r="HC51" i="1" l="1"/>
  <c r="HB55" i="1"/>
  <c r="HD51" i="1" l="1"/>
  <c r="HC55" i="1"/>
  <c r="HE51" i="1" l="1"/>
  <c r="HD55" i="1"/>
  <c r="HF51" i="1" l="1"/>
  <c r="HE55" i="1"/>
  <c r="HG51" i="1" l="1"/>
  <c r="HF55" i="1"/>
  <c r="HH51" i="1" l="1"/>
  <c r="HG55" i="1"/>
  <c r="HI51" i="1" l="1"/>
  <c r="HH55" i="1"/>
  <c r="HJ51" i="1" l="1"/>
  <c r="HI55" i="1"/>
  <c r="HK51" i="1" l="1"/>
  <c r="HJ55" i="1"/>
  <c r="HL51" i="1" l="1"/>
  <c r="HK55" i="1"/>
  <c r="HM51" i="1" l="1"/>
  <c r="HL55" i="1"/>
  <c r="HN51" i="1" l="1"/>
  <c r="HM55" i="1"/>
  <c r="HO51" i="1" l="1"/>
  <c r="HN55" i="1"/>
  <c r="HP51" i="1" l="1"/>
  <c r="HO55" i="1"/>
  <c r="HQ51" i="1" l="1"/>
  <c r="HP55" i="1"/>
  <c r="HR51" i="1" l="1"/>
  <c r="HQ55" i="1"/>
  <c r="HS51" i="1" l="1"/>
  <c r="HR55" i="1"/>
  <c r="HT51" i="1" l="1"/>
  <c r="HS55" i="1"/>
  <c r="HU51" i="1" l="1"/>
  <c r="HT55" i="1"/>
  <c r="HU55" i="1" l="1"/>
  <c r="AV56" i="1" s="1"/>
  <c r="BI62" i="1"/>
  <c r="BI64" i="1" s="1"/>
  <c r="BI66" i="1" s="1"/>
  <c r="BI6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Brannon, Jameel A.</author>
  </authors>
  <commentList>
    <comment ref="B3" authorId="0" shapeId="0" xr:uid="{7DBA80AF-0399-BA48-8C95-94FAA005752E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Founded: 
</t>
        </r>
        <r>
          <rPr>
            <sz val="10"/>
            <color rgb="FF000000"/>
            <rFont val="Tahoma"/>
            <family val="2"/>
          </rPr>
          <t xml:space="preserve">Founded in 1971 Jerry Baldwin, Zev Siegl, and Gordon Bowker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Company was sold in th 80's to Howard Schultz
</t>
        </r>
      </text>
    </comment>
    <comment ref="B14" authorId="0" shapeId="0" xr:uid="{98802CC2-BAD5-1A46-B8B6-257A554374E4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Beginning 2022 summer, ChargePoint (volskwagon charges) will be available up to 15 Starbucks in Colorado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1K Starbucks community stores by 2030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Products 
</t>
        </r>
        <r>
          <rPr>
            <sz val="10"/>
            <color rgb="FF000000"/>
            <rFont val="Tahoma"/>
            <family val="2"/>
          </rPr>
          <t>Clover Vertica Brewer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Brannon, Jameel A.</author>
    <author>jameelbrannon</author>
  </authors>
  <commentList>
    <comment ref="M4" authorId="0" shapeId="0" xr:uid="{D757C206-6E1D-6F4E-9788-A6B08C69CB91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Down due to lower customer frequency </t>
        </r>
      </text>
    </comment>
    <comment ref="X31" authorId="1" shapeId="0" xr:uid="{A60952F3-2790-244D-8355-F4AC088B1A70}">
      <text>
        <r>
          <rPr>
            <b/>
            <sz val="10"/>
            <color rgb="FF000000"/>
            <rFont val="Tahoma"/>
            <family val="2"/>
          </rPr>
          <t>jameelbrannon: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4% increase in avg ticket y/y</t>
        </r>
      </text>
    </comment>
    <comment ref="X42" authorId="1" shapeId="0" xr:uid="{1599F1E6-A362-9B48-B0DA-457599D117E4}">
      <text>
        <r>
          <rPr>
            <b/>
            <sz val="10"/>
            <color rgb="FF000000"/>
            <rFont val="Tahoma"/>
            <family val="2"/>
          </rPr>
          <t>jameelbrannon: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Pre-tax gain of Seattle's coffee brand being sold to Nestle </t>
        </r>
      </text>
    </comment>
    <comment ref="X73" authorId="1" shapeId="0" xr:uid="{83769197-5D55-864C-BD76-EF9AE0F3434C}">
      <text>
        <r>
          <rPr>
            <b/>
            <sz val="10"/>
            <color rgb="FF000000"/>
            <rFont val="Tahoma"/>
            <family val="2"/>
          </rPr>
          <t>jameelbrannon: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Unroasted: 944.2
</t>
        </r>
        <r>
          <rPr>
            <sz val="10"/>
            <color rgb="FF000000"/>
            <rFont val="Tahoma"/>
            <family val="2"/>
          </rPr>
          <t xml:space="preserve">Roasted: 279.4
</t>
        </r>
      </text>
    </comment>
    <comment ref="B112" authorId="0" shapeId="0" xr:uid="{C055F71B-719E-274E-AF23-B2A6CD0038C4}">
      <text>
        <r>
          <rPr>
            <b/>
            <sz val="10"/>
            <color rgb="FF000000"/>
            <rFont val="Tahoma"/>
            <family val="2"/>
          </rPr>
          <t xml:space="preserve">Brannon, Jameel 
</t>
        </r>
        <r>
          <rPr>
            <b/>
            <sz val="10"/>
            <color rgb="FF000000"/>
            <rFont val="Tahoma"/>
            <family val="2"/>
          </rPr>
          <t xml:space="preserve">% </t>
        </r>
        <r>
          <rPr>
            <sz val="10"/>
            <color rgb="FF000000"/>
            <rFont val="Tahoma"/>
            <family val="2"/>
          </rPr>
          <t xml:space="preserve"> of inv sold during year </t>
        </r>
      </text>
    </comment>
    <comment ref="B113" authorId="0" shapeId="0" xr:uid="{61C70486-6450-3E4D-B5B2-610415BB0D02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number of days before inv is turned to cash OR company has inv to last the next xxx days </t>
        </r>
      </text>
    </comment>
    <comment ref="B114" authorId="0" shapeId="0" xr:uid="{A300279F-EC71-8642-98AF-B55F6770F405}">
      <text>
        <r>
          <rPr>
            <b/>
            <sz val="10"/>
            <color rgb="FF000000"/>
            <rFont val="Tahoma"/>
            <family val="2"/>
          </rPr>
          <t>Brannon, Jameel A.: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Every dollar of assets produced $ in net income</t>
        </r>
      </text>
    </comment>
    <comment ref="X177" authorId="1" shapeId="0" xr:uid="{30739D5C-FC3B-014E-9E0E-691316C727FB}">
      <text>
        <r>
          <rPr>
            <b/>
            <sz val="10"/>
            <color rgb="FF000000"/>
            <rFont val="Tahoma"/>
            <family val="2"/>
          </rPr>
          <t>jameelbrannon: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Seattle's Best Coffee brand) sold to Nestle</t>
        </r>
      </text>
    </comment>
  </commentList>
</comments>
</file>

<file path=xl/sharedStrings.xml><?xml version="1.0" encoding="utf-8"?>
<sst xmlns="http://schemas.openxmlformats.org/spreadsheetml/2006/main" count="241" uniqueCount="194">
  <si>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</si>
  <si>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</si>
  <si>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</si>
  <si>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</si>
  <si>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</si>
  <si>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</si>
  <si>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</si>
  <si>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</si>
  <si>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</si>
  <si>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</si>
  <si>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</si>
  <si>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</si>
  <si>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P</t>
  </si>
  <si>
    <t>S/O</t>
  </si>
  <si>
    <t>MC</t>
  </si>
  <si>
    <t xml:space="preserve">Cash </t>
  </si>
  <si>
    <t>Debt</t>
  </si>
  <si>
    <t>EV</t>
  </si>
  <si>
    <t>Company operated stores</t>
  </si>
  <si>
    <t>Licensed stores</t>
  </si>
  <si>
    <t>Other</t>
  </si>
  <si>
    <t xml:space="preserve">Total Revenue </t>
  </si>
  <si>
    <t>Income from equity investees</t>
  </si>
  <si>
    <t>Operating Income</t>
  </si>
  <si>
    <t>Net Income</t>
  </si>
  <si>
    <t>Gain on divestiture</t>
  </si>
  <si>
    <t>Interest income</t>
  </si>
  <si>
    <t>Interest expense</t>
  </si>
  <si>
    <t>Income Before Taxes</t>
  </si>
  <si>
    <t>Taxes</t>
  </si>
  <si>
    <t>noncontrolling</t>
  </si>
  <si>
    <t>Diluted</t>
  </si>
  <si>
    <t>eps</t>
  </si>
  <si>
    <t>Product &amp; disti costs</t>
  </si>
  <si>
    <t>Store op expense</t>
  </si>
  <si>
    <t>Other op expense</t>
  </si>
  <si>
    <t>D&amp;A</t>
  </si>
  <si>
    <t>G&amp;A</t>
  </si>
  <si>
    <t>Total Op expenses</t>
  </si>
  <si>
    <t xml:space="preserve">Revenue YoY </t>
  </si>
  <si>
    <t>Q122</t>
  </si>
  <si>
    <t>Q222</t>
  </si>
  <si>
    <t>Q322</t>
  </si>
  <si>
    <t>Q422</t>
  </si>
  <si>
    <t>Discount</t>
  </si>
  <si>
    <t>Total Stores</t>
  </si>
  <si>
    <t>North America</t>
  </si>
  <si>
    <t>International</t>
  </si>
  <si>
    <t>Revenue Per Store</t>
  </si>
  <si>
    <t>Estimate</t>
  </si>
  <si>
    <t>Shares</t>
  </si>
  <si>
    <t>Current</t>
  </si>
  <si>
    <t>Delta</t>
  </si>
  <si>
    <t>OM%</t>
  </si>
  <si>
    <t xml:space="preserve">Beverage </t>
  </si>
  <si>
    <t>Food</t>
  </si>
  <si>
    <t>TL + E</t>
  </si>
  <si>
    <t>Equity</t>
  </si>
  <si>
    <t>TL</t>
  </si>
  <si>
    <t>Current Liabilities</t>
  </si>
  <si>
    <t xml:space="preserve">Current Assets </t>
  </si>
  <si>
    <t xml:space="preserve">Total Assets </t>
  </si>
  <si>
    <t xml:space="preserve">Net Cash </t>
  </si>
  <si>
    <t>Investments</t>
  </si>
  <si>
    <t>A/R</t>
  </si>
  <si>
    <t>Inventories</t>
  </si>
  <si>
    <t>Prepaid expenses</t>
  </si>
  <si>
    <t>Long term investments</t>
  </si>
  <si>
    <t>Equity investments</t>
  </si>
  <si>
    <t>PPE</t>
  </si>
  <si>
    <t>Op lease</t>
  </si>
  <si>
    <t>Deferred income tax</t>
  </si>
  <si>
    <t>Other long term assets</t>
  </si>
  <si>
    <t xml:space="preserve">Intangibles </t>
  </si>
  <si>
    <t>Goodwill</t>
  </si>
  <si>
    <t>A/P</t>
  </si>
  <si>
    <t>Accrued liabilities</t>
  </si>
  <si>
    <t>Accrued payroll &amp; benefits</t>
  </si>
  <si>
    <t>Current op lease</t>
  </si>
  <si>
    <t>Stored value card liability</t>
  </si>
  <si>
    <t xml:space="preserve">Short term debt </t>
  </si>
  <si>
    <t xml:space="preserve">Current Long Term Debt </t>
  </si>
  <si>
    <t xml:space="preserve">Long Term Debt </t>
  </si>
  <si>
    <t xml:space="preserve">Op lease </t>
  </si>
  <si>
    <t xml:space="preserve">Deferred revenue </t>
  </si>
  <si>
    <t xml:space="preserve">Other long term </t>
  </si>
  <si>
    <t>CFFO</t>
  </si>
  <si>
    <t xml:space="preserve">Net Income </t>
  </si>
  <si>
    <t xml:space="preserve">Income from equity method </t>
  </si>
  <si>
    <t>Distributions received from e</t>
  </si>
  <si>
    <t>SBC</t>
  </si>
  <si>
    <t>Non cash lease costs</t>
  </si>
  <si>
    <t>Loss onn retirement</t>
  </si>
  <si>
    <t xml:space="preserve">Other </t>
  </si>
  <si>
    <t>prepaid expenses</t>
  </si>
  <si>
    <t xml:space="preserve">deferred revenue </t>
  </si>
  <si>
    <t xml:space="preserve">Other op lease </t>
  </si>
  <si>
    <t>Sale of investments</t>
  </si>
  <si>
    <t>Maturities and calls of invest.</t>
  </si>
  <si>
    <t>Capex</t>
  </si>
  <si>
    <t>CFFI</t>
  </si>
  <si>
    <t xml:space="preserve">Proceeds form debt issuance </t>
  </si>
  <si>
    <t xml:space="preserve">Repayments of short term debt </t>
  </si>
  <si>
    <t>Repayments of LTD</t>
  </si>
  <si>
    <t xml:space="preserve">Proceeds from common </t>
  </si>
  <si>
    <t xml:space="preserve">Dividends </t>
  </si>
  <si>
    <t xml:space="preserve">Buybacks </t>
  </si>
  <si>
    <t>Tax withholdings on SB</t>
  </si>
  <si>
    <t>CFFF</t>
  </si>
  <si>
    <t>Fx</t>
  </si>
  <si>
    <t xml:space="preserve">Net Increase </t>
  </si>
  <si>
    <t xml:space="preserve">Mix % </t>
  </si>
  <si>
    <t xml:space="preserve">Incoem tax payable </t>
  </si>
  <si>
    <t>Goodwill impairments</t>
  </si>
  <si>
    <t>NWC</t>
  </si>
  <si>
    <t>Maturity</t>
  </si>
  <si>
    <t>Joint Venture</t>
  </si>
  <si>
    <t>Q118</t>
  </si>
  <si>
    <t>Q218</t>
  </si>
  <si>
    <t>Q318</t>
  </si>
  <si>
    <t>Q418</t>
  </si>
  <si>
    <t>Income tax payable</t>
  </si>
  <si>
    <t>Press Release</t>
  </si>
  <si>
    <t>Contains</t>
  </si>
  <si>
    <t xml:space="preserve">Howard Schultz interim CEO </t>
  </si>
  <si>
    <t>History</t>
  </si>
  <si>
    <t xml:space="preserve">Approved dividend of 49 cents </t>
  </si>
  <si>
    <t>Higher wages for emplyees</t>
  </si>
  <si>
    <t>Increased dividend 45 cents to 49 cents  -- 9% increase</t>
  </si>
  <si>
    <t xml:space="preserve">Outlining Long term Growth </t>
  </si>
  <si>
    <t>Transcripts</t>
  </si>
  <si>
    <t>Q3'21</t>
  </si>
  <si>
    <t xml:space="preserve">Q4 &amp; FY'21 </t>
  </si>
  <si>
    <t>Q2'21</t>
  </si>
  <si>
    <t>Q1'21</t>
  </si>
  <si>
    <t>Q4'22</t>
  </si>
  <si>
    <t>Q3'22</t>
  </si>
  <si>
    <t>Q2'22</t>
  </si>
  <si>
    <t>90 Day Active Members</t>
  </si>
  <si>
    <t>4Q NI</t>
  </si>
  <si>
    <t>ROIC</t>
  </si>
  <si>
    <t xml:space="preserve">I Rate </t>
  </si>
  <si>
    <t>Inventory Turnover</t>
  </si>
  <si>
    <t xml:space="preserve">Days Inventory </t>
  </si>
  <si>
    <t xml:space="preserve">Return on Assets </t>
  </si>
  <si>
    <t>Model</t>
  </si>
  <si>
    <t>Dividend</t>
  </si>
  <si>
    <t>EBITDA</t>
  </si>
  <si>
    <t>Q123</t>
  </si>
  <si>
    <t>Q2'23</t>
  </si>
  <si>
    <t>NC</t>
  </si>
  <si>
    <t>Asset sale</t>
  </si>
  <si>
    <t>Asset sales</t>
  </si>
  <si>
    <t>Q223</t>
  </si>
  <si>
    <t>Divestiture</t>
  </si>
  <si>
    <t>NA</t>
  </si>
  <si>
    <t xml:space="preserve">Int'l </t>
  </si>
  <si>
    <t>NA OM%</t>
  </si>
  <si>
    <t>Int'l OM%</t>
  </si>
  <si>
    <t>Channel OM%</t>
  </si>
  <si>
    <t>Globalcoffee</t>
  </si>
  <si>
    <t>Roasted</t>
  </si>
  <si>
    <t>Other merch</t>
  </si>
  <si>
    <t>Packaging/supplies</t>
  </si>
  <si>
    <t>Net Inventory</t>
  </si>
  <si>
    <t>Change in Trans</t>
  </si>
  <si>
    <t>Change in Ticket Price</t>
  </si>
  <si>
    <t>Q1'23</t>
  </si>
  <si>
    <t>Q323</t>
  </si>
  <si>
    <t>Q423</t>
  </si>
  <si>
    <t>Q3'23</t>
  </si>
  <si>
    <t>Q124</t>
  </si>
  <si>
    <t>Q224</t>
  </si>
  <si>
    <t>Q324</t>
  </si>
  <si>
    <t>Q424</t>
  </si>
  <si>
    <t>Article 1 12/13/23</t>
  </si>
  <si>
    <t>Plants</t>
  </si>
  <si>
    <t>Coffee arabics</t>
  </si>
  <si>
    <t>Coffeea canephora</t>
  </si>
  <si>
    <t>Company news</t>
  </si>
  <si>
    <t>Statistics</t>
  </si>
  <si>
    <t>Files</t>
  </si>
  <si>
    <t xml:space="preserve">IR: </t>
  </si>
  <si>
    <t>https://investor.starbucks.com/ir-home/default.aspx</t>
  </si>
  <si>
    <t>Ratio Analysis</t>
  </si>
  <si>
    <t xml:space="preserve">Total Debt </t>
  </si>
  <si>
    <t xml:space="preserve">Net Debt </t>
  </si>
  <si>
    <t>Net Debt P/S</t>
  </si>
  <si>
    <t>BVPS</t>
  </si>
  <si>
    <t>Inputs</t>
  </si>
  <si>
    <t xml:space="preserve">Interest </t>
  </si>
  <si>
    <t>PV</t>
  </si>
  <si>
    <t xml:space="preserve">Total Value </t>
  </si>
  <si>
    <t xml:space="preserve">Symbol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</si>
</sst>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"/>
    <numFmt numFmtId="165" formatCode="m/d;@"/>
    <numFmt numFmtId="166" formatCode="_(* #,##0_);_(* \(#,##0\);_(* &quot;-&quot;??_);_(@_)"/>
    <numFmt numFmtId="167" formatCode="&quot;$&quot;#,##0"/>
    <numFmt numFmtId="168" formatCode="#,##0.0000000000"/>
  </numFmts>
  <fonts count="13">
    <font>
      <sz val="10"/>
      <color theme="1"/>
      <name val="ArialMT"/>
      <family val="2"/>
    </font>
    <font>
      <sz val="10"/>
      <color theme="1"/>
      <name val="ArialMT"/>
      <family val="2"/>
    </font>
    <font>
      <u/>
      <sz val="10"/>
      <color theme="10"/>
      <name val="ArialMT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Intel Clear"/>
      <family val="2"/>
    </font>
    <font>
      <b/>
      <sz val="10"/>
      <color theme="1"/>
      <name val="Intel Clear"/>
      <family val="2"/>
    </font>
    <font>
      <u/>
      <sz val="10"/>
      <color theme="10"/>
      <name val="Intel Clear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9" fontId="5" fillId="0" borderId="0" xfId="0" applyNumberFormat="1" applyFont="1"/>
    <xf numFmtId="3" fontId="7" fillId="0" borderId="0" xfId="3" applyNumberFormat="1" applyFont="1"/>
    <xf numFmtId="3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2" fillId="0" borderId="0" xfId="3" applyNumberFormat="1" applyAlignment="1">
      <alignment horizontal="right"/>
    </xf>
    <xf numFmtId="3" fontId="6" fillId="0" borderId="0" xfId="0" applyNumberFormat="1" applyFont="1" applyAlignment="1">
      <alignment horizontal="left"/>
    </xf>
    <xf numFmtId="3" fontId="2" fillId="0" borderId="0" xfId="3" applyNumberFormat="1"/>
    <xf numFmtId="165" fontId="8" fillId="0" borderId="0" xfId="0" applyNumberFormat="1" applyFont="1"/>
    <xf numFmtId="165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left"/>
    </xf>
    <xf numFmtId="3" fontId="8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8" fillId="0" borderId="0" xfId="0" applyNumberFormat="1" applyFont="1" applyAlignment="1">
      <alignment horizontal="right"/>
    </xf>
    <xf numFmtId="3" fontId="8" fillId="0" borderId="0" xfId="0" applyNumberFormat="1" applyFont="1"/>
    <xf numFmtId="1" fontId="8" fillId="0" borderId="0" xfId="0" applyNumberFormat="1" applyFont="1"/>
    <xf numFmtId="3" fontId="9" fillId="0" borderId="0" xfId="0" applyNumberFormat="1" applyFont="1"/>
    <xf numFmtId="9" fontId="8" fillId="0" borderId="0" xfId="0" applyNumberFormat="1" applyFont="1"/>
    <xf numFmtId="9" fontId="8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166" fontId="9" fillId="0" borderId="0" xfId="1" applyNumberFormat="1" applyFont="1"/>
    <xf numFmtId="3" fontId="10" fillId="0" borderId="0" xfId="0" applyNumberFormat="1" applyFont="1"/>
    <xf numFmtId="3" fontId="10" fillId="0" borderId="0" xfId="0" applyNumberFormat="1" applyFont="1" applyAlignment="1">
      <alignment horizontal="right"/>
    </xf>
    <xf numFmtId="166" fontId="10" fillId="0" borderId="0" xfId="1" applyNumberFormat="1" applyFont="1"/>
    <xf numFmtId="9" fontId="10" fillId="0" borderId="0" xfId="0" applyNumberFormat="1" applyFont="1"/>
    <xf numFmtId="164" fontId="9" fillId="0" borderId="0" xfId="0" applyNumberFormat="1" applyFont="1"/>
    <xf numFmtId="164" fontId="9" fillId="0" borderId="0" xfId="0" applyNumberFormat="1" applyFont="1" applyAlignment="1">
      <alignment horizontal="right"/>
    </xf>
    <xf numFmtId="4" fontId="9" fillId="0" borderId="0" xfId="0" applyNumberFormat="1" applyFont="1" applyAlignment="1">
      <alignment horizontal="right"/>
    </xf>
    <xf numFmtId="4" fontId="9" fillId="0" borderId="0" xfId="0" applyNumberFormat="1" applyFont="1"/>
    <xf numFmtId="3" fontId="11" fillId="0" borderId="0" xfId="0" applyNumberFormat="1" applyFont="1"/>
    <xf numFmtId="3" fontId="11" fillId="0" borderId="0" xfId="0" applyNumberFormat="1" applyFont="1" applyAlignment="1">
      <alignment horizontal="right"/>
    </xf>
    <xf numFmtId="2" fontId="8" fillId="0" borderId="0" xfId="0" applyNumberFormat="1" applyFont="1"/>
    <xf numFmtId="2" fontId="8" fillId="0" borderId="0" xfId="0" applyNumberFormat="1" applyFont="1" applyAlignment="1">
      <alignment horizontal="right"/>
    </xf>
    <xf numFmtId="168" fontId="9" fillId="0" borderId="0" xfId="0" applyNumberFormat="1" applyFont="1"/>
    <xf numFmtId="4" fontId="8" fillId="0" borderId="0" xfId="0" applyNumberFormat="1" applyFont="1"/>
    <xf numFmtId="3" fontId="8" fillId="2" borderId="1" xfId="0" applyNumberFormat="1" applyFont="1" applyFill="1" applyBorder="1"/>
    <xf numFmtId="9" fontId="8" fillId="2" borderId="2" xfId="0" applyNumberFormat="1" applyFont="1" applyFill="1" applyBorder="1"/>
    <xf numFmtId="9" fontId="9" fillId="0" borderId="0" xfId="0" applyNumberFormat="1" applyFont="1"/>
    <xf numFmtId="9" fontId="9" fillId="0" borderId="0" xfId="0" applyNumberFormat="1" applyFont="1" applyAlignment="1">
      <alignment horizontal="right"/>
    </xf>
    <xf numFmtId="3" fontId="8" fillId="2" borderId="3" xfId="0" applyNumberFormat="1" applyFont="1" applyFill="1" applyBorder="1"/>
    <xf numFmtId="9" fontId="8" fillId="2" borderId="4" xfId="0" applyNumberFormat="1" applyFont="1" applyFill="1" applyBorder="1"/>
    <xf numFmtId="9" fontId="8" fillId="2" borderId="3" xfId="0" applyNumberFormat="1" applyFont="1" applyFill="1" applyBorder="1"/>
    <xf numFmtId="3" fontId="8" fillId="2" borderId="4" xfId="0" applyNumberFormat="1" applyFont="1" applyFill="1" applyBorder="1"/>
    <xf numFmtId="3" fontId="9" fillId="2" borderId="3" xfId="0" applyNumberFormat="1" applyFont="1" applyFill="1" applyBorder="1"/>
    <xf numFmtId="3" fontId="9" fillId="2" borderId="4" xfId="0" applyNumberFormat="1" applyFont="1" applyFill="1" applyBorder="1"/>
    <xf numFmtId="3" fontId="9" fillId="2" borderId="5" xfId="0" applyNumberFormat="1" applyFont="1" applyFill="1" applyBorder="1"/>
    <xf numFmtId="9" fontId="9" fillId="2" borderId="6" xfId="0" applyNumberFormat="1" applyFont="1" applyFill="1" applyBorder="1"/>
    <xf numFmtId="3" fontId="12" fillId="0" borderId="0" xfId="0" applyNumberFormat="1" applyFont="1"/>
    <xf numFmtId="167" fontId="8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right"/>
    </xf>
    <xf numFmtId="9" fontId="8" fillId="0" borderId="0" xfId="2" applyFont="1" applyAlignment="1">
      <alignment horizontal="right"/>
    </xf>
    <xf numFmtId="14" fontId="2" fillId="0" borderId="0" xfId="3" applyNumberFormat="1" applyAlignment="1">
      <alignment horizontal="left"/>
    </xf>
    <xf numFmtId="14" fontId="7" fillId="0" borderId="0" xfId="3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28222</xdr:colOff>
      <xdr:row>0</xdr:row>
      <xdr:rowOff>0</xdr:rowOff>
    </xdr:from>
    <xdr:to>
      <xdr:col>26</xdr:col>
      <xdr:colOff>34195</xdr:colOff>
      <xdr:row>247</xdr:row>
      <xdr:rowOff>127000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D78B48A-6550-4943-BED6-B1B1F948F055}"/>
            </a:ext>
          </a:extLst>
        </xdr:cNvPr>
        <xdr:cNvCxnSpPr/>
      </xdr:nvCxnSpPr>
      <xdr:spPr>
        <a:xfrm flipH="1">
          <a:off x="15084778" y="0"/>
          <a:ext cx="5973" cy="37154556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527440</xdr:colOff>
      <xdr:row>0</xdr:row>
      <xdr:rowOff>9203</xdr:rowOff>
    </xdr:from>
    <xdr:to>
      <xdr:col>45</xdr:col>
      <xdr:colOff>553143</xdr:colOff>
      <xdr:row>206</xdr:row>
      <xdr:rowOff>104876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CD2B759-4C93-684E-88FF-C8E2CEBC9FD2}"/>
            </a:ext>
          </a:extLst>
        </xdr:cNvPr>
        <xdr:cNvCxnSpPr/>
      </xdr:nvCxnSpPr>
      <xdr:spPr>
        <a:xfrm flipH="1">
          <a:off x="24859904" y="9203"/>
          <a:ext cx="25703" cy="30621687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22.q4cdn.com/869488222/files/doc_financials/2021/q2/SBUX-Q2-2021-Earnings-Call-Transcript.pdf" TargetMode="External"/><Relationship Id="rId13" Type="http://schemas.openxmlformats.org/officeDocument/2006/relationships/hyperlink" Target="https://www.vox.com/money/2023/12/13/23999981/starbucks-boycott-israel-palestine-market-value-loss-holidays-labor" TargetMode="External"/><Relationship Id="rId3" Type="http://schemas.openxmlformats.org/officeDocument/2006/relationships/hyperlink" Target="https://investor.starbucks.com/press-releases/financial-releases/press-release-details/2021/Starbucks-Makes-Historic-Investments-in-its-Partners-Employees-Building-on-Long-Time-Belief-that-Success-is-Best-When-Shared/default.aspx" TargetMode="External"/><Relationship Id="rId7" Type="http://schemas.openxmlformats.org/officeDocument/2006/relationships/hyperlink" Target="https://s22.q4cdn.com/869488222/files/doc_financials/2021/q3/SBUX-Q3-2021-Earnings-Call-Corrected-Transcript.pdf" TargetMode="External"/><Relationship Id="rId12" Type="http://schemas.openxmlformats.org/officeDocument/2006/relationships/hyperlink" Target="https://s22.q4cdn.com/869488222/files/doc_financials/2023/q1/SBUX_Corrected_Transcript.pdf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investor.starbucks.com/press-releases/financial-releases/press-release-details/2021/Starbucks-Declares-Quarterly-Cash-Dividend-f7cc1927f/default.aspx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investor.starbucks.com/press-releases/financial-releases/press-release-details/2022/Starbucks-Announces-Leadership-Transition/default.aspx" TargetMode="External"/><Relationship Id="rId6" Type="http://schemas.openxmlformats.org/officeDocument/2006/relationships/hyperlink" Target="https://s22.q4cdn.com/869488222/files/doc_financials/2021/q4/Q4-FY21-SBUX-Earnings-Call-Transcript.pdf" TargetMode="External"/><Relationship Id="rId11" Type="http://schemas.openxmlformats.org/officeDocument/2006/relationships/hyperlink" Target="https://s22.q4cdn.com/869488222/files/doc_financials/2023/q2/SBUXQ22023EarningsCall.pdf" TargetMode="External"/><Relationship Id="rId5" Type="http://schemas.openxmlformats.org/officeDocument/2006/relationships/hyperlink" Target="https://investor.starbucks.com/press-releases/financial-releases/press-release-details/2020/Starbucks-Outlines-Vision-for-the-Future-and-Reaffirms-Strategy-for-Continued-Growth-at-Scale-Updates-Ongoing-Growth-Model-Signaling-Company-is-Stronger-and-More-Resilient-Than-Ever/default.aspx" TargetMode="External"/><Relationship Id="rId15" Type="http://schemas.openxmlformats.org/officeDocument/2006/relationships/hyperlink" Target="https://investor.starbucks.com/ir-home/default.aspx" TargetMode="External"/><Relationship Id="rId10" Type="http://schemas.openxmlformats.org/officeDocument/2006/relationships/hyperlink" Target="https://investor.starbucks.com/press-releases/financial-releases/press-release-details/2022/Starbucks-Declares-Quarterly-Cash-Dividend-dc214e177/default.aspx" TargetMode="External"/><Relationship Id="rId4" Type="http://schemas.openxmlformats.org/officeDocument/2006/relationships/hyperlink" Target="https://investor.starbucks.com/press-releases/financial-releases/press-release-details/2021/Starbucks-Announces-Increase-in-Quarterly-Cash-Dividend/default.aspx" TargetMode="External"/><Relationship Id="rId9" Type="http://schemas.openxmlformats.org/officeDocument/2006/relationships/hyperlink" Target="https://s22.q4cdn.com/869488222/files/doc_financials/2021/q1/Q1-2021-Earnings-Call,-26-January-2021.pdf" TargetMode="External"/><Relationship Id="rId14" Type="http://schemas.openxmlformats.org/officeDocument/2006/relationships/hyperlink" Target="https://www.census.gov/newsroom/stories/coffee-day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7E33-8AED-6C40-9B1C-791B36C2C26B}">
  <dimension ref="A1:L32"/>
  <sheetViews>
    <sheetView tabSelected="1" zoomScale="218" zoomScaleNormal="170" workbookViewId="0">
      <selection activeCell="E9" sqref="E9"/>
    </sheetView>
  </sheetViews>
  <sheetFormatPr baseColWidth="10" defaultRowHeight="14"/>
  <cols>
    <col min="1" max="1" width="14.83203125" style="2" bestFit="1" customWidth="1"/>
    <col min="2" max="2" width="12" style="5" bestFit="1" customWidth="1"/>
    <col min="3" max="6" width="10.83203125" style="2"/>
    <col min="7" max="7" width="15.33203125" style="2" bestFit="1" customWidth="1"/>
    <col min="8" max="8" width="5.6640625" style="5" bestFit="1" customWidth="1"/>
    <col min="9" max="9" width="7.6640625" style="2" bestFit="1" customWidth="1"/>
    <col min="10" max="10" width="5.5" style="2" bestFit="1" customWidth="1"/>
    <col min="11" max="14" width="10.83203125" style="2"/>
    <col min="15" max="15" width="5.6640625" style="2" bestFit="1" customWidth="1"/>
    <col min="16" max="16" width="7.6640625" style="2" bestFit="1" customWidth="1"/>
    <col min="17" max="17" width="5.5" style="2" bestFit="1" customWidth="1"/>
    <col min="18" max="16384" width="10.83203125" style="2"/>
  </cols>
  <sheetData>
    <row r="1" spans="1:12">
      <c r="A1" s="4" t="s">
        <v>145</v>
      </c>
    </row>
    <row r="2" spans="1:12">
      <c r="B2" s="5" t="s">
        <v>182</v>
      </c>
      <c r="C2" s="9" t="s">
        <v>183</v>
      </c>
    </row>
    <row r="3" spans="1:12">
      <c r="B3" s="8" t="s">
        <v>125</v>
      </c>
      <c r="H3" s="5" t="s">
        <v>12</v>
      </c>
      <c r="I3" s="2">
        <v>93.34</v>
      </c>
    </row>
    <row r="4" spans="1:12">
      <c r="H4" s="5" t="s">
        <v>13</v>
      </c>
      <c r="I4" s="2">
        <v>1136.7</v>
      </c>
      <c r="J4" s="2" t="s">
        <v>170</v>
      </c>
    </row>
    <row r="5" spans="1:12">
      <c r="H5" s="5" t="s">
        <v>14</v>
      </c>
      <c r="I5" s="2">
        <f>+I3*I4</f>
        <v>106099.57800000001</v>
      </c>
    </row>
    <row r="6" spans="1:12">
      <c r="B6" s="5">
        <f>178.5*60</f>
        <v>10710</v>
      </c>
      <c r="H6" s="5" t="s">
        <v>15</v>
      </c>
      <c r="I6" s="2">
        <f>3551.5+401.5+247.4+439.9</f>
        <v>4640.2999999999993</v>
      </c>
      <c r="J6" s="2" t="str">
        <f>+J4</f>
        <v>Q3'23</v>
      </c>
    </row>
    <row r="7" spans="1:12">
      <c r="H7" s="5" t="s">
        <v>16</v>
      </c>
      <c r="I7" s="2">
        <f>33.5+13547.6</f>
        <v>13581.1</v>
      </c>
      <c r="J7" s="2" t="str">
        <f>+J6</f>
        <v>Q3'23</v>
      </c>
      <c r="L7" s="3"/>
    </row>
    <row r="8" spans="1:12">
      <c r="H8" s="5" t="s">
        <v>17</v>
      </c>
      <c r="I8" s="1">
        <f>+I5-I6+I7</f>
        <v>115040.37800000001</v>
      </c>
      <c r="J8" s="1"/>
    </row>
    <row r="9" spans="1:12">
      <c r="I9" s="1"/>
      <c r="J9" s="1"/>
    </row>
    <row r="10" spans="1:12">
      <c r="H10" s="5" t="s">
        <v>150</v>
      </c>
      <c r="I10" s="2">
        <f>+I6-I7</f>
        <v>-8940.8000000000011</v>
      </c>
    </row>
    <row r="12" spans="1:12" s="1" customFormat="1">
      <c r="A12" s="8" t="s">
        <v>179</v>
      </c>
      <c r="B12" s="8" t="s">
        <v>122</v>
      </c>
      <c r="C12" s="1" t="s">
        <v>123</v>
      </c>
      <c r="F12" s="6" t="s">
        <v>180</v>
      </c>
      <c r="G12" s="6" t="s">
        <v>176</v>
      </c>
    </row>
    <row r="13" spans="1:12" s="1" customFormat="1">
      <c r="A13" s="7" t="s">
        <v>175</v>
      </c>
      <c r="B13" s="54">
        <v>44895</v>
      </c>
      <c r="C13" s="1" t="s">
        <v>146</v>
      </c>
      <c r="F13" s="7" t="s">
        <v>181</v>
      </c>
      <c r="G13" s="1" t="s">
        <v>177</v>
      </c>
    </row>
    <row r="14" spans="1:12">
      <c r="B14" s="55">
        <v>44636</v>
      </c>
      <c r="C14" s="2" t="s">
        <v>124</v>
      </c>
      <c r="G14" s="5" t="s">
        <v>178</v>
      </c>
    </row>
    <row r="15" spans="1:12">
      <c r="B15" s="55">
        <v>44516</v>
      </c>
      <c r="C15" s="2" t="s">
        <v>126</v>
      </c>
    </row>
    <row r="16" spans="1:12">
      <c r="B16" s="55">
        <v>44496</v>
      </c>
      <c r="C16" s="2" t="s">
        <v>127</v>
      </c>
    </row>
    <row r="17" spans="2:9">
      <c r="B17" s="55">
        <v>44468</v>
      </c>
      <c r="C17" s="2" t="s">
        <v>128</v>
      </c>
    </row>
    <row r="18" spans="2:9">
      <c r="B18" s="55">
        <v>44174</v>
      </c>
      <c r="C18" s="2" t="s">
        <v>129</v>
      </c>
    </row>
    <row r="19" spans="2:9">
      <c r="B19" s="56"/>
      <c r="C19" s="3"/>
      <c r="I19" s="3"/>
    </row>
    <row r="20" spans="2:9">
      <c r="B20" s="56"/>
    </row>
    <row r="21" spans="2:9">
      <c r="B21" s="57" t="s">
        <v>130</v>
      </c>
    </row>
    <row r="22" spans="2:9">
      <c r="B22" s="54" t="s">
        <v>149</v>
      </c>
    </row>
    <row r="23" spans="2:9">
      <c r="B23" s="54" t="s">
        <v>167</v>
      </c>
    </row>
    <row r="24" spans="2:9">
      <c r="B24" s="57"/>
    </row>
    <row r="25" spans="2:9">
      <c r="B25" s="56" t="s">
        <v>135</v>
      </c>
    </row>
    <row r="26" spans="2:9">
      <c r="B26" s="56" t="s">
        <v>136</v>
      </c>
    </row>
    <row r="27" spans="2:9">
      <c r="B27" s="56" t="s">
        <v>137</v>
      </c>
    </row>
    <row r="28" spans="2:9">
      <c r="B28" s="55" t="s">
        <v>132</v>
      </c>
    </row>
    <row r="29" spans="2:9">
      <c r="B29" s="55" t="s">
        <v>131</v>
      </c>
    </row>
    <row r="30" spans="2:9">
      <c r="B30" s="55" t="s">
        <v>133</v>
      </c>
    </row>
    <row r="31" spans="2:9">
      <c r="B31" s="55" t="s">
        <v>134</v>
      </c>
    </row>
    <row r="32" spans="2:9">
      <c r="B32" s="56"/>
    </row>
  </sheetData>
  <hyperlinks>
    <hyperlink ref="B14" r:id="rId1" display="https://investor.starbucks.com/press-releases/financial-releases/press-release-details/2022/Starbucks-Announces-Leadership-Transition/default.aspx" xr:uid="{4DD81B6D-6BCE-864E-8D68-46D9810623B9}"/>
    <hyperlink ref="B15" r:id="rId2" display="https://investor.starbucks.com/press-releases/financial-releases/press-release-details/2021/Starbucks-Declares-Quarterly-Cash-Dividend-f7cc1927f/default.aspx" xr:uid="{2F077FC8-E05B-0849-BE90-17CE6813C85E}"/>
    <hyperlink ref="B16" r:id="rId3" display="https://investor.starbucks.com/press-releases/financial-releases/press-release-details/2021/Starbucks-Makes-Historic-Investments-in-its-Partners-Employees-Building-on-Long-Time-Belief-that-Success-is-Best-When-Shared/default.aspx" xr:uid="{3605C9AA-77B9-C343-8761-A7B8426A7252}"/>
    <hyperlink ref="B17" r:id="rId4" display="https://investor.starbucks.com/press-releases/financial-releases/press-release-details/2021/Starbucks-Announces-Increase-in-Quarterly-Cash-Dividend/default.aspx" xr:uid="{BEDA90DE-DFC3-2F41-9622-07F0A5876879}"/>
    <hyperlink ref="B18" r:id="rId5" display="https://investor.starbucks.com/press-releases/financial-releases/press-release-details/2020/Starbucks-Outlines-Vision-for-the-Future-and-Reaffirms-Strategy-for-Continued-Growth-at-Scale-Updates-Ongoing-Growth-Model-Signaling-Company-is-Stronger-and-More-Resilient-Than-Ever/default.aspx" xr:uid="{6366AA43-DAA2-8240-9F48-88FFD5D9BEDE}"/>
    <hyperlink ref="B28" r:id="rId6" display="Q4 &amp; FY'21 Transcript" xr:uid="{5FA13AA5-AAE4-074A-B5CF-40A8405B0165}"/>
    <hyperlink ref="B29" r:id="rId7" xr:uid="{27E56321-7E7B-2840-A88B-FD9E4496769F}"/>
    <hyperlink ref="B30" r:id="rId8" xr:uid="{AF27E318-F027-9F4C-AD1E-78D1E7893395}"/>
    <hyperlink ref="B31" r:id="rId9" xr:uid="{01B3B750-103F-E840-8AA2-8AB691BAE6C3}"/>
    <hyperlink ref="A1" location="Model!A1" display="Model" xr:uid="{C15AC881-A626-0F4D-BD4D-0D33F745AC3B}"/>
    <hyperlink ref="B13" r:id="rId10" display="https://investor.starbucks.com/press-releases/financial-releases/press-release-details/2022/Starbucks-Declares-Quarterly-Cash-Dividend-dc214e177/default.aspx" xr:uid="{F2CEAF34-6F25-CB4C-9FA6-331904CA029D}"/>
    <hyperlink ref="B22" r:id="rId11" xr:uid="{E85EF21B-AD2E-2E44-8DA3-C3094FB7CF87}"/>
    <hyperlink ref="B23" r:id="rId12" xr:uid="{8648BD01-E6BA-9540-8D24-861216430AC6}"/>
    <hyperlink ref="A13" r:id="rId13" display="Article 1" xr:uid="{41EDE786-40B0-AA43-819B-22320680D14D}"/>
    <hyperlink ref="F13" r:id="rId14" location=":~:text=2023%2F24%20Coffee%20Overview&amp;text=With%20additional%20supplies%2C%20global%20exports,tight%20at%2031.8%20million%20bags.”" xr:uid="{9AD1C813-DC69-3540-ACFD-C78489D9B776}"/>
    <hyperlink ref="C2" r:id="rId15" xr:uid="{219C2F26-3A73-1046-9BBB-AA28638CC804}"/>
  </hyperlinks>
  <pageMargins left="0.7" right="0.7" top="0.75" bottom="0.75" header="0.3" footer="0.3"/>
  <legacy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1DFE-5BC4-DD4B-85CB-24DD03A3AA47}">
  <dimension ref="A2:HU215"/>
  <sheetViews>
    <sheetView zoomScale="130" zoomScaleNormal="130" workbookViewId="0">
      <pane xSplit="2" ySplit="3" topLeftCell="AH32" activePane="bottomRight" state="frozen"/>
      <selection pane="topRight" activeCell="B1" sqref="B1"/>
      <selection pane="bottomLeft" activeCell="A3" sqref="A3"/>
      <selection pane="bottomRight" activeCell="AX25" sqref="AX25"/>
    </sheetView>
  </sheetViews>
  <sheetFormatPr baseColWidth="10" defaultRowHeight="13" outlineLevelRow="1"/>
  <cols>
    <col min="1" max="1" width="2" style="17" customWidth="1"/>
    <col min="2" max="2" width="25.83203125" style="17" bestFit="1" customWidth="1"/>
    <col min="3" max="7" width="5.6640625" style="13" bestFit="1" customWidth="1"/>
    <col min="8" max="11" width="6.6640625" style="13" bestFit="1" customWidth="1"/>
    <col min="12" max="16" width="7.1640625" style="13" bestFit="1" customWidth="1"/>
    <col min="17" max="18" width="6.6640625" style="13" bestFit="1" customWidth="1"/>
    <col min="19" max="20" width="7.1640625" style="13" bestFit="1" customWidth="1"/>
    <col min="21" max="21" width="6.6640625" style="13" bestFit="1" customWidth="1"/>
    <col min="22" max="24" width="7.1640625" style="13" bestFit="1" customWidth="1"/>
    <col min="25" max="26" width="7.1640625" style="17" bestFit="1" customWidth="1"/>
    <col min="27" max="30" width="5.5" style="17" bestFit="1" customWidth="1"/>
    <col min="31" max="31" width="9.1640625" style="17" customWidth="1"/>
    <col min="32" max="32" width="3.1640625" style="17" customWidth="1"/>
    <col min="33" max="35" width="5.1640625" style="17" bestFit="1" customWidth="1"/>
    <col min="36" max="38" width="6.6640625" style="17" bestFit="1" customWidth="1"/>
    <col min="39" max="44" width="7.6640625" style="17" bestFit="1" customWidth="1"/>
    <col min="45" max="45" width="6.6640625" style="17" bestFit="1" customWidth="1"/>
    <col min="46" max="46" width="7.1640625" style="17" bestFit="1" customWidth="1"/>
    <col min="47" max="47" width="6.6640625" style="17" bestFit="1" customWidth="1"/>
    <col min="48" max="48" width="7.6640625" style="17" bestFit="1" customWidth="1"/>
    <col min="49" max="59" width="6.6640625" style="17" bestFit="1" customWidth="1"/>
    <col min="60" max="60" width="10.83203125" style="17" bestFit="1" customWidth="1"/>
    <col min="61" max="61" width="7.6640625" style="17" bestFit="1" customWidth="1"/>
    <col min="62" max="253" width="6.6640625" style="17" bestFit="1" customWidth="1"/>
    <col min="254" max="16384" width="10.83203125" style="17"/>
  </cols>
  <sheetData>
    <row r="2" spans="2:56" s="10" customFormat="1">
      <c r="C2" s="11">
        <v>43100</v>
      </c>
      <c r="D2" s="11">
        <v>43191</v>
      </c>
      <c r="E2" s="11">
        <v>43646</v>
      </c>
      <c r="F2" s="11">
        <v>43373</v>
      </c>
      <c r="G2" s="11">
        <v>43465</v>
      </c>
      <c r="H2" s="11">
        <v>43555</v>
      </c>
      <c r="I2" s="11">
        <v>43646</v>
      </c>
      <c r="J2" s="11">
        <v>43737</v>
      </c>
      <c r="K2" s="11">
        <v>43828</v>
      </c>
      <c r="L2" s="11">
        <v>43919</v>
      </c>
      <c r="M2" s="11">
        <v>44010</v>
      </c>
      <c r="N2" s="11">
        <v>44095</v>
      </c>
      <c r="O2" s="11">
        <v>44192</v>
      </c>
      <c r="P2" s="11">
        <v>44283</v>
      </c>
      <c r="Q2" s="11">
        <v>44374</v>
      </c>
      <c r="R2" s="11">
        <v>44472</v>
      </c>
      <c r="S2" s="11"/>
      <c r="T2" s="11"/>
      <c r="U2" s="11"/>
      <c r="V2" s="11">
        <v>44836</v>
      </c>
      <c r="W2" s="11"/>
      <c r="X2" s="11"/>
      <c r="AA2" s="10">
        <v>45321</v>
      </c>
    </row>
    <row r="3" spans="2:56" s="12" customFormat="1">
      <c r="C3" s="13" t="s">
        <v>117</v>
      </c>
      <c r="D3" s="13" t="s">
        <v>118</v>
      </c>
      <c r="E3" s="13" t="s">
        <v>119</v>
      </c>
      <c r="F3" s="13" t="s">
        <v>120</v>
      </c>
      <c r="G3" s="13" t="s">
        <v>0</v>
      </c>
      <c r="H3" s="13" t="s">
        <v>1</v>
      </c>
      <c r="I3" s="13" t="s">
        <v>2</v>
      </c>
      <c r="J3" s="13" t="s">
        <v>3</v>
      </c>
      <c r="K3" s="13" t="s">
        <v>4</v>
      </c>
      <c r="L3" s="13" t="s">
        <v>5</v>
      </c>
      <c r="M3" s="13" t="s">
        <v>6</v>
      </c>
      <c r="N3" s="13" t="s">
        <v>7</v>
      </c>
      <c r="O3" s="13" t="s">
        <v>8</v>
      </c>
      <c r="P3" s="13" t="s">
        <v>9</v>
      </c>
      <c r="Q3" s="13" t="s">
        <v>10</v>
      </c>
      <c r="R3" s="13" t="s">
        <v>11</v>
      </c>
      <c r="S3" s="13" t="s">
        <v>40</v>
      </c>
      <c r="T3" s="13" t="s">
        <v>41</v>
      </c>
      <c r="U3" s="13" t="s">
        <v>42</v>
      </c>
      <c r="V3" s="13" t="s">
        <v>43</v>
      </c>
      <c r="W3" s="13" t="s">
        <v>148</v>
      </c>
      <c r="X3" s="13" t="s">
        <v>153</v>
      </c>
      <c r="Y3" s="12" t="s">
        <v>168</v>
      </c>
      <c r="Z3" s="12" t="s">
        <v>169</v>
      </c>
      <c r="AA3" s="12" t="s">
        <v>171</v>
      </c>
      <c r="AB3" s="12" t="s">
        <v>172</v>
      </c>
      <c r="AC3" s="12" t="s">
        <v>173</v>
      </c>
      <c r="AD3" s="12" t="s">
        <v>174</v>
      </c>
      <c r="AG3" s="14">
        <v>2010</v>
      </c>
      <c r="AH3" s="14">
        <f>+AG3+1</f>
        <v>2011</v>
      </c>
      <c r="AI3" s="14">
        <f t="shared" ref="AI3:AP3" si="0">+AH3+1</f>
        <v>2012</v>
      </c>
      <c r="AJ3" s="14">
        <f t="shared" si="0"/>
        <v>2013</v>
      </c>
      <c r="AK3" s="14">
        <f t="shared" si="0"/>
        <v>2014</v>
      </c>
      <c r="AL3" s="14">
        <f t="shared" si="0"/>
        <v>2015</v>
      </c>
      <c r="AM3" s="14">
        <f t="shared" si="0"/>
        <v>2016</v>
      </c>
      <c r="AN3" s="14">
        <f t="shared" si="0"/>
        <v>2017</v>
      </c>
      <c r="AO3" s="14">
        <f t="shared" si="0"/>
        <v>2018</v>
      </c>
      <c r="AP3" s="14">
        <f t="shared" si="0"/>
        <v>2019</v>
      </c>
      <c r="AQ3" s="14">
        <f t="shared" ref="AQ3:BD3" si="1">+AP3+1</f>
        <v>2020</v>
      </c>
      <c r="AR3" s="14">
        <f t="shared" si="1"/>
        <v>2021</v>
      </c>
      <c r="AS3" s="14">
        <f t="shared" si="1"/>
        <v>2022</v>
      </c>
      <c r="AT3" s="14">
        <f t="shared" si="1"/>
        <v>2023</v>
      </c>
      <c r="AU3" s="14">
        <f t="shared" si="1"/>
        <v>2024</v>
      </c>
      <c r="AV3" s="14">
        <f t="shared" si="1"/>
        <v>2025</v>
      </c>
      <c r="AW3" s="14">
        <f t="shared" si="1"/>
        <v>2026</v>
      </c>
      <c r="AX3" s="14">
        <f t="shared" si="1"/>
        <v>2027</v>
      </c>
      <c r="AY3" s="14">
        <f t="shared" si="1"/>
        <v>2028</v>
      </c>
      <c r="AZ3" s="14">
        <f t="shared" si="1"/>
        <v>2029</v>
      </c>
      <c r="BA3" s="14">
        <f t="shared" si="1"/>
        <v>2030</v>
      </c>
      <c r="BB3" s="14">
        <f t="shared" si="1"/>
        <v>2031</v>
      </c>
      <c r="BC3" s="14">
        <f t="shared" si="1"/>
        <v>2032</v>
      </c>
      <c r="BD3" s="14">
        <f t="shared" si="1"/>
        <v>2033</v>
      </c>
    </row>
    <row r="4" spans="2:56" s="15" customFormat="1">
      <c r="B4" s="15" t="s">
        <v>138</v>
      </c>
      <c r="C4" s="16">
        <v>14.2</v>
      </c>
      <c r="D4" s="16">
        <v>14.9</v>
      </c>
      <c r="E4" s="16">
        <v>15.1</v>
      </c>
      <c r="F4" s="16">
        <v>15.3</v>
      </c>
      <c r="G4" s="16">
        <v>16.3</v>
      </c>
      <c r="H4" s="16">
        <v>16.8</v>
      </c>
      <c r="I4" s="16">
        <v>17.2</v>
      </c>
      <c r="J4" s="16">
        <v>17.600000000000001</v>
      </c>
      <c r="K4" s="16">
        <v>18.899999999999999</v>
      </c>
      <c r="L4" s="16">
        <v>19.399999999999999</v>
      </c>
      <c r="M4" s="16">
        <v>16.3</v>
      </c>
      <c r="N4" s="16">
        <v>19.3</v>
      </c>
      <c r="O4" s="16">
        <v>21.8</v>
      </c>
      <c r="P4" s="16">
        <v>22.9</v>
      </c>
      <c r="Q4" s="16">
        <v>24.2</v>
      </c>
      <c r="R4" s="16">
        <v>25</v>
      </c>
      <c r="S4" s="16">
        <v>26.4</v>
      </c>
      <c r="T4" s="16">
        <f>+X4*0.75</f>
        <v>23.1</v>
      </c>
      <c r="U4" s="16"/>
      <c r="V4" s="16"/>
      <c r="W4" s="16"/>
      <c r="X4" s="16">
        <v>30.8</v>
      </c>
    </row>
    <row r="5" spans="2:56"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</row>
    <row r="6" spans="2:56">
      <c r="B6" s="19" t="s">
        <v>46</v>
      </c>
      <c r="H6" s="13">
        <v>17719</v>
      </c>
      <c r="I6" s="13">
        <v>17853</v>
      </c>
      <c r="K6" s="13">
        <v>18203</v>
      </c>
      <c r="L6" s="13">
        <v>18271</v>
      </c>
      <c r="M6" s="13">
        <v>18235</v>
      </c>
      <c r="O6" s="13">
        <v>18308</v>
      </c>
      <c r="P6" s="13">
        <v>18120</v>
      </c>
      <c r="Q6" s="13">
        <v>18175</v>
      </c>
      <c r="R6" s="13">
        <v>16888</v>
      </c>
      <c r="S6" s="13">
        <v>16888</v>
      </c>
      <c r="T6" s="13">
        <v>16926</v>
      </c>
      <c r="U6" s="13">
        <v>17050</v>
      </c>
      <c r="V6" s="13">
        <v>17295</v>
      </c>
      <c r="W6" s="13">
        <v>16888</v>
      </c>
      <c r="X6" s="13">
        <v>17482</v>
      </c>
      <c r="Y6" s="17">
        <v>17592</v>
      </c>
      <c r="Z6" s="17">
        <v>17810</v>
      </c>
      <c r="AS6" s="17">
        <f>+V6</f>
        <v>17295</v>
      </c>
      <c r="AT6" s="17">
        <f>+Z6</f>
        <v>17810</v>
      </c>
    </row>
    <row r="7" spans="2:56" s="20" customFormat="1">
      <c r="B7" s="20" t="s">
        <v>165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>
        <v>0.05</v>
      </c>
      <c r="U7" s="21"/>
      <c r="V7" s="21"/>
      <c r="X7" s="21">
        <v>0.06</v>
      </c>
    </row>
    <row r="8" spans="2:56" s="20" customFormat="1">
      <c r="B8" s="20" t="s">
        <v>166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>
        <v>7.0000000000000007E-2</v>
      </c>
      <c r="U8" s="21"/>
      <c r="V8" s="21"/>
      <c r="X8" s="21">
        <v>0.02</v>
      </c>
    </row>
    <row r="9" spans="2:56"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</row>
    <row r="10" spans="2:56">
      <c r="B10" s="19" t="s">
        <v>47</v>
      </c>
      <c r="H10" s="13">
        <v>12465</v>
      </c>
      <c r="I10" s="13">
        <v>12773</v>
      </c>
      <c r="K10" s="13">
        <v>13592</v>
      </c>
      <c r="L10" s="13">
        <v>13779</v>
      </c>
      <c r="M10" s="13">
        <v>13945</v>
      </c>
      <c r="O10" s="13">
        <v>14630</v>
      </c>
      <c r="P10" s="13">
        <v>14823</v>
      </c>
      <c r="Q10" s="13">
        <v>15120</v>
      </c>
      <c r="R10" s="13">
        <v>17429</v>
      </c>
      <c r="S10" s="13">
        <v>16048</v>
      </c>
      <c r="T10" s="13">
        <v>17704</v>
      </c>
      <c r="U10" s="13">
        <v>17898</v>
      </c>
      <c r="V10" s="13">
        <v>18416</v>
      </c>
      <c r="W10" s="13">
        <v>17429</v>
      </c>
      <c r="X10" s="13">
        <v>19152</v>
      </c>
      <c r="Y10" s="17">
        <v>19630</v>
      </c>
      <c r="Z10" s="17">
        <v>20228</v>
      </c>
      <c r="AO10" s="18"/>
      <c r="AP10" s="18"/>
      <c r="AQ10" s="18"/>
      <c r="AR10" s="18"/>
      <c r="AS10" s="17">
        <f>+V10</f>
        <v>18416</v>
      </c>
      <c r="AT10" s="17">
        <f>+Z10</f>
        <v>20228</v>
      </c>
      <c r="AU10" s="18"/>
      <c r="AV10" s="18"/>
      <c r="AW10" s="18"/>
      <c r="AX10" s="18"/>
      <c r="AY10" s="18"/>
      <c r="AZ10" s="18"/>
      <c r="BA10" s="18"/>
      <c r="BB10" s="18"/>
      <c r="BC10" s="18"/>
      <c r="BD10" s="18"/>
    </row>
    <row r="11" spans="2:56" s="20" customFormat="1">
      <c r="B11" s="20" t="s">
        <v>165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>
        <v>-0.03</v>
      </c>
      <c r="U11" s="21"/>
      <c r="V11" s="21"/>
      <c r="W11" s="21"/>
      <c r="X11" s="21">
        <v>7.0000000000000007E-2</v>
      </c>
      <c r="AT11" s="20">
        <f>+AT10/AS10-1</f>
        <v>9.8392701998262444E-2</v>
      </c>
    </row>
    <row r="12" spans="2:56" s="20" customFormat="1">
      <c r="B12" s="20" t="s">
        <v>166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>
        <v>-0.05</v>
      </c>
      <c r="U12" s="21"/>
      <c r="V12" s="21"/>
      <c r="W12" s="21"/>
      <c r="X12" s="21">
        <v>0</v>
      </c>
    </row>
    <row r="13" spans="2:56" s="20" customFormat="1"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2:56" s="19" customFormat="1">
      <c r="B14" s="19" t="s">
        <v>45</v>
      </c>
      <c r="C14" s="22"/>
      <c r="D14" s="22"/>
      <c r="E14" s="22"/>
      <c r="F14" s="22"/>
      <c r="G14" s="22">
        <f>+SUM(G6:G10)</f>
        <v>0</v>
      </c>
      <c r="H14" s="22">
        <f>+SUM(H6:H10)</f>
        <v>30184</v>
      </c>
      <c r="I14" s="22">
        <f>+SUM(I6:I10)</f>
        <v>30626</v>
      </c>
      <c r="J14" s="22">
        <v>31256</v>
      </c>
      <c r="K14" s="22">
        <f>+SUM(K6:K10)</f>
        <v>31795</v>
      </c>
      <c r="L14" s="22">
        <f>+SUM(L6:L10)</f>
        <v>32050</v>
      </c>
      <c r="M14" s="22">
        <f>+SUM(M6:M10)</f>
        <v>32180</v>
      </c>
      <c r="N14" s="22">
        <v>32660</v>
      </c>
      <c r="O14" s="22">
        <f t="shared" ref="O14:Z14" si="2">+SUM(O6:O10)</f>
        <v>32938</v>
      </c>
      <c r="P14" s="22">
        <f t="shared" si="2"/>
        <v>32943</v>
      </c>
      <c r="Q14" s="22">
        <f t="shared" si="2"/>
        <v>33295</v>
      </c>
      <c r="R14" s="22">
        <f t="shared" si="2"/>
        <v>34317</v>
      </c>
      <c r="S14" s="22">
        <f t="shared" si="2"/>
        <v>32936</v>
      </c>
      <c r="T14" s="22">
        <f t="shared" si="2"/>
        <v>34630.119999999995</v>
      </c>
      <c r="U14" s="22">
        <f t="shared" si="2"/>
        <v>34948</v>
      </c>
      <c r="V14" s="22">
        <f t="shared" si="2"/>
        <v>35711</v>
      </c>
      <c r="W14" s="22">
        <f t="shared" si="2"/>
        <v>34317</v>
      </c>
      <c r="X14" s="22">
        <f t="shared" si="2"/>
        <v>36634.080000000002</v>
      </c>
      <c r="Y14" s="22">
        <f t="shared" si="2"/>
        <v>37222</v>
      </c>
      <c r="Z14" s="22">
        <f t="shared" si="2"/>
        <v>38038</v>
      </c>
      <c r="AA14" s="22"/>
      <c r="AB14" s="22"/>
      <c r="AC14" s="22"/>
      <c r="AD14" s="22"/>
      <c r="AM14" s="23">
        <v>25085</v>
      </c>
      <c r="AN14" s="23">
        <v>27339</v>
      </c>
      <c r="AO14" s="23">
        <v>29324</v>
      </c>
      <c r="AP14" s="23">
        <v>31256</v>
      </c>
      <c r="AQ14" s="23">
        <v>32660</v>
      </c>
      <c r="AR14" s="23">
        <f>+R14</f>
        <v>34317</v>
      </c>
      <c r="AS14" s="19">
        <f>+V14</f>
        <v>35711</v>
      </c>
      <c r="AT14" s="19">
        <f>+Z14</f>
        <v>38038</v>
      </c>
      <c r="AU14" s="19">
        <f>+AT14*1.07</f>
        <v>40700.660000000003</v>
      </c>
      <c r="AV14" s="19">
        <f t="shared" ref="AV14:BD14" si="3">+AU14+300</f>
        <v>41000.660000000003</v>
      </c>
      <c r="AW14" s="19">
        <f t="shared" si="3"/>
        <v>41300.660000000003</v>
      </c>
      <c r="AX14" s="19">
        <f t="shared" si="3"/>
        <v>41600.660000000003</v>
      </c>
      <c r="AY14" s="19">
        <f t="shared" si="3"/>
        <v>41900.660000000003</v>
      </c>
      <c r="AZ14" s="19">
        <f t="shared" si="3"/>
        <v>42200.66</v>
      </c>
      <c r="BA14" s="19">
        <f t="shared" si="3"/>
        <v>42500.66</v>
      </c>
      <c r="BB14" s="19">
        <f t="shared" si="3"/>
        <v>42800.66</v>
      </c>
      <c r="BC14" s="19">
        <f t="shared" si="3"/>
        <v>43100.66</v>
      </c>
      <c r="BD14" s="19">
        <f t="shared" si="3"/>
        <v>43400.66</v>
      </c>
    </row>
    <row r="15" spans="2:56" s="24" customFormat="1" ht="11" outlineLevel="1">
      <c r="B15" s="24" t="s">
        <v>155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>
        <f t="shared" ref="P15:Z15" si="4">+P6-O6</f>
        <v>-188</v>
      </c>
      <c r="Q15" s="25">
        <f t="shared" si="4"/>
        <v>55</v>
      </c>
      <c r="R15" s="25">
        <f t="shared" si="4"/>
        <v>-1287</v>
      </c>
      <c r="S15" s="25">
        <f t="shared" si="4"/>
        <v>0</v>
      </c>
      <c r="T15" s="25">
        <f t="shared" si="4"/>
        <v>38</v>
      </c>
      <c r="U15" s="25">
        <f t="shared" si="4"/>
        <v>124</v>
      </c>
      <c r="V15" s="25">
        <f t="shared" si="4"/>
        <v>245</v>
      </c>
      <c r="W15" s="25">
        <f t="shared" si="4"/>
        <v>-407</v>
      </c>
      <c r="X15" s="25">
        <f t="shared" si="4"/>
        <v>594</v>
      </c>
      <c r="Y15" s="25">
        <f t="shared" si="4"/>
        <v>110</v>
      </c>
      <c r="Z15" s="25">
        <f t="shared" si="4"/>
        <v>218</v>
      </c>
      <c r="AA15" s="25"/>
      <c r="AB15" s="25"/>
      <c r="AC15" s="25"/>
      <c r="AD15" s="25"/>
      <c r="AM15" s="26"/>
      <c r="AN15" s="26"/>
      <c r="AO15" s="26"/>
      <c r="AP15" s="26"/>
      <c r="AQ15" s="26"/>
      <c r="AR15" s="26"/>
      <c r="AT15" s="27">
        <f>+AT14/AS14-1</f>
        <v>6.516199490353114E-2</v>
      </c>
    </row>
    <row r="16" spans="2:56" s="24" customFormat="1" ht="11" outlineLevel="1">
      <c r="B16" s="24" t="s">
        <v>156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>
        <f t="shared" ref="P16:Z16" si="5">+P10-O10</f>
        <v>193</v>
      </c>
      <c r="Q16" s="25">
        <f t="shared" si="5"/>
        <v>297</v>
      </c>
      <c r="R16" s="25">
        <f t="shared" si="5"/>
        <v>2309</v>
      </c>
      <c r="S16" s="25">
        <f t="shared" si="5"/>
        <v>-1381</v>
      </c>
      <c r="T16" s="25">
        <f t="shared" si="5"/>
        <v>1656</v>
      </c>
      <c r="U16" s="25">
        <f t="shared" si="5"/>
        <v>194</v>
      </c>
      <c r="V16" s="25">
        <f t="shared" si="5"/>
        <v>518</v>
      </c>
      <c r="W16" s="25">
        <f t="shared" si="5"/>
        <v>-987</v>
      </c>
      <c r="X16" s="25">
        <f t="shared" si="5"/>
        <v>1723</v>
      </c>
      <c r="Y16" s="25">
        <f t="shared" si="5"/>
        <v>478</v>
      </c>
      <c r="Z16" s="25">
        <f t="shared" si="5"/>
        <v>598</v>
      </c>
      <c r="AA16" s="25"/>
      <c r="AB16" s="25"/>
      <c r="AC16" s="25"/>
      <c r="AD16" s="25"/>
      <c r="AM16" s="26"/>
      <c r="AN16" s="26"/>
      <c r="AO16" s="26"/>
      <c r="AP16" s="26"/>
      <c r="AQ16" s="26"/>
      <c r="AR16" s="26"/>
    </row>
    <row r="17" spans="2:56" s="20" customFormat="1"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AN17" s="20">
        <f>+AN14/AM14-1</f>
        <v>8.9854494717958922E-2</v>
      </c>
      <c r="AO17" s="20">
        <f>+AO14/AN14-1</f>
        <v>7.2606898569808731E-2</v>
      </c>
      <c r="AP17" s="20">
        <f>+AP14/AO14-1</f>
        <v>6.5884599645341657E-2</v>
      </c>
      <c r="AQ17" s="20">
        <f>+AQ14/AP14-1</f>
        <v>4.4919375479907764E-2</v>
      </c>
      <c r="AR17" s="20">
        <f>+AR14/AQ14-1</f>
        <v>5.073484384568272E-2</v>
      </c>
      <c r="AS17" s="20">
        <f t="shared" ref="AS17:BD17" si="6">+AS14/AR14-1</f>
        <v>4.0621266427718128E-2</v>
      </c>
      <c r="AT17" s="20">
        <f t="shared" si="6"/>
        <v>6.516199490353114E-2</v>
      </c>
      <c r="AU17" s="20">
        <f t="shared" si="6"/>
        <v>7.0000000000000062E-2</v>
      </c>
      <c r="AV17" s="20">
        <f t="shared" si="6"/>
        <v>7.3708878430964742E-3</v>
      </c>
      <c r="AW17" s="20">
        <f t="shared" si="6"/>
        <v>7.316955385596291E-3</v>
      </c>
      <c r="AX17" s="20">
        <f t="shared" si="6"/>
        <v>7.2638064379599854E-3</v>
      </c>
      <c r="AY17" s="20">
        <f t="shared" si="6"/>
        <v>7.2114240495222415E-3</v>
      </c>
      <c r="AZ17" s="20">
        <f t="shared" si="6"/>
        <v>7.1597917550703105E-3</v>
      </c>
      <c r="BA17" s="20">
        <f t="shared" si="6"/>
        <v>7.1088935575889245E-3</v>
      </c>
      <c r="BB17" s="20">
        <f t="shared" si="6"/>
        <v>7.0587139117368469E-3</v>
      </c>
      <c r="BC17" s="20">
        <f t="shared" si="6"/>
        <v>7.0092377080166468E-3</v>
      </c>
      <c r="BD17" s="20">
        <f t="shared" si="6"/>
        <v>6.9604502576061655E-3</v>
      </c>
    </row>
    <row r="18" spans="2:56" s="28" customFormat="1">
      <c r="B18" s="28" t="s">
        <v>48</v>
      </c>
      <c r="C18" s="29"/>
      <c r="D18" s="29"/>
      <c r="E18" s="29"/>
      <c r="F18" s="29"/>
      <c r="G18" s="29"/>
      <c r="H18" s="29">
        <f t="shared" ref="H18:Y18" si="7">+H34/H14</f>
        <v>0.20891531937450303</v>
      </c>
      <c r="I18" s="29">
        <f t="shared" si="7"/>
        <v>0.22278456213674655</v>
      </c>
      <c r="J18" s="29">
        <f t="shared" si="7"/>
        <v>0.2158625543895572</v>
      </c>
      <c r="K18" s="29">
        <f t="shared" si="7"/>
        <v>0.22321434187765371</v>
      </c>
      <c r="L18" s="29">
        <f t="shared" si="7"/>
        <v>0.18707332293291731</v>
      </c>
      <c r="M18" s="29">
        <f t="shared" si="7"/>
        <v>0.13120261031696706</v>
      </c>
      <c r="N18" s="29">
        <f t="shared" si="7"/>
        <v>0.18992957746478875</v>
      </c>
      <c r="O18" s="29">
        <f t="shared" si="7"/>
        <v>0.20491225939644181</v>
      </c>
      <c r="P18" s="29">
        <f t="shared" si="7"/>
        <v>0.20241022371975836</v>
      </c>
      <c r="Q18" s="29">
        <f t="shared" si="7"/>
        <v>0.22515392701606848</v>
      </c>
      <c r="R18" s="29">
        <f t="shared" si="7"/>
        <v>0.23739545997610514</v>
      </c>
      <c r="S18" s="29">
        <f t="shared" si="7"/>
        <v>0.24442555258683507</v>
      </c>
      <c r="T18" s="29">
        <f t="shared" si="7"/>
        <v>0.22049013979737872</v>
      </c>
      <c r="U18" s="29">
        <f t="shared" si="7"/>
        <v>0.23320647819617718</v>
      </c>
      <c r="V18" s="29">
        <f t="shared" si="7"/>
        <v>0.23561927697348153</v>
      </c>
      <c r="W18" s="30">
        <f t="shared" si="7"/>
        <v>0.23458927062388901</v>
      </c>
      <c r="X18" s="30">
        <f t="shared" si="7"/>
        <v>0.2380242659294296</v>
      </c>
      <c r="Y18" s="30">
        <f t="shared" si="7"/>
        <v>0.24631400784482294</v>
      </c>
      <c r="Z18" s="31">
        <f>+V18*1.3</f>
        <v>0.30630506006552599</v>
      </c>
      <c r="AA18" s="31"/>
      <c r="AB18" s="31"/>
      <c r="AC18" s="31"/>
      <c r="AD18" s="31"/>
      <c r="AM18" s="28">
        <f t="shared" ref="AM18:AT18" si="8">+AM34/AM14</f>
        <v>0.8497468606737093</v>
      </c>
      <c r="AN18" s="28">
        <f t="shared" si="8"/>
        <v>0.81885950473682279</v>
      </c>
      <c r="AO18" s="28">
        <f t="shared" si="8"/>
        <v>0.84297844768790064</v>
      </c>
      <c r="AP18" s="28">
        <f t="shared" si="8"/>
        <v>0.84811236242641408</v>
      </c>
      <c r="AQ18" s="28">
        <f t="shared" si="8"/>
        <v>0.72008573178199631</v>
      </c>
      <c r="AR18" s="28">
        <f t="shared" si="8"/>
        <v>0.84682810268962916</v>
      </c>
      <c r="AS18" s="28">
        <f t="shared" si="8"/>
        <v>0.90309148441656617</v>
      </c>
      <c r="AT18" s="28">
        <f t="shared" si="8"/>
        <v>0.94578053525421946</v>
      </c>
      <c r="AU18" s="28">
        <f>+AT18*1.05</f>
        <v>0.99306956201693042</v>
      </c>
      <c r="AV18" s="28">
        <f t="shared" ref="AV18:BD18" si="9">+AU18*1.05</f>
        <v>1.0427230401177769</v>
      </c>
      <c r="AW18" s="28">
        <f t="shared" si="9"/>
        <v>1.0948591921236659</v>
      </c>
      <c r="AX18" s="28">
        <f t="shared" si="9"/>
        <v>1.1496021517298491</v>
      </c>
      <c r="AY18" s="28">
        <f t="shared" si="9"/>
        <v>1.2070822593163417</v>
      </c>
      <c r="AZ18" s="28">
        <f t="shared" si="9"/>
        <v>1.2674363722821589</v>
      </c>
      <c r="BA18" s="28">
        <f t="shared" si="9"/>
        <v>1.3308081908962668</v>
      </c>
      <c r="BB18" s="28">
        <f t="shared" si="9"/>
        <v>1.3973486004410802</v>
      </c>
      <c r="BC18" s="28">
        <f t="shared" si="9"/>
        <v>1.4672160304631343</v>
      </c>
      <c r="BD18" s="28">
        <f t="shared" si="9"/>
        <v>1.5405768319862911</v>
      </c>
    </row>
    <row r="20" spans="2:56">
      <c r="AT20" s="20"/>
    </row>
    <row r="21" spans="2:56" s="20" customFormat="1"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2:56">
      <c r="B22" s="17" t="s">
        <v>54</v>
      </c>
      <c r="G22" s="13">
        <v>3926</v>
      </c>
      <c r="H22" s="13">
        <v>3760.4</v>
      </c>
      <c r="I22" s="13">
        <v>4122.1000000000004</v>
      </c>
      <c r="J22" s="13">
        <f>+AP22-SUM(G22:I22)</f>
        <v>4112.7000000000007</v>
      </c>
      <c r="K22" s="13">
        <v>4260.8999999999996</v>
      </c>
      <c r="L22" s="13">
        <v>3530.9</v>
      </c>
      <c r="M22" s="13">
        <v>2628.8</v>
      </c>
      <c r="N22" s="13">
        <f>+AQ22-SUM(K22:M22)</f>
        <v>3916.9000000000015</v>
      </c>
      <c r="O22" s="13">
        <v>4251.8999999999996</v>
      </c>
      <c r="P22" s="13">
        <v>4212.8</v>
      </c>
      <c r="Q22" s="13">
        <v>4753.1000000000004</v>
      </c>
      <c r="R22" s="13">
        <f>+AR22-SUM(O22:Q22)</f>
        <v>5099.1999999999989</v>
      </c>
      <c r="S22" s="13">
        <v>4898.3999999999996</v>
      </c>
      <c r="T22" s="13">
        <v>4599</v>
      </c>
      <c r="U22" s="13">
        <v>4944.6000000000004</v>
      </c>
      <c r="V22" s="13">
        <f>19555.3-SUM(S22:U22)</f>
        <v>5113.2999999999993</v>
      </c>
      <c r="W22" s="13">
        <v>5173</v>
      </c>
      <c r="X22" s="13">
        <v>5226.8999999999996</v>
      </c>
      <c r="Y22" s="13">
        <v>5587.9</v>
      </c>
      <c r="AJ22" s="17">
        <v>8674.7000000000007</v>
      </c>
      <c r="AK22" s="17">
        <v>9458.4</v>
      </c>
      <c r="AL22" s="17">
        <v>11115.4</v>
      </c>
      <c r="AM22" s="17">
        <v>12383.4</v>
      </c>
      <c r="AN22" s="17">
        <v>12915</v>
      </c>
      <c r="AO22" s="17">
        <v>14463.1</v>
      </c>
      <c r="AP22" s="17">
        <v>15921.2</v>
      </c>
      <c r="AQ22" s="17">
        <v>14337.5</v>
      </c>
      <c r="AR22" s="17">
        <v>18317</v>
      </c>
      <c r="AS22" s="17">
        <f>SUM(S22:V22)</f>
        <v>19555.3</v>
      </c>
    </row>
    <row r="23" spans="2:56">
      <c r="B23" s="17" t="s">
        <v>55</v>
      </c>
      <c r="G23" s="13">
        <v>1188.9000000000001</v>
      </c>
      <c r="H23" s="13">
        <v>1157.9000000000001</v>
      </c>
      <c r="I23" s="13">
        <v>1106.9000000000001</v>
      </c>
      <c r="J23" s="13">
        <f>+AP23-SUM(G23:I23)</f>
        <v>882.59999999999991</v>
      </c>
      <c r="K23" s="13">
        <v>1162.0999999999999</v>
      </c>
      <c r="L23" s="13">
        <v>968.7</v>
      </c>
      <c r="M23" s="13">
        <v>629.20000000000005</v>
      </c>
      <c r="N23" s="13">
        <f>+AQ23-SUM(K23:M23)</f>
        <v>739.19999999999982</v>
      </c>
      <c r="O23" s="13">
        <v>1140.8</v>
      </c>
      <c r="P23" s="13">
        <v>1131.4000000000001</v>
      </c>
      <c r="Q23" s="13">
        <v>1311.2</v>
      </c>
      <c r="R23" s="13">
        <f>+AR23-SUM(O23:Q23)</f>
        <v>1470</v>
      </c>
      <c r="S23" s="13">
        <v>1434.6</v>
      </c>
      <c r="T23" s="13">
        <v>1364.3</v>
      </c>
      <c r="U23" s="13">
        <v>1472</v>
      </c>
      <c r="V23" s="13">
        <f>5804.2-SUM(T23:U23)</f>
        <v>2967.8999999999996</v>
      </c>
      <c r="W23" s="13">
        <v>1565.9</v>
      </c>
      <c r="X23" s="13">
        <v>1590.9</v>
      </c>
      <c r="Y23" s="13">
        <v>1704.5</v>
      </c>
      <c r="AJ23" s="17">
        <v>2189.8000000000002</v>
      </c>
      <c r="AK23" s="17">
        <v>2505.1999999999998</v>
      </c>
      <c r="AL23" s="17">
        <v>3085.3</v>
      </c>
      <c r="AM23" s="17">
        <v>3495</v>
      </c>
      <c r="AN23" s="17">
        <v>3832.4</v>
      </c>
      <c r="AO23" s="17">
        <v>3986.5</v>
      </c>
      <c r="AP23" s="17">
        <v>4336.3</v>
      </c>
      <c r="AQ23" s="17">
        <v>3499.2</v>
      </c>
      <c r="AR23" s="17">
        <v>5053.3999999999996</v>
      </c>
      <c r="AS23" s="17">
        <f>SUM(S23:V23)</f>
        <v>7238.7999999999993</v>
      </c>
    </row>
    <row r="24" spans="2:56">
      <c r="B24" s="17" t="s">
        <v>20</v>
      </c>
      <c r="G24" s="13">
        <v>1517.8</v>
      </c>
      <c r="H24" s="13">
        <v>1387.6</v>
      </c>
      <c r="I24" s="13">
        <v>1594</v>
      </c>
      <c r="J24" s="13">
        <f>+AP24-SUM(G24:I24)</f>
        <v>1751.7000000000007</v>
      </c>
      <c r="K24" s="13">
        <v>1674.1</v>
      </c>
      <c r="L24" s="13">
        <v>1496.1</v>
      </c>
      <c r="M24" s="13">
        <v>961.4</v>
      </c>
      <c r="N24" s="13">
        <f>+AQ24-SUM(K24:M24)</f>
        <v>-1750.2999999999993</v>
      </c>
      <c r="O24" s="13">
        <v>1356.7</v>
      </c>
      <c r="P24" s="13">
        <v>1323.8</v>
      </c>
      <c r="Q24" s="13">
        <v>1432.2</v>
      </c>
      <c r="R24" s="13">
        <f>+AR24-SUM(O24:Q24)</f>
        <v>1577.5</v>
      </c>
      <c r="S24" s="13">
        <v>1717.4</v>
      </c>
      <c r="T24" s="13">
        <v>1672.3</v>
      </c>
      <c r="U24" s="13">
        <v>1733.5</v>
      </c>
      <c r="V24" s="13">
        <f>6890.8-SUM(T24:U24)</f>
        <v>3485</v>
      </c>
      <c r="W24" s="13">
        <v>1975</v>
      </c>
      <c r="X24" s="13">
        <v>1902</v>
      </c>
      <c r="Y24" s="13">
        <v>1875.9</v>
      </c>
      <c r="AJ24" s="17">
        <f>2206.5+1795.8</f>
        <v>4002.3</v>
      </c>
      <c r="AK24" s="17">
        <f>2370+2114.2</f>
        <v>4484.2</v>
      </c>
      <c r="AL24" s="17">
        <f>2619.9+2342.1</f>
        <v>4962</v>
      </c>
      <c r="AM24" s="17">
        <f>2866+2571.5</f>
        <v>5437.5</v>
      </c>
      <c r="AN24" s="17">
        <f>2883.6+2756.1</f>
        <v>5639.7</v>
      </c>
      <c r="AO24" s="17">
        <v>6269.9</v>
      </c>
      <c r="AP24" s="17">
        <v>6251.1</v>
      </c>
      <c r="AQ24" s="17">
        <v>2381.3000000000002</v>
      </c>
      <c r="AR24" s="17">
        <v>5690.2</v>
      </c>
      <c r="AS24" s="17">
        <f>SUM(S24:V24)</f>
        <v>8608.2000000000007</v>
      </c>
    </row>
    <row r="26" spans="2:56">
      <c r="B26" s="19" t="s">
        <v>111</v>
      </c>
      <c r="C26" s="22"/>
      <c r="D26" s="22"/>
      <c r="E26" s="22"/>
      <c r="F26" s="22"/>
    </row>
    <row r="27" spans="2:56" s="20" customFormat="1">
      <c r="B27" s="17" t="s">
        <v>54</v>
      </c>
      <c r="C27" s="13"/>
      <c r="D27" s="13"/>
      <c r="E27" s="13"/>
      <c r="F27" s="13"/>
      <c r="G27" s="21">
        <f t="shared" ref="G27:J27" si="10">+G22/SUM(G22:G24)</f>
        <v>0.59191581105733715</v>
      </c>
      <c r="H27" s="21">
        <f t="shared" si="10"/>
        <v>0.59633042071710629</v>
      </c>
      <c r="I27" s="21">
        <f t="shared" si="10"/>
        <v>0.60414773560017598</v>
      </c>
      <c r="J27" s="21">
        <f t="shared" si="10"/>
        <v>0.60955980435749213</v>
      </c>
      <c r="K27" s="21">
        <f t="shared" ref="K27:R27" si="11">+K22/SUM(K22:K24)</f>
        <v>0.60037198292260208</v>
      </c>
      <c r="L27" s="21">
        <f t="shared" si="11"/>
        <v>0.58890538219056987</v>
      </c>
      <c r="M27" s="21">
        <f t="shared" si="11"/>
        <v>0.62302697065933554</v>
      </c>
      <c r="N27" s="21">
        <f t="shared" si="11"/>
        <v>1.3479592539059808</v>
      </c>
      <c r="O27" s="21">
        <f t="shared" si="11"/>
        <v>0.62996710818739443</v>
      </c>
      <c r="P27" s="21">
        <f t="shared" si="11"/>
        <v>0.63179364127174564</v>
      </c>
      <c r="Q27" s="21">
        <f t="shared" si="11"/>
        <v>0.63404255319148939</v>
      </c>
      <c r="R27" s="21">
        <f t="shared" si="11"/>
        <v>0.62592215252801742</v>
      </c>
      <c r="S27" s="21">
        <f>+S22/SUM(S22:S24)</f>
        <v>0.608466660041737</v>
      </c>
      <c r="T27" s="21">
        <f>+T22/SUM(T22:T24)</f>
        <v>0.60231023102310233</v>
      </c>
      <c r="U27" s="21">
        <f>+U22/SUM(U22:U24)</f>
        <v>0.60669194243015423</v>
      </c>
      <c r="V27" s="21">
        <f t="shared" ref="V27:X27" si="12">+V22/SUM(V22:V24)</f>
        <v>0.4420898825889229</v>
      </c>
      <c r="W27" s="21">
        <f t="shared" si="12"/>
        <v>0.59364922709693713</v>
      </c>
      <c r="X27" s="21">
        <f t="shared" si="12"/>
        <v>0.59942888598362354</v>
      </c>
      <c r="Y27" s="21">
        <f t="shared" ref="Y27" si="13">+Y22/SUM(Y22:Y24)</f>
        <v>0.60948049256677905</v>
      </c>
      <c r="AJ27" s="20">
        <f t="shared" ref="AJ27:AK27" si="14">+AJ22/SUM(AJ22:AJ24)</f>
        <v>0.58349476686307755</v>
      </c>
      <c r="AK27" s="20">
        <f t="shared" si="14"/>
        <v>0.57505563054025466</v>
      </c>
      <c r="AL27" s="20">
        <f t="shared" ref="AL27:AM27" si="15">+AL22/SUM(AL22:AL24)</f>
        <v>0.58005395899325252</v>
      </c>
      <c r="AM27" s="20">
        <f t="shared" si="15"/>
        <v>0.58094661731383612</v>
      </c>
      <c r="AN27" s="20">
        <f t="shared" ref="AN27" si="16">+AN22/SUM(AN22:AN24)</f>
        <v>0.5768947295540735</v>
      </c>
      <c r="AO27" s="20">
        <f>+AO22/SUM(AO22:AO24)</f>
        <v>0.58508869515969175</v>
      </c>
      <c r="AP27" s="20">
        <f t="shared" ref="AP27:AR27" si="17">+AP22/SUM(AP22:AP24)</f>
        <v>0.60060508665112455</v>
      </c>
      <c r="AQ27" s="20">
        <f t="shared" si="17"/>
        <v>0.70914531605500053</v>
      </c>
      <c r="AR27" s="20">
        <f t="shared" si="17"/>
        <v>0.63030357253463443</v>
      </c>
      <c r="AS27" s="20">
        <f t="shared" ref="AS27" si="18">+AS22/SUM(AS22:AS24)</f>
        <v>0.55237371583202211</v>
      </c>
    </row>
    <row r="28" spans="2:56" s="20" customFormat="1">
      <c r="B28" s="17" t="s">
        <v>55</v>
      </c>
      <c r="C28" s="13"/>
      <c r="D28" s="13"/>
      <c r="E28" s="13"/>
      <c r="F28" s="13"/>
      <c r="G28" s="21">
        <f t="shared" ref="G28:J28" si="19">+G23/SUM(G22:G24)</f>
        <v>0.17924826993532048</v>
      </c>
      <c r="H28" s="21">
        <f t="shared" si="19"/>
        <v>0.18362168762587422</v>
      </c>
      <c r="I28" s="21">
        <f t="shared" si="19"/>
        <v>0.1622306903121794</v>
      </c>
      <c r="J28" s="21">
        <f t="shared" si="19"/>
        <v>0.13081369497554463</v>
      </c>
      <c r="K28" s="21">
        <f t="shared" ref="K28:R28" si="20">+K23/SUM(K22:K24)</f>
        <v>0.16374293725606232</v>
      </c>
      <c r="L28" s="21">
        <f t="shared" si="20"/>
        <v>0.16156578881531763</v>
      </c>
      <c r="M28" s="21">
        <f t="shared" si="20"/>
        <v>0.14912072806560175</v>
      </c>
      <c r="N28" s="21">
        <f t="shared" si="20"/>
        <v>0.25438777617179409</v>
      </c>
      <c r="O28" s="21">
        <f t="shared" si="20"/>
        <v>0.16902243162355174</v>
      </c>
      <c r="P28" s="21">
        <f t="shared" si="20"/>
        <v>0.16967606478704259</v>
      </c>
      <c r="Q28" s="21">
        <f t="shared" si="20"/>
        <v>0.17490829053558327</v>
      </c>
      <c r="R28" s="21">
        <f t="shared" si="20"/>
        <v>0.18044116022438536</v>
      </c>
      <c r="S28" s="21">
        <f>+S23/SUM(S22:S24)</f>
        <v>0.17820232535029315</v>
      </c>
      <c r="T28" s="21">
        <f>+T23/SUM(T22:T24)</f>
        <v>0.17867620095342865</v>
      </c>
      <c r="U28" s="21">
        <f>+U23/SUM(U22:U24)</f>
        <v>0.18061128084317982</v>
      </c>
      <c r="V28" s="21">
        <f t="shared" ref="V28:X28" si="21">+V23/SUM(V22:V24)</f>
        <v>0.25660113088136122</v>
      </c>
      <c r="W28" s="21">
        <f t="shared" si="21"/>
        <v>0.17970139661919463</v>
      </c>
      <c r="X28" s="21">
        <f t="shared" si="21"/>
        <v>0.18244684511112644</v>
      </c>
      <c r="Y28" s="21">
        <f t="shared" ref="Y28" si="22">+Y23/SUM(Y22:Y24)</f>
        <v>0.18591232834876698</v>
      </c>
      <c r="AJ28" s="20">
        <f t="shared" ref="AJ28:AK28" si="23">+AJ23/SUM(AJ22:AJ24)</f>
        <v>0.14729464309737134</v>
      </c>
      <c r="AK28" s="20">
        <f t="shared" si="23"/>
        <v>0.15231216332883424</v>
      </c>
      <c r="AL28" s="20">
        <f t="shared" ref="AL28:AM28" si="24">+AL23/SUM(AL22:AL24)</f>
        <v>0.16100549505027997</v>
      </c>
      <c r="AM28" s="20">
        <f t="shared" si="24"/>
        <v>0.16396211278904479</v>
      </c>
      <c r="AN28" s="20">
        <f t="shared" ref="AN28" si="25">+AN23/SUM(AN22:AN24)</f>
        <v>0.17118787158676202</v>
      </c>
      <c r="AO28" s="20">
        <f>+AO23/SUM(AO22:AO24)</f>
        <v>0.16126944315216732</v>
      </c>
      <c r="AP28" s="20">
        <f t="shared" ref="AP28:AR28" si="26">+AP23/SUM(AP22:AP24)</f>
        <v>0.16358087564035823</v>
      </c>
      <c r="AQ28" s="20">
        <f t="shared" si="26"/>
        <v>0.17307349886239984</v>
      </c>
      <c r="AR28" s="20">
        <f t="shared" si="26"/>
        <v>0.17389179851758046</v>
      </c>
      <c r="AS28" s="20">
        <f t="shared" ref="AS28" si="27">+AS23/SUM(AS22:AS24)</f>
        <v>0.20447259076387689</v>
      </c>
    </row>
    <row r="29" spans="2:56" s="20" customFormat="1">
      <c r="B29" s="17" t="s">
        <v>20</v>
      </c>
      <c r="C29" s="13"/>
      <c r="D29" s="13"/>
      <c r="E29" s="13"/>
      <c r="F29" s="13"/>
      <c r="G29" s="21">
        <f t="shared" ref="G29:J29" si="28">+G24/SUM(G22:G24)</f>
        <v>0.2288359190073424</v>
      </c>
      <c r="H29" s="21">
        <f t="shared" si="28"/>
        <v>0.22004789165701963</v>
      </c>
      <c r="I29" s="21">
        <f t="shared" si="28"/>
        <v>0.23362157408764472</v>
      </c>
      <c r="J29" s="21">
        <f t="shared" si="28"/>
        <v>0.25962650066696313</v>
      </c>
      <c r="K29" s="21">
        <f t="shared" ref="K29:R29" si="29">+K24/SUM(K22:K24)</f>
        <v>0.23588507982133544</v>
      </c>
      <c r="L29" s="21">
        <f t="shared" si="29"/>
        <v>0.24952882899411241</v>
      </c>
      <c r="M29" s="21">
        <f t="shared" si="29"/>
        <v>0.22785230127506281</v>
      </c>
      <c r="N29" s="21">
        <f t="shared" si="29"/>
        <v>-0.60234703007777479</v>
      </c>
      <c r="O29" s="21">
        <f t="shared" si="29"/>
        <v>0.20101046018905386</v>
      </c>
      <c r="P29" s="21">
        <f t="shared" si="29"/>
        <v>0.19853029394121172</v>
      </c>
      <c r="Q29" s="21">
        <f t="shared" si="29"/>
        <v>0.19104915627292737</v>
      </c>
      <c r="R29" s="21">
        <f t="shared" si="29"/>
        <v>0.19363668724759722</v>
      </c>
      <c r="S29" s="21">
        <f>+S24/SUM(S22:S24)</f>
        <v>0.2133310146079698</v>
      </c>
      <c r="T29" s="21">
        <f>+T24/SUM(T22:T24)</f>
        <v>0.219013568023469</v>
      </c>
      <c r="U29" s="21">
        <f>+U24/SUM(U22:U24)</f>
        <v>0.21269677672666593</v>
      </c>
      <c r="V29" s="21">
        <f t="shared" ref="V29:X29" si="30">+V24/SUM(V22:V24)</f>
        <v>0.30130898652971594</v>
      </c>
      <c r="W29" s="21">
        <f t="shared" si="30"/>
        <v>0.2266493762838683</v>
      </c>
      <c r="X29" s="21">
        <f t="shared" si="30"/>
        <v>0.21812426890525013</v>
      </c>
      <c r="Y29" s="21">
        <f t="shared" ref="Y29" si="31">+Y24/SUM(Y22:Y24)</f>
        <v>0.20460717908445408</v>
      </c>
      <c r="AJ29" s="20">
        <f t="shared" ref="AJ29:AK29" si="32">+AJ24/SUM(AJ22:AJ24)</f>
        <v>0.26921059003955122</v>
      </c>
      <c r="AK29" s="20">
        <f t="shared" si="32"/>
        <v>0.2726322061309111</v>
      </c>
      <c r="AL29" s="20">
        <f t="shared" ref="AL29:AM29" si="33">+AL24/SUM(AL22:AL24)</f>
        <v>0.25894054595646748</v>
      </c>
      <c r="AM29" s="20">
        <f t="shared" si="33"/>
        <v>0.25509126989711906</v>
      </c>
      <c r="AN29" s="20">
        <f t="shared" ref="AN29" si="34">+AN24/SUM(AN22:AN24)</f>
        <v>0.25191739885916442</v>
      </c>
      <c r="AO29" s="20">
        <f>+AO24/SUM(AO22:AO24)</f>
        <v>0.2536418616881409</v>
      </c>
      <c r="AP29" s="20">
        <f t="shared" ref="AP29:AR29" si="35">+AP24/SUM(AP22:AP24)</f>
        <v>0.23581403770851725</v>
      </c>
      <c r="AQ29" s="20">
        <f t="shared" si="35"/>
        <v>0.11778118508259967</v>
      </c>
      <c r="AR29" s="20">
        <f t="shared" si="35"/>
        <v>0.19580462894778494</v>
      </c>
      <c r="AS29" s="20">
        <f t="shared" ref="AS29" si="36">+AS24/SUM(AS22:AS24)</f>
        <v>0.24315369340410087</v>
      </c>
    </row>
    <row r="30" spans="2:56"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</row>
    <row r="31" spans="2:56">
      <c r="B31" s="17" t="s">
        <v>18</v>
      </c>
      <c r="C31" s="13">
        <v>4741.8</v>
      </c>
      <c r="D31" s="13">
        <v>4828</v>
      </c>
      <c r="E31" s="13">
        <v>5060.3999999999996</v>
      </c>
      <c r="F31" s="13">
        <v>5060.1000000000004</v>
      </c>
      <c r="G31" s="13">
        <v>5370.3</v>
      </c>
      <c r="H31" s="13">
        <v>5159</v>
      </c>
      <c r="I31" s="13">
        <v>5535</v>
      </c>
      <c r="J31" s="13">
        <v>5480.1</v>
      </c>
      <c r="K31" s="13">
        <v>5780.7</v>
      </c>
      <c r="L31" s="13">
        <v>4766</v>
      </c>
      <c r="M31" s="13">
        <v>3444.4</v>
      </c>
      <c r="N31" s="13">
        <v>5173.6000000000004</v>
      </c>
      <c r="O31" s="13">
        <v>5726.5</v>
      </c>
      <c r="P31" s="13">
        <v>5653.1</v>
      </c>
      <c r="Q31" s="13">
        <v>6363.1</v>
      </c>
      <c r="R31" s="13">
        <v>6864.3</v>
      </c>
      <c r="S31" s="13">
        <v>6722.4</v>
      </c>
      <c r="T31" s="13">
        <v>6276.7</v>
      </c>
      <c r="U31" s="13">
        <v>6675.5</v>
      </c>
      <c r="V31" s="13">
        <v>6901.4</v>
      </c>
      <c r="W31" s="13">
        <v>6722.4</v>
      </c>
      <c r="X31" s="13">
        <v>7142.3</v>
      </c>
      <c r="Y31" s="17">
        <v>7556.7</v>
      </c>
      <c r="Z31" s="17">
        <f>+AT31-SUM(W31:Y31)</f>
        <v>8040.8999999999978</v>
      </c>
      <c r="AJ31" s="17">
        <v>11793.2</v>
      </c>
      <c r="AK31" s="17">
        <v>12977.9</v>
      </c>
      <c r="AL31" s="17">
        <v>15197.3</v>
      </c>
      <c r="AM31" s="17">
        <v>16844.099999999999</v>
      </c>
      <c r="AN31" s="17">
        <v>17650.7</v>
      </c>
      <c r="AO31" s="17">
        <v>19690.3</v>
      </c>
      <c r="AP31" s="17">
        <f t="shared" ref="AP31:AP39" si="37">+SUM(G31:J31)</f>
        <v>21544.400000000001</v>
      </c>
      <c r="AQ31" s="17">
        <f>+SUM(O31:R31)</f>
        <v>24607</v>
      </c>
      <c r="AR31" s="17">
        <f t="shared" ref="AR31:AR39" si="38">+SUM(O31:R31)</f>
        <v>24607</v>
      </c>
      <c r="AS31" s="17">
        <f t="shared" ref="AS31:AS41" si="39">+SUM(S31:V31)</f>
        <v>26576</v>
      </c>
      <c r="AT31" s="17">
        <v>29462.3</v>
      </c>
    </row>
    <row r="32" spans="2:56">
      <c r="B32" s="17" t="s">
        <v>19</v>
      </c>
      <c r="C32" s="13">
        <v>682.4</v>
      </c>
      <c r="D32" s="13">
        <v>625.6</v>
      </c>
      <c r="E32" s="13">
        <v>660.6</v>
      </c>
      <c r="F32" s="13">
        <v>683.6</v>
      </c>
      <c r="G32" s="13">
        <v>737.1</v>
      </c>
      <c r="H32" s="13">
        <v>678.2</v>
      </c>
      <c r="I32" s="13">
        <v>725</v>
      </c>
      <c r="J32" s="13">
        <v>734.7</v>
      </c>
      <c r="K32" s="13">
        <v>792</v>
      </c>
      <c r="L32" s="13">
        <v>689.8</v>
      </c>
      <c r="M32" s="13">
        <v>300.5</v>
      </c>
      <c r="N32" s="13">
        <v>544.6</v>
      </c>
      <c r="O32" s="13">
        <v>613.79999999999995</v>
      </c>
      <c r="P32" s="13">
        <v>595</v>
      </c>
      <c r="Q32" s="13">
        <v>680.2</v>
      </c>
      <c r="R32" s="13">
        <v>794.5</v>
      </c>
      <c r="S32" s="13">
        <v>850.8</v>
      </c>
      <c r="T32" s="13">
        <v>849.5</v>
      </c>
      <c r="U32" s="13">
        <v>956.8</v>
      </c>
      <c r="V32" s="13">
        <v>998.4</v>
      </c>
      <c r="W32" s="13">
        <v>850.8</v>
      </c>
      <c r="X32" s="13">
        <v>1069.5</v>
      </c>
      <c r="Y32" s="17">
        <v>1136.2</v>
      </c>
      <c r="Z32" s="17">
        <f t="shared" ref="Z32:Z50" si="40">+AT32-SUM(W32:Y32)</f>
        <v>1456.1999999999998</v>
      </c>
      <c r="AJ32" s="17">
        <v>1360.5</v>
      </c>
      <c r="AK32" s="17">
        <v>1588.6</v>
      </c>
      <c r="AL32" s="17">
        <v>1861.9</v>
      </c>
      <c r="AM32" s="17">
        <v>2154.1999999999998</v>
      </c>
      <c r="AN32" s="17">
        <v>2355</v>
      </c>
      <c r="AO32" s="17">
        <v>2652.2</v>
      </c>
      <c r="AP32" s="17">
        <f t="shared" si="37"/>
        <v>2875</v>
      </c>
      <c r="AQ32" s="17">
        <f>+SUM(O32:R32)</f>
        <v>2683.5</v>
      </c>
      <c r="AR32" s="17">
        <f t="shared" si="38"/>
        <v>2683.5</v>
      </c>
      <c r="AS32" s="17">
        <f t="shared" si="39"/>
        <v>3655.5</v>
      </c>
      <c r="AT32" s="17">
        <v>4512.7</v>
      </c>
    </row>
    <row r="33" spans="2:56">
      <c r="B33" s="17" t="s">
        <v>20</v>
      </c>
      <c r="C33" s="13">
        <v>649.5</v>
      </c>
      <c r="D33" s="13">
        <v>578.20000000000005</v>
      </c>
      <c r="E33" s="13">
        <v>589.29999999999995</v>
      </c>
      <c r="F33" s="13">
        <v>559.9</v>
      </c>
      <c r="G33" s="13">
        <v>525.29999999999995</v>
      </c>
      <c r="H33" s="13">
        <v>468.7</v>
      </c>
      <c r="I33" s="13">
        <v>563</v>
      </c>
      <c r="J33" s="13">
        <v>532.20000000000005</v>
      </c>
      <c r="K33" s="13">
        <v>524.4</v>
      </c>
      <c r="L33" s="13">
        <v>539.9</v>
      </c>
      <c r="M33" s="13">
        <v>477.2</v>
      </c>
      <c r="N33" s="13">
        <v>484.9</v>
      </c>
      <c r="O33" s="13">
        <v>409.1</v>
      </c>
      <c r="P33" s="13">
        <v>419.9</v>
      </c>
      <c r="Q33" s="13">
        <v>453.2</v>
      </c>
      <c r="R33" s="13">
        <v>487.9</v>
      </c>
      <c r="S33" s="13">
        <v>477.2</v>
      </c>
      <c r="T33" s="13">
        <v>509.4</v>
      </c>
      <c r="U33" s="13">
        <v>517.79999999999995</v>
      </c>
      <c r="V33" s="13">
        <v>514.4</v>
      </c>
      <c r="W33" s="13">
        <v>477.2</v>
      </c>
      <c r="X33" s="13">
        <v>508</v>
      </c>
      <c r="Y33" s="17">
        <v>475.4</v>
      </c>
      <c r="Z33" s="17">
        <f t="shared" si="40"/>
        <v>540</v>
      </c>
      <c r="AJ33" s="17">
        <v>1713.1</v>
      </c>
      <c r="AK33" s="17">
        <v>1881.3</v>
      </c>
      <c r="AL33" s="17">
        <v>2103.5</v>
      </c>
      <c r="AM33" s="17">
        <v>2317.6</v>
      </c>
      <c r="AN33" s="17">
        <v>2381.1</v>
      </c>
      <c r="AO33" s="17">
        <v>2377</v>
      </c>
      <c r="AP33" s="17">
        <f t="shared" si="37"/>
        <v>2089.1999999999998</v>
      </c>
      <c r="AQ33" s="17">
        <f>+SUM(O33:R33)</f>
        <v>1770.1</v>
      </c>
      <c r="AR33" s="17">
        <f t="shared" si="38"/>
        <v>1770.1</v>
      </c>
      <c r="AS33" s="17">
        <f t="shared" si="39"/>
        <v>2018.7999999999997</v>
      </c>
      <c r="AT33" s="17">
        <v>2000.6</v>
      </c>
    </row>
    <row r="34" spans="2:56" s="19" customFormat="1">
      <c r="B34" s="19" t="s">
        <v>21</v>
      </c>
      <c r="C34" s="22">
        <f t="shared" ref="C34" si="41">+SUM(C31:C33)</f>
        <v>6073.7</v>
      </c>
      <c r="D34" s="22">
        <f t="shared" ref="D34:F34" si="42">+SUM(D31:D33)</f>
        <v>6031.8</v>
      </c>
      <c r="E34" s="22">
        <f t="shared" ref="E34" si="43">+SUM(E31:E33)</f>
        <v>6310.3</v>
      </c>
      <c r="F34" s="22">
        <f t="shared" si="42"/>
        <v>6303.6</v>
      </c>
      <c r="G34" s="22">
        <f t="shared" ref="G34:R34" si="44">+SUM(G31:G33)</f>
        <v>6632.7000000000007</v>
      </c>
      <c r="H34" s="22">
        <f>+SUM(H31:H33)</f>
        <v>6305.9</v>
      </c>
      <c r="I34" s="22">
        <f>+SUM(I31:I33)</f>
        <v>6823</v>
      </c>
      <c r="J34" s="22">
        <f t="shared" si="44"/>
        <v>6747</v>
      </c>
      <c r="K34" s="22">
        <f t="shared" si="44"/>
        <v>7097.0999999999995</v>
      </c>
      <c r="L34" s="22">
        <f t="shared" si="44"/>
        <v>5995.7</v>
      </c>
      <c r="M34" s="22">
        <f t="shared" si="44"/>
        <v>4222.1000000000004</v>
      </c>
      <c r="N34" s="22">
        <f t="shared" si="44"/>
        <v>6203.1</v>
      </c>
      <c r="O34" s="22">
        <f t="shared" si="44"/>
        <v>6749.4000000000005</v>
      </c>
      <c r="P34" s="22">
        <f t="shared" si="44"/>
        <v>6668</v>
      </c>
      <c r="Q34" s="22">
        <f t="shared" si="44"/>
        <v>7496.5</v>
      </c>
      <c r="R34" s="22">
        <f t="shared" si="44"/>
        <v>8146.7</v>
      </c>
      <c r="S34" s="22">
        <f t="shared" ref="S34:Z34" si="45">+SUM(S31:S33)</f>
        <v>8050.4</v>
      </c>
      <c r="T34" s="22">
        <f t="shared" si="45"/>
        <v>7635.5999999999995</v>
      </c>
      <c r="U34" s="22">
        <f t="shared" si="45"/>
        <v>8150.1</v>
      </c>
      <c r="V34" s="22">
        <f t="shared" si="45"/>
        <v>8414.1999999999989</v>
      </c>
      <c r="W34" s="22">
        <f t="shared" si="45"/>
        <v>8050.4</v>
      </c>
      <c r="X34" s="22">
        <f t="shared" si="45"/>
        <v>8719.7999999999993</v>
      </c>
      <c r="Y34" s="22">
        <f t="shared" si="45"/>
        <v>9168.2999999999993</v>
      </c>
      <c r="Z34" s="22">
        <f t="shared" si="45"/>
        <v>10037.099999999999</v>
      </c>
      <c r="AA34" s="22"/>
      <c r="AB34" s="22"/>
      <c r="AC34" s="22"/>
      <c r="AD34" s="22"/>
      <c r="AJ34" s="19">
        <f t="shared" ref="AJ34:AO34" si="46">+SUM(AJ31:AJ33)</f>
        <v>14866.800000000001</v>
      </c>
      <c r="AK34" s="19">
        <f t="shared" si="46"/>
        <v>16447.8</v>
      </c>
      <c r="AL34" s="19">
        <f t="shared" si="46"/>
        <v>19162.7</v>
      </c>
      <c r="AM34" s="19">
        <f t="shared" si="46"/>
        <v>21315.899999999998</v>
      </c>
      <c r="AN34" s="19">
        <f t="shared" si="46"/>
        <v>22386.799999999999</v>
      </c>
      <c r="AO34" s="19">
        <f t="shared" si="46"/>
        <v>24719.5</v>
      </c>
      <c r="AP34" s="19">
        <f t="shared" si="37"/>
        <v>26508.6</v>
      </c>
      <c r="AQ34" s="19">
        <f t="shared" ref="AQ34:AQ39" si="47">+SUM(K34:N34)</f>
        <v>23518</v>
      </c>
      <c r="AR34" s="19">
        <f t="shared" si="38"/>
        <v>29060.600000000002</v>
      </c>
      <c r="AS34" s="19">
        <f t="shared" si="39"/>
        <v>32250.299999999996</v>
      </c>
      <c r="AT34" s="19">
        <f>SUM(AT31:AT33)</f>
        <v>35975.599999999999</v>
      </c>
      <c r="AU34" s="19">
        <f>+AU14*AU18</f>
        <v>40418.586600000002</v>
      </c>
      <c r="AV34" s="19">
        <f t="shared" ref="AV34:BC34" si="48">+AV14*AV18</f>
        <v>42752.332842035335</v>
      </c>
      <c r="AW34" s="19">
        <f t="shared" si="48"/>
        <v>45218.407241774206</v>
      </c>
      <c r="AX34" s="19">
        <f t="shared" si="48"/>
        <v>47824.208249381867</v>
      </c>
      <c r="AY34" s="19">
        <f t="shared" si="48"/>
        <v>50577.543339645868</v>
      </c>
      <c r="AZ34" s="19">
        <f t="shared" si="48"/>
        <v>53486.651418312817</v>
      </c>
      <c r="BA34" s="19">
        <f t="shared" si="48"/>
        <v>56560.226446497334</v>
      </c>
      <c r="BB34" s="19">
        <f t="shared" si="48"/>
        <v>59807.44234895453</v>
      </c>
      <c r="BC34" s="19">
        <f t="shared" si="48"/>
        <v>63237.979275541198</v>
      </c>
      <c r="BD34" s="19">
        <f t="shared" ref="BD34" si="49">+BD14*BD18</f>
        <v>66862.051288914154</v>
      </c>
    </row>
    <row r="35" spans="2:56">
      <c r="B35" s="17" t="s">
        <v>33</v>
      </c>
      <c r="C35" s="13">
        <v>2501.6999999999998</v>
      </c>
      <c r="D35" s="13">
        <v>2514.6999999999998</v>
      </c>
      <c r="E35" s="13">
        <v>2553.4</v>
      </c>
      <c r="F35" s="13">
        <v>2018.7</v>
      </c>
      <c r="G35" s="13">
        <v>2175.8000000000002</v>
      </c>
      <c r="H35" s="13">
        <v>2012</v>
      </c>
      <c r="I35" s="13">
        <v>2199.6</v>
      </c>
      <c r="J35" s="13">
        <v>2139.6</v>
      </c>
      <c r="K35" s="13">
        <v>2236.4</v>
      </c>
      <c r="L35" s="13">
        <v>1997.7</v>
      </c>
      <c r="M35" s="13">
        <v>1484</v>
      </c>
      <c r="N35" s="13">
        <v>1976.8</v>
      </c>
      <c r="O35" s="13">
        <v>2049.1</v>
      </c>
      <c r="P35" s="13">
        <v>1992.4</v>
      </c>
      <c r="Q35" s="13">
        <v>2206</v>
      </c>
      <c r="R35" s="13">
        <v>2491.1</v>
      </c>
      <c r="S35" s="13">
        <v>2526.9</v>
      </c>
      <c r="T35" s="13">
        <v>2465.8000000000002</v>
      </c>
      <c r="U35" s="13">
        <v>2613.6</v>
      </c>
      <c r="V35" s="13">
        <v>2711</v>
      </c>
      <c r="W35" s="13">
        <v>2526.9</v>
      </c>
      <c r="X35" s="13">
        <v>2801.7</v>
      </c>
      <c r="Y35" s="17">
        <v>2864.2</v>
      </c>
      <c r="Z35" s="17">
        <f t="shared" si="40"/>
        <v>3216.3000000000011</v>
      </c>
      <c r="AJ35" s="17">
        <v>6382.3</v>
      </c>
      <c r="AK35" s="17">
        <v>6858.8</v>
      </c>
      <c r="AL35" s="17">
        <v>7787.5</v>
      </c>
      <c r="AM35" s="17">
        <v>8511.1</v>
      </c>
      <c r="AN35" s="17">
        <v>7065.8</v>
      </c>
      <c r="AO35" s="17">
        <v>7930.7</v>
      </c>
      <c r="AP35" s="17">
        <f t="shared" si="37"/>
        <v>8527</v>
      </c>
      <c r="AQ35" s="17">
        <f t="shared" si="47"/>
        <v>7694.9000000000005</v>
      </c>
      <c r="AR35" s="17">
        <f t="shared" si="38"/>
        <v>8738.6</v>
      </c>
      <c r="AS35" s="17">
        <f t="shared" si="39"/>
        <v>10317.300000000001</v>
      </c>
      <c r="AT35" s="17">
        <v>11409.1</v>
      </c>
      <c r="AU35" s="17">
        <f t="shared" ref="AU35:BD35" si="50">+AU34*(AT35/AT34)</f>
        <v>12818.123850000002</v>
      </c>
      <c r="AV35" s="17">
        <f t="shared" si="50"/>
        <v>13558.235043420134</v>
      </c>
      <c r="AW35" s="17">
        <f t="shared" si="50"/>
        <v>14340.312046557281</v>
      </c>
      <c r="AX35" s="17">
        <f t="shared" si="50"/>
        <v>15166.70116239959</v>
      </c>
      <c r="AY35" s="17">
        <f t="shared" si="50"/>
        <v>16039.87840970974</v>
      </c>
      <c r="AZ35" s="17">
        <f t="shared" si="50"/>
        <v>16962.456628844906</v>
      </c>
      <c r="BA35" s="17">
        <f t="shared" si="50"/>
        <v>17937.192973869311</v>
      </c>
      <c r="BB35" s="17">
        <f t="shared" si="50"/>
        <v>18966.996811824047</v>
      </c>
      <c r="BC35" s="17">
        <f t="shared" si="50"/>
        <v>20054.938051139583</v>
      </c>
      <c r="BD35" s="17">
        <f t="shared" si="50"/>
        <v>21204.255922357112</v>
      </c>
    </row>
    <row r="36" spans="2:56">
      <c r="B36" s="17" t="s">
        <v>34</v>
      </c>
      <c r="C36" s="13">
        <v>1737</v>
      </c>
      <c r="D36" s="13">
        <v>1789.6</v>
      </c>
      <c r="E36" s="13">
        <v>1825</v>
      </c>
      <c r="F36" s="13">
        <v>2438.1</v>
      </c>
      <c r="G36" s="13">
        <v>2586.8000000000002</v>
      </c>
      <c r="H36" s="13">
        <v>2554.1</v>
      </c>
      <c r="I36" s="13">
        <v>2643.2</v>
      </c>
      <c r="J36" s="13">
        <v>2709.5</v>
      </c>
      <c r="K36" s="13">
        <v>2821.5</v>
      </c>
      <c r="L36" s="13">
        <v>2721.4</v>
      </c>
      <c r="M36" s="13">
        <v>2537.8000000000002</v>
      </c>
      <c r="N36" s="13">
        <v>2683.4</v>
      </c>
      <c r="O36" s="13">
        <v>2867.3</v>
      </c>
      <c r="P36" s="13">
        <v>2823.3</v>
      </c>
      <c r="Q36" s="13">
        <v>2966.9</v>
      </c>
      <c r="R36" s="13">
        <v>3273.4</v>
      </c>
      <c r="S36" s="13">
        <v>3400</v>
      </c>
      <c r="T36" s="13">
        <v>3314.7</v>
      </c>
      <c r="U36" s="13">
        <v>3302.5</v>
      </c>
      <c r="V36" s="13">
        <v>3544.7</v>
      </c>
      <c r="W36" s="13">
        <v>3400</v>
      </c>
      <c r="X36" s="13">
        <v>3636</v>
      </c>
      <c r="Y36" s="17">
        <v>3697.6</v>
      </c>
      <c r="Z36" s="17">
        <f t="shared" si="40"/>
        <v>3986.6999999999989</v>
      </c>
      <c r="AJ36" s="17">
        <v>4286.1000000000004</v>
      </c>
      <c r="AK36" s="17">
        <v>4638.2</v>
      </c>
      <c r="AL36" s="17">
        <v>5411.1</v>
      </c>
      <c r="AM36" s="17">
        <v>6064.3</v>
      </c>
      <c r="AN36" s="17">
        <v>8486.4</v>
      </c>
      <c r="AO36" s="17">
        <v>9472.2000000000007</v>
      </c>
      <c r="AP36" s="17">
        <f t="shared" si="37"/>
        <v>10493.599999999999</v>
      </c>
      <c r="AQ36" s="17">
        <f t="shared" si="47"/>
        <v>10764.1</v>
      </c>
      <c r="AR36" s="17">
        <f t="shared" si="38"/>
        <v>11930.9</v>
      </c>
      <c r="AS36" s="17">
        <f t="shared" si="39"/>
        <v>13561.900000000001</v>
      </c>
      <c r="AT36" s="17">
        <v>14720.3</v>
      </c>
      <c r="AU36" s="17">
        <f t="shared" ref="AU36:BD36" si="51">+AU34*(AT36/AT34)</f>
        <v>16538.25705</v>
      </c>
      <c r="AV36" s="17">
        <f t="shared" si="51"/>
        <v>17493.166622227644</v>
      </c>
      <c r="AW36" s="17">
        <f t="shared" si="51"/>
        <v>18502.221509053052</v>
      </c>
      <c r="AX36" s="17">
        <f t="shared" si="51"/>
        <v>19568.448968005425</v>
      </c>
      <c r="AY36" s="17">
        <f t="shared" si="51"/>
        <v>20695.04361908041</v>
      </c>
      <c r="AZ36" s="17">
        <f t="shared" si="51"/>
        <v>21885.37661284288</v>
      </c>
      <c r="BA36" s="17">
        <f t="shared" si="51"/>
        <v>23143.00529693389</v>
      </c>
      <c r="BB36" s="17">
        <f t="shared" si="51"/>
        <v>24471.683407901899</v>
      </c>
      <c r="BC36" s="17">
        <f t="shared" si="51"/>
        <v>25875.371816724375</v>
      </c>
      <c r="BD36" s="17">
        <f t="shared" si="51"/>
        <v>27358.249857909341</v>
      </c>
    </row>
    <row r="37" spans="2:56">
      <c r="B37" s="17" t="s">
        <v>35</v>
      </c>
      <c r="C37" s="13">
        <v>129.5</v>
      </c>
      <c r="D37" s="13">
        <v>120.8</v>
      </c>
      <c r="E37" s="13">
        <v>132.30000000000001</v>
      </c>
      <c r="F37" s="13">
        <v>161.19999999999999</v>
      </c>
      <c r="G37" s="13">
        <v>97.6</v>
      </c>
      <c r="H37" s="13">
        <v>87.1</v>
      </c>
      <c r="I37" s="13">
        <v>94.4</v>
      </c>
      <c r="J37" s="13">
        <v>91.6</v>
      </c>
      <c r="K37" s="13">
        <v>101.8</v>
      </c>
      <c r="L37" s="13">
        <v>95</v>
      </c>
      <c r="M37" s="13">
        <v>133.6</v>
      </c>
      <c r="N37" s="13">
        <v>99.9</v>
      </c>
      <c r="O37" s="13">
        <v>91.8</v>
      </c>
      <c r="P37" s="13">
        <v>87.7</v>
      </c>
      <c r="Q37" s="13">
        <v>71.400000000000006</v>
      </c>
      <c r="R37" s="13">
        <v>108.6</v>
      </c>
      <c r="S37" s="13">
        <v>101.7</v>
      </c>
      <c r="T37" s="13">
        <v>101.7</v>
      </c>
      <c r="U37" s="13">
        <v>135.1</v>
      </c>
      <c r="V37" s="13">
        <v>123.1</v>
      </c>
      <c r="W37" s="13">
        <v>101.7</v>
      </c>
      <c r="X37" s="13">
        <v>126.2</v>
      </c>
      <c r="Y37" s="17">
        <v>138.69999999999999</v>
      </c>
      <c r="Z37" s="17">
        <f t="shared" si="40"/>
        <v>172.79999999999995</v>
      </c>
      <c r="AJ37" s="17">
        <v>431.8</v>
      </c>
      <c r="AK37" s="17">
        <v>457.3</v>
      </c>
      <c r="AL37" s="17">
        <v>522.4</v>
      </c>
      <c r="AM37" s="17">
        <v>545.4</v>
      </c>
      <c r="AN37" s="17">
        <v>518</v>
      </c>
      <c r="AO37" s="17">
        <v>554.9</v>
      </c>
      <c r="AP37" s="17">
        <f t="shared" si="37"/>
        <v>370.70000000000005</v>
      </c>
      <c r="AQ37" s="17">
        <f t="shared" si="47"/>
        <v>430.29999999999995</v>
      </c>
      <c r="AR37" s="17">
        <f t="shared" si="38"/>
        <v>359.5</v>
      </c>
      <c r="AS37" s="17">
        <f t="shared" si="39"/>
        <v>461.6</v>
      </c>
      <c r="AT37" s="17">
        <v>539.4</v>
      </c>
      <c r="AU37" s="17">
        <f t="shared" ref="AU37:BD37" si="52">+AU34*(AT37/AT34)</f>
        <v>606.01589999999999</v>
      </c>
      <c r="AV37" s="17">
        <f t="shared" si="52"/>
        <v>641.0069139915347</v>
      </c>
      <c r="AW37" s="17">
        <f t="shared" si="52"/>
        <v>677.98198963222308</v>
      </c>
      <c r="AX37" s="17">
        <f t="shared" si="52"/>
        <v>717.05205555200121</v>
      </c>
      <c r="AY37" s="17">
        <f t="shared" si="52"/>
        <v>758.33417308967682</v>
      </c>
      <c r="AZ37" s="17">
        <f t="shared" si="52"/>
        <v>801.95187224224003</v>
      </c>
      <c r="BA37" s="17">
        <f t="shared" si="52"/>
        <v>848.03550587733514</v>
      </c>
      <c r="BB37" s="17">
        <f t="shared" si="52"/>
        <v>896.72262319533434</v>
      </c>
      <c r="BC37" s="17">
        <f t="shared" si="52"/>
        <v>948.15836348044002</v>
      </c>
      <c r="BD37" s="17">
        <f t="shared" si="52"/>
        <v>1002.4958712360681</v>
      </c>
    </row>
    <row r="38" spans="2:56">
      <c r="B38" s="17" t="s">
        <v>36</v>
      </c>
      <c r="C38" s="13">
        <v>258.8</v>
      </c>
      <c r="D38" s="13">
        <v>331.6</v>
      </c>
      <c r="E38" s="13">
        <v>330</v>
      </c>
      <c r="F38" s="13">
        <v>326.60000000000002</v>
      </c>
      <c r="G38" s="13">
        <v>333.4</v>
      </c>
      <c r="H38" s="13">
        <v>356.2</v>
      </c>
      <c r="I38" s="13">
        <v>343.1</v>
      </c>
      <c r="J38" s="13">
        <v>344.7</v>
      </c>
      <c r="K38" s="13">
        <v>351</v>
      </c>
      <c r="L38" s="13">
        <v>356.3</v>
      </c>
      <c r="M38" s="13">
        <v>361</v>
      </c>
      <c r="N38" s="13">
        <v>362.9</v>
      </c>
      <c r="O38" s="13">
        <v>366.1</v>
      </c>
      <c r="P38" s="13">
        <v>366.7</v>
      </c>
      <c r="Q38" s="13">
        <v>354.3</v>
      </c>
      <c r="R38" s="13">
        <v>354.7</v>
      </c>
      <c r="S38" s="13">
        <v>366</v>
      </c>
      <c r="T38" s="13">
        <v>367.7</v>
      </c>
      <c r="U38" s="13">
        <v>356.8</v>
      </c>
      <c r="V38" s="13">
        <v>357.4</v>
      </c>
      <c r="W38" s="13">
        <v>366</v>
      </c>
      <c r="X38" s="13">
        <v>341.9</v>
      </c>
      <c r="Y38" s="17">
        <v>342.2</v>
      </c>
      <c r="Z38" s="17">
        <f t="shared" si="40"/>
        <v>312.5</v>
      </c>
      <c r="AJ38" s="17">
        <v>621.4</v>
      </c>
      <c r="AK38" s="17">
        <v>709.6</v>
      </c>
      <c r="AL38" s="17">
        <v>893.9</v>
      </c>
      <c r="AM38" s="17">
        <v>980.8</v>
      </c>
      <c r="AN38" s="17">
        <v>1011.4</v>
      </c>
      <c r="AO38" s="17">
        <v>1247</v>
      </c>
      <c r="AP38" s="17">
        <f t="shared" si="37"/>
        <v>1377.3999999999999</v>
      </c>
      <c r="AQ38" s="17">
        <f t="shared" si="47"/>
        <v>1431.1999999999998</v>
      </c>
      <c r="AR38" s="17">
        <f t="shared" si="38"/>
        <v>1441.8</v>
      </c>
      <c r="AS38" s="17">
        <f t="shared" si="39"/>
        <v>1447.9</v>
      </c>
      <c r="AT38" s="17">
        <v>1362.6</v>
      </c>
    </row>
    <row r="39" spans="2:56">
      <c r="B39" s="17" t="s">
        <v>37</v>
      </c>
      <c r="C39" s="13">
        <v>392.4</v>
      </c>
      <c r="D39" s="13">
        <v>420.6</v>
      </c>
      <c r="E39" s="13">
        <v>485.9</v>
      </c>
      <c r="F39" s="13">
        <v>444.9</v>
      </c>
      <c r="G39" s="13">
        <v>448</v>
      </c>
      <c r="H39" s="13">
        <v>458.1</v>
      </c>
      <c r="I39" s="13">
        <v>459.7</v>
      </c>
      <c r="J39" s="13">
        <v>458.4</v>
      </c>
      <c r="K39" s="13">
        <v>434.2</v>
      </c>
      <c r="L39" s="13">
        <v>406.5</v>
      </c>
      <c r="M39" s="13">
        <v>399.9</v>
      </c>
      <c r="N39" s="13">
        <v>439</v>
      </c>
      <c r="O39" s="13">
        <v>472.1</v>
      </c>
      <c r="P39" s="13">
        <v>464.4</v>
      </c>
      <c r="Q39" s="13">
        <v>494.9</v>
      </c>
      <c r="R39" s="13">
        <v>501.2</v>
      </c>
      <c r="S39" s="13">
        <v>525.79999999999995</v>
      </c>
      <c r="T39" s="13">
        <v>481.5</v>
      </c>
      <c r="U39" s="13">
        <v>486.7</v>
      </c>
      <c r="V39" s="13">
        <v>538</v>
      </c>
      <c r="W39" s="13">
        <v>525.79999999999995</v>
      </c>
      <c r="X39" s="13">
        <v>620.4</v>
      </c>
      <c r="Y39" s="17">
        <v>604.29999999999995</v>
      </c>
      <c r="Z39" s="17">
        <f t="shared" si="40"/>
        <v>690.80000000000041</v>
      </c>
      <c r="AJ39" s="17">
        <v>937.9</v>
      </c>
      <c r="AK39" s="17">
        <v>991.3</v>
      </c>
      <c r="AL39" s="17">
        <v>1196.7</v>
      </c>
      <c r="AM39" s="17">
        <v>1360.6</v>
      </c>
      <c r="AN39" s="17">
        <v>1408.4</v>
      </c>
      <c r="AO39" s="17">
        <v>1708.2</v>
      </c>
      <c r="AP39" s="17">
        <f t="shared" si="37"/>
        <v>1824.1999999999998</v>
      </c>
      <c r="AQ39" s="17">
        <f t="shared" si="47"/>
        <v>1679.6</v>
      </c>
      <c r="AR39" s="17">
        <f t="shared" si="38"/>
        <v>1932.6000000000001</v>
      </c>
      <c r="AS39" s="17">
        <f t="shared" si="39"/>
        <v>2032</v>
      </c>
      <c r="AT39" s="17">
        <v>2441.3000000000002</v>
      </c>
      <c r="AU39" s="17">
        <f t="shared" ref="AU39:BD39" si="53">+AU34*(AT39/AT34)</f>
        <v>2742.8005500000008</v>
      </c>
      <c r="AV39" s="17">
        <f t="shared" si="53"/>
        <v>2901.1682964915358</v>
      </c>
      <c r="AW39" s="17">
        <f t="shared" si="53"/>
        <v>3068.5158162572243</v>
      </c>
      <c r="AX39" s="17">
        <f t="shared" si="53"/>
        <v>3245.3451672582523</v>
      </c>
      <c r="AY39" s="17">
        <f t="shared" si="53"/>
        <v>3432.1861638187406</v>
      </c>
      <c r="AZ39" s="17">
        <f t="shared" si="53"/>
        <v>3629.5978971171326</v>
      </c>
      <c r="BA39" s="17">
        <f t="shared" si="53"/>
        <v>3838.1703383358158</v>
      </c>
      <c r="BB39" s="17">
        <f t="shared" si="53"/>
        <v>4058.5260289335752</v>
      </c>
      <c r="BC39" s="17">
        <f t="shared" si="53"/>
        <v>4291.3218627452707</v>
      </c>
      <c r="BD39" s="17">
        <f t="shared" si="53"/>
        <v>4537.2509648658024</v>
      </c>
    </row>
    <row r="40" spans="2:56">
      <c r="B40" s="17" t="s">
        <v>38</v>
      </c>
      <c r="C40" s="13">
        <f t="shared" ref="C40:Z40" si="54">+SUM(C35:C39)</f>
        <v>5019.3999999999996</v>
      </c>
      <c r="D40" s="13">
        <f t="shared" si="54"/>
        <v>5177.3</v>
      </c>
      <c r="E40" s="13">
        <f t="shared" si="54"/>
        <v>5326.5999999999995</v>
      </c>
      <c r="F40" s="13">
        <f t="shared" si="54"/>
        <v>5389.5</v>
      </c>
      <c r="G40" s="13">
        <f t="shared" si="54"/>
        <v>5641.6</v>
      </c>
      <c r="H40" s="13">
        <f t="shared" si="54"/>
        <v>5467.5000000000009</v>
      </c>
      <c r="I40" s="13">
        <f t="shared" si="54"/>
        <v>5739.9999999999991</v>
      </c>
      <c r="J40" s="13">
        <f t="shared" si="54"/>
        <v>5743.8</v>
      </c>
      <c r="K40" s="13">
        <f t="shared" si="54"/>
        <v>5944.9</v>
      </c>
      <c r="L40" s="13">
        <f t="shared" si="54"/>
        <v>5576.9000000000005</v>
      </c>
      <c r="M40" s="13">
        <f t="shared" si="54"/>
        <v>4916.3</v>
      </c>
      <c r="N40" s="13">
        <f t="shared" si="54"/>
        <v>5561.9999999999991</v>
      </c>
      <c r="O40" s="13">
        <f t="shared" si="54"/>
        <v>5846.4000000000005</v>
      </c>
      <c r="P40" s="13">
        <f t="shared" si="54"/>
        <v>5734.5</v>
      </c>
      <c r="Q40" s="13">
        <f t="shared" si="54"/>
        <v>6093.4999999999991</v>
      </c>
      <c r="R40" s="13">
        <f t="shared" si="54"/>
        <v>6729</v>
      </c>
      <c r="S40" s="13">
        <f t="shared" si="54"/>
        <v>6920.4</v>
      </c>
      <c r="T40" s="13">
        <f t="shared" si="54"/>
        <v>6731.4</v>
      </c>
      <c r="U40" s="13">
        <f t="shared" si="54"/>
        <v>6894.7000000000007</v>
      </c>
      <c r="V40" s="13">
        <f t="shared" si="54"/>
        <v>7274.2</v>
      </c>
      <c r="W40" s="13">
        <f t="shared" si="54"/>
        <v>6920.4</v>
      </c>
      <c r="X40" s="13">
        <f t="shared" si="54"/>
        <v>7526.1999999999989</v>
      </c>
      <c r="Y40" s="13">
        <f t="shared" si="54"/>
        <v>7646.9999999999991</v>
      </c>
      <c r="Z40" s="13">
        <f t="shared" si="54"/>
        <v>8379.1</v>
      </c>
      <c r="AA40" s="13"/>
      <c r="AB40" s="13"/>
      <c r="AC40" s="13"/>
      <c r="AD40" s="13"/>
      <c r="AJ40" s="17">
        <f t="shared" ref="AJ40:AO40" si="55">+SUM(AJ35:AJ39)</f>
        <v>12659.5</v>
      </c>
      <c r="AK40" s="17">
        <f t="shared" si="55"/>
        <v>13655.199999999999</v>
      </c>
      <c r="AL40" s="17">
        <f t="shared" si="55"/>
        <v>15811.6</v>
      </c>
      <c r="AM40" s="17">
        <f t="shared" si="55"/>
        <v>17462.2</v>
      </c>
      <c r="AN40" s="17">
        <f t="shared" si="55"/>
        <v>18490.000000000004</v>
      </c>
      <c r="AO40" s="17">
        <f t="shared" si="55"/>
        <v>20913.000000000004</v>
      </c>
      <c r="AP40" s="17">
        <f>+SUM(G40:J40)</f>
        <v>22592.9</v>
      </c>
      <c r="AQ40" s="17">
        <f>+SUM(K40:N40)</f>
        <v>22000.1</v>
      </c>
      <c r="AR40" s="17">
        <f>+SUM(O40:R40)</f>
        <v>24403.4</v>
      </c>
      <c r="AS40" s="17">
        <f t="shared" si="39"/>
        <v>27820.7</v>
      </c>
      <c r="AT40" s="17">
        <f t="shared" ref="AT40:BD40" si="56">+SUM(AT35:AT39)</f>
        <v>30472.7</v>
      </c>
      <c r="AU40" s="17">
        <f t="shared" si="56"/>
        <v>32705.197350000002</v>
      </c>
      <c r="AV40" s="17">
        <f t="shared" si="56"/>
        <v>34593.57687613085</v>
      </c>
      <c r="AW40" s="17">
        <f t="shared" si="56"/>
        <v>36589.031361499779</v>
      </c>
      <c r="AX40" s="17">
        <f t="shared" si="56"/>
        <v>38697.547353215268</v>
      </c>
      <c r="AY40" s="17">
        <f t="shared" si="56"/>
        <v>40925.442365698567</v>
      </c>
      <c r="AZ40" s="17">
        <f t="shared" si="56"/>
        <v>43279.383011047161</v>
      </c>
      <c r="BA40" s="17">
        <f t="shared" si="56"/>
        <v>45766.404115016354</v>
      </c>
      <c r="BB40" s="17">
        <f t="shared" si="56"/>
        <v>48393.928871854856</v>
      </c>
      <c r="BC40" s="17">
        <f t="shared" si="56"/>
        <v>51169.790094089672</v>
      </c>
      <c r="BD40" s="17">
        <f t="shared" si="56"/>
        <v>54102.252616368321</v>
      </c>
    </row>
    <row r="41" spans="2:56">
      <c r="B41" s="17" t="s">
        <v>22</v>
      </c>
      <c r="C41" s="13">
        <v>89.4</v>
      </c>
      <c r="D41" s="13">
        <v>52.7</v>
      </c>
      <c r="E41" s="13">
        <v>71.400000000000006</v>
      </c>
      <c r="F41" s="13">
        <v>87.7</v>
      </c>
      <c r="G41" s="13">
        <v>67.8</v>
      </c>
      <c r="H41" s="13">
        <v>62.3</v>
      </c>
      <c r="I41" s="13">
        <v>76</v>
      </c>
      <c r="J41" s="13">
        <v>91.9</v>
      </c>
      <c r="K41" s="13">
        <v>73.900000000000006</v>
      </c>
      <c r="L41" s="13">
        <v>67.900000000000006</v>
      </c>
      <c r="M41" s="13">
        <v>68.400000000000006</v>
      </c>
      <c r="N41" s="13">
        <v>112.2</v>
      </c>
      <c r="O41" s="13">
        <v>82.7</v>
      </c>
      <c r="P41" s="13">
        <v>77.099999999999994</v>
      </c>
      <c r="Q41" s="13">
        <v>105.5</v>
      </c>
      <c r="R41" s="13">
        <v>120</v>
      </c>
      <c r="S41" s="13">
        <v>40.299999999999997</v>
      </c>
      <c r="T41" s="13">
        <v>49.1</v>
      </c>
      <c r="U41" s="13">
        <v>54.1</v>
      </c>
      <c r="V41" s="13">
        <v>90.6</v>
      </c>
      <c r="W41" s="13">
        <v>40.299999999999997</v>
      </c>
      <c r="X41" s="13">
        <v>51.4</v>
      </c>
      <c r="Y41" s="17">
        <v>69.7</v>
      </c>
      <c r="Z41" s="17">
        <f t="shared" si="40"/>
        <v>137</v>
      </c>
      <c r="AJ41" s="17">
        <v>251.4</v>
      </c>
      <c r="AK41" s="17">
        <v>268.3</v>
      </c>
      <c r="AL41" s="17">
        <v>249.9</v>
      </c>
      <c r="AM41" s="17">
        <v>318.2</v>
      </c>
      <c r="AN41" s="17">
        <v>391.4</v>
      </c>
      <c r="AO41" s="17">
        <v>301.2</v>
      </c>
      <c r="AP41" s="17">
        <f>+SUM(G41:J41)</f>
        <v>298</v>
      </c>
      <c r="AQ41" s="17">
        <f>+SUM(K41:N41)</f>
        <v>322.40000000000003</v>
      </c>
      <c r="AR41" s="17">
        <f>+SUM(O41:R41)</f>
        <v>385.3</v>
      </c>
      <c r="AS41" s="17">
        <f t="shared" si="39"/>
        <v>234.1</v>
      </c>
      <c r="AT41" s="17">
        <v>298.39999999999998</v>
      </c>
      <c r="AU41" s="17">
        <f t="shared" ref="AU41:BD41" si="57">+AU34*(AT41/AT34)</f>
        <v>335.25240000000002</v>
      </c>
      <c r="AV41" s="17">
        <f t="shared" si="57"/>
        <v>354.60968323150536</v>
      </c>
      <c r="AW41" s="17">
        <f t="shared" si="57"/>
        <v>375.06456378616127</v>
      </c>
      <c r="AX41" s="17">
        <f t="shared" si="57"/>
        <v>396.67840818820389</v>
      </c>
      <c r="AY41" s="17">
        <f t="shared" si="57"/>
        <v>419.5159756209855</v>
      </c>
      <c r="AZ41" s="17">
        <f t="shared" si="57"/>
        <v>443.64560377657477</v>
      </c>
      <c r="BA41" s="17">
        <f t="shared" si="57"/>
        <v>469.13940480867041</v>
      </c>
      <c r="BB41" s="17">
        <f t="shared" si="57"/>
        <v>496.07347193453427</v>
      </c>
      <c r="BC41" s="17">
        <f t="shared" si="57"/>
        <v>524.5280972609628</v>
      </c>
      <c r="BD41" s="17">
        <f t="shared" si="57"/>
        <v>554.5880014401979</v>
      </c>
    </row>
    <row r="42" spans="2:56">
      <c r="B42" s="17" t="s">
        <v>151</v>
      </c>
      <c r="W42" s="13">
        <v>0</v>
      </c>
      <c r="X42" s="13">
        <v>91.3</v>
      </c>
      <c r="Y42" s="17">
        <v>0</v>
      </c>
      <c r="Z42" s="17">
        <f t="shared" si="40"/>
        <v>0</v>
      </c>
      <c r="AT42" s="17">
        <v>91.3</v>
      </c>
    </row>
    <row r="43" spans="2:56" s="19" customFormat="1">
      <c r="B43" s="19" t="s">
        <v>23</v>
      </c>
      <c r="C43" s="22">
        <f t="shared" ref="C43:V43" si="58">+C34-C40+C41</f>
        <v>1143.7000000000003</v>
      </c>
      <c r="D43" s="22">
        <f t="shared" si="58"/>
        <v>907.2</v>
      </c>
      <c r="E43" s="22">
        <f t="shared" si="58"/>
        <v>1055.1000000000008</v>
      </c>
      <c r="F43" s="22">
        <f t="shared" si="58"/>
        <v>1001.8000000000004</v>
      </c>
      <c r="G43" s="22">
        <f t="shared" si="58"/>
        <v>1058.9000000000003</v>
      </c>
      <c r="H43" s="22">
        <f t="shared" si="58"/>
        <v>900.69999999999868</v>
      </c>
      <c r="I43" s="22">
        <f t="shared" si="58"/>
        <v>1159.0000000000009</v>
      </c>
      <c r="J43" s="22">
        <f t="shared" si="58"/>
        <v>1095.0999999999999</v>
      </c>
      <c r="K43" s="22">
        <f t="shared" si="58"/>
        <v>1226.0999999999999</v>
      </c>
      <c r="L43" s="22">
        <f t="shared" si="58"/>
        <v>486.69999999999925</v>
      </c>
      <c r="M43" s="22">
        <f t="shared" si="58"/>
        <v>-625.79999999999984</v>
      </c>
      <c r="N43" s="22">
        <f t="shared" si="58"/>
        <v>753.30000000000132</v>
      </c>
      <c r="O43" s="22">
        <f t="shared" si="58"/>
        <v>985.7</v>
      </c>
      <c r="P43" s="22">
        <f t="shared" si="58"/>
        <v>1010.6</v>
      </c>
      <c r="Q43" s="22">
        <f t="shared" si="58"/>
        <v>1508.5000000000009</v>
      </c>
      <c r="R43" s="22">
        <f t="shared" si="58"/>
        <v>1537.6999999999998</v>
      </c>
      <c r="S43" s="22">
        <f t="shared" si="58"/>
        <v>1170.3</v>
      </c>
      <c r="T43" s="22">
        <f t="shared" si="58"/>
        <v>953.29999999999984</v>
      </c>
      <c r="U43" s="22">
        <f t="shared" si="58"/>
        <v>1309.4999999999995</v>
      </c>
      <c r="V43" s="22">
        <f t="shared" si="58"/>
        <v>1230.599999999999</v>
      </c>
      <c r="W43" s="22">
        <f>+W34-W40+W41+W42</f>
        <v>1170.3</v>
      </c>
      <c r="X43" s="22">
        <f>+X34-X40+X41+X42</f>
        <v>1336.3000000000004</v>
      </c>
      <c r="Y43" s="22">
        <f>+Y34-Y40+Y41+Y42</f>
        <v>1591.0000000000002</v>
      </c>
      <c r="Z43" s="22">
        <f>+Z34-Z40+Z41+Z42</f>
        <v>1794.9999999999982</v>
      </c>
      <c r="AA43" s="22"/>
      <c r="AB43" s="22"/>
      <c r="AC43" s="22"/>
      <c r="AD43" s="22"/>
      <c r="AJ43" s="19">
        <f t="shared" ref="AJ43:AO43" si="59">+AJ34-AJ40+AJ41</f>
        <v>2458.7000000000012</v>
      </c>
      <c r="AK43" s="19">
        <f t="shared" si="59"/>
        <v>3060.9000000000005</v>
      </c>
      <c r="AL43" s="19">
        <f t="shared" si="59"/>
        <v>3601.0000000000005</v>
      </c>
      <c r="AM43" s="19">
        <f t="shared" si="59"/>
        <v>4171.8999999999969</v>
      </c>
      <c r="AN43" s="19">
        <f t="shared" si="59"/>
        <v>4288.1999999999953</v>
      </c>
      <c r="AO43" s="19">
        <f t="shared" si="59"/>
        <v>4107.6999999999962</v>
      </c>
      <c r="AP43" s="19">
        <f>+SUM(G43:J43)</f>
        <v>4213.7</v>
      </c>
      <c r="AQ43" s="19">
        <f>+SUM(K43:N43)</f>
        <v>1840.3000000000009</v>
      </c>
      <c r="AR43" s="19">
        <f>+SUM(O43:R43)</f>
        <v>5042.5000000000009</v>
      </c>
      <c r="AS43" s="19">
        <f t="shared" ref="AS43:AS51" si="60">+SUM(S43:V43)</f>
        <v>4663.6999999999989</v>
      </c>
      <c r="AT43" s="19">
        <f>+AT34-AT40+AT41+AT42</f>
        <v>5892.5999999999976</v>
      </c>
      <c r="AU43" s="19">
        <f t="shared" ref="AU43:BD43" si="61">+AU34-AU40+AU41</f>
        <v>8048.6416500000005</v>
      </c>
      <c r="AV43" s="19">
        <f t="shared" si="61"/>
        <v>8513.3656491359907</v>
      </c>
      <c r="AW43" s="19">
        <f t="shared" si="61"/>
        <v>9004.4404440605886</v>
      </c>
      <c r="AX43" s="19">
        <f t="shared" si="61"/>
        <v>9523.3393043548022</v>
      </c>
      <c r="AY43" s="19">
        <f t="shared" si="61"/>
        <v>10071.616949568286</v>
      </c>
      <c r="AZ43" s="19">
        <f t="shared" si="61"/>
        <v>10650.91401104223</v>
      </c>
      <c r="BA43" s="19">
        <f t="shared" si="61"/>
        <v>11262.96173628965</v>
      </c>
      <c r="BB43" s="19">
        <f t="shared" si="61"/>
        <v>11909.586949034208</v>
      </c>
      <c r="BC43" s="19">
        <f t="shared" si="61"/>
        <v>12592.717278712489</v>
      </c>
      <c r="BD43" s="19">
        <f t="shared" si="61"/>
        <v>13314.38667398603</v>
      </c>
    </row>
    <row r="44" spans="2:56">
      <c r="B44" s="17" t="s">
        <v>116</v>
      </c>
      <c r="C44" s="13">
        <v>1326.3</v>
      </c>
      <c r="D44" s="13">
        <v>47.6</v>
      </c>
      <c r="E44" s="13">
        <v>0</v>
      </c>
      <c r="F44" s="13">
        <v>0</v>
      </c>
      <c r="Z44" s="17">
        <f t="shared" si="40"/>
        <v>0</v>
      </c>
      <c r="AJ44" s="17">
        <v>0</v>
      </c>
      <c r="AK44" s="17">
        <v>0</v>
      </c>
      <c r="AL44" s="17">
        <v>390.6</v>
      </c>
      <c r="AM44" s="17">
        <v>0</v>
      </c>
      <c r="AN44" s="17">
        <v>0</v>
      </c>
      <c r="AO44" s="17">
        <v>1376.4</v>
      </c>
      <c r="AS44" s="17">
        <f t="shared" si="60"/>
        <v>0</v>
      </c>
    </row>
    <row r="45" spans="2:56">
      <c r="B45" s="17" t="s">
        <v>26</v>
      </c>
      <c r="C45" s="13">
        <v>88.2</v>
      </c>
      <c r="D45" s="13">
        <v>35.5</v>
      </c>
      <c r="E45" s="13">
        <v>31.5</v>
      </c>
      <c r="F45" s="13">
        <v>36.200000000000003</v>
      </c>
      <c r="G45" s="13">
        <v>24.8</v>
      </c>
      <c r="H45" s="13">
        <v>15.2</v>
      </c>
      <c r="I45" s="13">
        <v>40.200000000000003</v>
      </c>
      <c r="J45" s="13">
        <v>16.399999999999999</v>
      </c>
      <c r="K45" s="13">
        <v>15.9</v>
      </c>
      <c r="L45" s="13">
        <v>2</v>
      </c>
      <c r="M45" s="13">
        <v>12.7</v>
      </c>
      <c r="N45" s="13">
        <v>9.1</v>
      </c>
      <c r="O45" s="13">
        <v>15.5</v>
      </c>
      <c r="P45" s="13">
        <v>17.3</v>
      </c>
      <c r="Q45" s="13">
        <v>36</v>
      </c>
      <c r="R45" s="13">
        <v>21.5</v>
      </c>
      <c r="S45" s="13">
        <v>-0.1</v>
      </c>
      <c r="T45" s="13">
        <v>46.3</v>
      </c>
      <c r="U45" s="13">
        <v>19.8</v>
      </c>
      <c r="V45" s="13">
        <v>31</v>
      </c>
      <c r="W45" s="13">
        <v>-0.1</v>
      </c>
      <c r="X45" s="13">
        <v>18.399999999999999</v>
      </c>
      <c r="Y45" s="17">
        <v>21.3</v>
      </c>
      <c r="Z45" s="17">
        <f t="shared" si="40"/>
        <v>41.600000000000009</v>
      </c>
      <c r="AJ45" s="17">
        <v>123.6</v>
      </c>
      <c r="AK45" s="17">
        <v>142.69999999999999</v>
      </c>
      <c r="AL45" s="17">
        <v>43</v>
      </c>
      <c r="AM45" s="17">
        <v>108</v>
      </c>
      <c r="AN45" s="17">
        <v>181.8</v>
      </c>
      <c r="AO45" s="17">
        <v>191.4</v>
      </c>
      <c r="AP45" s="17">
        <f t="shared" ref="AP45:AP51" si="62">+SUM(G45:J45)</f>
        <v>96.6</v>
      </c>
      <c r="AQ45" s="17">
        <f t="shared" ref="AQ45:AQ51" si="63">+SUM(K45:N45)</f>
        <v>39.699999999999996</v>
      </c>
      <c r="AR45" s="17">
        <f t="shared" ref="AR45:AR51" si="64">+SUM(O45:R45)</f>
        <v>90.3</v>
      </c>
      <c r="AS45" s="17">
        <f t="shared" si="60"/>
        <v>97</v>
      </c>
      <c r="AT45" s="17">
        <v>81.2</v>
      </c>
      <c r="AU45" s="17">
        <f>+AU70*$BI$58</f>
        <v>186.45375000000001</v>
      </c>
      <c r="AV45" s="17">
        <f t="shared" ref="AV45:BC45" si="65">+AV70*$BI$58</f>
        <v>195.77643750000004</v>
      </c>
      <c r="AW45" s="17">
        <f t="shared" si="65"/>
        <v>205.56525937500007</v>
      </c>
      <c r="AX45" s="17">
        <f t="shared" si="65"/>
        <v>215.84352234375007</v>
      </c>
      <c r="AY45" s="17">
        <f t="shared" si="65"/>
        <v>226.63569846093756</v>
      </c>
      <c r="AZ45" s="17">
        <f t="shared" si="65"/>
        <v>237.96748338398444</v>
      </c>
      <c r="BA45" s="17">
        <f t="shared" si="65"/>
        <v>249.86585755318367</v>
      </c>
      <c r="BB45" s="17">
        <f t="shared" si="65"/>
        <v>262.35915043084282</v>
      </c>
      <c r="BC45" s="17">
        <f t="shared" si="65"/>
        <v>275.47710795238498</v>
      </c>
      <c r="BD45" s="17">
        <f t="shared" ref="BD45" si="66">+BD70*$BI$58</f>
        <v>289.25096335000427</v>
      </c>
    </row>
    <row r="46" spans="2:56">
      <c r="B46" s="17" t="s">
        <v>27</v>
      </c>
      <c r="C46" s="13">
        <v>-25.9</v>
      </c>
      <c r="D46" s="13">
        <v>-35.1</v>
      </c>
      <c r="E46" s="13">
        <v>-45.4</v>
      </c>
      <c r="F46" s="13">
        <v>-63.8</v>
      </c>
      <c r="G46" s="13">
        <v>-75</v>
      </c>
      <c r="H46" s="13">
        <v>-73.900000000000006</v>
      </c>
      <c r="I46" s="13">
        <v>-86.4</v>
      </c>
      <c r="J46" s="13">
        <v>-95.7</v>
      </c>
      <c r="K46" s="13">
        <v>-91.9</v>
      </c>
      <c r="L46" s="13">
        <v>-99.2</v>
      </c>
      <c r="M46" s="13">
        <v>-120.8</v>
      </c>
      <c r="N46" s="13">
        <v>-125</v>
      </c>
      <c r="O46" s="13">
        <v>-120.7</v>
      </c>
      <c r="P46" s="13">
        <v>-115</v>
      </c>
      <c r="Q46" s="13">
        <v>-113.4</v>
      </c>
      <c r="R46" s="13">
        <v>-120.6</v>
      </c>
      <c r="S46" s="13">
        <v>-115.3</v>
      </c>
      <c r="T46" s="13">
        <v>-119.1</v>
      </c>
      <c r="U46" s="13">
        <v>-123.1</v>
      </c>
      <c r="V46" s="13">
        <v>-125.3</v>
      </c>
      <c r="W46" s="13">
        <v>-115.3</v>
      </c>
      <c r="X46" s="13">
        <v>-136.30000000000001</v>
      </c>
      <c r="Y46" s="17">
        <v>-140.9</v>
      </c>
      <c r="Z46" s="17">
        <f t="shared" si="40"/>
        <v>-157.60000000000002</v>
      </c>
      <c r="AJ46" s="17">
        <v>-28.1</v>
      </c>
      <c r="AK46" s="17">
        <v>-64.099999999999994</v>
      </c>
      <c r="AL46" s="17">
        <v>-70.5</v>
      </c>
      <c r="AM46" s="17">
        <v>-81.3</v>
      </c>
      <c r="AN46" s="17">
        <v>-92.5</v>
      </c>
      <c r="AO46" s="17">
        <v>-170.3</v>
      </c>
      <c r="AP46" s="17">
        <f t="shared" si="62"/>
        <v>-331</v>
      </c>
      <c r="AQ46" s="17">
        <f t="shared" si="63"/>
        <v>-436.90000000000003</v>
      </c>
      <c r="AR46" s="17">
        <f t="shared" si="64"/>
        <v>-469.70000000000005</v>
      </c>
      <c r="AS46" s="17">
        <f t="shared" si="60"/>
        <v>-482.8</v>
      </c>
      <c r="AT46" s="17">
        <v>-550.1</v>
      </c>
      <c r="AU46" s="17">
        <f t="shared" ref="AU46:BD46" si="67">-SUM(AT92,AT95)*$BI$59</f>
        <v>-622.1067875</v>
      </c>
      <c r="AV46" s="17">
        <f t="shared" si="67"/>
        <v>-591.00144812500002</v>
      </c>
      <c r="AW46" s="17">
        <f t="shared" si="67"/>
        <v>-561.45137571875</v>
      </c>
      <c r="AX46" s="17">
        <f t="shared" si="67"/>
        <v>-533.37880693281238</v>
      </c>
      <c r="AY46" s="17">
        <f t="shared" si="67"/>
        <v>-506.70986658617187</v>
      </c>
      <c r="AZ46" s="17">
        <f t="shared" si="67"/>
        <v>-481.37437325686324</v>
      </c>
      <c r="BA46" s="17">
        <f t="shared" si="67"/>
        <v>-457.3056545940201</v>
      </c>
      <c r="BB46" s="17">
        <f t="shared" si="67"/>
        <v>-434.4403718643191</v>
      </c>
      <c r="BC46" s="17">
        <f t="shared" si="67"/>
        <v>-412.71835327110313</v>
      </c>
      <c r="BD46" s="17">
        <f t="shared" si="67"/>
        <v>0</v>
      </c>
    </row>
    <row r="47" spans="2:56" s="19" customFormat="1">
      <c r="B47" s="19" t="s">
        <v>28</v>
      </c>
      <c r="C47" s="22">
        <f t="shared" ref="C47:Z47" si="68">+SUM(C43:C46)</f>
        <v>2532.2999999999997</v>
      </c>
      <c r="D47" s="22">
        <f t="shared" si="68"/>
        <v>955.2</v>
      </c>
      <c r="E47" s="22">
        <f t="shared" si="68"/>
        <v>1041.2000000000007</v>
      </c>
      <c r="F47" s="22">
        <f t="shared" si="68"/>
        <v>974.2000000000005</v>
      </c>
      <c r="G47" s="22">
        <f t="shared" si="68"/>
        <v>1008.7000000000003</v>
      </c>
      <c r="H47" s="22">
        <f t="shared" si="68"/>
        <v>841.99999999999875</v>
      </c>
      <c r="I47" s="22">
        <f t="shared" si="68"/>
        <v>1112.8000000000009</v>
      </c>
      <c r="J47" s="22">
        <f t="shared" si="68"/>
        <v>1015.8</v>
      </c>
      <c r="K47" s="22">
        <f t="shared" si="68"/>
        <v>1150.0999999999999</v>
      </c>
      <c r="L47" s="22">
        <f t="shared" si="68"/>
        <v>389.49999999999926</v>
      </c>
      <c r="M47" s="22">
        <f t="shared" si="68"/>
        <v>-733.89999999999975</v>
      </c>
      <c r="N47" s="22">
        <f t="shared" si="68"/>
        <v>637.40000000000134</v>
      </c>
      <c r="O47" s="22">
        <f t="shared" si="68"/>
        <v>880.5</v>
      </c>
      <c r="P47" s="22">
        <f t="shared" si="68"/>
        <v>912.90000000000009</v>
      </c>
      <c r="Q47" s="22">
        <f t="shared" si="68"/>
        <v>1431.1000000000008</v>
      </c>
      <c r="R47" s="22">
        <f t="shared" si="68"/>
        <v>1438.6</v>
      </c>
      <c r="S47" s="22">
        <f t="shared" si="68"/>
        <v>1054.9000000000001</v>
      </c>
      <c r="T47" s="22">
        <f t="shared" si="68"/>
        <v>880.49999999999977</v>
      </c>
      <c r="U47" s="22">
        <f t="shared" si="68"/>
        <v>1206.1999999999996</v>
      </c>
      <c r="V47" s="22">
        <f t="shared" si="68"/>
        <v>1136.299999999999</v>
      </c>
      <c r="W47" s="22">
        <f t="shared" si="68"/>
        <v>1054.9000000000001</v>
      </c>
      <c r="X47" s="22">
        <f t="shared" si="68"/>
        <v>1218.4000000000005</v>
      </c>
      <c r="Y47" s="22">
        <f t="shared" si="68"/>
        <v>1471.4</v>
      </c>
      <c r="Z47" s="22">
        <f t="shared" si="68"/>
        <v>1678.9999999999982</v>
      </c>
      <c r="AA47" s="22"/>
      <c r="AB47" s="22"/>
      <c r="AC47" s="22"/>
      <c r="AD47" s="22"/>
      <c r="AJ47" s="19">
        <f t="shared" ref="AJ47:AO47" si="69">+SUM(AJ43:AJ46)</f>
        <v>2554.2000000000012</v>
      </c>
      <c r="AK47" s="19">
        <f t="shared" si="69"/>
        <v>3139.5000000000005</v>
      </c>
      <c r="AL47" s="19">
        <f t="shared" si="69"/>
        <v>3964.1000000000004</v>
      </c>
      <c r="AM47" s="19">
        <f t="shared" si="69"/>
        <v>4198.5999999999967</v>
      </c>
      <c r="AN47" s="19">
        <f t="shared" si="69"/>
        <v>4377.4999999999955</v>
      </c>
      <c r="AO47" s="19">
        <f t="shared" si="69"/>
        <v>5505.1999999999962</v>
      </c>
      <c r="AP47" s="19">
        <f t="shared" si="62"/>
        <v>3979.3</v>
      </c>
      <c r="AQ47" s="19">
        <f t="shared" si="63"/>
        <v>1443.1000000000008</v>
      </c>
      <c r="AR47" s="19">
        <f t="shared" si="64"/>
        <v>4663.1000000000004</v>
      </c>
      <c r="AS47" s="19">
        <f t="shared" si="60"/>
        <v>4277.8999999999987</v>
      </c>
      <c r="AT47" s="19">
        <f t="shared" ref="AT47:BD47" si="70">+SUM(AT43:AT46)</f>
        <v>5423.6999999999971</v>
      </c>
      <c r="AU47" s="19">
        <f t="shared" si="70"/>
        <v>7612.9886125000003</v>
      </c>
      <c r="AV47" s="19">
        <f t="shared" si="70"/>
        <v>8118.1406385109913</v>
      </c>
      <c r="AW47" s="19">
        <f t="shared" si="70"/>
        <v>8648.5543277168381</v>
      </c>
      <c r="AX47" s="19">
        <f t="shared" si="70"/>
        <v>9205.8040197657392</v>
      </c>
      <c r="AY47" s="19">
        <f t="shared" si="70"/>
        <v>9791.5427814430514</v>
      </c>
      <c r="AZ47" s="19">
        <f t="shared" si="70"/>
        <v>10407.50712116935</v>
      </c>
      <c r="BA47" s="19">
        <f t="shared" si="70"/>
        <v>11055.521939248814</v>
      </c>
      <c r="BB47" s="19">
        <f t="shared" si="70"/>
        <v>11737.505727600732</v>
      </c>
      <c r="BC47" s="19">
        <f t="shared" si="70"/>
        <v>12455.476033393772</v>
      </c>
      <c r="BD47" s="19">
        <f t="shared" si="70"/>
        <v>13603.637637336034</v>
      </c>
    </row>
    <row r="48" spans="2:56">
      <c r="B48" s="17" t="s">
        <v>29</v>
      </c>
      <c r="C48" s="13">
        <v>755.8</v>
      </c>
      <c r="D48" s="13">
        <v>155.80000000000001</v>
      </c>
      <c r="E48" s="13">
        <v>174.8</v>
      </c>
      <c r="F48" s="13">
        <v>175.5</v>
      </c>
      <c r="G48" s="13">
        <v>205.1</v>
      </c>
      <c r="H48" s="13">
        <v>161.19999999999999</v>
      </c>
      <c r="I48" s="13">
        <v>303.7</v>
      </c>
      <c r="J48" s="13">
        <v>201.5</v>
      </c>
      <c r="K48" s="13">
        <v>258.5</v>
      </c>
      <c r="L48" s="13">
        <v>65.400000000000006</v>
      </c>
      <c r="M48" s="13">
        <v>-133.9</v>
      </c>
      <c r="N48" s="13">
        <v>49.7</v>
      </c>
      <c r="O48" s="13">
        <v>186.1</v>
      </c>
      <c r="P48" s="13">
        <v>230.5</v>
      </c>
      <c r="Q48" s="13">
        <v>257.10000000000002</v>
      </c>
      <c r="R48" s="13">
        <v>483</v>
      </c>
      <c r="S48" s="13">
        <v>246.3</v>
      </c>
      <c r="T48" s="13">
        <v>201.1</v>
      </c>
      <c r="U48" s="13">
        <v>278.5</v>
      </c>
      <c r="V48" s="13">
        <v>222.7</v>
      </c>
      <c r="W48" s="13">
        <v>246.3</v>
      </c>
      <c r="X48" s="13">
        <v>301.3</v>
      </c>
      <c r="Y48" s="17">
        <v>322.39999999999998</v>
      </c>
      <c r="Z48" s="17">
        <f t="shared" si="40"/>
        <v>407.20000000000005</v>
      </c>
      <c r="AJ48" s="17">
        <v>-238.7</v>
      </c>
      <c r="AK48" s="17">
        <v>1092</v>
      </c>
      <c r="AL48" s="17">
        <v>1143.7</v>
      </c>
      <c r="AM48" s="17">
        <v>1379.7</v>
      </c>
      <c r="AN48" s="17">
        <v>1432.6</v>
      </c>
      <c r="AO48" s="17">
        <v>1262</v>
      </c>
      <c r="AP48" s="17">
        <f t="shared" si="62"/>
        <v>871.5</v>
      </c>
      <c r="AQ48" s="17">
        <f t="shared" si="63"/>
        <v>239.7</v>
      </c>
      <c r="AR48" s="17">
        <f t="shared" si="64"/>
        <v>1156.7</v>
      </c>
      <c r="AS48" s="17">
        <f t="shared" si="60"/>
        <v>948.59999999999991</v>
      </c>
      <c r="AT48" s="17">
        <v>1277.2</v>
      </c>
      <c r="AU48" s="17">
        <f t="shared" ref="AU48:BD48" si="71">+AU47*(AT48/AT47)</f>
        <v>1792.7446311346509</v>
      </c>
      <c r="AV48" s="17">
        <f t="shared" si="71"/>
        <v>1911.7003564921076</v>
      </c>
      <c r="AW48" s="17">
        <f t="shared" si="71"/>
        <v>2036.604824632622</v>
      </c>
      <c r="AX48" s="17">
        <f t="shared" si="71"/>
        <v>2167.8287689298468</v>
      </c>
      <c r="AY48" s="17">
        <f t="shared" si="71"/>
        <v>2305.7614618174075</v>
      </c>
      <c r="AZ48" s="17">
        <f t="shared" si="71"/>
        <v>2450.8118249824847</v>
      </c>
      <c r="BA48" s="17">
        <f t="shared" si="71"/>
        <v>2603.4095950750584</v>
      </c>
      <c r="BB48" s="17">
        <f t="shared" si="71"/>
        <v>2764.0065481666875</v>
      </c>
      <c r="BC48" s="17">
        <f t="shared" si="71"/>
        <v>2933.0777863544322</v>
      </c>
      <c r="BD48" s="17">
        <f t="shared" si="71"/>
        <v>3203.4526228230898</v>
      </c>
    </row>
    <row r="49" spans="1:229">
      <c r="B49" s="17" t="s">
        <v>24</v>
      </c>
      <c r="C49" s="13">
        <f t="shared" ref="C49" si="72">+C47-C48</f>
        <v>1776.4999999999998</v>
      </c>
      <c r="D49" s="13">
        <f t="shared" ref="D49" si="73">+D47-D48</f>
        <v>799.40000000000009</v>
      </c>
      <c r="E49" s="13">
        <f t="shared" ref="E49" si="74">+E47-E48</f>
        <v>866.40000000000077</v>
      </c>
      <c r="F49" s="13">
        <f t="shared" ref="F49:S49" si="75">+F47-F48</f>
        <v>798.7000000000005</v>
      </c>
      <c r="G49" s="13">
        <f t="shared" si="75"/>
        <v>803.60000000000025</v>
      </c>
      <c r="H49" s="13">
        <f t="shared" si="75"/>
        <v>680.79999999999882</v>
      </c>
      <c r="I49" s="13">
        <f t="shared" si="75"/>
        <v>809.10000000000082</v>
      </c>
      <c r="J49" s="13">
        <f t="shared" si="75"/>
        <v>814.3</v>
      </c>
      <c r="K49" s="13">
        <f t="shared" si="75"/>
        <v>891.59999999999991</v>
      </c>
      <c r="L49" s="13">
        <f t="shared" si="75"/>
        <v>324.09999999999923</v>
      </c>
      <c r="M49" s="13">
        <f t="shared" si="75"/>
        <v>-599.99999999999977</v>
      </c>
      <c r="N49" s="13">
        <f t="shared" si="75"/>
        <v>587.7000000000013</v>
      </c>
      <c r="O49" s="13">
        <f t="shared" si="75"/>
        <v>694.4</v>
      </c>
      <c r="P49" s="13">
        <f t="shared" si="75"/>
        <v>682.40000000000009</v>
      </c>
      <c r="Q49" s="13">
        <f t="shared" si="75"/>
        <v>1174.0000000000009</v>
      </c>
      <c r="R49" s="13">
        <f t="shared" si="75"/>
        <v>955.59999999999991</v>
      </c>
      <c r="S49" s="13">
        <f t="shared" si="75"/>
        <v>808.60000000000014</v>
      </c>
      <c r="T49" s="13">
        <f t="shared" ref="T49:V49" si="76">+T47-T48</f>
        <v>679.39999999999975</v>
      </c>
      <c r="U49" s="13">
        <f t="shared" ref="U49" si="77">+U47-U48</f>
        <v>927.69999999999959</v>
      </c>
      <c r="V49" s="13">
        <f t="shared" si="76"/>
        <v>913.599999999999</v>
      </c>
      <c r="W49" s="13">
        <f t="shared" ref="W49:Z49" si="78">+W47-W48</f>
        <v>808.60000000000014</v>
      </c>
      <c r="X49" s="13">
        <f t="shared" si="78"/>
        <v>917.10000000000059</v>
      </c>
      <c r="Y49" s="13">
        <f t="shared" si="78"/>
        <v>1149</v>
      </c>
      <c r="Z49" s="13">
        <f t="shared" si="78"/>
        <v>1271.7999999999981</v>
      </c>
      <c r="AA49" s="13"/>
      <c r="AB49" s="13"/>
      <c r="AC49" s="13"/>
      <c r="AD49" s="13"/>
      <c r="AJ49" s="17">
        <f t="shared" ref="AJ49:AO49" si="79">+AJ47-AJ48</f>
        <v>2792.900000000001</v>
      </c>
      <c r="AK49" s="17">
        <f t="shared" si="79"/>
        <v>2047.5000000000005</v>
      </c>
      <c r="AL49" s="17">
        <f t="shared" si="79"/>
        <v>2820.4000000000005</v>
      </c>
      <c r="AM49" s="17">
        <f t="shared" si="79"/>
        <v>2818.8999999999969</v>
      </c>
      <c r="AN49" s="17">
        <f t="shared" si="79"/>
        <v>2944.8999999999955</v>
      </c>
      <c r="AO49" s="17">
        <f t="shared" si="79"/>
        <v>4243.1999999999962</v>
      </c>
      <c r="AP49" s="17">
        <f t="shared" si="62"/>
        <v>3107.8</v>
      </c>
      <c r="AQ49" s="17">
        <f t="shared" si="63"/>
        <v>1203.4000000000005</v>
      </c>
      <c r="AR49" s="17">
        <f t="shared" si="64"/>
        <v>3506.400000000001</v>
      </c>
      <c r="AS49" s="17">
        <f t="shared" si="60"/>
        <v>3329.2999999999988</v>
      </c>
      <c r="AT49" s="17">
        <f>+AT47-AT48</f>
        <v>4146.4999999999973</v>
      </c>
      <c r="AU49" s="17">
        <f t="shared" ref="AU49:BB49" si="80">+AU47-AU48</f>
        <v>5820.2439813653491</v>
      </c>
      <c r="AV49" s="17">
        <f t="shared" si="80"/>
        <v>6206.4402820188834</v>
      </c>
      <c r="AW49" s="17">
        <f t="shared" si="80"/>
        <v>6611.9495030842163</v>
      </c>
      <c r="AX49" s="17">
        <f t="shared" si="80"/>
        <v>7037.9752508358924</v>
      </c>
      <c r="AY49" s="17">
        <f t="shared" si="80"/>
        <v>7485.7813196256438</v>
      </c>
      <c r="AZ49" s="17">
        <f t="shared" si="80"/>
        <v>7956.6952961868656</v>
      </c>
      <c r="BA49" s="17">
        <f t="shared" si="80"/>
        <v>8452.1123441737564</v>
      </c>
      <c r="BB49" s="17">
        <f t="shared" si="80"/>
        <v>8973.499179434044</v>
      </c>
      <c r="BC49" s="17">
        <f t="shared" ref="BC49:BD49" si="81">+BC47-BC48</f>
        <v>9522.3982470393403</v>
      </c>
      <c r="BD49" s="17">
        <f t="shared" si="81"/>
        <v>10400.185014512945</v>
      </c>
    </row>
    <row r="50" spans="1:229">
      <c r="B50" s="32" t="s">
        <v>30</v>
      </c>
      <c r="C50" s="13">
        <v>-0.1</v>
      </c>
      <c r="D50" s="13">
        <v>-0.3</v>
      </c>
      <c r="E50" s="33">
        <v>-0.5</v>
      </c>
      <c r="F50" s="33">
        <v>0.6</v>
      </c>
      <c r="G50" s="13">
        <v>-0.2</v>
      </c>
      <c r="H50" s="13">
        <v>-4.4000000000000004</v>
      </c>
      <c r="I50" s="13">
        <v>0.4</v>
      </c>
      <c r="J50" s="13">
        <v>-0.4</v>
      </c>
      <c r="K50" s="13">
        <v>-0.4</v>
      </c>
      <c r="L50" s="13">
        <v>-3.6</v>
      </c>
      <c r="M50" s="13">
        <v>0.3</v>
      </c>
      <c r="N50" s="13">
        <v>0.1</v>
      </c>
      <c r="O50" s="13">
        <v>0</v>
      </c>
      <c r="P50" s="13">
        <v>0</v>
      </c>
      <c r="Q50" s="13">
        <v>0.8</v>
      </c>
      <c r="R50" s="13">
        <v>0.2</v>
      </c>
      <c r="S50" s="13">
        <v>0</v>
      </c>
      <c r="T50" s="13">
        <v>0.5</v>
      </c>
      <c r="U50" s="13">
        <v>0.8</v>
      </c>
      <c r="V50" s="13">
        <v>0.2</v>
      </c>
      <c r="W50" s="13">
        <v>0.2</v>
      </c>
      <c r="X50" s="13">
        <v>0</v>
      </c>
      <c r="Y50" s="17">
        <v>0.2</v>
      </c>
      <c r="Z50" s="17">
        <f t="shared" si="40"/>
        <v>-0.2</v>
      </c>
      <c r="AJ50" s="17">
        <v>0.5</v>
      </c>
      <c r="AK50" s="17">
        <v>0.4</v>
      </c>
      <c r="AL50" s="17">
        <v>1.9</v>
      </c>
      <c r="AM50" s="17">
        <v>1.2</v>
      </c>
      <c r="AN50" s="17">
        <v>0.2</v>
      </c>
      <c r="AO50" s="17">
        <v>-0.3</v>
      </c>
      <c r="AP50" s="17">
        <f t="shared" si="62"/>
        <v>-4.6000000000000005</v>
      </c>
      <c r="AQ50" s="17">
        <f t="shared" si="63"/>
        <v>-3.6</v>
      </c>
      <c r="AR50" s="17">
        <f t="shared" si="64"/>
        <v>1</v>
      </c>
      <c r="AS50" s="17">
        <f t="shared" si="60"/>
        <v>1.5</v>
      </c>
      <c r="AT50" s="17">
        <v>0.2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</row>
    <row r="51" spans="1:229" s="19" customFormat="1">
      <c r="B51" s="19" t="s">
        <v>24</v>
      </c>
      <c r="C51" s="22">
        <f t="shared" ref="C51:Z51" si="82">+C49-C50</f>
        <v>1776.5999999999997</v>
      </c>
      <c r="D51" s="22">
        <f t="shared" si="82"/>
        <v>799.7</v>
      </c>
      <c r="E51" s="22">
        <f t="shared" si="82"/>
        <v>866.90000000000077</v>
      </c>
      <c r="F51" s="22">
        <f t="shared" si="82"/>
        <v>798.10000000000048</v>
      </c>
      <c r="G51" s="22">
        <f t="shared" si="82"/>
        <v>803.8000000000003</v>
      </c>
      <c r="H51" s="22">
        <f t="shared" si="82"/>
        <v>685.19999999999879</v>
      </c>
      <c r="I51" s="22">
        <f t="shared" si="82"/>
        <v>808.70000000000084</v>
      </c>
      <c r="J51" s="22">
        <f t="shared" si="82"/>
        <v>814.69999999999993</v>
      </c>
      <c r="K51" s="22">
        <f t="shared" si="82"/>
        <v>891.99999999999989</v>
      </c>
      <c r="L51" s="22">
        <f t="shared" si="82"/>
        <v>327.69999999999925</v>
      </c>
      <c r="M51" s="22">
        <f t="shared" si="82"/>
        <v>-600.29999999999973</v>
      </c>
      <c r="N51" s="22">
        <f t="shared" si="82"/>
        <v>587.60000000000127</v>
      </c>
      <c r="O51" s="22">
        <f t="shared" si="82"/>
        <v>694.4</v>
      </c>
      <c r="P51" s="22">
        <f t="shared" si="82"/>
        <v>682.40000000000009</v>
      </c>
      <c r="Q51" s="22">
        <f t="shared" si="82"/>
        <v>1173.200000000001</v>
      </c>
      <c r="R51" s="22">
        <f t="shared" si="82"/>
        <v>955.39999999999986</v>
      </c>
      <c r="S51" s="22">
        <f t="shared" si="82"/>
        <v>808.60000000000014</v>
      </c>
      <c r="T51" s="22">
        <f t="shared" si="82"/>
        <v>678.89999999999975</v>
      </c>
      <c r="U51" s="22">
        <f t="shared" si="82"/>
        <v>926.89999999999964</v>
      </c>
      <c r="V51" s="22">
        <f t="shared" si="82"/>
        <v>913.39999999999895</v>
      </c>
      <c r="W51" s="22">
        <f t="shared" si="82"/>
        <v>808.40000000000009</v>
      </c>
      <c r="X51" s="22">
        <f t="shared" si="82"/>
        <v>917.10000000000059</v>
      </c>
      <c r="Y51" s="22">
        <f t="shared" si="82"/>
        <v>1148.8</v>
      </c>
      <c r="Z51" s="22">
        <f t="shared" si="82"/>
        <v>1271.9999999999982</v>
      </c>
      <c r="AA51" s="22"/>
      <c r="AB51" s="22"/>
      <c r="AC51" s="22"/>
      <c r="AD51" s="22"/>
      <c r="AJ51" s="19">
        <f t="shared" ref="AJ51:AO51" si="83">+AJ49+AJ50</f>
        <v>2793.400000000001</v>
      </c>
      <c r="AK51" s="19">
        <f t="shared" si="83"/>
        <v>2047.9000000000005</v>
      </c>
      <c r="AL51" s="19">
        <f t="shared" si="83"/>
        <v>2822.3000000000006</v>
      </c>
      <c r="AM51" s="19">
        <f t="shared" si="83"/>
        <v>2820.0999999999967</v>
      </c>
      <c r="AN51" s="19">
        <f t="shared" si="83"/>
        <v>2945.0999999999954</v>
      </c>
      <c r="AO51" s="19">
        <f t="shared" si="83"/>
        <v>4242.899999999996</v>
      </c>
      <c r="AP51" s="19">
        <f t="shared" si="62"/>
        <v>3112.3999999999996</v>
      </c>
      <c r="AQ51" s="19">
        <f t="shared" si="63"/>
        <v>1207.0000000000007</v>
      </c>
      <c r="AR51" s="19">
        <f t="shared" si="64"/>
        <v>3505.4000000000005</v>
      </c>
      <c r="AS51" s="19">
        <f t="shared" si="60"/>
        <v>3327.7999999999984</v>
      </c>
      <c r="AT51" s="19">
        <f t="shared" ref="AT51:BD51" si="84">+AT49-AT50</f>
        <v>4146.2999999999975</v>
      </c>
      <c r="AU51" s="19">
        <f t="shared" si="84"/>
        <v>5820.2439813653491</v>
      </c>
      <c r="AV51" s="19">
        <f t="shared" si="84"/>
        <v>6206.4402820188834</v>
      </c>
      <c r="AW51" s="19">
        <f t="shared" si="84"/>
        <v>6611.9495030842163</v>
      </c>
      <c r="AX51" s="19">
        <f t="shared" si="84"/>
        <v>7037.9752508358924</v>
      </c>
      <c r="AY51" s="19">
        <f t="shared" si="84"/>
        <v>7485.7813196256438</v>
      </c>
      <c r="AZ51" s="19">
        <f t="shared" si="84"/>
        <v>7956.6952961868656</v>
      </c>
      <c r="BA51" s="19">
        <f t="shared" si="84"/>
        <v>8452.1123441737564</v>
      </c>
      <c r="BB51" s="19">
        <f t="shared" si="84"/>
        <v>8973.499179434044</v>
      </c>
      <c r="BC51" s="19">
        <f t="shared" si="84"/>
        <v>9522.3982470393403</v>
      </c>
      <c r="BD51" s="19">
        <f t="shared" si="84"/>
        <v>10400.185014512945</v>
      </c>
      <c r="BE51" s="19">
        <f t="shared" ref="BE51:CJ51" si="85">+BD51*(1+$BI$60)</f>
        <v>10504.186864658075</v>
      </c>
      <c r="BF51" s="19">
        <f t="shared" si="85"/>
        <v>10609.228733304655</v>
      </c>
      <c r="BG51" s="19">
        <f t="shared" si="85"/>
        <v>10715.321020637703</v>
      </c>
      <c r="BH51" s="19">
        <f t="shared" si="85"/>
        <v>10822.47423084408</v>
      </c>
      <c r="BI51" s="19">
        <f t="shared" si="85"/>
        <v>10930.698973152521</v>
      </c>
      <c r="BJ51" s="19">
        <f t="shared" si="85"/>
        <v>11040.005962884046</v>
      </c>
      <c r="BK51" s="19">
        <f t="shared" si="85"/>
        <v>11150.406022512887</v>
      </c>
      <c r="BL51" s="19">
        <f t="shared" si="85"/>
        <v>11261.910082738015</v>
      </c>
      <c r="BM51" s="19">
        <f t="shared" si="85"/>
        <v>11374.529183565395</v>
      </c>
      <c r="BN51" s="19">
        <f t="shared" si="85"/>
        <v>11488.274475401049</v>
      </c>
      <c r="BO51" s="19">
        <f t="shared" si="85"/>
        <v>11603.157220155059</v>
      </c>
      <c r="BP51" s="19">
        <f t="shared" si="85"/>
        <v>11719.18879235661</v>
      </c>
      <c r="BQ51" s="19">
        <f t="shared" si="85"/>
        <v>11836.380680280176</v>
      </c>
      <c r="BR51" s="19">
        <f t="shared" si="85"/>
        <v>11954.744487082977</v>
      </c>
      <c r="BS51" s="19">
        <f t="shared" si="85"/>
        <v>12074.291931953807</v>
      </c>
      <c r="BT51" s="19">
        <f t="shared" si="85"/>
        <v>12195.034851273345</v>
      </c>
      <c r="BU51" s="19">
        <f t="shared" si="85"/>
        <v>12316.985199786079</v>
      </c>
      <c r="BV51" s="19">
        <f t="shared" si="85"/>
        <v>12440.155051783941</v>
      </c>
      <c r="BW51" s="19">
        <f t="shared" si="85"/>
        <v>12564.55660230178</v>
      </c>
      <c r="BX51" s="19">
        <f t="shared" si="85"/>
        <v>12690.202168324799</v>
      </c>
      <c r="BY51" s="19">
        <f t="shared" si="85"/>
        <v>12817.104190008047</v>
      </c>
      <c r="BZ51" s="19">
        <f t="shared" si="85"/>
        <v>12945.275231908128</v>
      </c>
      <c r="CA51" s="19">
        <f t="shared" si="85"/>
        <v>13074.727984227209</v>
      </c>
      <c r="CB51" s="19">
        <f t="shared" si="85"/>
        <v>13205.475264069481</v>
      </c>
      <c r="CC51" s="19">
        <f t="shared" si="85"/>
        <v>13337.530016710176</v>
      </c>
      <c r="CD51" s="19">
        <f t="shared" si="85"/>
        <v>13470.905316877277</v>
      </c>
      <c r="CE51" s="19">
        <f t="shared" si="85"/>
        <v>13605.614370046051</v>
      </c>
      <c r="CF51" s="19">
        <f t="shared" si="85"/>
        <v>13741.670513746511</v>
      </c>
      <c r="CG51" s="19">
        <f t="shared" si="85"/>
        <v>13879.087218883977</v>
      </c>
      <c r="CH51" s="19">
        <f t="shared" si="85"/>
        <v>14017.878091072816</v>
      </c>
      <c r="CI51" s="19">
        <f t="shared" si="85"/>
        <v>14158.056871983545</v>
      </c>
      <c r="CJ51" s="19">
        <f t="shared" si="85"/>
        <v>14299.63744070338</v>
      </c>
      <c r="CK51" s="19">
        <f t="shared" ref="CK51:DP51" si="86">+CJ51*(1+$BI$60)</f>
        <v>14442.633815110414</v>
      </c>
      <c r="CL51" s="19">
        <f t="shared" si="86"/>
        <v>14587.060153261518</v>
      </c>
      <c r="CM51" s="19">
        <f t="shared" si="86"/>
        <v>14732.930754794133</v>
      </c>
      <c r="CN51" s="19">
        <f t="shared" si="86"/>
        <v>14880.260062342075</v>
      </c>
      <c r="CO51" s="19">
        <f t="shared" si="86"/>
        <v>15029.062662965496</v>
      </c>
      <c r="CP51" s="19">
        <f t="shared" si="86"/>
        <v>15179.353289595152</v>
      </c>
      <c r="CQ51" s="19">
        <f t="shared" si="86"/>
        <v>15331.146822491104</v>
      </c>
      <c r="CR51" s="19">
        <f t="shared" si="86"/>
        <v>15484.458290716015</v>
      </c>
      <c r="CS51" s="19">
        <f t="shared" si="86"/>
        <v>15639.302873623175</v>
      </c>
      <c r="CT51" s="19">
        <f t="shared" si="86"/>
        <v>15795.695902359408</v>
      </c>
      <c r="CU51" s="19">
        <f t="shared" si="86"/>
        <v>15953.652861383003</v>
      </c>
      <c r="CV51" s="19">
        <f t="shared" si="86"/>
        <v>16113.189389996833</v>
      </c>
      <c r="CW51" s="19">
        <f t="shared" si="86"/>
        <v>16274.321283896801</v>
      </c>
      <c r="CX51" s="19">
        <f t="shared" si="86"/>
        <v>16437.064496735769</v>
      </c>
      <c r="CY51" s="19">
        <f t="shared" si="86"/>
        <v>16601.435141703128</v>
      </c>
      <c r="CZ51" s="19">
        <f t="shared" si="86"/>
        <v>16767.449493120159</v>
      </c>
      <c r="DA51" s="19">
        <f t="shared" si="86"/>
        <v>16935.12398805136</v>
      </c>
      <c r="DB51" s="19">
        <f t="shared" si="86"/>
        <v>17104.475227931875</v>
      </c>
      <c r="DC51" s="19">
        <f t="shared" si="86"/>
        <v>17275.519980211193</v>
      </c>
      <c r="DD51" s="19">
        <f t="shared" si="86"/>
        <v>17448.275180013305</v>
      </c>
      <c r="DE51" s="19">
        <f t="shared" si="86"/>
        <v>17622.757931813438</v>
      </c>
      <c r="DF51" s="19">
        <f t="shared" si="86"/>
        <v>17798.985511131574</v>
      </c>
      <c r="DG51" s="19">
        <f t="shared" si="86"/>
        <v>17976.975366242888</v>
      </c>
      <c r="DH51" s="19">
        <f t="shared" si="86"/>
        <v>18156.745119905318</v>
      </c>
      <c r="DI51" s="19">
        <f t="shared" si="86"/>
        <v>18338.312571104372</v>
      </c>
      <c r="DJ51" s="19">
        <f t="shared" si="86"/>
        <v>18521.695696815415</v>
      </c>
      <c r="DK51" s="19">
        <f t="shared" si="86"/>
        <v>18706.912653783569</v>
      </c>
      <c r="DL51" s="19">
        <f t="shared" si="86"/>
        <v>18893.981780321406</v>
      </c>
      <c r="DM51" s="19">
        <f t="shared" si="86"/>
        <v>19082.92159812462</v>
      </c>
      <c r="DN51" s="19">
        <f t="shared" si="86"/>
        <v>19273.750814105868</v>
      </c>
      <c r="DO51" s="19">
        <f t="shared" si="86"/>
        <v>19466.488322246925</v>
      </c>
      <c r="DP51" s="19">
        <f t="shared" si="86"/>
        <v>19661.153205469396</v>
      </c>
      <c r="DQ51" s="19">
        <f t="shared" ref="DQ51:EV51" si="87">+DP51*(1+$BI$60)</f>
        <v>19857.764737524089</v>
      </c>
      <c r="DR51" s="19">
        <f t="shared" si="87"/>
        <v>20056.34238489933</v>
      </c>
      <c r="DS51" s="19">
        <f t="shared" si="87"/>
        <v>20256.905808748324</v>
      </c>
      <c r="DT51" s="19">
        <f t="shared" si="87"/>
        <v>20459.474866835808</v>
      </c>
      <c r="DU51" s="19">
        <f t="shared" si="87"/>
        <v>20664.069615504166</v>
      </c>
      <c r="DV51" s="19">
        <f t="shared" si="87"/>
        <v>20870.710311659208</v>
      </c>
      <c r="DW51" s="19">
        <f t="shared" si="87"/>
        <v>21079.417414775799</v>
      </c>
      <c r="DX51" s="19">
        <f t="shared" si="87"/>
        <v>21290.211588923557</v>
      </c>
      <c r="DY51" s="19">
        <f t="shared" si="87"/>
        <v>21503.113704812793</v>
      </c>
      <c r="DZ51" s="19">
        <f t="shared" si="87"/>
        <v>21718.144841860922</v>
      </c>
      <c r="EA51" s="19">
        <f t="shared" si="87"/>
        <v>21935.326290279532</v>
      </c>
      <c r="EB51" s="19">
        <f t="shared" si="87"/>
        <v>22154.679553182326</v>
      </c>
      <c r="EC51" s="19">
        <f t="shared" si="87"/>
        <v>22376.22634871415</v>
      </c>
      <c r="ED51" s="19">
        <f t="shared" si="87"/>
        <v>22599.98861220129</v>
      </c>
      <c r="EE51" s="19">
        <f t="shared" si="87"/>
        <v>22825.988498323302</v>
      </c>
      <c r="EF51" s="19">
        <f t="shared" si="87"/>
        <v>23054.248383306534</v>
      </c>
      <c r="EG51" s="19">
        <f t="shared" si="87"/>
        <v>23284.7908671396</v>
      </c>
      <c r="EH51" s="19">
        <f t="shared" si="87"/>
        <v>23517.638775810996</v>
      </c>
      <c r="EI51" s="19">
        <f t="shared" si="87"/>
        <v>23752.815163569107</v>
      </c>
      <c r="EJ51" s="19">
        <f t="shared" si="87"/>
        <v>23990.343315204798</v>
      </c>
      <c r="EK51" s="19">
        <f t="shared" si="87"/>
        <v>24230.246748356847</v>
      </c>
      <c r="EL51" s="19">
        <f t="shared" si="87"/>
        <v>24472.549215840416</v>
      </c>
      <c r="EM51" s="19">
        <f t="shared" si="87"/>
        <v>24717.274707998818</v>
      </c>
      <c r="EN51" s="19">
        <f t="shared" si="87"/>
        <v>24964.447455078807</v>
      </c>
      <c r="EO51" s="19">
        <f t="shared" si="87"/>
        <v>25214.091929629594</v>
      </c>
      <c r="EP51" s="19">
        <f t="shared" si="87"/>
        <v>25466.232848925891</v>
      </c>
      <c r="EQ51" s="19">
        <f t="shared" si="87"/>
        <v>25720.89517741515</v>
      </c>
      <c r="ER51" s="19">
        <f t="shared" si="87"/>
        <v>25978.104129189302</v>
      </c>
      <c r="ES51" s="19">
        <f t="shared" si="87"/>
        <v>26237.885170481193</v>
      </c>
      <c r="ET51" s="19">
        <f t="shared" si="87"/>
        <v>26500.264022186006</v>
      </c>
      <c r="EU51" s="19">
        <f t="shared" si="87"/>
        <v>26765.266662407867</v>
      </c>
      <c r="EV51" s="19">
        <f t="shared" si="87"/>
        <v>27032.919329031945</v>
      </c>
      <c r="EW51" s="19">
        <f t="shared" ref="EW51:GB51" si="88">+EV51*(1+$BI$60)</f>
        <v>27303.248522322265</v>
      </c>
      <c r="EX51" s="19">
        <f t="shared" si="88"/>
        <v>27576.281007545487</v>
      </c>
      <c r="EY51" s="19">
        <f t="shared" si="88"/>
        <v>27852.043817620943</v>
      </c>
      <c r="EZ51" s="19">
        <f t="shared" si="88"/>
        <v>28130.564255797151</v>
      </c>
      <c r="FA51" s="19">
        <f t="shared" si="88"/>
        <v>28411.869898355122</v>
      </c>
      <c r="FB51" s="19">
        <f t="shared" si="88"/>
        <v>28695.988597338674</v>
      </c>
      <c r="FC51" s="19">
        <f t="shared" si="88"/>
        <v>28982.948483312062</v>
      </c>
      <c r="FD51" s="19">
        <f t="shared" si="88"/>
        <v>29272.777968145183</v>
      </c>
      <c r="FE51" s="19">
        <f t="shared" si="88"/>
        <v>29565.505747826635</v>
      </c>
      <c r="FF51" s="19">
        <f t="shared" si="88"/>
        <v>29861.160805304902</v>
      </c>
      <c r="FG51" s="19">
        <f t="shared" si="88"/>
        <v>30159.77241335795</v>
      </c>
      <c r="FH51" s="19">
        <f t="shared" si="88"/>
        <v>30461.370137491529</v>
      </c>
      <c r="FI51" s="19">
        <f t="shared" si="88"/>
        <v>30765.983838866443</v>
      </c>
      <c r="FJ51" s="19">
        <f t="shared" si="88"/>
        <v>31073.643677255106</v>
      </c>
      <c r="FK51" s="19">
        <f t="shared" si="88"/>
        <v>31384.380114027659</v>
      </c>
      <c r="FL51" s="19">
        <f t="shared" si="88"/>
        <v>31698.223915167935</v>
      </c>
      <c r="FM51" s="19">
        <f t="shared" si="88"/>
        <v>32015.206154319614</v>
      </c>
      <c r="FN51" s="19">
        <f t="shared" si="88"/>
        <v>32335.358215862812</v>
      </c>
      <c r="FO51" s="19">
        <f t="shared" si="88"/>
        <v>32658.711798021443</v>
      </c>
      <c r="FP51" s="19">
        <f t="shared" si="88"/>
        <v>32985.298916001659</v>
      </c>
      <c r="FQ51" s="19">
        <f t="shared" si="88"/>
        <v>33315.151905161678</v>
      </c>
      <c r="FR51" s="19">
        <f t="shared" si="88"/>
        <v>33648.303424213293</v>
      </c>
      <c r="FS51" s="19">
        <f t="shared" si="88"/>
        <v>33984.786458455426</v>
      </c>
      <c r="FT51" s="19">
        <f t="shared" si="88"/>
        <v>34324.63432303998</v>
      </c>
      <c r="FU51" s="19">
        <f t="shared" si="88"/>
        <v>34667.880666270379</v>
      </c>
      <c r="FV51" s="19">
        <f t="shared" si="88"/>
        <v>35014.559472933084</v>
      </c>
      <c r="FW51" s="19">
        <f t="shared" si="88"/>
        <v>35364.705067662413</v>
      </c>
      <c r="FX51" s="19">
        <f t="shared" si="88"/>
        <v>35718.35211833904</v>
      </c>
      <c r="FY51" s="19">
        <f t="shared" si="88"/>
        <v>36075.53563952243</v>
      </c>
      <c r="FZ51" s="19">
        <f t="shared" si="88"/>
        <v>36436.290995917654</v>
      </c>
      <c r="GA51" s="19">
        <f t="shared" si="88"/>
        <v>36800.653905876832</v>
      </c>
      <c r="GB51" s="19">
        <f t="shared" si="88"/>
        <v>37168.660444935602</v>
      </c>
      <c r="GC51" s="19">
        <f t="shared" ref="GC51:HH51" si="89">+GB51*(1+$BI$60)</f>
        <v>37540.34704938496</v>
      </c>
      <c r="GD51" s="19">
        <f t="shared" si="89"/>
        <v>37915.750519878813</v>
      </c>
      <c r="GE51" s="19">
        <f t="shared" si="89"/>
        <v>38294.908025077602</v>
      </c>
      <c r="GF51" s="19">
        <f t="shared" si="89"/>
        <v>38677.857105328381</v>
      </c>
      <c r="GG51" s="19">
        <f t="shared" si="89"/>
        <v>39064.635676381666</v>
      </c>
      <c r="GH51" s="19">
        <f t="shared" si="89"/>
        <v>39455.282033145486</v>
      </c>
      <c r="GI51" s="19">
        <f t="shared" si="89"/>
        <v>39849.834853476939</v>
      </c>
      <c r="GJ51" s="19">
        <f t="shared" si="89"/>
        <v>40248.333202011709</v>
      </c>
      <c r="GK51" s="19">
        <f t="shared" si="89"/>
        <v>40650.816534031823</v>
      </c>
      <c r="GL51" s="19">
        <f t="shared" si="89"/>
        <v>41057.32469937214</v>
      </c>
      <c r="GM51" s="19">
        <f t="shared" si="89"/>
        <v>41467.897946365862</v>
      </c>
      <c r="GN51" s="19">
        <f t="shared" si="89"/>
        <v>41882.576925829519</v>
      </c>
      <c r="GO51" s="19">
        <f t="shared" si="89"/>
        <v>42301.402695087811</v>
      </c>
      <c r="GP51" s="19">
        <f t="shared" si="89"/>
        <v>42724.416722038688</v>
      </c>
      <c r="GQ51" s="19">
        <f t="shared" si="89"/>
        <v>43151.660889259074</v>
      </c>
      <c r="GR51" s="19">
        <f t="shared" si="89"/>
        <v>43583.177498151665</v>
      </c>
      <c r="GS51" s="19">
        <f t="shared" si="89"/>
        <v>44019.009273133182</v>
      </c>
      <c r="GT51" s="19">
        <f t="shared" si="89"/>
        <v>44459.199365864515</v>
      </c>
      <c r="GU51" s="19">
        <f t="shared" si="89"/>
        <v>44903.791359523158</v>
      </c>
      <c r="GV51" s="19">
        <f t="shared" si="89"/>
        <v>45352.82927311839</v>
      </c>
      <c r="GW51" s="19">
        <f t="shared" si="89"/>
        <v>45806.357565849576</v>
      </c>
      <c r="GX51" s="19">
        <f t="shared" si="89"/>
        <v>46264.421141508072</v>
      </c>
      <c r="GY51" s="19">
        <f t="shared" si="89"/>
        <v>46727.065352923149</v>
      </c>
      <c r="GZ51" s="19">
        <f t="shared" si="89"/>
        <v>47194.33600645238</v>
      </c>
      <c r="HA51" s="19">
        <f t="shared" si="89"/>
        <v>47666.279366516901</v>
      </c>
      <c r="HB51" s="19">
        <f t="shared" si="89"/>
        <v>48142.942160182072</v>
      </c>
      <c r="HC51" s="19">
        <f t="shared" si="89"/>
        <v>48624.371581783897</v>
      </c>
      <c r="HD51" s="19">
        <f t="shared" si="89"/>
        <v>49110.615297601733</v>
      </c>
      <c r="HE51" s="19">
        <f t="shared" si="89"/>
        <v>49601.721450577752</v>
      </c>
      <c r="HF51" s="19">
        <f t="shared" si="89"/>
        <v>50097.738665083532</v>
      </c>
      <c r="HG51" s="19">
        <f t="shared" si="89"/>
        <v>50598.716051734365</v>
      </c>
      <c r="HH51" s="19">
        <f t="shared" si="89"/>
        <v>51104.703212251712</v>
      </c>
      <c r="HI51" s="19">
        <f t="shared" ref="HI51:HU51" si="90">+HH51*(1+$BI$60)</f>
        <v>51615.750244374227</v>
      </c>
      <c r="HJ51" s="19">
        <f t="shared" si="90"/>
        <v>52131.907746817968</v>
      </c>
      <c r="HK51" s="19">
        <f t="shared" si="90"/>
        <v>52653.226824286146</v>
      </c>
      <c r="HL51" s="19">
        <f t="shared" si="90"/>
        <v>53179.759092529006</v>
      </c>
      <c r="HM51" s="19">
        <f t="shared" si="90"/>
        <v>53711.556683454299</v>
      </c>
      <c r="HN51" s="19">
        <f t="shared" si="90"/>
        <v>54248.672250288844</v>
      </c>
      <c r="HO51" s="19">
        <f t="shared" si="90"/>
        <v>54791.158972791731</v>
      </c>
      <c r="HP51" s="19">
        <f t="shared" si="90"/>
        <v>55339.07056251965</v>
      </c>
      <c r="HQ51" s="19">
        <f t="shared" si="90"/>
        <v>55892.461268144849</v>
      </c>
      <c r="HR51" s="19">
        <f t="shared" si="90"/>
        <v>56451.385880826296</v>
      </c>
      <c r="HS51" s="19">
        <f t="shared" si="90"/>
        <v>57015.899739634559</v>
      </c>
      <c r="HT51" s="19">
        <f t="shared" si="90"/>
        <v>57586.058737030908</v>
      </c>
      <c r="HU51" s="19">
        <f t="shared" si="90"/>
        <v>58161.91932440122</v>
      </c>
    </row>
    <row r="52" spans="1:229">
      <c r="B52" s="17" t="s">
        <v>31</v>
      </c>
      <c r="C52" s="13">
        <v>1434.6</v>
      </c>
      <c r="D52" s="13">
        <v>1406.6</v>
      </c>
      <c r="E52" s="13">
        <v>1388.5</v>
      </c>
      <c r="F52" s="13">
        <v>1348.7</v>
      </c>
      <c r="G52" s="13">
        <v>1253.4000000000001</v>
      </c>
      <c r="H52" s="13">
        <v>1250.7</v>
      </c>
      <c r="I52" s="13">
        <v>1223</v>
      </c>
      <c r="J52" s="13">
        <v>1205.5999999999999</v>
      </c>
      <c r="K52" s="13">
        <v>1191</v>
      </c>
      <c r="L52" s="13">
        <v>1180.7</v>
      </c>
      <c r="M52" s="13">
        <v>1168.5</v>
      </c>
      <c r="N52" s="13">
        <v>1179</v>
      </c>
      <c r="O52" s="13">
        <v>1183</v>
      </c>
      <c r="P52" s="13">
        <v>1184.8</v>
      </c>
      <c r="Q52" s="13">
        <v>1186.2</v>
      </c>
      <c r="R52" s="13">
        <v>1187.9000000000001</v>
      </c>
      <c r="S52" s="13">
        <v>1176.5999999999999</v>
      </c>
      <c r="T52" s="13">
        <v>1153.9000000000001</v>
      </c>
      <c r="U52" s="13">
        <v>1151</v>
      </c>
      <c r="V52" s="13">
        <v>1525.5</v>
      </c>
      <c r="W52" s="13">
        <v>1176.5999999999999</v>
      </c>
      <c r="X52" s="13">
        <v>1152.7</v>
      </c>
      <c r="Y52" s="17">
        <v>1150.5</v>
      </c>
      <c r="Z52" s="17">
        <f>+Z51/Z53</f>
        <v>1135.5013849961763</v>
      </c>
      <c r="AJ52" s="17">
        <v>524.5</v>
      </c>
      <c r="AK52" s="17">
        <v>1526.3</v>
      </c>
      <c r="AL52" s="17">
        <v>1513.4</v>
      </c>
      <c r="AM52" s="17">
        <v>1486.7</v>
      </c>
      <c r="AN52" s="17">
        <v>1461.5</v>
      </c>
      <c r="AO52" s="17">
        <v>1394.6</v>
      </c>
      <c r="AP52" s="17">
        <f>+AP51/AP53</f>
        <v>1232.0701662249603</v>
      </c>
      <c r="AQ52" s="17">
        <f t="shared" ref="AQ52:AR52" si="91">+AQ51/AQ53</f>
        <v>1193.6896608492759</v>
      </c>
      <c r="AR52" s="17">
        <f t="shared" si="91"/>
        <v>1185.7543627399157</v>
      </c>
      <c r="AS52" s="17">
        <f>+AS51/AS53</f>
        <v>1241.8826847603248</v>
      </c>
      <c r="AT52" s="17">
        <v>1151.3</v>
      </c>
      <c r="AU52" s="17">
        <f t="shared" ref="AU52:BD52" si="92">+AT52</f>
        <v>1151.3</v>
      </c>
      <c r="AV52" s="17">
        <f t="shared" si="92"/>
        <v>1151.3</v>
      </c>
      <c r="AW52" s="17">
        <f t="shared" si="92"/>
        <v>1151.3</v>
      </c>
      <c r="AX52" s="17">
        <f t="shared" si="92"/>
        <v>1151.3</v>
      </c>
      <c r="AY52" s="17">
        <f t="shared" si="92"/>
        <v>1151.3</v>
      </c>
      <c r="AZ52" s="17">
        <f t="shared" si="92"/>
        <v>1151.3</v>
      </c>
      <c r="BA52" s="17">
        <f t="shared" si="92"/>
        <v>1151.3</v>
      </c>
      <c r="BB52" s="17">
        <f t="shared" si="92"/>
        <v>1151.3</v>
      </c>
      <c r="BC52" s="17">
        <f t="shared" si="92"/>
        <v>1151.3</v>
      </c>
      <c r="BD52" s="17">
        <f t="shared" si="92"/>
        <v>1151.3</v>
      </c>
    </row>
    <row r="53" spans="1:229" s="34" customFormat="1">
      <c r="B53" s="34" t="s">
        <v>32</v>
      </c>
      <c r="C53" s="35">
        <f t="shared" ref="C53" si="93">+C51/C52</f>
        <v>1.2383939774153072</v>
      </c>
      <c r="D53" s="35">
        <f t="shared" ref="D53" si="94">+D51/D52</f>
        <v>0.56853405374662314</v>
      </c>
      <c r="E53" s="35">
        <f t="shared" ref="E53" si="95">+E51/E52</f>
        <v>0.6243428159884773</v>
      </c>
      <c r="F53" s="35">
        <f t="shared" ref="F53:S53" si="96">+F51/F52</f>
        <v>0.59175502335582442</v>
      </c>
      <c r="G53" s="35">
        <f t="shared" si="96"/>
        <v>0.6412956757619277</v>
      </c>
      <c r="H53" s="35">
        <f t="shared" si="96"/>
        <v>0.54785320220676326</v>
      </c>
      <c r="I53" s="35">
        <f t="shared" si="96"/>
        <v>0.66124284546197942</v>
      </c>
      <c r="J53" s="35">
        <f t="shared" si="96"/>
        <v>0.67576310550763108</v>
      </c>
      <c r="K53" s="35">
        <f t="shared" si="96"/>
        <v>0.74895046179680935</v>
      </c>
      <c r="L53" s="35">
        <f t="shared" si="96"/>
        <v>0.27754721775218028</v>
      </c>
      <c r="M53" s="35">
        <f t="shared" si="96"/>
        <v>-0.51373555840821539</v>
      </c>
      <c r="N53" s="35">
        <f t="shared" si="96"/>
        <v>0.49838846480067961</v>
      </c>
      <c r="O53" s="35">
        <f t="shared" si="96"/>
        <v>0.58698224852071001</v>
      </c>
      <c r="P53" s="35">
        <f t="shared" si="96"/>
        <v>0.57596218771100616</v>
      </c>
      <c r="Q53" s="35">
        <f t="shared" si="96"/>
        <v>0.9890406339571749</v>
      </c>
      <c r="R53" s="35">
        <f t="shared" si="96"/>
        <v>0.80427645424699035</v>
      </c>
      <c r="S53" s="35">
        <f t="shared" si="96"/>
        <v>0.6872344042155365</v>
      </c>
      <c r="T53" s="35">
        <f t="shared" ref="T53:V53" si="97">+T51/T52</f>
        <v>0.58835254354796751</v>
      </c>
      <c r="U53" s="35">
        <f t="shared" ref="U53" si="98">+U51/U52</f>
        <v>0.80529973935708044</v>
      </c>
      <c r="V53" s="35">
        <f t="shared" si="97"/>
        <v>0.59875450671910779</v>
      </c>
      <c r="W53" s="35">
        <f t="shared" ref="W53:Y53" si="99">+W51/W52</f>
        <v>0.68706442291347969</v>
      </c>
      <c r="X53" s="35">
        <f t="shared" si="99"/>
        <v>0.79561030623752971</v>
      </c>
      <c r="Y53" s="35">
        <f t="shared" si="99"/>
        <v>0.99852238157322903</v>
      </c>
      <c r="Z53" s="34">
        <f t="shared" ref="Z53" si="100">+AT53-SUM(W53:Y53)</f>
        <v>1.1202099942874852</v>
      </c>
      <c r="AJ53" s="34">
        <f t="shared" ref="AJ53:AO53" si="101">+AJ51/AJ52</f>
        <v>5.3258341277407073</v>
      </c>
      <c r="AK53" s="34">
        <f t="shared" si="101"/>
        <v>1.341741466291031</v>
      </c>
      <c r="AL53" s="34">
        <f t="shared" si="101"/>
        <v>1.8648737941059867</v>
      </c>
      <c r="AM53" s="34">
        <f t="shared" si="101"/>
        <v>1.8968857200511178</v>
      </c>
      <c r="AN53" s="34">
        <f t="shared" si="101"/>
        <v>2.0151214505644854</v>
      </c>
      <c r="AO53" s="34">
        <f t="shared" si="101"/>
        <v>3.042377742721925</v>
      </c>
      <c r="AP53" s="34">
        <f>+SUM(G53:J53)</f>
        <v>2.5261548289383016</v>
      </c>
      <c r="AQ53" s="34">
        <f>+SUM(K53:N53)</f>
        <v>1.0111505859414538</v>
      </c>
      <c r="AR53" s="34">
        <f>+SUM(O53:R53)</f>
        <v>2.9562615244358814</v>
      </c>
      <c r="AS53" s="34">
        <f>+SUM(S53:V53)</f>
        <v>2.679641193839692</v>
      </c>
      <c r="AT53" s="34">
        <f>+AT51/AT52</f>
        <v>3.6014071050117238</v>
      </c>
      <c r="AU53" s="34">
        <f t="shared" ref="AU53:BB53" si="102">+AU51/AU52</f>
        <v>5.0553669602756441</v>
      </c>
      <c r="AV53" s="34">
        <f t="shared" si="102"/>
        <v>5.3908106332136576</v>
      </c>
      <c r="AW53" s="34">
        <f t="shared" si="102"/>
        <v>5.7430291870791423</v>
      </c>
      <c r="AX53" s="34">
        <f t="shared" si="102"/>
        <v>6.1130680542307765</v>
      </c>
      <c r="AY53" s="34">
        <f t="shared" si="102"/>
        <v>6.5020249453883823</v>
      </c>
      <c r="AZ53" s="34">
        <f t="shared" si="102"/>
        <v>6.9110529802717497</v>
      </c>
      <c r="BA53" s="34">
        <f t="shared" si="102"/>
        <v>7.3413639747882886</v>
      </c>
      <c r="BB53" s="34">
        <f t="shared" si="102"/>
        <v>7.7942318938886865</v>
      </c>
      <c r="BC53" s="34">
        <f t="shared" ref="BC53:BD53" si="103">+BC51/BC52</f>
        <v>8.2709964796658912</v>
      </c>
      <c r="BD53" s="34">
        <f t="shared" si="103"/>
        <v>9.0334274424675982</v>
      </c>
    </row>
    <row r="54" spans="1:229">
      <c r="AU54" s="17">
        <v>1</v>
      </c>
      <c r="AV54" s="17">
        <f>+AU54+1</f>
        <v>2</v>
      </c>
      <c r="AW54" s="17">
        <f t="shared" ref="AW54:DH54" si="104">+AV54+1</f>
        <v>3</v>
      </c>
      <c r="AX54" s="17">
        <f t="shared" si="104"/>
        <v>4</v>
      </c>
      <c r="AY54" s="17">
        <f t="shared" si="104"/>
        <v>5</v>
      </c>
      <c r="AZ54" s="17">
        <f t="shared" si="104"/>
        <v>6</v>
      </c>
      <c r="BA54" s="17">
        <f t="shared" si="104"/>
        <v>7</v>
      </c>
      <c r="BB54" s="17">
        <f t="shared" si="104"/>
        <v>8</v>
      </c>
      <c r="BC54" s="17">
        <f t="shared" si="104"/>
        <v>9</v>
      </c>
      <c r="BD54" s="17">
        <f t="shared" ref="BD54" si="105">+BC54+1</f>
        <v>10</v>
      </c>
      <c r="BE54" s="17">
        <f t="shared" si="104"/>
        <v>11</v>
      </c>
      <c r="BF54" s="17">
        <f t="shared" si="104"/>
        <v>12</v>
      </c>
      <c r="BG54" s="17">
        <f t="shared" si="104"/>
        <v>13</v>
      </c>
      <c r="BH54" s="17">
        <f t="shared" si="104"/>
        <v>14</v>
      </c>
      <c r="BI54" s="17">
        <f t="shared" si="104"/>
        <v>15</v>
      </c>
      <c r="BJ54" s="17">
        <f t="shared" si="104"/>
        <v>16</v>
      </c>
      <c r="BK54" s="17">
        <f t="shared" si="104"/>
        <v>17</v>
      </c>
      <c r="BL54" s="17">
        <f t="shared" si="104"/>
        <v>18</v>
      </c>
      <c r="BM54" s="17">
        <f t="shared" si="104"/>
        <v>19</v>
      </c>
      <c r="BN54" s="17">
        <f t="shared" si="104"/>
        <v>20</v>
      </c>
      <c r="BO54" s="17">
        <f t="shared" si="104"/>
        <v>21</v>
      </c>
      <c r="BP54" s="17">
        <f t="shared" si="104"/>
        <v>22</v>
      </c>
      <c r="BQ54" s="17">
        <f t="shared" si="104"/>
        <v>23</v>
      </c>
      <c r="BR54" s="17">
        <f t="shared" si="104"/>
        <v>24</v>
      </c>
      <c r="BS54" s="17">
        <f t="shared" si="104"/>
        <v>25</v>
      </c>
      <c r="BT54" s="17">
        <f t="shared" si="104"/>
        <v>26</v>
      </c>
      <c r="BU54" s="17">
        <f t="shared" si="104"/>
        <v>27</v>
      </c>
      <c r="BV54" s="17">
        <f t="shared" si="104"/>
        <v>28</v>
      </c>
      <c r="BW54" s="17">
        <f t="shared" si="104"/>
        <v>29</v>
      </c>
      <c r="BX54" s="17">
        <f t="shared" si="104"/>
        <v>30</v>
      </c>
      <c r="BY54" s="17">
        <f t="shared" si="104"/>
        <v>31</v>
      </c>
      <c r="BZ54" s="17">
        <f t="shared" si="104"/>
        <v>32</v>
      </c>
      <c r="CA54" s="17">
        <f t="shared" si="104"/>
        <v>33</v>
      </c>
      <c r="CB54" s="17">
        <f t="shared" si="104"/>
        <v>34</v>
      </c>
      <c r="CC54" s="17">
        <f t="shared" si="104"/>
        <v>35</v>
      </c>
      <c r="CD54" s="17">
        <f t="shared" si="104"/>
        <v>36</v>
      </c>
      <c r="CE54" s="17">
        <f t="shared" si="104"/>
        <v>37</v>
      </c>
      <c r="CF54" s="17">
        <f t="shared" si="104"/>
        <v>38</v>
      </c>
      <c r="CG54" s="17">
        <f t="shared" si="104"/>
        <v>39</v>
      </c>
      <c r="CH54" s="17">
        <f t="shared" si="104"/>
        <v>40</v>
      </c>
      <c r="CI54" s="17">
        <f t="shared" si="104"/>
        <v>41</v>
      </c>
      <c r="CJ54" s="17">
        <f t="shared" si="104"/>
        <v>42</v>
      </c>
      <c r="CK54" s="17">
        <f t="shared" si="104"/>
        <v>43</v>
      </c>
      <c r="CL54" s="17">
        <f t="shared" si="104"/>
        <v>44</v>
      </c>
      <c r="CM54" s="17">
        <f t="shared" si="104"/>
        <v>45</v>
      </c>
      <c r="CN54" s="17">
        <f t="shared" si="104"/>
        <v>46</v>
      </c>
      <c r="CO54" s="17">
        <f t="shared" si="104"/>
        <v>47</v>
      </c>
      <c r="CP54" s="17">
        <f t="shared" si="104"/>
        <v>48</v>
      </c>
      <c r="CQ54" s="17">
        <f t="shared" si="104"/>
        <v>49</v>
      </c>
      <c r="CR54" s="17">
        <f t="shared" si="104"/>
        <v>50</v>
      </c>
      <c r="CS54" s="17">
        <f t="shared" si="104"/>
        <v>51</v>
      </c>
      <c r="CT54" s="17">
        <f t="shared" si="104"/>
        <v>52</v>
      </c>
      <c r="CU54" s="17">
        <f t="shared" si="104"/>
        <v>53</v>
      </c>
      <c r="CV54" s="17">
        <f t="shared" si="104"/>
        <v>54</v>
      </c>
      <c r="CW54" s="17">
        <f t="shared" si="104"/>
        <v>55</v>
      </c>
      <c r="CX54" s="17">
        <f t="shared" si="104"/>
        <v>56</v>
      </c>
      <c r="CY54" s="17">
        <f t="shared" si="104"/>
        <v>57</v>
      </c>
      <c r="CZ54" s="17">
        <f t="shared" si="104"/>
        <v>58</v>
      </c>
      <c r="DA54" s="17">
        <f t="shared" si="104"/>
        <v>59</v>
      </c>
      <c r="DB54" s="17">
        <f t="shared" si="104"/>
        <v>60</v>
      </c>
      <c r="DC54" s="17">
        <f t="shared" si="104"/>
        <v>61</v>
      </c>
      <c r="DD54" s="17">
        <f t="shared" si="104"/>
        <v>62</v>
      </c>
      <c r="DE54" s="17">
        <f t="shared" si="104"/>
        <v>63</v>
      </c>
      <c r="DF54" s="17">
        <f t="shared" si="104"/>
        <v>64</v>
      </c>
      <c r="DG54" s="17">
        <f t="shared" si="104"/>
        <v>65</v>
      </c>
      <c r="DH54" s="17">
        <f t="shared" si="104"/>
        <v>66</v>
      </c>
      <c r="DI54" s="17">
        <f t="shared" ref="DI54:FT54" si="106">+DH54+1</f>
        <v>67</v>
      </c>
      <c r="DJ54" s="17">
        <f t="shared" si="106"/>
        <v>68</v>
      </c>
      <c r="DK54" s="17">
        <f t="shared" si="106"/>
        <v>69</v>
      </c>
      <c r="DL54" s="17">
        <f t="shared" si="106"/>
        <v>70</v>
      </c>
      <c r="DM54" s="17">
        <f t="shared" si="106"/>
        <v>71</v>
      </c>
      <c r="DN54" s="17">
        <f t="shared" si="106"/>
        <v>72</v>
      </c>
      <c r="DO54" s="17">
        <f t="shared" si="106"/>
        <v>73</v>
      </c>
      <c r="DP54" s="17">
        <f t="shared" si="106"/>
        <v>74</v>
      </c>
      <c r="DQ54" s="17">
        <f t="shared" si="106"/>
        <v>75</v>
      </c>
      <c r="DR54" s="17">
        <f t="shared" si="106"/>
        <v>76</v>
      </c>
      <c r="DS54" s="17">
        <f t="shared" si="106"/>
        <v>77</v>
      </c>
      <c r="DT54" s="17">
        <f t="shared" si="106"/>
        <v>78</v>
      </c>
      <c r="DU54" s="17">
        <f t="shared" si="106"/>
        <v>79</v>
      </c>
      <c r="DV54" s="17">
        <f t="shared" si="106"/>
        <v>80</v>
      </c>
      <c r="DW54" s="17">
        <f t="shared" si="106"/>
        <v>81</v>
      </c>
      <c r="DX54" s="17">
        <f t="shared" si="106"/>
        <v>82</v>
      </c>
      <c r="DY54" s="17">
        <f t="shared" si="106"/>
        <v>83</v>
      </c>
      <c r="DZ54" s="17">
        <f t="shared" si="106"/>
        <v>84</v>
      </c>
      <c r="EA54" s="17">
        <f t="shared" si="106"/>
        <v>85</v>
      </c>
      <c r="EB54" s="17">
        <f t="shared" si="106"/>
        <v>86</v>
      </c>
      <c r="EC54" s="17">
        <f t="shared" si="106"/>
        <v>87</v>
      </c>
      <c r="ED54" s="17">
        <f t="shared" si="106"/>
        <v>88</v>
      </c>
      <c r="EE54" s="17">
        <f t="shared" si="106"/>
        <v>89</v>
      </c>
      <c r="EF54" s="17">
        <f t="shared" si="106"/>
        <v>90</v>
      </c>
      <c r="EG54" s="17">
        <f t="shared" si="106"/>
        <v>91</v>
      </c>
      <c r="EH54" s="17">
        <f t="shared" si="106"/>
        <v>92</v>
      </c>
      <c r="EI54" s="17">
        <f t="shared" si="106"/>
        <v>93</v>
      </c>
      <c r="EJ54" s="17">
        <f t="shared" si="106"/>
        <v>94</v>
      </c>
      <c r="EK54" s="17">
        <f t="shared" si="106"/>
        <v>95</v>
      </c>
      <c r="EL54" s="17">
        <f t="shared" si="106"/>
        <v>96</v>
      </c>
      <c r="EM54" s="17">
        <f t="shared" si="106"/>
        <v>97</v>
      </c>
      <c r="EN54" s="17">
        <f t="shared" si="106"/>
        <v>98</v>
      </c>
      <c r="EO54" s="17">
        <f t="shared" si="106"/>
        <v>99</v>
      </c>
      <c r="EP54" s="17">
        <f t="shared" si="106"/>
        <v>100</v>
      </c>
      <c r="EQ54" s="17">
        <f t="shared" si="106"/>
        <v>101</v>
      </c>
      <c r="ER54" s="17">
        <f t="shared" si="106"/>
        <v>102</v>
      </c>
      <c r="ES54" s="17">
        <f t="shared" si="106"/>
        <v>103</v>
      </c>
      <c r="ET54" s="17">
        <f t="shared" si="106"/>
        <v>104</v>
      </c>
      <c r="EU54" s="17">
        <f t="shared" si="106"/>
        <v>105</v>
      </c>
      <c r="EV54" s="17">
        <f t="shared" si="106"/>
        <v>106</v>
      </c>
      <c r="EW54" s="17">
        <f t="shared" si="106"/>
        <v>107</v>
      </c>
      <c r="EX54" s="17">
        <f t="shared" si="106"/>
        <v>108</v>
      </c>
      <c r="EY54" s="17">
        <f t="shared" si="106"/>
        <v>109</v>
      </c>
      <c r="EZ54" s="17">
        <f t="shared" si="106"/>
        <v>110</v>
      </c>
      <c r="FA54" s="17">
        <f t="shared" si="106"/>
        <v>111</v>
      </c>
      <c r="FB54" s="17">
        <f t="shared" si="106"/>
        <v>112</v>
      </c>
      <c r="FC54" s="17">
        <f t="shared" si="106"/>
        <v>113</v>
      </c>
      <c r="FD54" s="17">
        <f t="shared" si="106"/>
        <v>114</v>
      </c>
      <c r="FE54" s="17">
        <f t="shared" si="106"/>
        <v>115</v>
      </c>
      <c r="FF54" s="17">
        <f t="shared" si="106"/>
        <v>116</v>
      </c>
      <c r="FG54" s="17">
        <f t="shared" si="106"/>
        <v>117</v>
      </c>
      <c r="FH54" s="17">
        <f t="shared" si="106"/>
        <v>118</v>
      </c>
      <c r="FI54" s="17">
        <f t="shared" si="106"/>
        <v>119</v>
      </c>
      <c r="FJ54" s="17">
        <f t="shared" si="106"/>
        <v>120</v>
      </c>
      <c r="FK54" s="17">
        <f t="shared" si="106"/>
        <v>121</v>
      </c>
      <c r="FL54" s="17">
        <f t="shared" si="106"/>
        <v>122</v>
      </c>
      <c r="FM54" s="17">
        <f t="shared" si="106"/>
        <v>123</v>
      </c>
      <c r="FN54" s="17">
        <f t="shared" si="106"/>
        <v>124</v>
      </c>
      <c r="FO54" s="17">
        <f t="shared" si="106"/>
        <v>125</v>
      </c>
      <c r="FP54" s="17">
        <f t="shared" si="106"/>
        <v>126</v>
      </c>
      <c r="FQ54" s="17">
        <f t="shared" si="106"/>
        <v>127</v>
      </c>
      <c r="FR54" s="17">
        <f t="shared" si="106"/>
        <v>128</v>
      </c>
      <c r="FS54" s="17">
        <f t="shared" si="106"/>
        <v>129</v>
      </c>
      <c r="FT54" s="17">
        <f t="shared" si="106"/>
        <v>130</v>
      </c>
      <c r="FU54" s="17">
        <f t="shared" ref="FU54:HU54" si="107">+FT54+1</f>
        <v>131</v>
      </c>
      <c r="FV54" s="17">
        <f t="shared" si="107"/>
        <v>132</v>
      </c>
      <c r="FW54" s="17">
        <f t="shared" si="107"/>
        <v>133</v>
      </c>
      <c r="FX54" s="17">
        <f t="shared" si="107"/>
        <v>134</v>
      </c>
      <c r="FY54" s="17">
        <f t="shared" si="107"/>
        <v>135</v>
      </c>
      <c r="FZ54" s="17">
        <f t="shared" si="107"/>
        <v>136</v>
      </c>
      <c r="GA54" s="17">
        <f t="shared" si="107"/>
        <v>137</v>
      </c>
      <c r="GB54" s="17">
        <f t="shared" si="107"/>
        <v>138</v>
      </c>
      <c r="GC54" s="17">
        <f t="shared" si="107"/>
        <v>139</v>
      </c>
      <c r="GD54" s="17">
        <f t="shared" si="107"/>
        <v>140</v>
      </c>
      <c r="GE54" s="17">
        <f t="shared" si="107"/>
        <v>141</v>
      </c>
      <c r="GF54" s="17">
        <f t="shared" si="107"/>
        <v>142</v>
      </c>
      <c r="GG54" s="17">
        <f t="shared" si="107"/>
        <v>143</v>
      </c>
      <c r="GH54" s="17">
        <f t="shared" si="107"/>
        <v>144</v>
      </c>
      <c r="GI54" s="17">
        <f t="shared" si="107"/>
        <v>145</v>
      </c>
      <c r="GJ54" s="17">
        <f t="shared" si="107"/>
        <v>146</v>
      </c>
      <c r="GK54" s="17">
        <f t="shared" si="107"/>
        <v>147</v>
      </c>
      <c r="GL54" s="17">
        <f t="shared" si="107"/>
        <v>148</v>
      </c>
      <c r="GM54" s="17">
        <f t="shared" si="107"/>
        <v>149</v>
      </c>
      <c r="GN54" s="17">
        <f t="shared" si="107"/>
        <v>150</v>
      </c>
      <c r="GO54" s="17">
        <f t="shared" si="107"/>
        <v>151</v>
      </c>
      <c r="GP54" s="17">
        <f t="shared" si="107"/>
        <v>152</v>
      </c>
      <c r="GQ54" s="17">
        <f t="shared" si="107"/>
        <v>153</v>
      </c>
      <c r="GR54" s="17">
        <f t="shared" si="107"/>
        <v>154</v>
      </c>
      <c r="GS54" s="17">
        <f t="shared" si="107"/>
        <v>155</v>
      </c>
      <c r="GT54" s="17">
        <f t="shared" si="107"/>
        <v>156</v>
      </c>
      <c r="GU54" s="17">
        <f t="shared" si="107"/>
        <v>157</v>
      </c>
      <c r="GV54" s="17">
        <f t="shared" si="107"/>
        <v>158</v>
      </c>
      <c r="GW54" s="17">
        <f t="shared" si="107"/>
        <v>159</v>
      </c>
      <c r="GX54" s="17">
        <f t="shared" si="107"/>
        <v>160</v>
      </c>
      <c r="GY54" s="17">
        <f t="shared" si="107"/>
        <v>161</v>
      </c>
      <c r="GZ54" s="17">
        <f t="shared" si="107"/>
        <v>162</v>
      </c>
      <c r="HA54" s="17">
        <f t="shared" si="107"/>
        <v>163</v>
      </c>
      <c r="HB54" s="17">
        <f t="shared" si="107"/>
        <v>164</v>
      </c>
      <c r="HC54" s="17">
        <f t="shared" si="107"/>
        <v>165</v>
      </c>
      <c r="HD54" s="17">
        <f t="shared" si="107"/>
        <v>166</v>
      </c>
      <c r="HE54" s="17">
        <f t="shared" si="107"/>
        <v>167</v>
      </c>
      <c r="HF54" s="17">
        <f t="shared" si="107"/>
        <v>168</v>
      </c>
      <c r="HG54" s="17">
        <f t="shared" si="107"/>
        <v>169</v>
      </c>
      <c r="HH54" s="17">
        <f t="shared" si="107"/>
        <v>170</v>
      </c>
      <c r="HI54" s="17">
        <f t="shared" si="107"/>
        <v>171</v>
      </c>
      <c r="HJ54" s="17">
        <f t="shared" si="107"/>
        <v>172</v>
      </c>
      <c r="HK54" s="17">
        <f t="shared" si="107"/>
        <v>173</v>
      </c>
      <c r="HL54" s="17">
        <f t="shared" si="107"/>
        <v>174</v>
      </c>
      <c r="HM54" s="17">
        <f t="shared" si="107"/>
        <v>175</v>
      </c>
      <c r="HN54" s="17">
        <f t="shared" si="107"/>
        <v>176</v>
      </c>
      <c r="HO54" s="17">
        <f t="shared" si="107"/>
        <v>177</v>
      </c>
      <c r="HP54" s="17">
        <f t="shared" si="107"/>
        <v>178</v>
      </c>
      <c r="HQ54" s="17">
        <f t="shared" si="107"/>
        <v>179</v>
      </c>
      <c r="HR54" s="17">
        <f t="shared" si="107"/>
        <v>180</v>
      </c>
      <c r="HS54" s="17">
        <f t="shared" si="107"/>
        <v>181</v>
      </c>
      <c r="HT54" s="17">
        <f t="shared" si="107"/>
        <v>182</v>
      </c>
      <c r="HU54" s="17">
        <f t="shared" si="107"/>
        <v>183</v>
      </c>
    </row>
    <row r="55" spans="1:229">
      <c r="AU55" s="17">
        <f t="shared" ref="AU55:BZ55" si="108">AU51/(1+$BI$61)^AU54</f>
        <v>5389.1147975605081</v>
      </c>
      <c r="AV55" s="17">
        <f t="shared" si="108"/>
        <v>5321.0221896595358</v>
      </c>
      <c r="AW55" s="17">
        <f t="shared" si="108"/>
        <v>5248.7786915455399</v>
      </c>
      <c r="AX55" s="17">
        <f t="shared" si="108"/>
        <v>5173.1219126069873</v>
      </c>
      <c r="AY55" s="17">
        <f t="shared" si="108"/>
        <v>5094.6969828063675</v>
      </c>
      <c r="AZ55" s="17">
        <f t="shared" si="108"/>
        <v>5014.0677060206299</v>
      </c>
      <c r="BA55" s="17">
        <f t="shared" si="108"/>
        <v>4931.7263725019056</v>
      </c>
      <c r="BB55" s="17">
        <f t="shared" si="108"/>
        <v>4848.1023917522261</v>
      </c>
      <c r="BC55" s="17">
        <f t="shared" si="108"/>
        <v>4763.5698876958459</v>
      </c>
      <c r="BD55" s="17">
        <f t="shared" si="108"/>
        <v>4817.2979735983135</v>
      </c>
      <c r="BE55" s="17">
        <f t="shared" si="108"/>
        <v>4505.0656975317561</v>
      </c>
      <c r="BF55" s="17">
        <f t="shared" si="108"/>
        <v>4213.0706986176601</v>
      </c>
      <c r="BG55" s="17">
        <f t="shared" si="108"/>
        <v>3940.0013014850347</v>
      </c>
      <c r="BH55" s="17">
        <f t="shared" si="108"/>
        <v>3684.6308467591521</v>
      </c>
      <c r="BI55" s="17">
        <f t="shared" si="108"/>
        <v>3445.8121807655034</v>
      </c>
      <c r="BJ55" s="17">
        <f t="shared" si="108"/>
        <v>3222.472502382554</v>
      </c>
      <c r="BK55" s="17">
        <f t="shared" si="108"/>
        <v>3013.6085438947962</v>
      </c>
      <c r="BL55" s="17">
        <f t="shared" si="108"/>
        <v>2818.2820641979106</v>
      </c>
      <c r="BM55" s="17">
        <f t="shared" si="108"/>
        <v>2635.6156341110086</v>
      </c>
      <c r="BN55" s="17">
        <f t="shared" si="108"/>
        <v>2464.788694863073</v>
      </c>
      <c r="BO55" s="17">
        <f t="shared" si="108"/>
        <v>2305.0338720478735</v>
      </c>
      <c r="BP55" s="17">
        <f t="shared" si="108"/>
        <v>2155.6335284892152</v>
      </c>
      <c r="BQ55" s="17">
        <f t="shared" si="108"/>
        <v>2015.9165405315805</v>
      </c>
      <c r="BR55" s="17">
        <f t="shared" si="108"/>
        <v>1885.2552832749038</v>
      </c>
      <c r="BS55" s="17">
        <f t="shared" si="108"/>
        <v>1763.0628112107895</v>
      </c>
      <c r="BT55" s="17">
        <f t="shared" si="108"/>
        <v>1648.7902215952756</v>
      </c>
      <c r="BU55" s="17">
        <f t="shared" si="108"/>
        <v>1541.9241887141004</v>
      </c>
      <c r="BV55" s="17">
        <f t="shared" si="108"/>
        <v>1441.9846579641123</v>
      </c>
      <c r="BW55" s="17">
        <f t="shared" si="108"/>
        <v>1348.5226893923643</v>
      </c>
      <c r="BX55" s="17">
        <f t="shared" si="108"/>
        <v>1261.1184410058222</v>
      </c>
      <c r="BY55" s="17">
        <f t="shared" si="108"/>
        <v>1179.3792827924817</v>
      </c>
      <c r="BZ55" s="17">
        <f t="shared" si="108"/>
        <v>1102.938032981858</v>
      </c>
      <c r="CA55" s="17">
        <f t="shared" ref="CA55:DF55" si="109">CA51/(1+$BI$61)^CA54</f>
        <v>1031.4513086219226</v>
      </c>
      <c r="CB55" s="17">
        <f t="shared" si="109"/>
        <v>964.59798306309426</v>
      </c>
      <c r="CC55" s="17">
        <f t="shared" si="109"/>
        <v>902.07774342011589</v>
      </c>
      <c r="CD55" s="17">
        <f t="shared" si="109"/>
        <v>843.60974153177483</v>
      </c>
      <c r="CE55" s="17">
        <f t="shared" si="109"/>
        <v>788.93133235841913</v>
      </c>
      <c r="CF55" s="17">
        <f t="shared" si="109"/>
        <v>737.79689415000291</v>
      </c>
      <c r="CG55" s="17">
        <f t="shared" si="109"/>
        <v>689.9767250847251</v>
      </c>
      <c r="CH55" s="17">
        <f t="shared" si="109"/>
        <v>645.2560114218262</v>
      </c>
      <c r="CI55" s="17">
        <f t="shared" si="109"/>
        <v>603.43386253337439</v>
      </c>
      <c r="CJ55" s="17">
        <f t="shared" si="109"/>
        <v>564.32240848028539</v>
      </c>
      <c r="CK55" s="17">
        <f t="shared" si="109"/>
        <v>527.74595607878541</v>
      </c>
      <c r="CL55" s="17">
        <f t="shared" si="109"/>
        <v>493.54019966627146</v>
      </c>
      <c r="CM55" s="17">
        <f t="shared" si="109"/>
        <v>461.55148302123541</v>
      </c>
      <c r="CN55" s="17">
        <f t="shared" si="109"/>
        <v>431.63610912171077</v>
      </c>
      <c r="CO55" s="17">
        <f t="shared" si="109"/>
        <v>403.65969464159986</v>
      </c>
      <c r="CP55" s="17">
        <f t="shared" si="109"/>
        <v>377.49656628519995</v>
      </c>
      <c r="CQ55" s="17">
        <f t="shared" si="109"/>
        <v>353.02919624819623</v>
      </c>
      <c r="CR55" s="17">
        <f t="shared" si="109"/>
        <v>330.14767426914642</v>
      </c>
      <c r="CS55" s="17">
        <f t="shared" si="109"/>
        <v>308.74921389984991</v>
      </c>
      <c r="CT55" s="17">
        <f t="shared" si="109"/>
        <v>288.73769077671153</v>
      </c>
      <c r="CU55" s="17">
        <f t="shared" si="109"/>
        <v>270.02321081896173</v>
      </c>
      <c r="CV55" s="17">
        <f t="shared" si="109"/>
        <v>252.52170641402896</v>
      </c>
      <c r="CW55" s="17">
        <f t="shared" si="109"/>
        <v>236.15455877608261</v>
      </c>
      <c r="CX55" s="17">
        <f t="shared" si="109"/>
        <v>220.84824478133652</v>
      </c>
      <c r="CY55" s="17">
        <f t="shared" si="109"/>
        <v>206.53400669365729</v>
      </c>
      <c r="CZ55" s="17">
        <f t="shared" si="109"/>
        <v>193.14754329684618</v>
      </c>
      <c r="DA55" s="17">
        <f t="shared" si="109"/>
        <v>180.62872104612467</v>
      </c>
      <c r="DB55" s="17">
        <f t="shared" si="109"/>
        <v>168.92130394128324</v>
      </c>
      <c r="DC55" s="17">
        <f t="shared" si="109"/>
        <v>157.97270090805191</v>
      </c>
      <c r="DD55" s="17">
        <f t="shared" si="109"/>
        <v>147.73372955290037</v>
      </c>
      <c r="DE55" s="17">
        <f t="shared" si="109"/>
        <v>138.1583952300272</v>
      </c>
      <c r="DF55" s="17">
        <f t="shared" si="109"/>
        <v>129.20368442808098</v>
      </c>
      <c r="DG55" s="17">
        <f t="shared" ref="DG55:EL55" si="110">DG51/(1+$BI$61)^DG54</f>
        <v>120.82937154848312</v>
      </c>
      <c r="DH55" s="17">
        <f t="shared" si="110"/>
        <v>112.99783820737774</v>
      </c>
      <c r="DI55" s="17">
        <f t="shared" si="110"/>
        <v>105.67390424949215</v>
      </c>
      <c r="DJ55" s="17">
        <f t="shared" si="110"/>
        <v>98.824669714802837</v>
      </c>
      <c r="DK55" s="17">
        <f t="shared" si="110"/>
        <v>92.419367048102657</v>
      </c>
      <c r="DL55" s="17">
        <f t="shared" si="110"/>
        <v>86.429222887577467</v>
      </c>
      <c r="DM55" s="17">
        <f t="shared" si="110"/>
        <v>80.827328811530776</v>
      </c>
      <c r="DN55" s="17">
        <f t="shared" si="110"/>
        <v>75.588520462635273</v>
      </c>
      <c r="DO55" s="17">
        <f t="shared" si="110"/>
        <v>70.689264506723717</v>
      </c>
      <c r="DP55" s="17">
        <f t="shared" si="110"/>
        <v>66.107552918324956</v>
      </c>
      <c r="DQ55" s="17">
        <f t="shared" si="110"/>
        <v>61.822804118063146</v>
      </c>
      <c r="DR55" s="17">
        <f t="shared" si="110"/>
        <v>57.815770517818315</v>
      </c>
      <c r="DS55" s="17">
        <f t="shared" si="110"/>
        <v>54.068452058330102</v>
      </c>
      <c r="DT55" s="17">
        <f t="shared" si="110"/>
        <v>50.564015350845729</v>
      </c>
      <c r="DU55" s="17">
        <f t="shared" si="110"/>
        <v>47.286718059587201</v>
      </c>
      <c r="DV55" s="17">
        <f t="shared" si="110"/>
        <v>44.221838185354706</v>
      </c>
      <c r="DW55" s="17">
        <f t="shared" si="110"/>
        <v>41.355607932600229</v>
      </c>
      <c r="DX55" s="17">
        <f t="shared" si="110"/>
        <v>38.675151862894658</v>
      </c>
      <c r="DY55" s="17">
        <f t="shared" si="110"/>
        <v>36.168429056966296</v>
      </c>
      <c r="DZ55" s="17">
        <f t="shared" si="110"/>
        <v>33.824179025496257</v>
      </c>
      <c r="EA55" s="17">
        <f t="shared" si="110"/>
        <v>31.631871125695575</v>
      </c>
      <c r="EB55" s="17">
        <f t="shared" si="110"/>
        <v>29.581657256437527</v>
      </c>
      <c r="EC55" s="17">
        <f t="shared" si="110"/>
        <v>27.664327619446201</v>
      </c>
      <c r="ED55" s="17">
        <f t="shared" si="110"/>
        <v>25.871269347815428</v>
      </c>
      <c r="EE55" s="17">
        <f t="shared" si="110"/>
        <v>24.194427816012574</v>
      </c>
      <c r="EF55" s="17">
        <f t="shared" si="110"/>
        <v>22.626270457567315</v>
      </c>
      <c r="EG55" s="17">
        <f t="shared" si="110"/>
        <v>21.159752927910173</v>
      </c>
      <c r="EH55" s="17">
        <f t="shared" si="110"/>
        <v>19.78828746036044</v>
      </c>
      <c r="EI55" s="17">
        <f t="shared" si="110"/>
        <v>18.505713273114853</v>
      </c>
      <c r="EJ55" s="17">
        <f t="shared" si="110"/>
        <v>17.306268894301851</v>
      </c>
      <c r="EK55" s="17">
        <f t="shared" si="110"/>
        <v>16.184566280782288</v>
      </c>
      <c r="EL55" s="17">
        <f t="shared" si="110"/>
        <v>15.135566614435287</v>
      </c>
      <c r="EM55" s="17">
        <f t="shared" ref="EM55:FR55" si="111">EM51/(1+$BI$61)^EM54</f>
        <v>14.154557667203369</v>
      </c>
      <c r="EN55" s="17">
        <f t="shared" si="111"/>
        <v>13.237132633217966</v>
      </c>
      <c r="EO55" s="17">
        <f t="shared" si="111"/>
        <v>12.3791703329168</v>
      </c>
      <c r="EP55" s="17">
        <f t="shared" si="111"/>
        <v>11.576816700227745</v>
      </c>
      <c r="EQ55" s="17">
        <f t="shared" si="111"/>
        <v>10.82646746965743</v>
      </c>
      <c r="ER55" s="17">
        <f t="shared" si="111"/>
        <v>10.124751985512965</v>
      </c>
      <c r="ES55" s="17">
        <f t="shared" si="111"/>
        <v>9.468518060526014</v>
      </c>
      <c r="ET55" s="17">
        <f t="shared" si="111"/>
        <v>8.8548178158622903</v>
      </c>
      <c r="EU55" s="17">
        <f t="shared" si="111"/>
        <v>8.2808944389082537</v>
      </c>
      <c r="EV55" s="17">
        <f t="shared" si="111"/>
        <v>7.7441697993493852</v>
      </c>
      <c r="EW55" s="17">
        <f t="shared" si="111"/>
        <v>7.2422328679100731</v>
      </c>
      <c r="EX55" s="17">
        <f t="shared" si="111"/>
        <v>6.7728288857307151</v>
      </c>
      <c r="EY55" s="17">
        <f t="shared" si="111"/>
        <v>6.3338492357296508</v>
      </c>
      <c r="EZ55" s="17">
        <f t="shared" si="111"/>
        <v>5.9233219704508757</v>
      </c>
      <c r="FA55" s="17">
        <f t="shared" si="111"/>
        <v>5.5394029538475777</v>
      </c>
      <c r="FB55" s="17">
        <f t="shared" si="111"/>
        <v>5.1803675772093092</v>
      </c>
      <c r="FC55" s="17">
        <f t="shared" si="111"/>
        <v>4.8446030120198174</v>
      </c>
      <c r="FD55" s="17">
        <f t="shared" si="111"/>
        <v>4.5306009649444583</v>
      </c>
      <c r="FE55" s="17">
        <f t="shared" si="111"/>
        <v>4.2369509024017615</v>
      </c>
      <c r="FF55" s="17">
        <f t="shared" si="111"/>
        <v>3.9623337142831292</v>
      </c>
      <c r="FG55" s="17">
        <f t="shared" si="111"/>
        <v>3.7055157883573706</v>
      </c>
      <c r="FH55" s="17">
        <f t="shared" si="111"/>
        <v>3.4653434687416147</v>
      </c>
      <c r="FI55" s="17">
        <f t="shared" si="111"/>
        <v>3.2407378735453984</v>
      </c>
      <c r="FJ55" s="17">
        <f t="shared" si="111"/>
        <v>3.0306900484081964</v>
      </c>
      <c r="FK55" s="17">
        <f t="shared" si="111"/>
        <v>2.8342564341595171</v>
      </c>
      <c r="FL55" s="17">
        <f t="shared" si="111"/>
        <v>2.6505546282417702</v>
      </c>
      <c r="FM55" s="17">
        <f t="shared" si="111"/>
        <v>2.47875942085573</v>
      </c>
      <c r="FN55" s="17">
        <f t="shared" si="111"/>
        <v>2.3180990880224881</v>
      </c>
      <c r="FO55" s="17">
        <f t="shared" si="111"/>
        <v>2.1678519249099195</v>
      </c>
      <c r="FP55" s="17">
        <f t="shared" si="111"/>
        <v>2.0273430038509428</v>
      </c>
      <c r="FQ55" s="17">
        <f t="shared" si="111"/>
        <v>1.8959411424902335</v>
      </c>
      <c r="FR55" s="17">
        <f t="shared" si="111"/>
        <v>1.7730560684399403</v>
      </c>
      <c r="FS55" s="17">
        <f t="shared" ref="FS55:GX55" si="112">FS51/(1+$BI$61)^FS54</f>
        <v>1.658135767707722</v>
      </c>
      <c r="FT55" s="17">
        <f t="shared" si="112"/>
        <v>1.5506640049859253</v>
      </c>
      <c r="FU55" s="17">
        <f t="shared" si="112"/>
        <v>1.4501580046627631</v>
      </c>
      <c r="FV55" s="17">
        <f t="shared" si="112"/>
        <v>1.3561662821383247</v>
      </c>
      <c r="FW55" s="17">
        <f t="shared" si="112"/>
        <v>1.2682666157034332</v>
      </c>
      <c r="FX55" s="17">
        <f t="shared" si="112"/>
        <v>1.1860641498708033</v>
      </c>
      <c r="FY55" s="17">
        <f t="shared" si="112"/>
        <v>1.1091896216384363</v>
      </c>
      <c r="FZ55" s="17">
        <f t="shared" si="112"/>
        <v>1.0372977017174267</v>
      </c>
      <c r="GA55" s="17">
        <f t="shared" si="112"/>
        <v>0.97006544327277855</v>
      </c>
      <c r="GB55" s="17">
        <f t="shared" si="112"/>
        <v>0.90719083120880206</v>
      </c>
      <c r="GC55" s="17">
        <f t="shared" si="112"/>
        <v>0.84839142548230573</v>
      </c>
      <c r="GD55" s="17">
        <f t="shared" si="112"/>
        <v>0.79340309234919337</v>
      </c>
      <c r="GE55" s="17">
        <f t="shared" si="112"/>
        <v>0.74197881784507902</v>
      </c>
      <c r="GF55" s="17">
        <f t="shared" si="112"/>
        <v>0.69388759816993495</v>
      </c>
      <c r="GG55" s="17">
        <f t="shared" si="112"/>
        <v>0.64891340199225389</v>
      </c>
      <c r="GH55" s="17">
        <f t="shared" si="112"/>
        <v>0.60685420001127455</v>
      </c>
      <c r="GI55" s="17">
        <f t="shared" si="112"/>
        <v>0.56752105741795122</v>
      </c>
      <c r="GJ55" s="17">
        <f t="shared" si="112"/>
        <v>0.53073728517789875</v>
      </c>
      <c r="GK55" s="17">
        <f t="shared" si="112"/>
        <v>0.49633764632377558</v>
      </c>
      <c r="GL55" s="17">
        <f t="shared" si="112"/>
        <v>0.46416761369167903</v>
      </c>
      <c r="GM55" s="17">
        <f t="shared" si="112"/>
        <v>0.43408267576721837</v>
      </c>
      <c r="GN55" s="17">
        <f t="shared" si="112"/>
        <v>0.40594768752304672</v>
      </c>
      <c r="GO55" s="17">
        <f t="shared" si="112"/>
        <v>0.37963626333173806</v>
      </c>
      <c r="GP55" s="17">
        <f t="shared" si="112"/>
        <v>0.3550302092269032</v>
      </c>
      <c r="GQ55" s="17">
        <f t="shared" si="112"/>
        <v>0.33201899196219647</v>
      </c>
      <c r="GR55" s="17">
        <f t="shared" si="112"/>
        <v>0.31049924248316524</v>
      </c>
      <c r="GS55" s="17">
        <f t="shared" si="112"/>
        <v>0.29037429158147859</v>
      </c>
      <c r="GT55" s="17">
        <f t="shared" si="112"/>
        <v>0.271553735645642</v>
      </c>
      <c r="GU55" s="17">
        <f t="shared" si="112"/>
        <v>0.25395303055749852</v>
      </c>
      <c r="GV55" s="17">
        <f t="shared" si="112"/>
        <v>0.23749311191025321</v>
      </c>
      <c r="GW55" s="17">
        <f t="shared" si="112"/>
        <v>0.22210003984199603</v>
      </c>
      <c r="GX55" s="17">
        <f t="shared" si="112"/>
        <v>0.20770466688927408</v>
      </c>
      <c r="GY55" s="17">
        <f t="shared" ref="GY55:HU55" si="113">GY51/(1+$BI$61)^GY54</f>
        <v>0.19424232736867297</v>
      </c>
      <c r="GZ55" s="17">
        <f t="shared" si="113"/>
        <v>0.1816525468910738</v>
      </c>
      <c r="HA55" s="17">
        <f t="shared" si="113"/>
        <v>0.16987877070368934</v>
      </c>
      <c r="HB55" s="17">
        <f t="shared" si="113"/>
        <v>0.15886810963956133</v>
      </c>
      <c r="HC55" s="17">
        <f t="shared" si="113"/>
        <v>0.14857110253329348</v>
      </c>
      <c r="HD55" s="17">
        <f t="shared" si="113"/>
        <v>0.13894149403576517</v>
      </c>
      <c r="HE55" s="17">
        <f t="shared" si="113"/>
        <v>0.12993602682974334</v>
      </c>
      <c r="HF55" s="17">
        <f t="shared" si="113"/>
        <v>0.12151424731300073</v>
      </c>
      <c r="HG55" s="17">
        <f t="shared" si="113"/>
        <v>0.11363832387604696</v>
      </c>
      <c r="HH55" s="17">
        <f t="shared" si="113"/>
        <v>0.10627287695815504</v>
      </c>
      <c r="HI55" s="17">
        <f t="shared" si="113"/>
        <v>9.9384820118274625E-2</v>
      </c>
      <c r="HJ55" s="17">
        <f t="shared" si="113"/>
        <v>9.2943211406904966E-2</v>
      </c>
      <c r="HK55" s="17">
        <f t="shared" si="113"/>
        <v>8.6919114371272227E-2</v>
      </c>
      <c r="HL55" s="17">
        <f t="shared" si="113"/>
        <v>8.1285468069430503E-2</v>
      </c>
      <c r="HM55" s="17">
        <f t="shared" si="113"/>
        <v>7.6016965509374812E-2</v>
      </c>
      <c r="HN55" s="17">
        <f t="shared" si="113"/>
        <v>7.1089939967100529E-2</v>
      </c>
      <c r="HO55" s="17">
        <f t="shared" si="113"/>
        <v>6.6482258672936598E-2</v>
      </c>
      <c r="HP55" s="17">
        <f t="shared" si="113"/>
        <v>6.2173223388579592E-2</v>
      </c>
      <c r="HQ55" s="17">
        <f t="shared" si="113"/>
        <v>5.814347742820869E-2</v>
      </c>
      <c r="HR55" s="17">
        <f t="shared" si="113"/>
        <v>5.4374918706009981E-2</v>
      </c>
      <c r="HS55" s="17">
        <f t="shared" si="113"/>
        <v>5.0850618419509337E-2</v>
      </c>
      <c r="HT55" s="17">
        <f t="shared" si="113"/>
        <v>4.7554745003430016E-2</v>
      </c>
      <c r="HU55" s="17">
        <f t="shared" si="113"/>
        <v>4.4472493012466967E-2</v>
      </c>
    </row>
    <row r="56" spans="1:229">
      <c r="AV56" s="17">
        <f>SUM(AU55:HU55)</f>
        <v>120107.58513598143</v>
      </c>
      <c r="AW56" s="36"/>
      <c r="BH56" s="37"/>
      <c r="BI56" s="37"/>
    </row>
    <row r="57" spans="1:229">
      <c r="BH57" s="37"/>
      <c r="BI57" s="37"/>
    </row>
    <row r="58" spans="1:229">
      <c r="BG58" s="19"/>
      <c r="BH58" s="38" t="s">
        <v>140</v>
      </c>
      <c r="BI58" s="39">
        <v>0.05</v>
      </c>
      <c r="BJ58" s="19"/>
    </row>
    <row r="59" spans="1:229" s="40" customFormat="1">
      <c r="B59" s="40" t="s">
        <v>39</v>
      </c>
      <c r="C59" s="41"/>
      <c r="D59" s="41"/>
      <c r="E59" s="41"/>
      <c r="F59" s="41"/>
      <c r="G59" s="41">
        <f t="shared" ref="G59:Z59" si="114">+G34/C34-1</f>
        <v>9.203615588521008E-2</v>
      </c>
      <c r="H59" s="41">
        <f t="shared" si="114"/>
        <v>4.5442488146158588E-2</v>
      </c>
      <c r="I59" s="41">
        <f t="shared" si="114"/>
        <v>8.1248118156030502E-2</v>
      </c>
      <c r="J59" s="41">
        <f t="shared" si="114"/>
        <v>7.0340757662288089E-2</v>
      </c>
      <c r="K59" s="41">
        <f t="shared" si="114"/>
        <v>7.0016735266180907E-2</v>
      </c>
      <c r="L59" s="41">
        <f t="shared" si="114"/>
        <v>-4.9192026514851106E-2</v>
      </c>
      <c r="M59" s="41">
        <f t="shared" si="114"/>
        <v>-0.38119595485856661</v>
      </c>
      <c r="N59" s="41">
        <f t="shared" si="114"/>
        <v>-8.0613606047131969E-2</v>
      </c>
      <c r="O59" s="41">
        <f t="shared" si="114"/>
        <v>-4.8991841738174613E-2</v>
      </c>
      <c r="P59" s="41">
        <f t="shared" si="114"/>
        <v>0.11213036009139876</v>
      </c>
      <c r="Q59" s="41">
        <f t="shared" si="114"/>
        <v>0.77553823926482068</v>
      </c>
      <c r="R59" s="41">
        <f t="shared" si="114"/>
        <v>0.31332720736405983</v>
      </c>
      <c r="S59" s="41">
        <f t="shared" si="114"/>
        <v>0.19275787477405393</v>
      </c>
      <c r="T59" s="41">
        <f t="shared" si="114"/>
        <v>0.14511097780443905</v>
      </c>
      <c r="U59" s="41">
        <f t="shared" si="114"/>
        <v>8.7187354098579473E-2</v>
      </c>
      <c r="V59" s="41">
        <f t="shared" si="114"/>
        <v>3.2835381197294566E-2</v>
      </c>
      <c r="W59" s="41">
        <f t="shared" si="114"/>
        <v>0</v>
      </c>
      <c r="X59" s="41">
        <f t="shared" si="114"/>
        <v>0.14199277070564187</v>
      </c>
      <c r="Y59" s="41">
        <f t="shared" si="114"/>
        <v>0.12493098244193312</v>
      </c>
      <c r="Z59" s="41">
        <f t="shared" si="114"/>
        <v>0.19287632811200117</v>
      </c>
      <c r="AA59" s="41"/>
      <c r="AB59" s="41"/>
      <c r="AC59" s="41"/>
      <c r="AD59" s="41"/>
      <c r="AK59" s="40">
        <f t="shared" ref="AK59:BD59" si="115">+AK34/AJ34-1</f>
        <v>0.10634433771894414</v>
      </c>
      <c r="AL59" s="40">
        <f t="shared" si="115"/>
        <v>0.16506158878391042</v>
      </c>
      <c r="AM59" s="40">
        <f t="shared" si="115"/>
        <v>0.1123641240534996</v>
      </c>
      <c r="AN59" s="40">
        <f t="shared" si="115"/>
        <v>5.0239492585347101E-2</v>
      </c>
      <c r="AO59" s="40">
        <f t="shared" si="115"/>
        <v>0.10419979630853904</v>
      </c>
      <c r="AP59" s="40">
        <f t="shared" si="115"/>
        <v>7.2376059386314306E-2</v>
      </c>
      <c r="AQ59" s="40">
        <f t="shared" si="115"/>
        <v>-0.11281621813298326</v>
      </c>
      <c r="AR59" s="40">
        <f t="shared" si="115"/>
        <v>0.23567480227910553</v>
      </c>
      <c r="AS59" s="40">
        <f t="shared" si="115"/>
        <v>0.10976029400631759</v>
      </c>
      <c r="AT59" s="40">
        <f t="shared" si="115"/>
        <v>0.11551210376337595</v>
      </c>
      <c r="AU59" s="40">
        <f t="shared" si="115"/>
        <v>0.12350000000000017</v>
      </c>
      <c r="AV59" s="40">
        <f t="shared" si="115"/>
        <v>5.7739432235251131E-2</v>
      </c>
      <c r="AW59" s="40">
        <f t="shared" si="115"/>
        <v>5.7682803154876172E-2</v>
      </c>
      <c r="AX59" s="40">
        <f t="shared" si="115"/>
        <v>5.762699675985794E-2</v>
      </c>
      <c r="AY59" s="40">
        <f t="shared" si="115"/>
        <v>5.7571995251998631E-2</v>
      </c>
      <c r="AZ59" s="40">
        <f t="shared" si="115"/>
        <v>5.7517781342823815E-2</v>
      </c>
      <c r="BA59" s="40">
        <f t="shared" si="115"/>
        <v>5.746433823546826E-2</v>
      </c>
      <c r="BB59" s="40">
        <f t="shared" si="115"/>
        <v>5.7411649607323811E-2</v>
      </c>
      <c r="BC59" s="40">
        <f t="shared" si="115"/>
        <v>5.7359699593417579E-2</v>
      </c>
      <c r="BD59" s="40">
        <f t="shared" si="115"/>
        <v>5.7308472770486674E-2</v>
      </c>
      <c r="BG59" s="17"/>
      <c r="BH59" s="42" t="s">
        <v>141</v>
      </c>
      <c r="BI59" s="43">
        <v>0.05</v>
      </c>
      <c r="BJ59" s="17"/>
    </row>
    <row r="60" spans="1:229" s="19" customFormat="1">
      <c r="B60" s="19" t="s">
        <v>53</v>
      </c>
      <c r="C60" s="22"/>
      <c r="D60" s="22"/>
      <c r="E60" s="22"/>
      <c r="F60" s="22"/>
      <c r="G60" s="41">
        <f t="shared" ref="G60:Z60" si="116">+G43/G34</f>
        <v>0.15964840864203117</v>
      </c>
      <c r="H60" s="41">
        <f t="shared" si="116"/>
        <v>0.14283448833631976</v>
      </c>
      <c r="I60" s="41">
        <f t="shared" si="116"/>
        <v>0.1698666275831747</v>
      </c>
      <c r="J60" s="41">
        <f t="shared" si="116"/>
        <v>0.16230917444790277</v>
      </c>
      <c r="K60" s="41">
        <f t="shared" si="116"/>
        <v>0.17276070507672148</v>
      </c>
      <c r="L60" s="41">
        <f t="shared" si="116"/>
        <v>8.1174841970078432E-2</v>
      </c>
      <c r="M60" s="41">
        <f t="shared" si="116"/>
        <v>-0.14822008005494891</v>
      </c>
      <c r="N60" s="41">
        <f t="shared" si="116"/>
        <v>0.1214392803598203</v>
      </c>
      <c r="O60" s="41">
        <f t="shared" si="116"/>
        <v>0.1460426111950692</v>
      </c>
      <c r="P60" s="41">
        <f t="shared" si="116"/>
        <v>0.15155968806238754</v>
      </c>
      <c r="Q60" s="41">
        <f t="shared" si="116"/>
        <v>0.20122723937837669</v>
      </c>
      <c r="R60" s="41">
        <f t="shared" si="116"/>
        <v>0.18875127352179408</v>
      </c>
      <c r="S60" s="41">
        <f t="shared" si="116"/>
        <v>0.14537165855112791</v>
      </c>
      <c r="T60" s="41">
        <f t="shared" si="116"/>
        <v>0.12484938970087484</v>
      </c>
      <c r="U60" s="41">
        <f t="shared" si="116"/>
        <v>0.16067287517944559</v>
      </c>
      <c r="V60" s="41">
        <f t="shared" si="116"/>
        <v>0.14625276318604255</v>
      </c>
      <c r="W60" s="41">
        <f t="shared" si="116"/>
        <v>0.14537165855112791</v>
      </c>
      <c r="X60" s="41">
        <f t="shared" si="116"/>
        <v>0.15324892772770024</v>
      </c>
      <c r="Y60" s="41">
        <f t="shared" si="116"/>
        <v>0.1735327159887875</v>
      </c>
      <c r="Z60" s="41">
        <f t="shared" si="116"/>
        <v>0.17883651652369692</v>
      </c>
      <c r="AA60" s="41"/>
      <c r="AB60" s="41"/>
      <c r="AC60" s="41"/>
      <c r="AD60" s="41"/>
      <c r="AL60" s="40">
        <f t="shared" ref="AL60:BD60" si="117">+AL43/AL34</f>
        <v>0.18791715154962507</v>
      </c>
      <c r="AM60" s="40">
        <f t="shared" si="117"/>
        <v>0.19571775059931776</v>
      </c>
      <c r="AN60" s="40">
        <f t="shared" si="117"/>
        <v>0.19155037790126303</v>
      </c>
      <c r="AO60" s="40">
        <f t="shared" si="117"/>
        <v>0.16617245494447688</v>
      </c>
      <c r="AP60" s="40">
        <f t="shared" si="117"/>
        <v>0.15895596146156341</v>
      </c>
      <c r="AQ60" s="40">
        <f t="shared" si="117"/>
        <v>7.8250701590271324E-2</v>
      </c>
      <c r="AR60" s="40">
        <f t="shared" si="117"/>
        <v>0.17351672023289266</v>
      </c>
      <c r="AS60" s="40">
        <f t="shared" si="117"/>
        <v>0.14460950750845727</v>
      </c>
      <c r="AT60" s="40">
        <f t="shared" si="117"/>
        <v>0.16379434950355234</v>
      </c>
      <c r="AU60" s="40">
        <f t="shared" si="117"/>
        <v>0.19913218959517007</v>
      </c>
      <c r="AV60" s="40">
        <f t="shared" si="117"/>
        <v>0.19913218959516993</v>
      </c>
      <c r="AW60" s="40">
        <f t="shared" si="117"/>
        <v>0.19913218959516998</v>
      </c>
      <c r="AX60" s="40">
        <f t="shared" si="117"/>
        <v>0.19913218959516998</v>
      </c>
      <c r="AY60" s="40">
        <f t="shared" si="117"/>
        <v>0.19913218959516996</v>
      </c>
      <c r="AZ60" s="40">
        <f t="shared" si="117"/>
        <v>0.1991321895951699</v>
      </c>
      <c r="BA60" s="40">
        <f t="shared" si="117"/>
        <v>0.1991321895951699</v>
      </c>
      <c r="BB60" s="40">
        <f t="shared" si="117"/>
        <v>0.19913218959516993</v>
      </c>
      <c r="BC60" s="40">
        <f t="shared" si="117"/>
        <v>0.19913218959516982</v>
      </c>
      <c r="BD60" s="40">
        <f t="shared" si="117"/>
        <v>0.19913218959516993</v>
      </c>
      <c r="BG60" s="17"/>
      <c r="BH60" s="44" t="s">
        <v>115</v>
      </c>
      <c r="BI60" s="43">
        <v>0.01</v>
      </c>
      <c r="BJ60" s="17"/>
    </row>
    <row r="61" spans="1:229">
      <c r="B61" s="17" t="s">
        <v>157</v>
      </c>
      <c r="O61" s="21"/>
      <c r="T61" s="21">
        <f>931.5/5445.7</f>
        <v>0.17105238995905026</v>
      </c>
      <c r="U61" s="21"/>
      <c r="V61" s="21"/>
      <c r="W61" s="21"/>
      <c r="X61" s="21">
        <f>1217.9/6380.6</f>
        <v>0.19087546625709181</v>
      </c>
      <c r="Y61" s="21">
        <f>1217.9/6380.6</f>
        <v>0.19087546625709181</v>
      </c>
      <c r="Z61" s="21">
        <f>1217.9/6380.6</f>
        <v>0.19087546625709181</v>
      </c>
      <c r="AA61" s="21"/>
      <c r="AB61" s="21"/>
      <c r="AC61" s="21"/>
      <c r="AD61" s="21"/>
      <c r="BH61" s="44" t="s">
        <v>44</v>
      </c>
      <c r="BI61" s="43">
        <v>0.08</v>
      </c>
    </row>
    <row r="62" spans="1:229">
      <c r="B62" s="17" t="s">
        <v>158</v>
      </c>
      <c r="O62" s="21"/>
      <c r="T62" s="21">
        <f>180.7/1702.4</f>
        <v>0.10614426691729321</v>
      </c>
      <c r="U62" s="21"/>
      <c r="V62" s="21"/>
      <c r="W62" s="21"/>
      <c r="X62" s="21">
        <f>314.7/1854.8</f>
        <v>0.16966788872115593</v>
      </c>
      <c r="Y62" s="21">
        <f>314.7/1854.8</f>
        <v>0.16966788872115593</v>
      </c>
      <c r="Z62" s="21">
        <f>314.7/1854.8</f>
        <v>0.16966788872115593</v>
      </c>
      <c r="AA62" s="21"/>
      <c r="AB62" s="21"/>
      <c r="AC62" s="21"/>
      <c r="AD62" s="21"/>
      <c r="BH62" s="42" t="s">
        <v>191</v>
      </c>
      <c r="BI62" s="45">
        <f>NPV(BI61,AU51:IS51)</f>
        <v>120107.5851359814</v>
      </c>
    </row>
    <row r="63" spans="1:229">
      <c r="A63" s="17" t="s">
        <v>160</v>
      </c>
      <c r="B63" s="17" t="s">
        <v>159</v>
      </c>
      <c r="O63" s="21"/>
      <c r="T63" s="21">
        <f>197.9/463.1</f>
        <v>0.42733750809760312</v>
      </c>
      <c r="U63" s="21"/>
      <c r="V63" s="21"/>
      <c r="W63" s="21"/>
      <c r="X63" s="21">
        <f>262.1/480.7</f>
        <v>0.54524651549823178</v>
      </c>
      <c r="Y63" s="21">
        <f>262.1/480.7</f>
        <v>0.54524651549823178</v>
      </c>
      <c r="Z63" s="21">
        <f>262.1/480.7</f>
        <v>0.54524651549823178</v>
      </c>
      <c r="AA63" s="21"/>
      <c r="AB63" s="21"/>
      <c r="AC63" s="21"/>
      <c r="AD63" s="21"/>
      <c r="BH63" s="42" t="s">
        <v>62</v>
      </c>
      <c r="BI63" s="45">
        <f>+V69</f>
        <v>-11581.9</v>
      </c>
    </row>
    <row r="64" spans="1:229">
      <c r="B64" s="17" t="s">
        <v>147</v>
      </c>
      <c r="C64" s="13">
        <f>+C43+C38</f>
        <v>1402.5000000000002</v>
      </c>
      <c r="D64" s="13">
        <f t="shared" ref="D64:Z64" si="118">+D43+D38</f>
        <v>1238.8000000000002</v>
      </c>
      <c r="E64" s="13">
        <f t="shared" si="118"/>
        <v>1385.1000000000008</v>
      </c>
      <c r="F64" s="13">
        <f t="shared" si="118"/>
        <v>1328.4000000000005</v>
      </c>
      <c r="G64" s="13">
        <f t="shared" si="118"/>
        <v>1392.3000000000002</v>
      </c>
      <c r="H64" s="13">
        <f t="shared" si="118"/>
        <v>1256.8999999999987</v>
      </c>
      <c r="I64" s="13">
        <f t="shared" si="118"/>
        <v>1502.1000000000008</v>
      </c>
      <c r="J64" s="13">
        <f t="shared" si="118"/>
        <v>1439.8</v>
      </c>
      <c r="K64" s="13">
        <f t="shared" si="118"/>
        <v>1577.1</v>
      </c>
      <c r="L64" s="13">
        <f t="shared" si="118"/>
        <v>842.99999999999932</v>
      </c>
      <c r="M64" s="13">
        <f t="shared" si="118"/>
        <v>-264.79999999999984</v>
      </c>
      <c r="N64" s="13">
        <f t="shared" si="118"/>
        <v>1116.2000000000012</v>
      </c>
      <c r="O64" s="13">
        <f t="shared" si="118"/>
        <v>1351.8000000000002</v>
      </c>
      <c r="P64" s="13">
        <f t="shared" si="118"/>
        <v>1377.3</v>
      </c>
      <c r="Q64" s="13">
        <f t="shared" si="118"/>
        <v>1862.8000000000009</v>
      </c>
      <c r="R64" s="13">
        <f t="shared" si="118"/>
        <v>1892.3999999999999</v>
      </c>
      <c r="S64" s="13">
        <f t="shared" si="118"/>
        <v>1536.3</v>
      </c>
      <c r="T64" s="13">
        <f t="shared" si="118"/>
        <v>1320.9999999999998</v>
      </c>
      <c r="U64" s="13">
        <f t="shared" si="118"/>
        <v>1666.2999999999995</v>
      </c>
      <c r="V64" s="13">
        <f t="shared" si="118"/>
        <v>1587.9999999999991</v>
      </c>
      <c r="W64" s="13">
        <f t="shared" si="118"/>
        <v>1536.3</v>
      </c>
      <c r="X64" s="13">
        <f t="shared" si="118"/>
        <v>1678.2000000000003</v>
      </c>
      <c r="Y64" s="13">
        <f t="shared" si="118"/>
        <v>1933.2000000000003</v>
      </c>
      <c r="Z64" s="13">
        <f t="shared" si="118"/>
        <v>2107.4999999999982</v>
      </c>
      <c r="AA64" s="13"/>
      <c r="AB64" s="13"/>
      <c r="AC64" s="13"/>
      <c r="AD64" s="13"/>
      <c r="AJ64" s="13">
        <f t="shared" ref="AJ64:BC64" si="119">+AJ43+AJ38</f>
        <v>3080.1000000000013</v>
      </c>
      <c r="AK64" s="13">
        <f t="shared" si="119"/>
        <v>3770.5000000000005</v>
      </c>
      <c r="AL64" s="13">
        <f t="shared" si="119"/>
        <v>4494.9000000000005</v>
      </c>
      <c r="AM64" s="13">
        <f t="shared" si="119"/>
        <v>5152.6999999999971</v>
      </c>
      <c r="AN64" s="13">
        <f t="shared" si="119"/>
        <v>5299.5999999999949</v>
      </c>
      <c r="AO64" s="13">
        <f t="shared" si="119"/>
        <v>5354.6999999999962</v>
      </c>
      <c r="AP64" s="13">
        <f t="shared" si="119"/>
        <v>5591.0999999999995</v>
      </c>
      <c r="AQ64" s="13">
        <f t="shared" si="119"/>
        <v>3271.5000000000009</v>
      </c>
      <c r="AR64" s="13">
        <f t="shared" si="119"/>
        <v>6484.3000000000011</v>
      </c>
      <c r="AS64" s="13">
        <f t="shared" si="119"/>
        <v>6111.5999999999985</v>
      </c>
      <c r="AT64" s="13">
        <f t="shared" si="119"/>
        <v>7255.1999999999971</v>
      </c>
      <c r="AU64" s="13">
        <f t="shared" si="119"/>
        <v>8048.6416500000005</v>
      </c>
      <c r="AV64" s="13">
        <f t="shared" si="119"/>
        <v>8513.3656491359907</v>
      </c>
      <c r="AW64" s="13">
        <f t="shared" si="119"/>
        <v>9004.4404440605886</v>
      </c>
      <c r="AX64" s="13">
        <f t="shared" si="119"/>
        <v>9523.3393043548022</v>
      </c>
      <c r="AY64" s="13">
        <f t="shared" si="119"/>
        <v>10071.616949568286</v>
      </c>
      <c r="AZ64" s="13">
        <f t="shared" si="119"/>
        <v>10650.91401104223</v>
      </c>
      <c r="BA64" s="13">
        <f t="shared" si="119"/>
        <v>11262.96173628965</v>
      </c>
      <c r="BB64" s="13">
        <f t="shared" si="119"/>
        <v>11909.586949034208</v>
      </c>
      <c r="BC64" s="13">
        <f t="shared" si="119"/>
        <v>12592.717278712489</v>
      </c>
      <c r="BD64" s="13">
        <f t="shared" ref="BD64" si="120">+BD43+BD38</f>
        <v>13314.38667398603</v>
      </c>
      <c r="BG64" s="19"/>
      <c r="BH64" s="46" t="s">
        <v>192</v>
      </c>
      <c r="BI64" s="47">
        <f>+BI62+BI63</f>
        <v>108525.6851359814</v>
      </c>
      <c r="BJ64" s="19"/>
    </row>
    <row r="65" spans="2:62">
      <c r="BH65" s="42" t="s">
        <v>50</v>
      </c>
      <c r="BI65" s="45">
        <f>+Main!I4</f>
        <v>1136.7</v>
      </c>
    </row>
    <row r="66" spans="2:62">
      <c r="BH66" s="46" t="s">
        <v>49</v>
      </c>
      <c r="BI66" s="47">
        <f>+BI64/BI65</f>
        <v>95.4743425142794</v>
      </c>
    </row>
    <row r="67" spans="2:62">
      <c r="BH67" s="42" t="s">
        <v>51</v>
      </c>
      <c r="BI67" s="45">
        <f>+Main!I3</f>
        <v>93.34</v>
      </c>
    </row>
    <row r="68" spans="2:62">
      <c r="BH68" s="48" t="s">
        <v>52</v>
      </c>
      <c r="BI68" s="49">
        <f>+BI66/BI67-1</f>
        <v>2.2866322201407607E-2</v>
      </c>
    </row>
    <row r="69" spans="2:62" s="19" customFormat="1">
      <c r="B69" s="19" t="s">
        <v>62</v>
      </c>
      <c r="C69" s="22"/>
      <c r="D69" s="22"/>
      <c r="E69" s="22"/>
      <c r="F69" s="22"/>
      <c r="G69" s="22"/>
      <c r="H69" s="22"/>
      <c r="I69" s="22"/>
      <c r="J69" s="22">
        <f t="shared" ref="J69:X69" si="121">+SUM(J70:J71,J76)-SUM(J92:J93,J95)</f>
        <v>-8189.9</v>
      </c>
      <c r="K69" s="22">
        <f t="shared" si="121"/>
        <v>-8341.1</v>
      </c>
      <c r="L69" s="22">
        <f t="shared" si="121"/>
        <v>-11191.2</v>
      </c>
      <c r="M69" s="22">
        <f t="shared" si="121"/>
        <v>-12412.5</v>
      </c>
      <c r="N69" s="22">
        <f t="shared" si="121"/>
        <v>-11510.400000000001</v>
      </c>
      <c r="O69" s="22">
        <f t="shared" si="121"/>
        <v>-10461.6</v>
      </c>
      <c r="P69" s="22">
        <f t="shared" si="121"/>
        <v>-10360.099999999999</v>
      </c>
      <c r="Q69" s="22">
        <f t="shared" si="121"/>
        <v>-9425.5</v>
      </c>
      <c r="R69" s="22">
        <f t="shared" si="121"/>
        <v>-9312.2999999999993</v>
      </c>
      <c r="S69" s="22">
        <f t="shared" si="121"/>
        <v>-10428.799999999999</v>
      </c>
      <c r="T69" s="22">
        <f t="shared" si="121"/>
        <v>-11731.9</v>
      </c>
      <c r="U69" s="22">
        <f t="shared" si="121"/>
        <v>-1582.9999999999995</v>
      </c>
      <c r="V69" s="22">
        <f t="shared" si="121"/>
        <v>-11581.9</v>
      </c>
      <c r="W69" s="22">
        <f t="shared" si="121"/>
        <v>-11332</v>
      </c>
      <c r="X69" s="22">
        <f t="shared" si="121"/>
        <v>-11783.9</v>
      </c>
      <c r="Y69" s="22">
        <f t="shared" ref="Y69:Z69" si="122">+SUM(Y70:Y71,Y76)-SUM(Y92:Y93,Y95)</f>
        <v>-11556.199999999999</v>
      </c>
      <c r="Z69" s="22">
        <f t="shared" si="122"/>
        <v>-11199.300000000001</v>
      </c>
      <c r="AA69" s="22"/>
      <c r="AB69" s="22"/>
      <c r="AC69" s="22"/>
      <c r="AD69" s="22"/>
      <c r="AT69" s="19">
        <f>+Z69</f>
        <v>-11199.300000000001</v>
      </c>
      <c r="AU69" s="19">
        <f t="shared" ref="AU69:BD69" si="123">+AT69+AU51</f>
        <v>-5379.056018634652</v>
      </c>
      <c r="AV69" s="19">
        <f t="shared" si="123"/>
        <v>827.38426338423142</v>
      </c>
      <c r="AW69" s="19">
        <f t="shared" si="123"/>
        <v>7439.3337664684477</v>
      </c>
      <c r="AX69" s="19">
        <f t="shared" si="123"/>
        <v>14477.30901730434</v>
      </c>
      <c r="AY69" s="19">
        <f t="shared" si="123"/>
        <v>21963.090336929985</v>
      </c>
      <c r="AZ69" s="19">
        <f t="shared" si="123"/>
        <v>29919.785633116851</v>
      </c>
      <c r="BA69" s="19">
        <f t="shared" si="123"/>
        <v>38371.89797729061</v>
      </c>
      <c r="BB69" s="19">
        <f t="shared" si="123"/>
        <v>47345.397156724655</v>
      </c>
      <c r="BC69" s="19">
        <f t="shared" si="123"/>
        <v>56867.795403763994</v>
      </c>
      <c r="BD69" s="19">
        <f t="shared" si="123"/>
        <v>67267.980418276944</v>
      </c>
      <c r="BG69" s="17"/>
      <c r="BH69" s="17"/>
      <c r="BI69" s="17"/>
      <c r="BJ69" s="17"/>
    </row>
    <row r="70" spans="2:62">
      <c r="B70" s="17" t="s">
        <v>15</v>
      </c>
      <c r="J70" s="13">
        <v>2686.6</v>
      </c>
      <c r="K70" s="13">
        <v>3040.5</v>
      </c>
      <c r="L70" s="13">
        <v>2572.3000000000002</v>
      </c>
      <c r="M70" s="13">
        <v>3965.9</v>
      </c>
      <c r="N70" s="13">
        <v>4350.8999999999996</v>
      </c>
      <c r="O70" s="13">
        <v>5028.1000000000004</v>
      </c>
      <c r="P70" s="13">
        <v>3880.7</v>
      </c>
      <c r="Q70" s="13">
        <v>4753.1000000000004</v>
      </c>
      <c r="R70" s="13">
        <v>6455.7</v>
      </c>
      <c r="S70" s="13">
        <v>3969.4</v>
      </c>
      <c r="T70" s="13">
        <v>3913.4</v>
      </c>
      <c r="U70" s="13">
        <v>3177.5</v>
      </c>
      <c r="V70" s="13">
        <v>2818.4</v>
      </c>
      <c r="W70" s="13">
        <v>3186.5</v>
      </c>
      <c r="X70" s="13">
        <v>3071.8</v>
      </c>
      <c r="Y70" s="13">
        <v>3357</v>
      </c>
      <c r="Z70" s="13">
        <v>3551.5</v>
      </c>
      <c r="AA70" s="13"/>
      <c r="AB70" s="13"/>
      <c r="AC70" s="13"/>
      <c r="AD70" s="13"/>
      <c r="AT70" s="17">
        <f>+Z70</f>
        <v>3551.5</v>
      </c>
      <c r="AU70" s="17">
        <f t="shared" ref="AU70:BD70" si="124">+AT70*(1+$BI$58)</f>
        <v>3729.0750000000003</v>
      </c>
      <c r="AV70" s="17">
        <f t="shared" si="124"/>
        <v>3915.5287500000004</v>
      </c>
      <c r="AW70" s="17">
        <f t="shared" si="124"/>
        <v>4111.305187500001</v>
      </c>
      <c r="AX70" s="17">
        <f t="shared" si="124"/>
        <v>4316.8704468750011</v>
      </c>
      <c r="AY70" s="17">
        <f t="shared" si="124"/>
        <v>4532.7139692187511</v>
      </c>
      <c r="AZ70" s="17">
        <f t="shared" si="124"/>
        <v>4759.3496676796885</v>
      </c>
      <c r="BA70" s="17">
        <f t="shared" si="124"/>
        <v>4997.317151063673</v>
      </c>
      <c r="BB70" s="17">
        <f t="shared" si="124"/>
        <v>5247.1830086168566</v>
      </c>
      <c r="BC70" s="17">
        <f t="shared" si="124"/>
        <v>5509.5421590476999</v>
      </c>
      <c r="BD70" s="17">
        <f t="shared" si="124"/>
        <v>5785.0192670000852</v>
      </c>
    </row>
    <row r="71" spans="2:62">
      <c r="B71" s="17" t="s">
        <v>63</v>
      </c>
      <c r="J71" s="13">
        <v>70.5</v>
      </c>
      <c r="K71" s="13">
        <v>68.400000000000006</v>
      </c>
      <c r="L71" s="13">
        <v>52.9</v>
      </c>
      <c r="M71" s="13">
        <v>229.9</v>
      </c>
      <c r="N71" s="13">
        <v>281.2</v>
      </c>
      <c r="O71" s="13">
        <v>235.5</v>
      </c>
      <c r="P71" s="13">
        <v>123</v>
      </c>
      <c r="Q71" s="13">
        <v>153.6</v>
      </c>
      <c r="R71" s="13">
        <v>162.19999999999999</v>
      </c>
      <c r="S71" s="13">
        <v>87.4</v>
      </c>
      <c r="T71" s="13">
        <v>82.1</v>
      </c>
      <c r="U71" s="13">
        <v>76.900000000000006</v>
      </c>
      <c r="V71" s="13">
        <v>364.5</v>
      </c>
      <c r="W71" s="13">
        <v>123.9</v>
      </c>
      <c r="X71" s="13">
        <v>379.4</v>
      </c>
      <c r="Y71" s="13">
        <v>263</v>
      </c>
      <c r="Z71" s="13">
        <v>401.5</v>
      </c>
      <c r="AA71" s="13"/>
      <c r="AB71" s="13"/>
      <c r="AC71" s="13"/>
      <c r="AD71" s="13"/>
    </row>
    <row r="72" spans="2:62">
      <c r="B72" s="17" t="s">
        <v>64</v>
      </c>
      <c r="J72" s="13">
        <v>879.2</v>
      </c>
      <c r="K72" s="13">
        <v>908.1</v>
      </c>
      <c r="L72" s="13">
        <v>941</v>
      </c>
      <c r="M72" s="13">
        <v>881.1</v>
      </c>
      <c r="N72" s="13">
        <v>883.4</v>
      </c>
      <c r="O72" s="13">
        <v>888</v>
      </c>
      <c r="P72" s="13">
        <v>880.2</v>
      </c>
      <c r="Q72" s="13">
        <v>911.2</v>
      </c>
      <c r="R72" s="13">
        <v>940</v>
      </c>
      <c r="S72" s="13">
        <v>1031.0999999999999</v>
      </c>
      <c r="T72" s="13">
        <v>1001.9</v>
      </c>
      <c r="U72" s="13">
        <v>1146.0999999999999</v>
      </c>
      <c r="V72" s="13">
        <v>1175.5</v>
      </c>
      <c r="W72" s="13">
        <v>1162.9000000000001</v>
      </c>
      <c r="X72" s="13">
        <v>1185.8</v>
      </c>
      <c r="Y72" s="13">
        <v>1140.2</v>
      </c>
      <c r="Z72" s="13">
        <v>1184.0999999999999</v>
      </c>
      <c r="AA72" s="13"/>
      <c r="AB72" s="13"/>
      <c r="AC72" s="13"/>
      <c r="AD72" s="13"/>
    </row>
    <row r="73" spans="2:62">
      <c r="B73" s="17" t="s">
        <v>65</v>
      </c>
      <c r="J73" s="13">
        <v>1529.4</v>
      </c>
      <c r="K73" s="13">
        <v>1408.7</v>
      </c>
      <c r="L73" s="13">
        <v>1492.2</v>
      </c>
      <c r="M73" s="13">
        <v>1583.8</v>
      </c>
      <c r="N73" s="13">
        <v>1551.4</v>
      </c>
      <c r="O73" s="13">
        <v>1471.5</v>
      </c>
      <c r="P73" s="13">
        <v>1503.6</v>
      </c>
      <c r="Q73" s="13">
        <v>1548.2</v>
      </c>
      <c r="R73" s="13">
        <v>1603.9</v>
      </c>
      <c r="S73" s="13">
        <v>1637.1</v>
      </c>
      <c r="T73" s="13">
        <v>1920</v>
      </c>
      <c r="U73" s="13">
        <v>2132.9</v>
      </c>
      <c r="V73" s="13">
        <v>2176.6</v>
      </c>
      <c r="W73" s="13">
        <v>2088.1</v>
      </c>
      <c r="X73" s="13">
        <v>2000.6</v>
      </c>
      <c r="Y73" s="13">
        <v>1987</v>
      </c>
      <c r="Z73" s="13">
        <v>1806.4</v>
      </c>
      <c r="AA73" s="13"/>
      <c r="AB73" s="13"/>
      <c r="AC73" s="13"/>
      <c r="AD73" s="13"/>
    </row>
    <row r="74" spans="2:62">
      <c r="B74" s="17" t="s">
        <v>66</v>
      </c>
      <c r="J74" s="13">
        <v>488.2</v>
      </c>
      <c r="K74" s="13">
        <v>474</v>
      </c>
      <c r="L74" s="13">
        <v>691.5</v>
      </c>
      <c r="M74" s="13">
        <v>920.3</v>
      </c>
      <c r="N74" s="13">
        <v>739.5</v>
      </c>
      <c r="O74" s="13">
        <v>734.4</v>
      </c>
      <c r="P74" s="13">
        <v>592</v>
      </c>
      <c r="Q74" s="13">
        <v>565.6</v>
      </c>
      <c r="R74" s="13">
        <v>594.6</v>
      </c>
      <c r="S74" s="13">
        <v>530.1</v>
      </c>
      <c r="T74" s="13">
        <v>623.70000000000005</v>
      </c>
      <c r="U74" s="13">
        <v>534.1</v>
      </c>
      <c r="V74" s="13">
        <v>483.7</v>
      </c>
      <c r="W74" s="13">
        <v>373.5</v>
      </c>
      <c r="X74" s="13">
        <v>408.6</v>
      </c>
      <c r="Y74" s="13">
        <v>423.5</v>
      </c>
      <c r="Z74" s="13">
        <v>359.9</v>
      </c>
      <c r="AA74" s="13"/>
      <c r="AB74" s="13"/>
      <c r="AC74" s="13"/>
      <c r="AD74" s="13"/>
    </row>
    <row r="75" spans="2:62" s="19" customFormat="1">
      <c r="B75" s="19" t="s">
        <v>60</v>
      </c>
      <c r="C75" s="22"/>
      <c r="D75" s="22"/>
      <c r="E75" s="22"/>
      <c r="F75" s="22"/>
      <c r="G75" s="22"/>
      <c r="H75" s="22"/>
      <c r="I75" s="22"/>
      <c r="J75" s="22">
        <f t="shared" ref="J75:X75" si="125">+SUM(J70:J74)</f>
        <v>5653.9000000000005</v>
      </c>
      <c r="K75" s="22">
        <f t="shared" si="125"/>
        <v>5899.7</v>
      </c>
      <c r="L75" s="22">
        <f t="shared" si="125"/>
        <v>5749.9000000000005</v>
      </c>
      <c r="M75" s="22">
        <f t="shared" si="125"/>
        <v>7581.0000000000009</v>
      </c>
      <c r="N75" s="22">
        <f t="shared" si="125"/>
        <v>7806.4</v>
      </c>
      <c r="O75" s="22">
        <f t="shared" si="125"/>
        <v>8357.5</v>
      </c>
      <c r="P75" s="22">
        <f t="shared" si="125"/>
        <v>6979.5</v>
      </c>
      <c r="Q75" s="22">
        <f t="shared" si="125"/>
        <v>7931.7000000000007</v>
      </c>
      <c r="R75" s="22">
        <f t="shared" si="125"/>
        <v>9756.4</v>
      </c>
      <c r="S75" s="22">
        <f t="shared" si="125"/>
        <v>7255.1</v>
      </c>
      <c r="T75" s="22">
        <f t="shared" si="125"/>
        <v>7541.0999999999995</v>
      </c>
      <c r="U75" s="22">
        <f t="shared" si="125"/>
        <v>7067.5</v>
      </c>
      <c r="V75" s="22">
        <f t="shared" si="125"/>
        <v>7018.7</v>
      </c>
      <c r="W75" s="22">
        <f t="shared" si="125"/>
        <v>6934.9</v>
      </c>
      <c r="X75" s="22">
        <f t="shared" si="125"/>
        <v>7046.2000000000007</v>
      </c>
      <c r="Y75" s="22">
        <f t="shared" ref="Y75:Z75" si="126">+SUM(Y70:Y74)</f>
        <v>7170.7</v>
      </c>
      <c r="Z75" s="22">
        <f t="shared" si="126"/>
        <v>7303.4</v>
      </c>
      <c r="AA75" s="22"/>
      <c r="AB75" s="22"/>
      <c r="AC75" s="22"/>
      <c r="AD75" s="22"/>
    </row>
    <row r="76" spans="2:62">
      <c r="B76" s="17" t="s">
        <v>67</v>
      </c>
      <c r="J76" s="13">
        <v>220</v>
      </c>
      <c r="K76" s="13">
        <v>199.8</v>
      </c>
      <c r="L76" s="13">
        <v>198.8</v>
      </c>
      <c r="M76" s="13">
        <v>223.4</v>
      </c>
      <c r="N76" s="13">
        <v>206.1</v>
      </c>
      <c r="O76" s="13">
        <v>190.9</v>
      </c>
      <c r="P76" s="13">
        <v>284.8</v>
      </c>
      <c r="Q76" s="13">
        <v>285.89999999999998</v>
      </c>
      <c r="R76" s="13">
        <v>281.7</v>
      </c>
      <c r="S76" s="13">
        <v>299.60000000000002</v>
      </c>
      <c r="T76" s="13">
        <v>285.60000000000002</v>
      </c>
      <c r="U76" s="13">
        <v>292.5</v>
      </c>
      <c r="V76" s="13">
        <v>279.10000000000002</v>
      </c>
      <c r="W76" s="13">
        <v>283.60000000000002</v>
      </c>
      <c r="X76" s="13">
        <v>251.2</v>
      </c>
      <c r="Y76" s="13">
        <v>238.6</v>
      </c>
      <c r="Z76" s="13">
        <v>247.4</v>
      </c>
      <c r="AA76" s="13"/>
      <c r="AB76" s="13"/>
      <c r="AC76" s="13"/>
      <c r="AD76" s="13"/>
    </row>
    <row r="77" spans="2:62">
      <c r="B77" s="17" t="s">
        <v>68</v>
      </c>
      <c r="J77" s="13">
        <v>396</v>
      </c>
      <c r="K77" s="13">
        <v>411.3</v>
      </c>
      <c r="L77" s="13">
        <v>420.9</v>
      </c>
      <c r="M77" s="13">
        <v>426.1</v>
      </c>
      <c r="N77" s="13">
        <v>478.7</v>
      </c>
      <c r="O77" s="13">
        <v>496</v>
      </c>
      <c r="P77" s="13">
        <v>499.4</v>
      </c>
      <c r="Q77" s="13">
        <v>535.29999999999995</v>
      </c>
      <c r="R77" s="13">
        <v>268.5</v>
      </c>
      <c r="S77" s="13">
        <v>251.9</v>
      </c>
      <c r="T77" s="13">
        <v>270.8</v>
      </c>
      <c r="U77" s="13">
        <v>302.7</v>
      </c>
      <c r="V77" s="13">
        <v>311.2</v>
      </c>
      <c r="W77" s="13">
        <v>330.5</v>
      </c>
      <c r="X77" s="13">
        <v>360.5</v>
      </c>
      <c r="Y77" s="13">
        <v>384.4</v>
      </c>
      <c r="Z77" s="13">
        <v>439.9</v>
      </c>
      <c r="AA77" s="13"/>
      <c r="AB77" s="13"/>
      <c r="AC77" s="13"/>
      <c r="AD77" s="13"/>
    </row>
    <row r="78" spans="2:62">
      <c r="B78" s="17" t="s">
        <v>69</v>
      </c>
      <c r="J78" s="13">
        <v>6431.7</v>
      </c>
      <c r="K78" s="13">
        <v>6390.9</v>
      </c>
      <c r="L78" s="13">
        <v>6387</v>
      </c>
      <c r="M78" s="13">
        <v>6295.6</v>
      </c>
      <c r="N78" s="13">
        <v>6241.4</v>
      </c>
      <c r="O78" s="13">
        <v>6177.9</v>
      </c>
      <c r="P78" s="13">
        <v>6123.1</v>
      </c>
      <c r="Q78" s="13">
        <v>6151.4</v>
      </c>
      <c r="R78" s="13">
        <v>6369.5</v>
      </c>
      <c r="S78" s="13">
        <v>6398</v>
      </c>
      <c r="T78" s="13">
        <v>6460.8</v>
      </c>
      <c r="U78" s="13">
        <v>6408</v>
      </c>
      <c r="V78" s="13">
        <v>6560.5</v>
      </c>
      <c r="W78" s="13">
        <v>6699.5</v>
      </c>
      <c r="X78" s="13">
        <v>6818.6</v>
      </c>
      <c r="Y78" s="13">
        <v>7053.5</v>
      </c>
      <c r="Z78" s="13">
        <v>7387.1</v>
      </c>
      <c r="AA78" s="13"/>
      <c r="AB78" s="13"/>
      <c r="AC78" s="13"/>
      <c r="AD78" s="13"/>
    </row>
    <row r="79" spans="2:62">
      <c r="B79" s="17" t="s">
        <v>70</v>
      </c>
      <c r="J79" s="13">
        <v>0</v>
      </c>
      <c r="K79" s="13">
        <v>8358.5</v>
      </c>
      <c r="L79" s="13">
        <v>8260.7999999999993</v>
      </c>
      <c r="M79" s="13">
        <v>8214</v>
      </c>
      <c r="N79" s="13">
        <v>8134.1</v>
      </c>
      <c r="O79" s="13">
        <v>8199.4</v>
      </c>
      <c r="P79" s="13">
        <v>8036.8</v>
      </c>
      <c r="Q79" s="13">
        <v>8065.2</v>
      </c>
      <c r="R79" s="13">
        <v>8236</v>
      </c>
      <c r="S79" s="13">
        <v>8203.4</v>
      </c>
      <c r="T79" s="13">
        <v>8170.2</v>
      </c>
      <c r="U79" s="13">
        <v>8037.1</v>
      </c>
      <c r="V79" s="13">
        <v>8015.6</v>
      </c>
      <c r="W79" s="13">
        <v>8133.8</v>
      </c>
      <c r="X79" s="13">
        <v>8251.6</v>
      </c>
      <c r="Y79" s="13">
        <v>8178.5</v>
      </c>
      <c r="Z79" s="13">
        <v>8412.6</v>
      </c>
      <c r="AA79" s="13"/>
      <c r="AB79" s="13"/>
      <c r="AC79" s="13"/>
      <c r="AD79" s="13"/>
    </row>
    <row r="80" spans="2:62">
      <c r="B80" s="17" t="s">
        <v>71</v>
      </c>
      <c r="J80" s="13">
        <v>1765.8</v>
      </c>
      <c r="K80" s="13">
        <v>1731.4</v>
      </c>
      <c r="L80" s="13">
        <v>1709.7</v>
      </c>
      <c r="M80" s="13">
        <v>1740</v>
      </c>
      <c r="N80" s="13">
        <v>1789.9</v>
      </c>
      <c r="O80" s="13">
        <v>1792.4</v>
      </c>
      <c r="P80" s="13">
        <v>1770</v>
      </c>
      <c r="Q80" s="13">
        <v>1851</v>
      </c>
      <c r="R80" s="13">
        <v>1874.5</v>
      </c>
      <c r="S80" s="13">
        <v>1859.7</v>
      </c>
      <c r="T80" s="13">
        <v>1809.4</v>
      </c>
      <c r="U80" s="13">
        <v>1752.9</v>
      </c>
      <c r="V80" s="13">
        <v>1799.7</v>
      </c>
      <c r="W80" s="13">
        <v>1811.8</v>
      </c>
      <c r="X80" s="13">
        <v>1811.1</v>
      </c>
      <c r="Y80" s="13">
        <v>1790.3</v>
      </c>
      <c r="Z80" s="13">
        <v>1769.8</v>
      </c>
      <c r="AA80" s="13"/>
      <c r="AB80" s="13"/>
      <c r="AC80" s="13"/>
      <c r="AD80" s="13"/>
    </row>
    <row r="81" spans="2:54">
      <c r="B81" s="17" t="s">
        <v>72</v>
      </c>
      <c r="J81" s="13">
        <v>479.6</v>
      </c>
      <c r="K81" s="13">
        <v>484.7</v>
      </c>
      <c r="L81" s="13">
        <v>580.1</v>
      </c>
      <c r="M81" s="13">
        <v>550.79999999999995</v>
      </c>
      <c r="N81" s="13">
        <v>568.6</v>
      </c>
      <c r="O81" s="13">
        <v>541.1</v>
      </c>
      <c r="P81" s="13">
        <v>574.9</v>
      </c>
      <c r="Q81" s="13">
        <v>586.29999999999995</v>
      </c>
      <c r="R81" s="13">
        <v>578.5</v>
      </c>
      <c r="S81" s="13">
        <v>588</v>
      </c>
      <c r="T81" s="13">
        <v>582.79999999999995</v>
      </c>
      <c r="U81" s="13">
        <v>640.70000000000005</v>
      </c>
      <c r="V81" s="13">
        <v>554.20000000000005</v>
      </c>
      <c r="W81" s="13">
        <v>527.6</v>
      </c>
      <c r="X81" s="13">
        <v>526.70000000000005</v>
      </c>
      <c r="Y81" s="13">
        <v>541.70000000000005</v>
      </c>
      <c r="Z81" s="13">
        <v>546.5</v>
      </c>
      <c r="AA81" s="13"/>
      <c r="AB81" s="13"/>
      <c r="AC81" s="13"/>
      <c r="AD81" s="13"/>
    </row>
    <row r="82" spans="2:54">
      <c r="B82" s="17" t="s">
        <v>73</v>
      </c>
      <c r="J82" s="13">
        <v>781.8</v>
      </c>
      <c r="K82" s="13">
        <v>739.1</v>
      </c>
      <c r="L82" s="13">
        <v>678.7</v>
      </c>
      <c r="M82" s="13">
        <v>599.6</v>
      </c>
      <c r="N82" s="13">
        <v>552.1</v>
      </c>
      <c r="O82" s="13">
        <v>506.4</v>
      </c>
      <c r="P82" s="13">
        <v>444.3</v>
      </c>
      <c r="Q82" s="13">
        <v>398</v>
      </c>
      <c r="R82" s="13">
        <v>349.9</v>
      </c>
      <c r="S82" s="13">
        <v>302.5</v>
      </c>
      <c r="T82" s="13">
        <v>254.7</v>
      </c>
      <c r="U82" s="13">
        <v>203.4</v>
      </c>
      <c r="V82" s="13">
        <v>155.9</v>
      </c>
      <c r="W82" s="13">
        <v>151.4</v>
      </c>
      <c r="X82" s="13">
        <v>130.80000000000001</v>
      </c>
      <c r="Y82" s="13">
        <v>124.4</v>
      </c>
      <c r="Z82" s="13">
        <v>120.5</v>
      </c>
      <c r="AA82" s="13"/>
      <c r="AB82" s="13"/>
      <c r="AC82" s="13"/>
      <c r="AD82" s="13"/>
    </row>
    <row r="83" spans="2:54">
      <c r="B83" s="17" t="s">
        <v>74</v>
      </c>
      <c r="J83" s="13">
        <v>3490.8</v>
      </c>
      <c r="K83" s="13">
        <v>3515.9</v>
      </c>
      <c r="L83" s="13">
        <v>3493</v>
      </c>
      <c r="M83" s="13">
        <v>3510.1</v>
      </c>
      <c r="N83" s="13">
        <v>3597.2</v>
      </c>
      <c r="O83" s="13">
        <v>3706.8</v>
      </c>
      <c r="P83" s="13">
        <v>3658.9</v>
      </c>
      <c r="Q83" s="13">
        <v>3672</v>
      </c>
      <c r="R83" s="13">
        <v>3677.3</v>
      </c>
      <c r="S83" s="13">
        <v>3675.7</v>
      </c>
      <c r="T83" s="13">
        <v>3646.1</v>
      </c>
      <c r="U83" s="13">
        <v>3451.2</v>
      </c>
      <c r="V83" s="13">
        <v>3283.5</v>
      </c>
      <c r="W83" s="13">
        <v>3383</v>
      </c>
      <c r="X83" s="13">
        <v>3412.3</v>
      </c>
      <c r="Y83" s="13">
        <v>3250.9</v>
      </c>
      <c r="Z83" s="13">
        <v>3218.3</v>
      </c>
      <c r="AA83" s="13"/>
      <c r="AB83" s="13"/>
      <c r="AC83" s="13"/>
      <c r="AD83" s="13"/>
    </row>
    <row r="84" spans="2:54" s="19" customFormat="1">
      <c r="B84" s="19" t="s">
        <v>61</v>
      </c>
      <c r="C84" s="22"/>
      <c r="D84" s="22"/>
      <c r="E84" s="22"/>
      <c r="F84" s="22"/>
      <c r="G84" s="22"/>
      <c r="H84" s="22"/>
      <c r="I84" s="22"/>
      <c r="J84" s="22">
        <f t="shared" ref="J84:K84" si="127">+SUM(J75:J83)</f>
        <v>19219.599999999999</v>
      </c>
      <c r="K84" s="22">
        <f t="shared" si="127"/>
        <v>27731.300000000003</v>
      </c>
      <c r="L84" s="22">
        <f t="shared" ref="L84:M84" si="128">+SUM(L75:L83)</f>
        <v>27478.9</v>
      </c>
      <c r="M84" s="22">
        <f t="shared" si="128"/>
        <v>29140.599999999995</v>
      </c>
      <c r="N84" s="22">
        <f t="shared" ref="N84:T84" si="129">+SUM(N75:N83)</f>
        <v>29374.5</v>
      </c>
      <c r="O84" s="22">
        <f t="shared" si="129"/>
        <v>29968.399999999998</v>
      </c>
      <c r="P84" s="22">
        <f t="shared" si="129"/>
        <v>28371.7</v>
      </c>
      <c r="Q84" s="22">
        <f t="shared" si="129"/>
        <v>29476.799999999999</v>
      </c>
      <c r="R84" s="22">
        <f t="shared" si="129"/>
        <v>31392.3</v>
      </c>
      <c r="S84" s="22">
        <f t="shared" si="129"/>
        <v>28833.9</v>
      </c>
      <c r="T84" s="22">
        <f t="shared" si="129"/>
        <v>29021.5</v>
      </c>
      <c r="U84" s="22">
        <f t="shared" ref="U84:V84" si="130">+SUM(U75:U83)</f>
        <v>28156.000000000007</v>
      </c>
      <c r="V84" s="22">
        <f t="shared" si="130"/>
        <v>27978.400000000001</v>
      </c>
      <c r="W84" s="22">
        <f t="shared" ref="W84:X84" si="131">+SUM(W75:W83)</f>
        <v>28256.1</v>
      </c>
      <c r="X84" s="22">
        <f t="shared" si="131"/>
        <v>28608.999999999996</v>
      </c>
      <c r="Y84" s="22">
        <f t="shared" ref="Y84:Z84" si="132">+SUM(Y75:Y83)</f>
        <v>28733.000000000004</v>
      </c>
      <c r="Z84" s="22">
        <f t="shared" si="132"/>
        <v>29445.5</v>
      </c>
      <c r="AA84" s="22"/>
      <c r="AB84" s="22"/>
      <c r="AC84" s="22"/>
      <c r="AD84" s="22"/>
    </row>
    <row r="87" spans="2:54">
      <c r="B87" s="17" t="s">
        <v>76</v>
      </c>
      <c r="J87" s="13">
        <v>1753.7</v>
      </c>
      <c r="K87" s="13">
        <v>1637.8</v>
      </c>
      <c r="L87" s="13">
        <v>1539</v>
      </c>
      <c r="M87" s="13">
        <v>1511.7</v>
      </c>
      <c r="N87" s="13">
        <v>1160.7</v>
      </c>
      <c r="O87" s="13">
        <v>1616.9</v>
      </c>
      <c r="P87" s="13">
        <v>1771.6</v>
      </c>
      <c r="Q87" s="13">
        <v>1791.4</v>
      </c>
      <c r="R87" s="13">
        <v>1973.2</v>
      </c>
      <c r="S87" s="13">
        <v>2444.3000000000002</v>
      </c>
      <c r="T87" s="13">
        <v>2092.4</v>
      </c>
      <c r="U87" s="13">
        <v>2068.9</v>
      </c>
      <c r="V87" s="13">
        <v>2137.1</v>
      </c>
      <c r="W87" s="13">
        <v>2089.6</v>
      </c>
      <c r="X87" s="13">
        <v>1970</v>
      </c>
      <c r="Y87" s="13">
        <v>2060.5</v>
      </c>
      <c r="Z87" s="13">
        <v>2145.1</v>
      </c>
      <c r="AA87" s="13"/>
      <c r="AB87" s="13"/>
      <c r="AC87" s="13"/>
      <c r="AD87" s="13"/>
    </row>
    <row r="88" spans="2:54">
      <c r="B88" s="17" t="s">
        <v>77</v>
      </c>
      <c r="J88" s="13">
        <v>664.6</v>
      </c>
      <c r="K88" s="13">
        <v>578.5</v>
      </c>
      <c r="L88" s="13">
        <v>596.1</v>
      </c>
      <c r="M88" s="13">
        <v>652.1</v>
      </c>
      <c r="N88" s="13">
        <v>696</v>
      </c>
      <c r="O88" s="13">
        <v>685.3</v>
      </c>
      <c r="P88" s="13">
        <v>646.1</v>
      </c>
      <c r="Q88" s="13">
        <v>741</v>
      </c>
      <c r="R88" s="13">
        <v>772.3</v>
      </c>
      <c r="S88" s="13">
        <v>664.1</v>
      </c>
      <c r="T88" s="13">
        <v>665.9</v>
      </c>
      <c r="U88" s="13">
        <v>706.8</v>
      </c>
      <c r="V88" s="13">
        <v>761.7</v>
      </c>
      <c r="W88" s="13">
        <v>664.6</v>
      </c>
      <c r="X88" s="13">
        <v>710.9</v>
      </c>
      <c r="Y88" s="13">
        <v>755.4</v>
      </c>
      <c r="Z88" s="13">
        <v>828.3</v>
      </c>
      <c r="AA88" s="13"/>
      <c r="AB88" s="13"/>
      <c r="AC88" s="13"/>
      <c r="AD88" s="13"/>
    </row>
    <row r="89" spans="2:54">
      <c r="B89" s="17" t="s">
        <v>121</v>
      </c>
      <c r="J89" s="13">
        <v>1291.7</v>
      </c>
      <c r="K89" s="13">
        <v>1414</v>
      </c>
      <c r="L89" s="13">
        <v>86.7</v>
      </c>
      <c r="M89" s="13">
        <v>90.9</v>
      </c>
      <c r="N89" s="13">
        <v>98.2</v>
      </c>
      <c r="O89" s="13">
        <v>149.69999999999999</v>
      </c>
      <c r="P89" s="13">
        <v>117</v>
      </c>
      <c r="Q89" s="13">
        <v>204.8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1257.5</v>
      </c>
      <c r="X89" s="13">
        <v>0</v>
      </c>
      <c r="Y89" s="13">
        <v>0</v>
      </c>
      <c r="Z89" s="13">
        <v>0</v>
      </c>
      <c r="AA89" s="13"/>
      <c r="AB89" s="13"/>
      <c r="AC89" s="13"/>
      <c r="AD89" s="13"/>
    </row>
    <row r="90" spans="2:54">
      <c r="B90" s="17" t="s">
        <v>78</v>
      </c>
      <c r="J90" s="13">
        <v>0</v>
      </c>
      <c r="K90" s="13">
        <v>1268.9000000000001</v>
      </c>
      <c r="L90" s="13">
        <v>1253.5</v>
      </c>
      <c r="M90" s="13">
        <v>1237.0999999999999</v>
      </c>
      <c r="N90" s="13">
        <v>1248.8</v>
      </c>
      <c r="O90" s="13">
        <v>1267.5999999999999</v>
      </c>
      <c r="P90" s="13">
        <v>1296.4000000000001</v>
      </c>
      <c r="Q90" s="13">
        <v>1308.4000000000001</v>
      </c>
      <c r="R90" s="13">
        <v>348</v>
      </c>
      <c r="S90" s="13">
        <v>1253.3</v>
      </c>
      <c r="T90" s="13">
        <v>1236.3</v>
      </c>
      <c r="U90" s="13">
        <v>1214.8</v>
      </c>
      <c r="V90" s="13">
        <v>1245.7</v>
      </c>
      <c r="W90" s="13">
        <v>2137</v>
      </c>
      <c r="X90" s="13">
        <v>1269.5</v>
      </c>
      <c r="Y90" s="13">
        <v>1265.2</v>
      </c>
      <c r="Z90" s="13">
        <v>1275.3</v>
      </c>
      <c r="AA90" s="13"/>
      <c r="AB90" s="13"/>
      <c r="AC90" s="13"/>
      <c r="AD90" s="13"/>
    </row>
    <row r="91" spans="2:54">
      <c r="B91" s="17" t="s">
        <v>79</v>
      </c>
      <c r="J91" s="13">
        <v>1269</v>
      </c>
      <c r="K91" s="13">
        <v>1694.1</v>
      </c>
      <c r="L91" s="13">
        <v>1436.3</v>
      </c>
      <c r="M91" s="13">
        <v>1463.3</v>
      </c>
      <c r="N91" s="13">
        <v>1456.5</v>
      </c>
      <c r="O91" s="13">
        <v>1871.2</v>
      </c>
      <c r="P91" s="13">
        <v>1622.1</v>
      </c>
      <c r="Q91" s="13">
        <v>1628.3</v>
      </c>
      <c r="R91" s="13">
        <v>1251.3</v>
      </c>
      <c r="S91" s="13">
        <v>2070.6999999999998</v>
      </c>
      <c r="T91" s="13">
        <v>1781.6</v>
      </c>
      <c r="U91" s="13">
        <v>1723</v>
      </c>
      <c r="V91" s="13">
        <v>1641.9</v>
      </c>
      <c r="W91" s="13">
        <v>0</v>
      </c>
      <c r="X91" s="13">
        <v>1795.09</v>
      </c>
      <c r="Y91" s="13">
        <v>1759.6</v>
      </c>
      <c r="Z91" s="13">
        <v>1700.2</v>
      </c>
      <c r="AA91" s="13"/>
      <c r="AB91" s="13"/>
      <c r="AC91" s="13"/>
      <c r="AD91" s="13"/>
    </row>
    <row r="92" spans="2:54">
      <c r="B92" s="17" t="s">
        <v>80</v>
      </c>
      <c r="J92" s="13">
        <v>0</v>
      </c>
      <c r="K92" s="13">
        <v>497.9</v>
      </c>
      <c r="L92" s="13">
        <v>1107.0999999999999</v>
      </c>
      <c r="M92" s="13">
        <v>936.5</v>
      </c>
      <c r="N92" s="13">
        <v>438.8</v>
      </c>
      <c r="O92" s="13">
        <v>492.6</v>
      </c>
      <c r="P92" s="13">
        <v>18.3</v>
      </c>
      <c r="Q92" s="13">
        <v>0</v>
      </c>
      <c r="R92" s="13">
        <v>1596.1</v>
      </c>
      <c r="S92" s="13">
        <v>200</v>
      </c>
      <c r="T92" s="13">
        <v>0</v>
      </c>
      <c r="U92" s="13">
        <v>200</v>
      </c>
      <c r="V92" s="13">
        <v>175</v>
      </c>
      <c r="W92" s="13">
        <v>0</v>
      </c>
      <c r="X92" s="13">
        <v>52.8</v>
      </c>
      <c r="Y92" s="13">
        <v>34.5</v>
      </c>
      <c r="Z92" s="13">
        <v>33.5</v>
      </c>
      <c r="AA92" s="13"/>
      <c r="AB92" s="13"/>
      <c r="AC92" s="13"/>
      <c r="AD92" s="13"/>
      <c r="AR92" s="17">
        <f>+S92</f>
        <v>200</v>
      </c>
      <c r="AS92" s="17">
        <f t="shared" ref="AS92:BB92" si="133">AR92-(AR92*$BI$59)</f>
        <v>190</v>
      </c>
      <c r="AT92" s="17">
        <f t="shared" si="133"/>
        <v>180.5</v>
      </c>
      <c r="AU92" s="17">
        <f t="shared" si="133"/>
        <v>171.47499999999999</v>
      </c>
      <c r="AV92" s="17">
        <f t="shared" si="133"/>
        <v>162.90125</v>
      </c>
      <c r="AW92" s="17">
        <f t="shared" si="133"/>
        <v>154.75618750000001</v>
      </c>
      <c r="AX92" s="17">
        <f t="shared" si="133"/>
        <v>147.018378125</v>
      </c>
      <c r="AY92" s="17">
        <f t="shared" si="133"/>
        <v>139.66745921875</v>
      </c>
      <c r="AZ92" s="17">
        <f t="shared" si="133"/>
        <v>132.68408625781251</v>
      </c>
      <c r="BA92" s="17">
        <f t="shared" si="133"/>
        <v>126.04988194492188</v>
      </c>
      <c r="BB92" s="17">
        <f t="shared" si="133"/>
        <v>119.74738784767578</v>
      </c>
    </row>
    <row r="93" spans="2:54">
      <c r="B93" s="17" t="s">
        <v>81</v>
      </c>
      <c r="J93" s="13">
        <v>0</v>
      </c>
      <c r="K93" s="13">
        <v>498.7</v>
      </c>
      <c r="L93" s="13">
        <v>1249.4000000000001</v>
      </c>
      <c r="M93" s="13">
        <v>1249.5999999999999</v>
      </c>
      <c r="N93" s="13">
        <v>1249.9000000000001</v>
      </c>
      <c r="O93" s="13">
        <v>750</v>
      </c>
      <c r="P93" s="13">
        <v>0</v>
      </c>
      <c r="Q93" s="13">
        <v>998.9</v>
      </c>
      <c r="R93" s="13">
        <v>998.9</v>
      </c>
      <c r="S93" s="13">
        <v>998.9</v>
      </c>
      <c r="T93" s="13">
        <v>1998.6</v>
      </c>
      <c r="U93" s="13">
        <v>999.1</v>
      </c>
      <c r="V93" s="13">
        <v>1749</v>
      </c>
      <c r="W93" s="13">
        <v>1749.3</v>
      </c>
      <c r="X93" s="13">
        <v>1888.7</v>
      </c>
      <c r="Y93" s="13">
        <v>1835.9</v>
      </c>
      <c r="Z93" s="13">
        <v>1818.6</v>
      </c>
      <c r="AA93" s="13"/>
      <c r="AB93" s="13"/>
      <c r="AC93" s="13"/>
      <c r="AD93" s="13"/>
    </row>
    <row r="94" spans="2:54" s="19" customFormat="1">
      <c r="B94" s="19" t="s">
        <v>59</v>
      </c>
      <c r="C94" s="22"/>
      <c r="D94" s="22"/>
      <c r="E94" s="22"/>
      <c r="F94" s="22"/>
      <c r="G94" s="22"/>
      <c r="H94" s="22"/>
      <c r="I94" s="22"/>
      <c r="J94" s="22">
        <f t="shared" ref="J94:K94" si="134">+SUM(J86:J93)</f>
        <v>4979</v>
      </c>
      <c r="K94" s="22">
        <f t="shared" si="134"/>
        <v>7589.9000000000005</v>
      </c>
      <c r="L94" s="22">
        <f t="shared" ref="L94:M94" si="135">+SUM(L86:L93)</f>
        <v>7268.0999999999985</v>
      </c>
      <c r="M94" s="22">
        <f t="shared" si="135"/>
        <v>7141.2000000000007</v>
      </c>
      <c r="N94" s="22">
        <f t="shared" ref="N94:T94" si="136">+SUM(N86:N93)</f>
        <v>6348.9</v>
      </c>
      <c r="O94" s="22">
        <f t="shared" si="136"/>
        <v>6833.3</v>
      </c>
      <c r="P94" s="22">
        <f t="shared" si="136"/>
        <v>5471.5</v>
      </c>
      <c r="Q94" s="22">
        <f t="shared" si="136"/>
        <v>6672.8</v>
      </c>
      <c r="R94" s="22">
        <f t="shared" si="136"/>
        <v>6939.7999999999993</v>
      </c>
      <c r="S94" s="22">
        <f t="shared" si="136"/>
        <v>7631.2999999999993</v>
      </c>
      <c r="T94" s="22">
        <f t="shared" si="136"/>
        <v>7774.8000000000011</v>
      </c>
      <c r="U94" s="22">
        <f t="shared" ref="U94:W94" si="137">+SUM(U86:U93)</f>
        <v>6912.6</v>
      </c>
      <c r="V94" s="22">
        <f t="shared" si="137"/>
        <v>7710.4</v>
      </c>
      <c r="W94" s="22">
        <f t="shared" si="137"/>
        <v>7898</v>
      </c>
      <c r="X94" s="22">
        <f t="shared" ref="X94:Y94" si="138">+SUM(X86:X93)</f>
        <v>7686.99</v>
      </c>
      <c r="Y94" s="22">
        <f t="shared" si="138"/>
        <v>7711.1</v>
      </c>
      <c r="Z94" s="22">
        <f t="shared" ref="Z94" si="139">+SUM(Z86:Z93)</f>
        <v>7801</v>
      </c>
      <c r="AA94" s="22"/>
      <c r="AB94" s="22"/>
      <c r="AC94" s="22"/>
      <c r="AD94" s="22"/>
    </row>
    <row r="95" spans="2:54">
      <c r="B95" s="17" t="s">
        <v>82</v>
      </c>
      <c r="J95" s="13">
        <v>11167</v>
      </c>
      <c r="K95" s="13">
        <v>10653.2</v>
      </c>
      <c r="L95" s="13">
        <v>11658.7</v>
      </c>
      <c r="M95" s="13">
        <v>14645.6</v>
      </c>
      <c r="N95" s="13">
        <v>14659.9</v>
      </c>
      <c r="O95" s="13">
        <v>14673.5</v>
      </c>
      <c r="P95" s="13">
        <v>14630.3</v>
      </c>
      <c r="Q95" s="13">
        <v>13619.2</v>
      </c>
      <c r="R95" s="13">
        <v>13616.9</v>
      </c>
      <c r="S95" s="13">
        <v>13586.3</v>
      </c>
      <c r="T95" s="13">
        <v>14014.4</v>
      </c>
      <c r="U95" s="13">
        <v>3930.8</v>
      </c>
      <c r="V95" s="13">
        <v>13119.9</v>
      </c>
      <c r="W95" s="13">
        <v>13176.7</v>
      </c>
      <c r="X95" s="13">
        <v>13544.8</v>
      </c>
      <c r="Y95" s="13">
        <v>13544.4</v>
      </c>
      <c r="Z95" s="13">
        <v>13547.6</v>
      </c>
      <c r="AA95" s="13"/>
      <c r="AB95" s="13"/>
      <c r="AC95" s="13"/>
      <c r="AD95" s="13"/>
      <c r="AR95" s="17">
        <f>+S95</f>
        <v>13586.3</v>
      </c>
      <c r="AS95" s="17">
        <f t="shared" ref="AS95:BB95" si="140">AR95-(AR95*$BI$59)</f>
        <v>12906.984999999999</v>
      </c>
      <c r="AT95" s="17">
        <f t="shared" si="140"/>
        <v>12261.635749999999</v>
      </c>
      <c r="AU95" s="17">
        <f t="shared" si="140"/>
        <v>11648.5539625</v>
      </c>
      <c r="AV95" s="17">
        <f t="shared" si="140"/>
        <v>11066.126264375</v>
      </c>
      <c r="AW95" s="17">
        <f t="shared" si="140"/>
        <v>10512.819951156249</v>
      </c>
      <c r="AX95" s="17">
        <f t="shared" si="140"/>
        <v>9987.1789535984371</v>
      </c>
      <c r="AY95" s="17">
        <f t="shared" si="140"/>
        <v>9487.8200059185147</v>
      </c>
      <c r="AZ95" s="17">
        <f t="shared" si="140"/>
        <v>9013.4290056225891</v>
      </c>
      <c r="BA95" s="17">
        <f t="shared" si="140"/>
        <v>8562.757555341459</v>
      </c>
      <c r="BB95" s="17">
        <f t="shared" si="140"/>
        <v>8134.6196775743865</v>
      </c>
    </row>
    <row r="96" spans="2:54">
      <c r="B96" s="17" t="s">
        <v>83</v>
      </c>
      <c r="J96" s="13">
        <v>0</v>
      </c>
      <c r="K96" s="13">
        <v>7711.7</v>
      </c>
      <c r="L96" s="13">
        <v>7650.4</v>
      </c>
      <c r="M96" s="13">
        <v>7653.6</v>
      </c>
      <c r="N96" s="13">
        <v>7661.7</v>
      </c>
      <c r="O96" s="13">
        <v>7754.5</v>
      </c>
      <c r="P96" s="13">
        <v>7577.7</v>
      </c>
      <c r="Q96" s="13">
        <v>7597.8</v>
      </c>
      <c r="R96" s="13">
        <v>7738</v>
      </c>
      <c r="S96" s="13">
        <v>7708</v>
      </c>
      <c r="T96" s="13">
        <v>7668.5</v>
      </c>
      <c r="U96" s="13">
        <v>7554.4</v>
      </c>
      <c r="V96" s="13">
        <v>7515.2</v>
      </c>
      <c r="W96" s="13">
        <v>7635.4</v>
      </c>
      <c r="X96" s="13">
        <v>7753.5</v>
      </c>
      <c r="Y96" s="13">
        <v>7691.2</v>
      </c>
      <c r="Z96" s="13">
        <v>7924.8</v>
      </c>
      <c r="AA96" s="13"/>
      <c r="AB96" s="13"/>
      <c r="AC96" s="13"/>
      <c r="AD96" s="13"/>
    </row>
    <row r="97" spans="2:30">
      <c r="B97" s="17" t="s">
        <v>84</v>
      </c>
      <c r="J97" s="13">
        <v>6744.4</v>
      </c>
      <c r="K97" s="13">
        <v>6748.8</v>
      </c>
      <c r="L97" s="13">
        <v>6685.5</v>
      </c>
      <c r="M97" s="13">
        <v>6642.6</v>
      </c>
      <c r="N97" s="13">
        <v>6598.5</v>
      </c>
      <c r="O97" s="13">
        <v>6597.7</v>
      </c>
      <c r="P97" s="13">
        <v>6532.1</v>
      </c>
      <c r="Q97" s="13">
        <v>6491.4</v>
      </c>
      <c r="R97" s="13">
        <v>6463</v>
      </c>
      <c r="S97" s="13">
        <v>6447.7</v>
      </c>
      <c r="T97" s="13">
        <v>6381.9</v>
      </c>
      <c r="U97" s="13">
        <v>6333.1</v>
      </c>
      <c r="V97" s="13">
        <v>6279.7</v>
      </c>
      <c r="W97" s="13">
        <v>6263.5</v>
      </c>
      <c r="X97" s="13">
        <v>6200.2</v>
      </c>
      <c r="Y97" s="13">
        <v>6152.5</v>
      </c>
      <c r="Z97" s="13">
        <v>6101.8</v>
      </c>
      <c r="AA97" s="13"/>
      <c r="AB97" s="13"/>
      <c r="AC97" s="13"/>
      <c r="AD97" s="13"/>
    </row>
    <row r="98" spans="2:30">
      <c r="B98" s="17" t="s">
        <v>85</v>
      </c>
      <c r="J98" s="13">
        <v>1370.5</v>
      </c>
      <c r="K98" s="13">
        <v>701.2</v>
      </c>
      <c r="L98" s="13">
        <v>751.4</v>
      </c>
      <c r="M98" s="13">
        <v>821.1</v>
      </c>
      <c r="N98" s="13">
        <v>907.3</v>
      </c>
      <c r="O98" s="13">
        <v>962.8</v>
      </c>
      <c r="P98" s="13">
        <v>774.8</v>
      </c>
      <c r="Q98" s="13">
        <v>762.9</v>
      </c>
      <c r="R98" s="13">
        <v>737.8</v>
      </c>
      <c r="S98" s="13">
        <v>621.1</v>
      </c>
      <c r="T98" s="13">
        <v>613.6</v>
      </c>
      <c r="U98" s="13">
        <v>594.4</v>
      </c>
      <c r="V98" s="13">
        <v>610.5</v>
      </c>
      <c r="W98" s="13">
        <v>600.5</v>
      </c>
      <c r="X98" s="13">
        <v>488.1</v>
      </c>
      <c r="Y98" s="13">
        <v>471.9</v>
      </c>
      <c r="Z98" s="13">
        <v>513.79999999999995</v>
      </c>
      <c r="AA98" s="13"/>
      <c r="AB98" s="13"/>
      <c r="AC98" s="13"/>
      <c r="AD98" s="13"/>
    </row>
    <row r="99" spans="2:30" s="19" customFormat="1">
      <c r="B99" s="19" t="s">
        <v>58</v>
      </c>
      <c r="C99" s="22"/>
      <c r="D99" s="22"/>
      <c r="E99" s="22"/>
      <c r="F99" s="22"/>
      <c r="G99" s="22"/>
      <c r="H99" s="22"/>
      <c r="I99" s="22"/>
      <c r="J99" s="22">
        <f t="shared" ref="J99:K99" si="141">+SUM(J94:J98)</f>
        <v>24260.9</v>
      </c>
      <c r="K99" s="22">
        <f t="shared" si="141"/>
        <v>33404.800000000003</v>
      </c>
      <c r="L99" s="22">
        <f t="shared" ref="L99:M99" si="142">+SUM(L94:L98)</f>
        <v>34014.1</v>
      </c>
      <c r="M99" s="22">
        <f t="shared" si="142"/>
        <v>36904.1</v>
      </c>
      <c r="N99" s="22">
        <f t="shared" ref="N99:T99" si="143">+SUM(N94:N98)</f>
        <v>36176.300000000003</v>
      </c>
      <c r="O99" s="22">
        <f t="shared" si="143"/>
        <v>36821.800000000003</v>
      </c>
      <c r="P99" s="22">
        <f t="shared" si="143"/>
        <v>34986.400000000001</v>
      </c>
      <c r="Q99" s="22">
        <f t="shared" si="143"/>
        <v>35144.1</v>
      </c>
      <c r="R99" s="22">
        <f t="shared" si="143"/>
        <v>35495.5</v>
      </c>
      <c r="S99" s="22">
        <f t="shared" si="143"/>
        <v>35994.399999999994</v>
      </c>
      <c r="T99" s="22">
        <f t="shared" si="143"/>
        <v>36453.199999999997</v>
      </c>
      <c r="U99" s="22">
        <f t="shared" ref="U99:V99" si="144">+SUM(U94:U98)</f>
        <v>25325.300000000003</v>
      </c>
      <c r="V99" s="22">
        <f t="shared" si="144"/>
        <v>35235.699999999997</v>
      </c>
      <c r="W99" s="22">
        <f t="shared" ref="W99:X99" si="145">+SUM(W94:W98)</f>
        <v>35574.1</v>
      </c>
      <c r="X99" s="22">
        <f t="shared" si="145"/>
        <v>35673.589999999997</v>
      </c>
      <c r="Y99" s="22">
        <f t="shared" ref="Y99:Z99" si="146">+SUM(Y94:Y98)</f>
        <v>35571.1</v>
      </c>
      <c r="Z99" s="22">
        <f t="shared" si="146"/>
        <v>35889</v>
      </c>
      <c r="AA99" s="22"/>
      <c r="AB99" s="22"/>
      <c r="AC99" s="22"/>
      <c r="AD99" s="22"/>
    </row>
    <row r="100" spans="2:30">
      <c r="B100" s="17" t="s">
        <v>57</v>
      </c>
      <c r="J100" s="13">
        <v>-6231</v>
      </c>
      <c r="K100" s="13">
        <v>-6759.1</v>
      </c>
      <c r="L100" s="13">
        <v>-7532.9</v>
      </c>
      <c r="M100" s="13">
        <v>-8624.2999999999993</v>
      </c>
      <c r="N100" s="13">
        <v>-7799.4</v>
      </c>
      <c r="O100" s="13">
        <v>-7904</v>
      </c>
      <c r="P100" s="13">
        <v>-7648.3</v>
      </c>
      <c r="Q100" s="13">
        <v>-6794.3</v>
      </c>
      <c r="R100" s="13">
        <v>-5314.5</v>
      </c>
      <c r="S100" s="13">
        <v>-8450.2999999999993</v>
      </c>
      <c r="T100" s="13">
        <v>-8761.2000000000007</v>
      </c>
      <c r="U100" s="13">
        <v>-8658.9</v>
      </c>
      <c r="V100" s="13">
        <v>-8698.7000000000007</v>
      </c>
      <c r="W100" s="13">
        <v>-8665.9</v>
      </c>
      <c r="X100" s="13">
        <v>-8499.4</v>
      </c>
      <c r="Y100" s="13">
        <v>-8341.6</v>
      </c>
      <c r="Z100" s="13">
        <v>-7987.8</v>
      </c>
      <c r="AA100" s="13"/>
      <c r="AB100" s="13"/>
      <c r="AC100" s="13"/>
      <c r="AD100" s="13"/>
    </row>
    <row r="101" spans="2:30" s="19" customFormat="1">
      <c r="B101" s="19" t="s">
        <v>56</v>
      </c>
      <c r="C101" s="22"/>
      <c r="D101" s="22"/>
      <c r="E101" s="22"/>
      <c r="F101" s="22"/>
      <c r="G101" s="22"/>
      <c r="H101" s="22"/>
      <c r="I101" s="22"/>
      <c r="J101" s="22">
        <f t="shared" ref="J101:K101" si="147">+J99+J100</f>
        <v>18029.900000000001</v>
      </c>
      <c r="K101" s="22">
        <f t="shared" si="147"/>
        <v>26645.700000000004</v>
      </c>
      <c r="L101" s="22">
        <f t="shared" ref="L101:M101" si="148">+L99+L100</f>
        <v>26481.199999999997</v>
      </c>
      <c r="M101" s="22">
        <f t="shared" si="148"/>
        <v>28279.8</v>
      </c>
      <c r="N101" s="22">
        <f t="shared" ref="N101:T101" si="149">+N99+N100</f>
        <v>28376.9</v>
      </c>
      <c r="O101" s="22">
        <f t="shared" si="149"/>
        <v>28917.800000000003</v>
      </c>
      <c r="P101" s="22">
        <f t="shared" si="149"/>
        <v>27338.100000000002</v>
      </c>
      <c r="Q101" s="22">
        <f t="shared" si="149"/>
        <v>28349.8</v>
      </c>
      <c r="R101" s="22">
        <f t="shared" si="149"/>
        <v>30181</v>
      </c>
      <c r="S101" s="22">
        <f t="shared" si="149"/>
        <v>27544.099999999995</v>
      </c>
      <c r="T101" s="22">
        <f t="shared" si="149"/>
        <v>27691.999999999996</v>
      </c>
      <c r="U101" s="22">
        <f t="shared" ref="U101:V101" si="150">+U99+U100</f>
        <v>16666.400000000001</v>
      </c>
      <c r="V101" s="22">
        <f t="shared" si="150"/>
        <v>26536.999999999996</v>
      </c>
      <c r="W101" s="22">
        <f t="shared" ref="W101:X101" si="151">+W99+W100</f>
        <v>26908.199999999997</v>
      </c>
      <c r="X101" s="22">
        <f t="shared" si="151"/>
        <v>27174.189999999995</v>
      </c>
      <c r="Y101" s="22">
        <f t="shared" ref="Y101:Z101" si="152">+Y99+Y100</f>
        <v>27229.5</v>
      </c>
      <c r="Z101" s="22">
        <f t="shared" si="152"/>
        <v>27901.200000000001</v>
      </c>
      <c r="AA101" s="22"/>
      <c r="AB101" s="22"/>
      <c r="AC101" s="22"/>
      <c r="AD101" s="22"/>
    </row>
    <row r="102" spans="2:30" s="19" customFormat="1"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2:30" s="19" customFormat="1">
      <c r="B103" s="50" t="s">
        <v>184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2:30" s="19" customFormat="1">
      <c r="B104" s="17" t="s">
        <v>185</v>
      </c>
      <c r="C104" s="22"/>
      <c r="D104" s="22"/>
      <c r="E104" s="22"/>
      <c r="F104" s="22"/>
      <c r="G104" s="22"/>
      <c r="H104" s="22"/>
      <c r="I104" s="22"/>
      <c r="J104" s="13">
        <f>+J95+J93+J92</f>
        <v>11167</v>
      </c>
      <c r="K104" s="13">
        <f t="shared" ref="K104:Z104" si="153">+K95+K93+K92</f>
        <v>11649.800000000001</v>
      </c>
      <c r="L104" s="13">
        <f t="shared" si="153"/>
        <v>14015.2</v>
      </c>
      <c r="M104" s="13">
        <f t="shared" si="153"/>
        <v>16831.7</v>
      </c>
      <c r="N104" s="13">
        <f t="shared" si="153"/>
        <v>16348.599999999999</v>
      </c>
      <c r="O104" s="13">
        <f t="shared" si="153"/>
        <v>15916.1</v>
      </c>
      <c r="P104" s="13">
        <f t="shared" si="153"/>
        <v>14648.599999999999</v>
      </c>
      <c r="Q104" s="13">
        <f t="shared" si="153"/>
        <v>14618.1</v>
      </c>
      <c r="R104" s="13">
        <f t="shared" si="153"/>
        <v>16211.9</v>
      </c>
      <c r="S104" s="13">
        <f t="shared" si="153"/>
        <v>14785.199999999999</v>
      </c>
      <c r="T104" s="13">
        <f t="shared" si="153"/>
        <v>16013</v>
      </c>
      <c r="U104" s="13">
        <f t="shared" si="153"/>
        <v>5129.9000000000005</v>
      </c>
      <c r="V104" s="13">
        <f t="shared" si="153"/>
        <v>15043.9</v>
      </c>
      <c r="W104" s="13">
        <f t="shared" si="153"/>
        <v>14926</v>
      </c>
      <c r="X104" s="13">
        <f t="shared" si="153"/>
        <v>15486.3</v>
      </c>
      <c r="Y104" s="13">
        <f t="shared" si="153"/>
        <v>15414.8</v>
      </c>
      <c r="Z104" s="13">
        <f t="shared" si="153"/>
        <v>15399.7</v>
      </c>
    </row>
    <row r="105" spans="2:30" s="19" customFormat="1">
      <c r="B105" s="17" t="s">
        <v>186</v>
      </c>
      <c r="C105" s="22"/>
      <c r="D105" s="22"/>
      <c r="E105" s="22"/>
      <c r="F105" s="22"/>
      <c r="G105" s="22"/>
      <c r="H105" s="22"/>
      <c r="I105" s="22"/>
      <c r="J105" s="13">
        <f>+J104-J70-J71</f>
        <v>8409.9</v>
      </c>
      <c r="K105" s="13">
        <f t="shared" ref="K105:Z105" si="154">+K104-K70-K71</f>
        <v>8540.9000000000015</v>
      </c>
      <c r="L105" s="13">
        <f t="shared" si="154"/>
        <v>11390.000000000002</v>
      </c>
      <c r="M105" s="13">
        <f t="shared" si="154"/>
        <v>12635.900000000001</v>
      </c>
      <c r="N105" s="13">
        <f t="shared" si="154"/>
        <v>11716.499999999998</v>
      </c>
      <c r="O105" s="13">
        <f t="shared" si="154"/>
        <v>10652.5</v>
      </c>
      <c r="P105" s="13">
        <f t="shared" si="154"/>
        <v>10644.899999999998</v>
      </c>
      <c r="Q105" s="13">
        <f t="shared" si="154"/>
        <v>9711.4</v>
      </c>
      <c r="R105" s="13">
        <f t="shared" si="154"/>
        <v>9594</v>
      </c>
      <c r="S105" s="13">
        <f t="shared" si="154"/>
        <v>10728.4</v>
      </c>
      <c r="T105" s="13">
        <f t="shared" si="154"/>
        <v>12017.5</v>
      </c>
      <c r="U105" s="13">
        <f t="shared" si="154"/>
        <v>1875.5000000000005</v>
      </c>
      <c r="V105" s="13">
        <f t="shared" si="154"/>
        <v>11861</v>
      </c>
      <c r="W105" s="13">
        <f t="shared" si="154"/>
        <v>11615.6</v>
      </c>
      <c r="X105" s="13">
        <f t="shared" si="154"/>
        <v>12035.1</v>
      </c>
      <c r="Y105" s="13">
        <f t="shared" si="154"/>
        <v>11794.8</v>
      </c>
      <c r="Z105" s="13">
        <f t="shared" si="154"/>
        <v>11446.7</v>
      </c>
    </row>
    <row r="106" spans="2:30" s="19" customFormat="1">
      <c r="B106" s="17" t="s">
        <v>187</v>
      </c>
      <c r="C106" s="22"/>
      <c r="D106" s="22"/>
      <c r="E106" s="22"/>
      <c r="F106" s="22"/>
      <c r="G106" s="22"/>
      <c r="H106" s="22"/>
      <c r="I106" s="22"/>
      <c r="J106" s="51">
        <f t="shared" ref="J106:Z106" si="155">+J105/J52</f>
        <v>6.9756967485069676</v>
      </c>
      <c r="K106" s="51">
        <f t="shared" si="155"/>
        <v>7.171200671704451</v>
      </c>
      <c r="L106" s="51">
        <f t="shared" si="155"/>
        <v>9.6468196832387587</v>
      </c>
      <c r="M106" s="51">
        <f t="shared" si="155"/>
        <v>10.8137783483098</v>
      </c>
      <c r="N106" s="51">
        <f t="shared" si="155"/>
        <v>9.9376590330788783</v>
      </c>
      <c r="O106" s="51">
        <f t="shared" si="155"/>
        <v>9.0046491969568887</v>
      </c>
      <c r="P106" s="51">
        <f t="shared" si="155"/>
        <v>8.984554355165427</v>
      </c>
      <c r="Q106" s="51">
        <f t="shared" si="155"/>
        <v>8.1869836452537506</v>
      </c>
      <c r="R106" s="51">
        <f t="shared" si="155"/>
        <v>8.0764374105564443</v>
      </c>
      <c r="S106" s="51">
        <f t="shared" si="155"/>
        <v>9.1181370049294586</v>
      </c>
      <c r="T106" s="51">
        <f t="shared" si="155"/>
        <v>10.414680648236414</v>
      </c>
      <c r="U106" s="51">
        <f t="shared" si="155"/>
        <v>1.6294526498696789</v>
      </c>
      <c r="V106" s="51">
        <f t="shared" si="155"/>
        <v>7.7751556866601117</v>
      </c>
      <c r="W106" s="51">
        <f t="shared" si="155"/>
        <v>9.8721740608533075</v>
      </c>
      <c r="X106" s="51">
        <f t="shared" si="155"/>
        <v>10.440791185911339</v>
      </c>
      <c r="Y106" s="51">
        <f t="shared" si="155"/>
        <v>10.251890482398956</v>
      </c>
      <c r="Z106" s="51">
        <f t="shared" si="155"/>
        <v>10.080745079882528</v>
      </c>
    </row>
    <row r="107" spans="2:30" s="19" customFormat="1">
      <c r="B107" s="17" t="s">
        <v>188</v>
      </c>
      <c r="C107" s="22"/>
      <c r="D107" s="22"/>
      <c r="E107" s="22"/>
      <c r="F107" s="22"/>
      <c r="G107" s="22"/>
      <c r="H107" s="22"/>
      <c r="I107" s="22"/>
      <c r="J107" s="51">
        <f t="shared" ref="J107:Z107" si="156">+J100/J52</f>
        <v>-5.1683808891838092</v>
      </c>
      <c r="K107" s="51">
        <f t="shared" si="156"/>
        <v>-5.6751469353484474</v>
      </c>
      <c r="L107" s="51">
        <f t="shared" si="156"/>
        <v>-6.3800287964766662</v>
      </c>
      <c r="M107" s="51">
        <f t="shared" si="156"/>
        <v>-7.3806589644843807</v>
      </c>
      <c r="N107" s="51">
        <f t="shared" si="156"/>
        <v>-6.6152671755725185</v>
      </c>
      <c r="O107" s="51">
        <f t="shared" si="156"/>
        <v>-6.6813186813186816</v>
      </c>
      <c r="P107" s="51">
        <f t="shared" si="156"/>
        <v>-6.4553511141120872</v>
      </c>
      <c r="Q107" s="51">
        <f t="shared" si="156"/>
        <v>-5.7277862080593493</v>
      </c>
      <c r="R107" s="51">
        <f t="shared" si="156"/>
        <v>-4.4738614361478239</v>
      </c>
      <c r="S107" s="51">
        <f t="shared" si="156"/>
        <v>-7.1819649838517758</v>
      </c>
      <c r="T107" s="51">
        <f t="shared" si="156"/>
        <v>-7.5926856746685152</v>
      </c>
      <c r="U107" s="51">
        <f t="shared" si="156"/>
        <v>-7.522936576889661</v>
      </c>
      <c r="V107" s="51">
        <f t="shared" si="156"/>
        <v>-5.7021960013110462</v>
      </c>
      <c r="W107" s="51">
        <f t="shared" si="156"/>
        <v>-7.365204827468979</v>
      </c>
      <c r="X107" s="51">
        <f t="shared" si="156"/>
        <v>-7.3734709811746333</v>
      </c>
      <c r="Y107" s="51">
        <f t="shared" si="156"/>
        <v>-7.2504128639721861</v>
      </c>
      <c r="Z107" s="51">
        <f t="shared" si="156"/>
        <v>-7.0346017235609963</v>
      </c>
    </row>
    <row r="108" spans="2:30">
      <c r="B108" s="17" t="s">
        <v>114</v>
      </c>
      <c r="J108" s="13">
        <f>+J75-J94</f>
        <v>674.90000000000055</v>
      </c>
      <c r="K108" s="13">
        <f>+K75-K94</f>
        <v>-1690.2000000000007</v>
      </c>
      <c r="L108" s="13">
        <f>+L75-L94</f>
        <v>-1518.199999999998</v>
      </c>
      <c r="M108" s="13">
        <f>+M75-M94</f>
        <v>439.80000000000018</v>
      </c>
      <c r="N108" s="13">
        <f>+N75-N94</f>
        <v>1457.5</v>
      </c>
      <c r="O108" s="13">
        <f t="shared" ref="O108:S108" si="157">+O75-O94</f>
        <v>1524.1999999999998</v>
      </c>
      <c r="P108" s="13">
        <f t="shared" si="157"/>
        <v>1508</v>
      </c>
      <c r="Q108" s="13">
        <f t="shared" si="157"/>
        <v>1258.9000000000005</v>
      </c>
      <c r="R108" s="13">
        <f t="shared" si="157"/>
        <v>2816.6000000000004</v>
      </c>
      <c r="S108" s="13">
        <f t="shared" si="157"/>
        <v>-376.19999999999891</v>
      </c>
      <c r="T108" s="13">
        <f t="shared" ref="T108:U108" si="158">+T75-T94</f>
        <v>-233.70000000000164</v>
      </c>
      <c r="U108" s="13">
        <f t="shared" si="158"/>
        <v>154.89999999999964</v>
      </c>
      <c r="V108" s="13">
        <f t="shared" ref="V108:W108" si="159">+V75-V94</f>
        <v>-691.69999999999982</v>
      </c>
      <c r="W108" s="13">
        <f t="shared" si="159"/>
        <v>-963.10000000000036</v>
      </c>
      <c r="X108" s="13">
        <f t="shared" ref="X108:Y108" si="160">+X75-X94</f>
        <v>-640.78999999999905</v>
      </c>
      <c r="Y108" s="13">
        <f t="shared" si="160"/>
        <v>-540.40000000000055</v>
      </c>
      <c r="Z108" s="13">
        <f t="shared" ref="Z108" si="161">+Z75-Z94</f>
        <v>-497.60000000000036</v>
      </c>
      <c r="AA108" s="13"/>
      <c r="AB108" s="13"/>
      <c r="AC108" s="13"/>
      <c r="AD108" s="13"/>
    </row>
    <row r="109" spans="2:30">
      <c r="Y109" s="13"/>
      <c r="Z109" s="13"/>
      <c r="AA109" s="13"/>
      <c r="AB109" s="13"/>
      <c r="AC109" s="13"/>
      <c r="AD109" s="13"/>
    </row>
    <row r="110" spans="2:30">
      <c r="B110" s="50" t="s">
        <v>189</v>
      </c>
      <c r="Y110" s="13"/>
      <c r="Z110" s="13"/>
      <c r="AA110" s="13"/>
      <c r="AB110" s="13"/>
      <c r="AC110" s="13"/>
      <c r="AD110" s="13"/>
    </row>
    <row r="111" spans="2:30" s="20" customFormat="1">
      <c r="B111" s="20" t="s">
        <v>190</v>
      </c>
      <c r="C111" s="21"/>
      <c r="D111" s="21"/>
      <c r="E111" s="21"/>
      <c r="F111" s="21"/>
      <c r="G111" s="21"/>
      <c r="H111" s="21"/>
      <c r="I111" s="21"/>
      <c r="J111" s="21">
        <f t="shared" ref="J111:Z111" si="162">ABS(SUM(G46:J46))/J104</f>
        <v>2.9640906241604727E-2</v>
      </c>
      <c r="K111" s="21">
        <f t="shared" si="162"/>
        <v>2.9863173616714447E-2</v>
      </c>
      <c r="L111" s="21">
        <f t="shared" si="162"/>
        <v>2.6628232205034533E-2</v>
      </c>
      <c r="M111" s="21">
        <f t="shared" si="162"/>
        <v>2.4216211077906568E-2</v>
      </c>
      <c r="N111" s="21">
        <f t="shared" si="162"/>
        <v>2.6724000831875518E-2</v>
      </c>
      <c r="O111" s="21">
        <f t="shared" si="162"/>
        <v>2.9259680449356312E-2</v>
      </c>
      <c r="P111" s="21">
        <f t="shared" si="162"/>
        <v>3.287003536174106E-2</v>
      </c>
      <c r="Q111" s="21">
        <f t="shared" si="162"/>
        <v>3.2432395454949685E-2</v>
      </c>
      <c r="R111" s="21">
        <f t="shared" si="162"/>
        <v>2.8972544859023314E-2</v>
      </c>
      <c r="S111" s="21">
        <f t="shared" si="162"/>
        <v>3.1403024646267895E-2</v>
      </c>
      <c r="T111" s="21">
        <f t="shared" si="162"/>
        <v>2.925123337288453E-2</v>
      </c>
      <c r="U111" s="21">
        <f t="shared" si="162"/>
        <v>9.3198697830367064E-2</v>
      </c>
      <c r="V111" s="21">
        <f t="shared" si="162"/>
        <v>3.2092741908680597E-2</v>
      </c>
      <c r="W111" s="21">
        <f t="shared" si="162"/>
        <v>3.234624145785877E-2</v>
      </c>
      <c r="X111" s="21">
        <f t="shared" si="162"/>
        <v>3.2286601706024036E-2</v>
      </c>
      <c r="Y111" s="21">
        <f t="shared" si="162"/>
        <v>3.3591094273036304E-2</v>
      </c>
      <c r="Z111" s="21">
        <f t="shared" si="162"/>
        <v>3.5721475093670657E-2</v>
      </c>
      <c r="AA111" s="21"/>
      <c r="AB111" s="21"/>
      <c r="AC111" s="21"/>
      <c r="AD111" s="21"/>
    </row>
    <row r="112" spans="2:30" s="37" customFormat="1">
      <c r="B112" s="37" t="s">
        <v>142</v>
      </c>
      <c r="C112" s="52"/>
      <c r="D112" s="52"/>
      <c r="E112" s="52"/>
      <c r="F112" s="52"/>
      <c r="G112" s="52"/>
      <c r="H112" s="52"/>
      <c r="I112" s="52"/>
      <c r="J112" s="53">
        <f t="shared" ref="J112:Z112" si="163">+J35/(SUM(I73:J73)/2)</f>
        <v>2.7979599843075711</v>
      </c>
      <c r="K112" s="53">
        <f t="shared" si="163"/>
        <v>1.522344372213335</v>
      </c>
      <c r="L112" s="53">
        <f t="shared" si="163"/>
        <v>1.3772967010238202</v>
      </c>
      <c r="M112" s="53">
        <f t="shared" si="163"/>
        <v>0.96488946684005206</v>
      </c>
      <c r="N112" s="53">
        <f t="shared" si="163"/>
        <v>1.2610359785659608</v>
      </c>
      <c r="O112" s="53">
        <f t="shared" si="163"/>
        <v>1.3557180191207119</v>
      </c>
      <c r="P112" s="53">
        <f t="shared" si="163"/>
        <v>1.3393835501327687</v>
      </c>
      <c r="Q112" s="53">
        <f t="shared" si="163"/>
        <v>1.4457041745854904</v>
      </c>
      <c r="R112" s="53">
        <f t="shared" si="163"/>
        <v>1.5805970622759429</v>
      </c>
      <c r="S112" s="53">
        <f t="shared" si="163"/>
        <v>1.5593335390311633</v>
      </c>
      <c r="T112" s="53">
        <f t="shared" si="163"/>
        <v>1.3864102780354786</v>
      </c>
      <c r="U112" s="53">
        <f t="shared" si="163"/>
        <v>1.2897431468824792</v>
      </c>
      <c r="V112" s="53">
        <f t="shared" si="163"/>
        <v>1.2581505975171134</v>
      </c>
      <c r="W112" s="53">
        <f t="shared" si="163"/>
        <v>1.1850306000422071</v>
      </c>
      <c r="X112" s="53">
        <f t="shared" si="163"/>
        <v>1.37046004842615</v>
      </c>
      <c r="Y112" s="53">
        <f t="shared" si="163"/>
        <v>1.4365533152773597</v>
      </c>
      <c r="Z112" s="53">
        <f t="shared" si="163"/>
        <v>1.6957346971054996</v>
      </c>
      <c r="AA112" s="53"/>
      <c r="AB112" s="53"/>
      <c r="AC112" s="53"/>
      <c r="AD112" s="53"/>
    </row>
    <row r="113" spans="2:30">
      <c r="B113" s="17" t="s">
        <v>143</v>
      </c>
      <c r="J113" s="13">
        <f t="shared" ref="J113:Z113" si="164">+(J73/J35)*365</f>
        <v>260.90437464946717</v>
      </c>
      <c r="K113" s="13">
        <f t="shared" si="164"/>
        <v>229.9121355750313</v>
      </c>
      <c r="L113" s="13">
        <f t="shared" si="164"/>
        <v>272.64003604144767</v>
      </c>
      <c r="M113" s="13">
        <f t="shared" si="164"/>
        <v>389.54649595687329</v>
      </c>
      <c r="N113" s="13">
        <f t="shared" si="164"/>
        <v>286.45335896398223</v>
      </c>
      <c r="O113" s="13">
        <f t="shared" si="164"/>
        <v>262.11385486311065</v>
      </c>
      <c r="P113" s="13">
        <f t="shared" si="164"/>
        <v>275.45372415177673</v>
      </c>
      <c r="Q113" s="13">
        <f t="shared" si="164"/>
        <v>256.16183136899366</v>
      </c>
      <c r="R113" s="13">
        <f t="shared" si="164"/>
        <v>235.00602143631332</v>
      </c>
      <c r="S113" s="13">
        <f t="shared" si="164"/>
        <v>236.47215956310103</v>
      </c>
      <c r="T113" s="13">
        <f t="shared" si="164"/>
        <v>284.2079649606618</v>
      </c>
      <c r="U113" s="13">
        <f t="shared" si="164"/>
        <v>297.86826599326605</v>
      </c>
      <c r="V113" s="13">
        <f t="shared" si="164"/>
        <v>293.05016599040943</v>
      </c>
      <c r="W113" s="13">
        <f t="shared" si="164"/>
        <v>301.61719893941194</v>
      </c>
      <c r="X113" s="13">
        <f t="shared" si="164"/>
        <v>260.63425777206697</v>
      </c>
      <c r="Y113" s="13">
        <f t="shared" si="164"/>
        <v>253.21381188464494</v>
      </c>
      <c r="Z113" s="13">
        <f t="shared" si="164"/>
        <v>204.99828996051357</v>
      </c>
      <c r="AA113" s="13"/>
      <c r="AB113" s="13"/>
      <c r="AC113" s="53"/>
      <c r="AD113" s="13"/>
    </row>
    <row r="114" spans="2:30" s="20" customFormat="1">
      <c r="B114" s="20" t="s">
        <v>144</v>
      </c>
      <c r="C114" s="21"/>
      <c r="D114" s="21"/>
      <c r="E114" s="21"/>
      <c r="F114" s="21"/>
      <c r="G114" s="21"/>
      <c r="H114" s="21"/>
      <c r="I114" s="21"/>
      <c r="J114" s="21">
        <f t="shared" ref="J114:Z114" si="165">+SUM(G51:J51)/(SUM(I84:J84)/2)</f>
        <v>0.32387770817290679</v>
      </c>
      <c r="K114" s="21">
        <f t="shared" si="165"/>
        <v>0.13633817456108399</v>
      </c>
      <c r="L114" s="21">
        <f t="shared" si="165"/>
        <v>0.10299183846463153</v>
      </c>
      <c r="M114" s="21">
        <f t="shared" si="165"/>
        <v>5.0657459002640411E-2</v>
      </c>
      <c r="N114" s="21">
        <f t="shared" si="165"/>
        <v>4.1254308716895324E-2</v>
      </c>
      <c r="O114" s="21">
        <f t="shared" si="165"/>
        <v>3.4019233977442991E-2</v>
      </c>
      <c r="P114" s="21">
        <f t="shared" si="165"/>
        <v>4.6763718265824081E-2</v>
      </c>
      <c r="Q114" s="21">
        <f t="shared" si="165"/>
        <v>0.10847645142052093</v>
      </c>
      <c r="R114" s="21">
        <f t="shared" si="165"/>
        <v>0.11517830886278918</v>
      </c>
      <c r="S114" s="21">
        <f t="shared" si="165"/>
        <v>0.12020017865978599</v>
      </c>
      <c r="T114" s="21">
        <f t="shared" si="165"/>
        <v>0.12500475322960347</v>
      </c>
      <c r="U114" s="21">
        <f t="shared" si="165"/>
        <v>0.1178715403786454</v>
      </c>
      <c r="V114" s="21">
        <f t="shared" si="165"/>
        <v>0.11856544293695125</v>
      </c>
      <c r="W114" s="21">
        <f t="shared" si="165"/>
        <v>0.11834727791658139</v>
      </c>
      <c r="X114" s="21">
        <f t="shared" si="165"/>
        <v>0.12541259929200863</v>
      </c>
      <c r="Y114" s="21">
        <f t="shared" si="165"/>
        <v>0.13210909978724145</v>
      </c>
      <c r="Z114" s="21">
        <f t="shared" si="165"/>
        <v>0.14253719157420694</v>
      </c>
      <c r="AA114" s="21"/>
      <c r="AB114" s="21"/>
      <c r="AC114" s="21"/>
      <c r="AD114" s="21"/>
    </row>
    <row r="115" spans="2:30" s="19" customFormat="1"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2:30" s="19" customFormat="1"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2:30" s="19" customFormat="1"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2:30" s="19" customFormat="1"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2:30" s="19" customFormat="1"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2:30" hidden="1" outlineLevel="1">
      <c r="B120" s="17" t="s">
        <v>15</v>
      </c>
      <c r="N120" s="21">
        <f t="shared" ref="N120:S129" si="166">+N70/N$84</f>
        <v>0.14811826584282284</v>
      </c>
      <c r="O120" s="21">
        <f t="shared" si="166"/>
        <v>0.16778006166495377</v>
      </c>
      <c r="P120" s="21">
        <f t="shared" si="166"/>
        <v>0.13678066524036275</v>
      </c>
      <c r="Q120" s="21">
        <f t="shared" si="166"/>
        <v>0.16124884655050753</v>
      </c>
      <c r="R120" s="21">
        <f t="shared" si="166"/>
        <v>0.20564597050869163</v>
      </c>
      <c r="S120" s="21">
        <f t="shared" si="166"/>
        <v>0.1376643464810518</v>
      </c>
    </row>
    <row r="121" spans="2:30" hidden="1" outlineLevel="1">
      <c r="B121" s="17" t="s">
        <v>63</v>
      </c>
      <c r="N121" s="21">
        <f t="shared" si="166"/>
        <v>9.5729289009174618E-3</v>
      </c>
      <c r="O121" s="21">
        <f t="shared" si="166"/>
        <v>7.8582773855127401E-3</v>
      </c>
      <c r="P121" s="21">
        <f t="shared" si="166"/>
        <v>4.3353059562874271E-3</v>
      </c>
      <c r="Q121" s="21">
        <f t="shared" si="166"/>
        <v>5.2108777072138084E-3</v>
      </c>
      <c r="R121" s="21">
        <f t="shared" si="166"/>
        <v>5.1668721310639864E-3</v>
      </c>
      <c r="S121" s="21">
        <f t="shared" si="166"/>
        <v>3.0311543010137373E-3</v>
      </c>
    </row>
    <row r="122" spans="2:30" hidden="1" outlineLevel="1">
      <c r="B122" s="17" t="s">
        <v>64</v>
      </c>
      <c r="N122" s="21">
        <f t="shared" si="166"/>
        <v>3.0073703382185228E-2</v>
      </c>
      <c r="O122" s="21">
        <f t="shared" si="166"/>
        <v>2.9631211542825112E-2</v>
      </c>
      <c r="P122" s="21">
        <f t="shared" si="166"/>
        <v>3.1023872379871493E-2</v>
      </c>
      <c r="Q122" s="21">
        <f t="shared" si="166"/>
        <v>3.0912446398523585E-2</v>
      </c>
      <c r="R122" s="21">
        <f t="shared" si="166"/>
        <v>2.9943648601727175E-2</v>
      </c>
      <c r="S122" s="21">
        <f t="shared" si="166"/>
        <v>3.5759990844110572E-2</v>
      </c>
    </row>
    <row r="123" spans="2:30" hidden="1" outlineLevel="1">
      <c r="B123" s="17" t="s">
        <v>65</v>
      </c>
      <c r="N123" s="21">
        <f t="shared" si="166"/>
        <v>5.2814515991761568E-2</v>
      </c>
      <c r="O123" s="21">
        <f t="shared" si="166"/>
        <v>4.9101720478904452E-2</v>
      </c>
      <c r="P123" s="21">
        <f t="shared" si="166"/>
        <v>5.2996471836372155E-2</v>
      </c>
      <c r="Q123" s="21">
        <f t="shared" si="166"/>
        <v>5.2522661890028771E-2</v>
      </c>
      <c r="R123" s="21">
        <f t="shared" si="166"/>
        <v>5.1092146800330022E-2</v>
      </c>
      <c r="S123" s="21">
        <f t="shared" si="166"/>
        <v>5.6776918835121155E-2</v>
      </c>
    </row>
    <row r="124" spans="2:30" hidden="1" outlineLevel="1">
      <c r="B124" s="17" t="s">
        <v>66</v>
      </c>
      <c r="N124" s="21">
        <f t="shared" si="166"/>
        <v>2.5174896593984579E-2</v>
      </c>
      <c r="O124" s="21">
        <f t="shared" si="166"/>
        <v>2.4505812789471577E-2</v>
      </c>
      <c r="P124" s="21">
        <f t="shared" si="166"/>
        <v>2.0865862814001275E-2</v>
      </c>
      <c r="Q124" s="21">
        <f t="shared" si="166"/>
        <v>1.9187971557292516E-2</v>
      </c>
      <c r="R124" s="21">
        <f t="shared" si="166"/>
        <v>1.8940950487858488E-2</v>
      </c>
      <c r="S124" s="21">
        <f t="shared" si="166"/>
        <v>1.8384609782235495E-2</v>
      </c>
    </row>
    <row r="125" spans="2:30" hidden="1" outlineLevel="1">
      <c r="B125" s="17" t="s">
        <v>60</v>
      </c>
      <c r="N125" s="21">
        <f t="shared" si="166"/>
        <v>0.26575431071167166</v>
      </c>
      <c r="O125" s="21">
        <f t="shared" si="166"/>
        <v>0.27887708386166765</v>
      </c>
      <c r="P125" s="21">
        <f t="shared" si="166"/>
        <v>0.2460021782268951</v>
      </c>
      <c r="Q125" s="21">
        <f t="shared" si="166"/>
        <v>0.26908280410356622</v>
      </c>
      <c r="R125" s="21">
        <f t="shared" si="166"/>
        <v>0.31078958852967126</v>
      </c>
      <c r="S125" s="21">
        <f t="shared" si="166"/>
        <v>0.25161702024353277</v>
      </c>
    </row>
    <row r="126" spans="2:30" hidden="1" outlineLevel="1">
      <c r="B126" s="17" t="s">
        <v>67</v>
      </c>
      <c r="N126" s="21">
        <f t="shared" si="166"/>
        <v>7.0162896389725782E-3</v>
      </c>
      <c r="O126" s="21">
        <f t="shared" si="166"/>
        <v>6.3700431120780566E-3</v>
      </c>
      <c r="P126" s="21">
        <f t="shared" si="166"/>
        <v>1.0038171840249263E-2</v>
      </c>
      <c r="Q126" s="21">
        <f t="shared" si="166"/>
        <v>9.6991532323725781E-3</v>
      </c>
      <c r="R126" s="21">
        <f t="shared" si="166"/>
        <v>8.9735380969218573E-3</v>
      </c>
      <c r="S126" s="21">
        <f t="shared" si="166"/>
        <v>1.0390547237799952E-2</v>
      </c>
    </row>
    <row r="127" spans="2:30" hidden="1" outlineLevel="1">
      <c r="B127" s="17" t="s">
        <v>68</v>
      </c>
      <c r="N127" s="21">
        <f t="shared" si="166"/>
        <v>1.6296447599108071E-2</v>
      </c>
      <c r="O127" s="21">
        <f t="shared" si="166"/>
        <v>1.6550766807704117E-2</v>
      </c>
      <c r="P127" s="21">
        <f t="shared" si="166"/>
        <v>1.7602047110324724E-2</v>
      </c>
      <c r="Q127" s="21">
        <f t="shared" si="166"/>
        <v>1.8160044509580416E-2</v>
      </c>
      <c r="R127" s="21">
        <f t="shared" si="166"/>
        <v>8.5530528186848372E-3</v>
      </c>
      <c r="S127" s="21">
        <f t="shared" si="166"/>
        <v>8.7362444899926825E-3</v>
      </c>
    </row>
    <row r="128" spans="2:30" hidden="1" outlineLevel="1">
      <c r="B128" s="17" t="s">
        <v>69</v>
      </c>
      <c r="N128" s="21">
        <f t="shared" si="166"/>
        <v>0.21247680811588282</v>
      </c>
      <c r="O128" s="21">
        <f t="shared" si="166"/>
        <v>0.20614714165587752</v>
      </c>
      <c r="P128" s="21">
        <f t="shared" si="166"/>
        <v>0.21581716992637029</v>
      </c>
      <c r="Q128" s="21">
        <f t="shared" si="166"/>
        <v>0.20868615317809258</v>
      </c>
      <c r="R128" s="21">
        <f t="shared" si="166"/>
        <v>0.20290007422202261</v>
      </c>
      <c r="S128" s="21">
        <f t="shared" si="166"/>
        <v>0.22189159288198959</v>
      </c>
    </row>
    <row r="129" spans="2:19" hidden="1" outlineLevel="1">
      <c r="B129" s="17" t="s">
        <v>70</v>
      </c>
      <c r="N129" s="21">
        <f t="shared" si="166"/>
        <v>0.27691024528077074</v>
      </c>
      <c r="O129" s="21">
        <f t="shared" si="166"/>
        <v>0.27360152694171197</v>
      </c>
      <c r="P129" s="21">
        <f t="shared" si="166"/>
        <v>0.28326818625602274</v>
      </c>
      <c r="Q129" s="21">
        <f t="shared" si="166"/>
        <v>0.27361178961081256</v>
      </c>
      <c r="R129" s="21">
        <f t="shared" si="166"/>
        <v>0.26235732966364361</v>
      </c>
      <c r="S129" s="21">
        <f t="shared" si="166"/>
        <v>0.28450539122352508</v>
      </c>
    </row>
    <row r="130" spans="2:19" hidden="1" outlineLevel="1">
      <c r="B130" s="17" t="s">
        <v>71</v>
      </c>
      <c r="N130" s="21">
        <f t="shared" ref="N130:S139" si="167">+N80/N$84</f>
        <v>6.093380312856389E-2</v>
      </c>
      <c r="O130" s="21">
        <f t="shared" si="167"/>
        <v>5.9809666181711407E-2</v>
      </c>
      <c r="P130" s="21">
        <f t="shared" si="167"/>
        <v>6.2386110102672733E-2</v>
      </c>
      <c r="Q130" s="21">
        <f t="shared" si="167"/>
        <v>6.2795147370135154E-2</v>
      </c>
      <c r="R130" s="21">
        <f t="shared" si="167"/>
        <v>5.9712095004188927E-2</v>
      </c>
      <c r="S130" s="21">
        <f t="shared" si="167"/>
        <v>6.4496998324888408E-2</v>
      </c>
    </row>
    <row r="131" spans="2:19" hidden="1" outlineLevel="1">
      <c r="B131" s="17" t="s">
        <v>72</v>
      </c>
      <c r="N131" s="21">
        <f t="shared" si="167"/>
        <v>1.9356925224259136E-2</v>
      </c>
      <c r="O131" s="21">
        <f t="shared" si="167"/>
        <v>1.8055685321872374E-2</v>
      </c>
      <c r="P131" s="21">
        <f t="shared" si="167"/>
        <v>2.0263149546907656E-2</v>
      </c>
      <c r="Q131" s="21">
        <f t="shared" si="167"/>
        <v>1.989021874830375E-2</v>
      </c>
      <c r="R131" s="21">
        <f t="shared" si="167"/>
        <v>1.8428085868190607E-2</v>
      </c>
      <c r="S131" s="21">
        <f t="shared" si="167"/>
        <v>2.0392662803158781E-2</v>
      </c>
    </row>
    <row r="132" spans="2:19" hidden="1" outlineLevel="1">
      <c r="B132" s="17" t="s">
        <v>73</v>
      </c>
      <c r="N132" s="21">
        <f t="shared" si="167"/>
        <v>1.879521353554954E-2</v>
      </c>
      <c r="O132" s="21">
        <f t="shared" si="167"/>
        <v>1.6897799014962429E-2</v>
      </c>
      <c r="P132" s="21">
        <f t="shared" si="167"/>
        <v>1.5659971027467513E-2</v>
      </c>
      <c r="Q132" s="21">
        <f t="shared" si="167"/>
        <v>1.3502144059056614E-2</v>
      </c>
      <c r="R132" s="21">
        <f t="shared" si="167"/>
        <v>1.1146045367813126E-2</v>
      </c>
      <c r="S132" s="21">
        <f t="shared" si="167"/>
        <v>1.0491123295842741E-2</v>
      </c>
    </row>
    <row r="133" spans="2:19" hidden="1" outlineLevel="1">
      <c r="B133" s="17" t="s">
        <v>74</v>
      </c>
      <c r="N133" s="21">
        <f t="shared" si="167"/>
        <v>0.12245995676522153</v>
      </c>
      <c r="O133" s="21">
        <f t="shared" si="167"/>
        <v>0.12369028710241456</v>
      </c>
      <c r="P133" s="21">
        <f t="shared" si="167"/>
        <v>0.12896301596308998</v>
      </c>
      <c r="Q133" s="21">
        <f t="shared" si="167"/>
        <v>0.12457254518808011</v>
      </c>
      <c r="R133" s="21">
        <f t="shared" si="167"/>
        <v>0.11714019042886313</v>
      </c>
      <c r="S133" s="21">
        <f t="shared" si="167"/>
        <v>0.12747841949926994</v>
      </c>
    </row>
    <row r="134" spans="2:19" hidden="1" outlineLevel="1">
      <c r="B134" s="17" t="s">
        <v>61</v>
      </c>
      <c r="N134" s="21">
        <f t="shared" si="167"/>
        <v>1</v>
      </c>
      <c r="O134" s="21">
        <f t="shared" si="167"/>
        <v>1</v>
      </c>
      <c r="P134" s="21">
        <f t="shared" si="167"/>
        <v>1</v>
      </c>
      <c r="Q134" s="21">
        <f t="shared" si="167"/>
        <v>1</v>
      </c>
      <c r="R134" s="21">
        <f t="shared" si="167"/>
        <v>1</v>
      </c>
      <c r="S134" s="21">
        <f t="shared" si="167"/>
        <v>1</v>
      </c>
    </row>
    <row r="135" spans="2:19" hidden="1" outlineLevel="1">
      <c r="N135" s="21">
        <f t="shared" si="167"/>
        <v>0</v>
      </c>
      <c r="O135" s="21">
        <f t="shared" si="167"/>
        <v>0</v>
      </c>
      <c r="P135" s="21">
        <f t="shared" si="167"/>
        <v>0</v>
      </c>
      <c r="Q135" s="21">
        <f t="shared" si="167"/>
        <v>0</v>
      </c>
      <c r="R135" s="21">
        <f t="shared" si="167"/>
        <v>0</v>
      </c>
      <c r="S135" s="21">
        <f t="shared" si="167"/>
        <v>0</v>
      </c>
    </row>
    <row r="136" spans="2:19" hidden="1" outlineLevel="1">
      <c r="B136" s="17" t="s">
        <v>75</v>
      </c>
      <c r="N136" s="21">
        <f t="shared" si="167"/>
        <v>0</v>
      </c>
      <c r="O136" s="21">
        <f t="shared" si="167"/>
        <v>0</v>
      </c>
      <c r="P136" s="21">
        <f t="shared" si="167"/>
        <v>0</v>
      </c>
      <c r="Q136" s="21">
        <f t="shared" si="167"/>
        <v>0</v>
      </c>
      <c r="R136" s="21">
        <f t="shared" si="167"/>
        <v>0</v>
      </c>
      <c r="S136" s="21">
        <f t="shared" si="167"/>
        <v>0</v>
      </c>
    </row>
    <row r="137" spans="2:19" hidden="1" outlineLevel="1">
      <c r="B137" s="17" t="s">
        <v>76</v>
      </c>
      <c r="N137" s="21">
        <f t="shared" si="167"/>
        <v>3.9513864065771336E-2</v>
      </c>
      <c r="O137" s="21">
        <f t="shared" si="167"/>
        <v>5.3953497684227393E-2</v>
      </c>
      <c r="P137" s="21">
        <f t="shared" si="167"/>
        <v>6.2442504326494355E-2</v>
      </c>
      <c r="Q137" s="21">
        <f t="shared" si="167"/>
        <v>6.0773218259783969E-2</v>
      </c>
      <c r="R137" s="21">
        <f t="shared" si="167"/>
        <v>6.2856178107370278E-2</v>
      </c>
      <c r="S137" s="21">
        <f t="shared" si="167"/>
        <v>8.4771744370341851E-2</v>
      </c>
    </row>
    <row r="138" spans="2:19" hidden="1" outlineLevel="1">
      <c r="B138" s="17" t="s">
        <v>77</v>
      </c>
      <c r="N138" s="21">
        <f t="shared" si="167"/>
        <v>2.3694020323750193E-2</v>
      </c>
      <c r="O138" s="21">
        <f t="shared" si="167"/>
        <v>2.2867420349434738E-2</v>
      </c>
      <c r="P138" s="21">
        <f t="shared" si="167"/>
        <v>2.2772692506969974E-2</v>
      </c>
      <c r="Q138" s="21">
        <f t="shared" si="167"/>
        <v>2.5138413939097867E-2</v>
      </c>
      <c r="R138" s="21">
        <f t="shared" si="167"/>
        <v>2.4601574271397763E-2</v>
      </c>
      <c r="S138" s="21">
        <f t="shared" si="167"/>
        <v>2.303191729179889E-2</v>
      </c>
    </row>
    <row r="139" spans="2:19" hidden="1" outlineLevel="1">
      <c r="B139" s="17" t="s">
        <v>112</v>
      </c>
      <c r="N139" s="21">
        <f t="shared" si="167"/>
        <v>3.3430356261383173E-3</v>
      </c>
      <c r="O139" s="21">
        <f t="shared" si="167"/>
        <v>4.9952616756316652E-3</v>
      </c>
      <c r="P139" s="21">
        <f t="shared" si="167"/>
        <v>4.1238276169563333E-3</v>
      </c>
      <c r="Q139" s="21">
        <f t="shared" si="167"/>
        <v>6.947836942951746E-3</v>
      </c>
      <c r="R139" s="21">
        <f t="shared" si="167"/>
        <v>0</v>
      </c>
      <c r="S139" s="21">
        <f t="shared" si="167"/>
        <v>0</v>
      </c>
    </row>
    <row r="140" spans="2:19" hidden="1" outlineLevel="1">
      <c r="B140" s="17" t="s">
        <v>78</v>
      </c>
      <c r="N140" s="21">
        <f t="shared" ref="N140:S149" si="168">+N90/N$84</f>
        <v>4.2513064052154076E-2</v>
      </c>
      <c r="O140" s="21">
        <f t="shared" si="168"/>
        <v>4.22978871077535E-2</v>
      </c>
      <c r="P140" s="21">
        <f t="shared" si="168"/>
        <v>4.5693419851471712E-2</v>
      </c>
      <c r="Q140" s="21">
        <f t="shared" si="168"/>
        <v>4.4387450469521798E-2</v>
      </c>
      <c r="R140" s="21">
        <f t="shared" si="168"/>
        <v>1.1085520971703252E-2</v>
      </c>
      <c r="S140" s="21">
        <f t="shared" si="168"/>
        <v>4.3466197774147786E-2</v>
      </c>
    </row>
    <row r="141" spans="2:19" hidden="1" outlineLevel="1">
      <c r="B141" s="17" t="s">
        <v>79</v>
      </c>
      <c r="N141" s="21">
        <f t="shared" si="168"/>
        <v>4.9583822703365164E-2</v>
      </c>
      <c r="O141" s="21">
        <f t="shared" si="168"/>
        <v>6.2439102521322468E-2</v>
      </c>
      <c r="P141" s="21">
        <f t="shared" si="168"/>
        <v>5.7173169038161262E-2</v>
      </c>
      <c r="Q141" s="21">
        <f t="shared" si="168"/>
        <v>5.5240053194376595E-2</v>
      </c>
      <c r="R141" s="21">
        <f t="shared" si="168"/>
        <v>3.9860093080150226E-2</v>
      </c>
      <c r="S141" s="21">
        <f t="shared" si="168"/>
        <v>7.181477358248449E-2</v>
      </c>
    </row>
    <row r="142" spans="2:19" hidden="1" outlineLevel="1">
      <c r="B142" s="17" t="s">
        <v>80</v>
      </c>
      <c r="N142" s="21">
        <f t="shared" si="168"/>
        <v>1.4938126606410322E-2</v>
      </c>
      <c r="O142" s="21">
        <f t="shared" si="168"/>
        <v>1.6437313970715822E-2</v>
      </c>
      <c r="P142" s="21">
        <f t="shared" si="168"/>
        <v>6.4500893495983674E-4</v>
      </c>
      <c r="Q142" s="21">
        <f t="shared" si="168"/>
        <v>0</v>
      </c>
      <c r="R142" s="21">
        <f t="shared" si="168"/>
        <v>5.0843678226826325E-2</v>
      </c>
      <c r="S142" s="21">
        <f t="shared" si="168"/>
        <v>6.9362798650199932E-3</v>
      </c>
    </row>
    <row r="143" spans="2:19" hidden="1" outlineLevel="1">
      <c r="B143" s="17" t="s">
        <v>81</v>
      </c>
      <c r="N143" s="21">
        <f t="shared" si="168"/>
        <v>4.2550511498068058E-2</v>
      </c>
      <c r="O143" s="21">
        <f t="shared" si="168"/>
        <v>2.5026361100359048E-2</v>
      </c>
      <c r="P143" s="21">
        <f t="shared" si="168"/>
        <v>0</v>
      </c>
      <c r="Q143" s="21">
        <f t="shared" si="168"/>
        <v>3.3887667589426261E-2</v>
      </c>
      <c r="R143" s="21">
        <f t="shared" si="168"/>
        <v>3.1819904881133274E-2</v>
      </c>
      <c r="S143" s="21">
        <f t="shared" si="168"/>
        <v>3.4643249785842357E-2</v>
      </c>
    </row>
    <row r="144" spans="2:19" hidden="1" outlineLevel="1">
      <c r="B144" s="17" t="s">
        <v>59</v>
      </c>
      <c r="N144" s="21">
        <f t="shared" si="168"/>
        <v>0.21613644487565745</v>
      </c>
      <c r="O144" s="21">
        <f t="shared" si="168"/>
        <v>0.22801684440944464</v>
      </c>
      <c r="P144" s="21">
        <f t="shared" si="168"/>
        <v>0.19285062227501348</v>
      </c>
      <c r="Q144" s="21">
        <f t="shared" si="168"/>
        <v>0.22637464039515823</v>
      </c>
      <c r="R144" s="21">
        <f t="shared" si="168"/>
        <v>0.22106694953858111</v>
      </c>
      <c r="S144" s="21">
        <f t="shared" si="168"/>
        <v>0.26466416266963538</v>
      </c>
    </row>
    <row r="145" spans="2:45" hidden="1" outlineLevel="1">
      <c r="B145" s="17" t="s">
        <v>82</v>
      </c>
      <c r="N145" s="21">
        <f t="shared" si="168"/>
        <v>0.49906892032204803</v>
      </c>
      <c r="O145" s="21">
        <f t="shared" si="168"/>
        <v>0.48963241280815795</v>
      </c>
      <c r="P145" s="21">
        <f t="shared" si="168"/>
        <v>0.51566525798595075</v>
      </c>
      <c r="Q145" s="21">
        <f t="shared" si="168"/>
        <v>0.46203115670629108</v>
      </c>
      <c r="R145" s="21">
        <f t="shared" si="168"/>
        <v>0.43376560494133909</v>
      </c>
      <c r="S145" s="21">
        <f t="shared" si="168"/>
        <v>0.47119189565060565</v>
      </c>
    </row>
    <row r="146" spans="2:45" hidden="1" outlineLevel="1">
      <c r="B146" s="17" t="s">
        <v>83</v>
      </c>
      <c r="N146" s="21">
        <f t="shared" si="168"/>
        <v>0.26082826941735177</v>
      </c>
      <c r="O146" s="21">
        <f t="shared" si="168"/>
        <v>0.25875588953697898</v>
      </c>
      <c r="P146" s="21">
        <f t="shared" si="168"/>
        <v>0.26708656865820518</v>
      </c>
      <c r="Q146" s="21">
        <f t="shared" si="168"/>
        <v>0.2577552515876893</v>
      </c>
      <c r="R146" s="21">
        <f t="shared" si="168"/>
        <v>0.24649356689379243</v>
      </c>
      <c r="S146" s="21">
        <f t="shared" si="168"/>
        <v>0.26732422599787053</v>
      </c>
    </row>
    <row r="147" spans="2:45" hidden="1" outlineLevel="1">
      <c r="B147" s="17" t="s">
        <v>84</v>
      </c>
      <c r="N147" s="21">
        <f t="shared" si="168"/>
        <v>0.22463361078486443</v>
      </c>
      <c r="O147" s="21">
        <f t="shared" si="168"/>
        <v>0.22015523017578517</v>
      </c>
      <c r="P147" s="21">
        <f t="shared" si="168"/>
        <v>0.23023294339077321</v>
      </c>
      <c r="Q147" s="21">
        <f t="shared" si="168"/>
        <v>0.22022064810291483</v>
      </c>
      <c r="R147" s="21">
        <f t="shared" si="168"/>
        <v>0.20587851160953483</v>
      </c>
      <c r="S147" s="21">
        <f t="shared" si="168"/>
        <v>0.22361525842844707</v>
      </c>
    </row>
    <row r="148" spans="2:45" hidden="1" outlineLevel="1">
      <c r="B148" s="17" t="s">
        <v>85</v>
      </c>
      <c r="N148" s="21">
        <f t="shared" si="168"/>
        <v>3.0887334252497914E-2</v>
      </c>
      <c r="O148" s="21">
        <f t="shared" si="168"/>
        <v>3.2127173956567584E-2</v>
      </c>
      <c r="P148" s="21">
        <f t="shared" si="168"/>
        <v>2.7308902885621936E-2</v>
      </c>
      <c r="Q148" s="21">
        <f t="shared" si="168"/>
        <v>2.588137111219671E-2</v>
      </c>
      <c r="R148" s="21">
        <f t="shared" si="168"/>
        <v>2.3502578657823733E-2</v>
      </c>
      <c r="S148" s="21">
        <f t="shared" si="168"/>
        <v>2.1540617120819592E-2</v>
      </c>
    </row>
    <row r="149" spans="2:45" hidden="1" outlineLevel="1">
      <c r="B149" s="17" t="s">
        <v>58</v>
      </c>
      <c r="N149" s="21">
        <f t="shared" si="168"/>
        <v>1.2315545796524197</v>
      </c>
      <c r="O149" s="21">
        <f t="shared" si="168"/>
        <v>1.2286875508869344</v>
      </c>
      <c r="P149" s="21">
        <f t="shared" si="168"/>
        <v>1.2331442951955647</v>
      </c>
      <c r="Q149" s="21">
        <f t="shared" si="168"/>
        <v>1.1922630679042501</v>
      </c>
      <c r="R149" s="21">
        <f t="shared" si="168"/>
        <v>1.1307072116410712</v>
      </c>
      <c r="S149" s="21">
        <f t="shared" si="168"/>
        <v>1.2483361598673781</v>
      </c>
    </row>
    <row r="150" spans="2:45" hidden="1" outlineLevel="1">
      <c r="B150" s="17" t="s">
        <v>57</v>
      </c>
      <c r="N150" s="21">
        <f t="shared" ref="N150:S150" si="169">+N100/N$84</f>
        <v>-0.2655160087831282</v>
      </c>
      <c r="O150" s="21">
        <f t="shared" si="169"/>
        <v>-0.26374447751631719</v>
      </c>
      <c r="P150" s="21">
        <f t="shared" si="169"/>
        <v>-0.26957496378433438</v>
      </c>
      <c r="Q150" s="21">
        <f t="shared" si="169"/>
        <v>-0.23049652608152854</v>
      </c>
      <c r="R150" s="21">
        <f t="shared" si="169"/>
        <v>-0.16929310690838201</v>
      </c>
      <c r="S150" s="21">
        <f t="shared" si="169"/>
        <v>-0.29306822871689225</v>
      </c>
    </row>
    <row r="151" spans="2:45" hidden="1" outlineLevel="1">
      <c r="B151" s="17" t="s">
        <v>56</v>
      </c>
      <c r="N151" s="21">
        <f>+N101/N$84</f>
        <v>0.96603857086929146</v>
      </c>
      <c r="O151" s="21">
        <f t="shared" ref="O151:S151" si="170">+O101/O$84</f>
        <v>0.96494307337061724</v>
      </c>
      <c r="P151" s="21">
        <f t="shared" si="170"/>
        <v>0.96356933141123025</v>
      </c>
      <c r="Q151" s="21">
        <f t="shared" si="170"/>
        <v>0.96176654182272159</v>
      </c>
      <c r="R151" s="21">
        <f t="shared" si="170"/>
        <v>0.96141410473268929</v>
      </c>
      <c r="S151" s="21">
        <f t="shared" si="170"/>
        <v>0.95526793115048581</v>
      </c>
    </row>
    <row r="152" spans="2:45" collapsed="1"/>
    <row r="153" spans="2:45">
      <c r="B153" s="17" t="s">
        <v>87</v>
      </c>
      <c r="O153" s="13">
        <v>622.20000000000005</v>
      </c>
      <c r="P153" s="13">
        <f>1281.6-O153</f>
        <v>659.39999999999986</v>
      </c>
      <c r="Q153" s="13">
        <f>2435.7-SUM(O153:P153)</f>
        <v>1154.0999999999999</v>
      </c>
      <c r="R153" s="13">
        <f>4200.3-SUM(O153:Q153)</f>
        <v>1764.6000000000004</v>
      </c>
      <c r="S153" s="13">
        <v>816.1</v>
      </c>
      <c r="W153" s="13">
        <v>855.2</v>
      </c>
      <c r="X153" s="13">
        <f>1763.6-W153</f>
        <v>908.39999999999986</v>
      </c>
      <c r="AQ153" s="17">
        <v>924.7</v>
      </c>
      <c r="AR153" s="17">
        <v>4200.3</v>
      </c>
      <c r="AS153" s="17">
        <v>3283.4</v>
      </c>
    </row>
    <row r="154" spans="2:45">
      <c r="B154" s="17" t="s">
        <v>36</v>
      </c>
      <c r="O154" s="13">
        <v>388.4</v>
      </c>
      <c r="P154" s="13">
        <f>772.9-O154</f>
        <v>384.5</v>
      </c>
      <c r="Q154" s="13">
        <f>1146.2-SUM(O154:P154)</f>
        <v>373.30000000000007</v>
      </c>
      <c r="R154" s="13">
        <f>1524.1-SUM(O154:Q154)</f>
        <v>377.89999999999986</v>
      </c>
      <c r="S154" s="13">
        <v>386.4</v>
      </c>
      <c r="W154" s="13">
        <v>342.5</v>
      </c>
      <c r="X154" s="13">
        <f>709.3-W154</f>
        <v>366.79999999999995</v>
      </c>
      <c r="AQ154" s="17">
        <v>1503.2</v>
      </c>
      <c r="AR154" s="17">
        <v>1524.1</v>
      </c>
      <c r="AS154" s="17">
        <v>1529.4</v>
      </c>
    </row>
    <row r="155" spans="2:45">
      <c r="B155" s="17" t="s">
        <v>71</v>
      </c>
      <c r="O155" s="13">
        <v>-6.1</v>
      </c>
      <c r="P155" s="13">
        <f>+-25.2-O155</f>
        <v>-19.100000000000001</v>
      </c>
      <c r="Q155" s="13">
        <f>-113.2-SUM(O155:P155)</f>
        <v>-88</v>
      </c>
      <c r="R155" s="13">
        <f>+-146.2-SUM(O155:Q155)</f>
        <v>-32.999999999999986</v>
      </c>
      <c r="S155" s="13">
        <f>+-0.3</f>
        <v>-0.3</v>
      </c>
      <c r="W155" s="13">
        <v>15.8</v>
      </c>
      <c r="X155" s="13">
        <f>2.6-W155</f>
        <v>-13.200000000000001</v>
      </c>
      <c r="AQ155" s="17">
        <v>-25.8</v>
      </c>
      <c r="AR155" s="17">
        <v>-146.19999999999999</v>
      </c>
      <c r="AS155" s="17">
        <v>-37.799999999999997</v>
      </c>
    </row>
    <row r="156" spans="2:45">
      <c r="B156" s="17" t="s">
        <v>88</v>
      </c>
      <c r="O156" s="13">
        <v>-69</v>
      </c>
      <c r="P156" s="13">
        <f>+-131.3-O156</f>
        <v>-62.300000000000011</v>
      </c>
      <c r="Q156" s="13">
        <f>+-238.3-SUM(O156:P156)</f>
        <v>-107</v>
      </c>
      <c r="R156" s="13">
        <f>+-347.3-SUM(O156:Q156)</f>
        <v>-109</v>
      </c>
      <c r="S156" s="13">
        <f>+-46.6</f>
        <v>-46.6</v>
      </c>
      <c r="W156" s="13">
        <v>-56.9</v>
      </c>
      <c r="X156" s="13">
        <f>+-109.9-W156</f>
        <v>-53.000000000000007</v>
      </c>
      <c r="AQ156" s="17">
        <v>-280.7</v>
      </c>
      <c r="AR156" s="17">
        <v>-347.3</v>
      </c>
      <c r="AS156" s="17">
        <v>-268.7</v>
      </c>
    </row>
    <row r="157" spans="2:45">
      <c r="B157" s="17" t="s">
        <v>89</v>
      </c>
      <c r="O157" s="13">
        <v>77.2</v>
      </c>
      <c r="P157" s="13">
        <f>130.2-O157</f>
        <v>52.999999999999986</v>
      </c>
      <c r="Q157" s="13">
        <f>226.7-SUM(O157:P157)</f>
        <v>96.5</v>
      </c>
      <c r="R157" s="13">
        <f>336-SUM(O157:Q157)</f>
        <v>109.30000000000001</v>
      </c>
      <c r="S157" s="13">
        <v>44.9</v>
      </c>
      <c r="W157" s="13">
        <v>45.7</v>
      </c>
      <c r="X157" s="13">
        <f>88-W157</f>
        <v>42.3</v>
      </c>
      <c r="AQ157" s="17">
        <v>227.7</v>
      </c>
      <c r="AR157" s="17">
        <v>336</v>
      </c>
      <c r="AS157" s="17">
        <v>231.2</v>
      </c>
    </row>
    <row r="158" spans="2:45">
      <c r="B158" s="17" t="s">
        <v>25</v>
      </c>
      <c r="P158" s="13">
        <v>0</v>
      </c>
      <c r="Q158" s="13">
        <v>0</v>
      </c>
      <c r="R158" s="13">
        <f>+-864.5-SUM(O158:Q158)</f>
        <v>-864.5</v>
      </c>
      <c r="W158" s="13">
        <v>0</v>
      </c>
      <c r="X158" s="13">
        <f>+-91.3-W158</f>
        <v>-91.3</v>
      </c>
      <c r="AQ158" s="17">
        <v>0</v>
      </c>
      <c r="AR158" s="17">
        <v>-864.5</v>
      </c>
      <c r="AS158" s="17">
        <v>0</v>
      </c>
    </row>
    <row r="159" spans="2:45">
      <c r="B159" s="17" t="s">
        <v>90</v>
      </c>
      <c r="O159" s="13">
        <v>99.3</v>
      </c>
      <c r="P159" s="13">
        <f>175.3-O159</f>
        <v>76.000000000000014</v>
      </c>
      <c r="Q159" s="13">
        <f>255.3-SUM(O159:P159)</f>
        <v>80</v>
      </c>
      <c r="R159" s="13">
        <f>319.1-SUM(O159:Q159)</f>
        <v>63.800000000000011</v>
      </c>
      <c r="S159" s="13">
        <v>95.8</v>
      </c>
      <c r="W159" s="13">
        <v>85.2</v>
      </c>
      <c r="X159" s="13">
        <f>159.3-W159</f>
        <v>74.100000000000009</v>
      </c>
      <c r="AQ159" s="17">
        <v>248.6</v>
      </c>
      <c r="AR159" s="17">
        <v>319.10000000000002</v>
      </c>
      <c r="AS159" s="17">
        <v>271.5</v>
      </c>
    </row>
    <row r="160" spans="2:45">
      <c r="B160" s="17" t="s">
        <v>113</v>
      </c>
      <c r="P160" s="13">
        <v>0</v>
      </c>
      <c r="Q160" s="13">
        <v>0</v>
      </c>
      <c r="R160" s="13">
        <f>0-SUM(O160:Q160)</f>
        <v>0</v>
      </c>
      <c r="W160" s="13">
        <v>0</v>
      </c>
      <c r="X160" s="13">
        <v>0</v>
      </c>
      <c r="AO160" s="17">
        <v>250.3</v>
      </c>
      <c r="AP160" s="17">
        <v>308</v>
      </c>
      <c r="AQ160" s="17">
        <v>0</v>
      </c>
      <c r="AR160" s="17">
        <v>0</v>
      </c>
    </row>
    <row r="161" spans="2:45">
      <c r="B161" s="17" t="s">
        <v>91</v>
      </c>
      <c r="O161" s="13">
        <v>308.3</v>
      </c>
      <c r="P161" s="13">
        <f>617.9-O161</f>
        <v>309.59999999999997</v>
      </c>
      <c r="Q161" s="13">
        <f>931.7-SUM(O161:P161)</f>
        <v>313.80000000000007</v>
      </c>
      <c r="R161" s="13">
        <f>1248.6-SUM(O161:Q161)</f>
        <v>316.89999999999986</v>
      </c>
      <c r="S161" s="13">
        <v>330.4</v>
      </c>
      <c r="W161" s="13">
        <v>263.7</v>
      </c>
      <c r="X161" s="13">
        <f>584.7-W161</f>
        <v>321.00000000000006</v>
      </c>
      <c r="AQ161" s="17">
        <v>1197.5999999999999</v>
      </c>
      <c r="AR161" s="17">
        <v>1248.5999999999999</v>
      </c>
      <c r="AS161" s="17">
        <v>1497.7</v>
      </c>
    </row>
    <row r="162" spans="2:45">
      <c r="B162" s="17" t="s">
        <v>92</v>
      </c>
      <c r="O162" s="13">
        <v>132.6</v>
      </c>
      <c r="P162" s="13">
        <f>175.4-O162</f>
        <v>42.800000000000011</v>
      </c>
      <c r="Q162" s="13">
        <f>204.7-SUM(O162:P162)</f>
        <v>29.299999999999983</v>
      </c>
      <c r="R162" s="13">
        <f>226.2-SUM(O162:Q162)</f>
        <v>21.5</v>
      </c>
      <c r="S162" s="13">
        <v>50.7</v>
      </c>
      <c r="W162" s="13">
        <v>21.1</v>
      </c>
      <c r="X162" s="13">
        <f>75.6-W162</f>
        <v>54.499999999999993</v>
      </c>
      <c r="AQ162" s="17">
        <v>454.4</v>
      </c>
      <c r="AR162" s="17">
        <v>226.2</v>
      </c>
      <c r="AS162" s="17">
        <v>91.4</v>
      </c>
    </row>
    <row r="163" spans="2:45">
      <c r="B163" s="17" t="s">
        <v>93</v>
      </c>
      <c r="O163" s="13">
        <v>-10.199999999999999</v>
      </c>
      <c r="P163" s="13">
        <f>+-15.4-O163</f>
        <v>-5.2000000000000011</v>
      </c>
      <c r="Q163" s="13">
        <f>+-6.8-SUM(O163:P163)</f>
        <v>8.6000000000000014</v>
      </c>
      <c r="R163" s="13">
        <f>+-6-SUM(O163:Q163)</f>
        <v>0.79999999999999893</v>
      </c>
      <c r="S163" s="13">
        <v>-4.9000000000000004</v>
      </c>
      <c r="W163" s="13">
        <v>6.7</v>
      </c>
      <c r="X163" s="13">
        <f>22.6-W163</f>
        <v>15.900000000000002</v>
      </c>
      <c r="AQ163" s="17">
        <v>24.5</v>
      </c>
      <c r="AR163" s="17">
        <v>-6</v>
      </c>
      <c r="AS163" s="17">
        <v>-67.8</v>
      </c>
    </row>
    <row r="164" spans="2:45">
      <c r="B164" s="17" t="s">
        <v>64</v>
      </c>
      <c r="O164" s="13">
        <v>19.600000000000001</v>
      </c>
      <c r="P164" s="13">
        <f>12.8-O164</f>
        <v>-6.8000000000000007</v>
      </c>
      <c r="Q164" s="13">
        <f>+-13.1-SUM(O164:P164)</f>
        <v>-25.9</v>
      </c>
      <c r="R164" s="13">
        <f>+-43-SUM(O164:Q164)</f>
        <v>-29.900000000000002</v>
      </c>
      <c r="S164" s="13">
        <v>-91.6</v>
      </c>
      <c r="W164" s="13">
        <v>42</v>
      </c>
      <c r="X164" s="13">
        <f>26.2-W164</f>
        <v>-15.8</v>
      </c>
      <c r="AQ164" s="17">
        <v>-2.7</v>
      </c>
      <c r="AR164" s="17">
        <v>-43</v>
      </c>
      <c r="AS164" s="17">
        <v>-326.10000000000002</v>
      </c>
    </row>
    <row r="165" spans="2:45">
      <c r="B165" s="17" t="s">
        <v>65</v>
      </c>
      <c r="O165" s="13">
        <v>90.1</v>
      </c>
      <c r="P165" s="13">
        <f>51.3-O165</f>
        <v>-38.799999999999997</v>
      </c>
      <c r="Q165" s="13">
        <f>8.4-SUM(O165:P165)</f>
        <v>-42.9</v>
      </c>
      <c r="R165" s="13">
        <f>+-49.8-SUM(O165:Q165)</f>
        <v>-58.199999999999996</v>
      </c>
      <c r="S165" s="13">
        <v>-36</v>
      </c>
      <c r="W165" s="13">
        <v>108.5</v>
      </c>
      <c r="X165" s="13">
        <f>194.6-W165</f>
        <v>86.1</v>
      </c>
      <c r="AQ165" s="17">
        <v>-10.9</v>
      </c>
      <c r="AR165" s="17">
        <v>-49.8</v>
      </c>
      <c r="AS165" s="17">
        <v>-641</v>
      </c>
    </row>
    <row r="166" spans="2:45">
      <c r="B166" s="17" t="s">
        <v>94</v>
      </c>
      <c r="O166" s="13">
        <v>5.2</v>
      </c>
      <c r="P166" s="13">
        <f>139.7-O166</f>
        <v>134.5</v>
      </c>
      <c r="Q166" s="13">
        <f>216.8-SUM(O166:P166)</f>
        <v>77.100000000000023</v>
      </c>
      <c r="R166" s="13">
        <f>251.1-SUM(O166:Q166)</f>
        <v>34.299999999999983</v>
      </c>
      <c r="S166" s="13">
        <v>64.599999999999994</v>
      </c>
      <c r="W166" s="13">
        <v>0</v>
      </c>
      <c r="X166" s="13">
        <v>0</v>
      </c>
      <c r="AQ166" s="17">
        <v>-1214.5999999999999</v>
      </c>
      <c r="AR166" s="17">
        <v>286.10000000000002</v>
      </c>
      <c r="AS166" s="17">
        <v>-149.6</v>
      </c>
    </row>
    <row r="167" spans="2:45">
      <c r="B167" s="17" t="s">
        <v>75</v>
      </c>
      <c r="O167" s="13">
        <v>24.8</v>
      </c>
      <c r="P167" s="13">
        <f>21.3-O167</f>
        <v>-3.5</v>
      </c>
      <c r="Q167" s="13">
        <f>108.2-SUM(O167:P167)</f>
        <v>86.9</v>
      </c>
      <c r="R167" s="13">
        <f>189.9-SUM(O167:Q167)</f>
        <v>81.7</v>
      </c>
      <c r="S167" s="13">
        <v>84</v>
      </c>
      <c r="W167" s="13">
        <v>-117.3</v>
      </c>
      <c r="X167" s="13">
        <f>+-51.2-W167</f>
        <v>66.099999999999994</v>
      </c>
      <c r="AQ167" s="17">
        <v>-210.8</v>
      </c>
      <c r="AR167" s="17">
        <v>189.9</v>
      </c>
      <c r="AS167" s="17">
        <v>345.5</v>
      </c>
    </row>
    <row r="168" spans="2:45">
      <c r="B168" s="17" t="s">
        <v>95</v>
      </c>
      <c r="O168" s="13">
        <v>398.9</v>
      </c>
      <c r="P168" s="13">
        <f>89.8-O168</f>
        <v>-309.09999999999997</v>
      </c>
      <c r="Q168" s="13">
        <f>52.4-SUM(O168:P168)</f>
        <v>-37.400000000000013</v>
      </c>
      <c r="R168" s="13">
        <f>+-6.1-SUM(O168:Q168)</f>
        <v>-58.5</v>
      </c>
      <c r="S168" s="13">
        <v>461.3</v>
      </c>
      <c r="W168" s="13">
        <v>461</v>
      </c>
      <c r="X168" s="13">
        <f>54-W168</f>
        <v>-407</v>
      </c>
      <c r="AQ168" s="17">
        <v>31</v>
      </c>
      <c r="AR168" s="17">
        <v>-6.1</v>
      </c>
      <c r="AS168" s="17">
        <v>-75.8</v>
      </c>
    </row>
    <row r="169" spans="2:45">
      <c r="B169" s="17" t="s">
        <v>83</v>
      </c>
      <c r="O169" s="13">
        <v>-314.8</v>
      </c>
      <c r="P169" s="13">
        <f>+-676.3-O169</f>
        <v>-361.49999999999994</v>
      </c>
      <c r="Q169" s="13">
        <f>+-1029.8-SUM(O169:P169)</f>
        <v>-353.5</v>
      </c>
      <c r="R169" s="13">
        <f>+-1488.1-SUM(O169:Q169)</f>
        <v>-458.29999999999995</v>
      </c>
      <c r="S169" s="13">
        <v>-363.3</v>
      </c>
      <c r="W169" s="13">
        <v>-281.39999999999998</v>
      </c>
      <c r="X169" s="13">
        <f>+-621.8-W169</f>
        <v>-340.4</v>
      </c>
      <c r="AQ169" s="17">
        <v>-1231.4000000000001</v>
      </c>
      <c r="AR169" s="17">
        <v>-1488.1</v>
      </c>
      <c r="AS169" s="17">
        <v>-1625.6</v>
      </c>
    </row>
    <row r="170" spans="2:45">
      <c r="B170" s="17" t="s">
        <v>96</v>
      </c>
      <c r="O170" s="13">
        <v>69.2</v>
      </c>
      <c r="P170" s="13">
        <f>59.5-O170</f>
        <v>-9.7000000000000028</v>
      </c>
      <c r="Q170" s="13">
        <f>154.6-SUM(O170:P170)</f>
        <v>95.1</v>
      </c>
      <c r="R170" s="13">
        <f>358.7-SUM(O170:Q170)</f>
        <v>204.1</v>
      </c>
      <c r="S170" s="13">
        <v>79.400000000000006</v>
      </c>
      <c r="W170" s="13">
        <v>-198.6</v>
      </c>
      <c r="X170" s="13">
        <f>+-445.5-W170</f>
        <v>-246.9</v>
      </c>
      <c r="AQ170" s="17">
        <v>-37</v>
      </c>
      <c r="AR170" s="17">
        <v>609.79999999999995</v>
      </c>
      <c r="AS170" s="17">
        <v>339.6</v>
      </c>
    </row>
    <row r="171" spans="2:45" s="19" customFormat="1">
      <c r="B171" s="19" t="s">
        <v>86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>
        <f>+SUM(O153:O170)</f>
        <v>1835.6999999999998</v>
      </c>
      <c r="P171" s="22">
        <f>+SUM(P153:P170)</f>
        <v>843.8</v>
      </c>
      <c r="Q171" s="22">
        <f>+SUM(Q153:Q170)</f>
        <v>1660</v>
      </c>
      <c r="R171" s="22">
        <f>+SUM(R153:R170)</f>
        <v>1363.4999999999998</v>
      </c>
      <c r="S171" s="22">
        <f>+SUM(S153:S170)</f>
        <v>1870.9000000000003</v>
      </c>
      <c r="T171" s="22">
        <f t="shared" ref="T171:V171" si="171">+SUM(T153:T170)</f>
        <v>0</v>
      </c>
      <c r="U171" s="22">
        <f t="shared" si="171"/>
        <v>0</v>
      </c>
      <c r="V171" s="22">
        <f t="shared" si="171"/>
        <v>0</v>
      </c>
      <c r="W171" s="22">
        <f>+SUM(W153:W170)</f>
        <v>1593.1999999999998</v>
      </c>
      <c r="X171" s="22">
        <f>+SUM(X153:X170)</f>
        <v>767.59999999999968</v>
      </c>
      <c r="AO171" s="19">
        <v>11937.8</v>
      </c>
      <c r="AP171" s="19">
        <v>5047</v>
      </c>
      <c r="AQ171" s="19">
        <v>1597.8</v>
      </c>
      <c r="AR171" s="19">
        <v>5989.1</v>
      </c>
      <c r="AS171" s="19">
        <f>SUM(AS153:AS170)</f>
        <v>4397.2999999999984</v>
      </c>
    </row>
    <row r="174" spans="2:45">
      <c r="B174" s="17" t="s">
        <v>97</v>
      </c>
      <c r="O174" s="13">
        <v>91.2</v>
      </c>
      <c r="P174" s="13">
        <f>121.7-O174</f>
        <v>30.5</v>
      </c>
      <c r="Q174" s="13">
        <f>130.4-SUM(O174:P174)</f>
        <v>8.7000000000000028</v>
      </c>
      <c r="R174" s="13">
        <f>143.2-SUM(O174:Q174)</f>
        <v>12.799999999999983</v>
      </c>
      <c r="S174" s="13">
        <v>72.599999999999994</v>
      </c>
      <c r="W174" s="13">
        <v>0.8</v>
      </c>
      <c r="X174" s="13">
        <f>1.9-W174</f>
        <v>1.0999999999999999</v>
      </c>
      <c r="AQ174" s="17">
        <v>186.7</v>
      </c>
      <c r="AR174" s="17">
        <v>143.19999999999999</v>
      </c>
      <c r="AS174" s="17">
        <v>72.599999999999994</v>
      </c>
    </row>
    <row r="175" spans="2:45">
      <c r="B175" s="17" t="s">
        <v>98</v>
      </c>
      <c r="O175" s="13">
        <v>113.7</v>
      </c>
      <c r="P175" s="13">
        <f>289-O175</f>
        <v>175.3</v>
      </c>
      <c r="Q175" s="13">
        <f>298.7-SUM(O175:P175)</f>
        <v>9.6999999999999886</v>
      </c>
      <c r="R175" s="13">
        <f>345.5-SUM(O175:Q175)</f>
        <v>46.800000000000011</v>
      </c>
      <c r="S175" s="13">
        <v>45.6</v>
      </c>
      <c r="W175" s="13">
        <v>253.3</v>
      </c>
      <c r="X175" s="13">
        <f>270-W175</f>
        <v>16.699999999999989</v>
      </c>
      <c r="AQ175" s="17">
        <v>73.7</v>
      </c>
      <c r="AR175" s="17">
        <v>345.5</v>
      </c>
      <c r="AS175" s="17">
        <v>67.3</v>
      </c>
    </row>
    <row r="176" spans="2:45">
      <c r="B176" s="17" t="s">
        <v>99</v>
      </c>
      <c r="O176" s="13">
        <v>-324.2</v>
      </c>
      <c r="P176" s="13">
        <f>+-647.9-O176</f>
        <v>-323.7</v>
      </c>
      <c r="Q176" s="13">
        <f>+-985.7-SUM(O176:P176)</f>
        <v>-337.80000000000007</v>
      </c>
      <c r="R176" s="13">
        <f>+-1470-SUM(O176:Q176)</f>
        <v>-484.29999999999995</v>
      </c>
      <c r="S176" s="13">
        <v>-416.8</v>
      </c>
      <c r="W176" s="13">
        <v>-516.79999999999995</v>
      </c>
      <c r="X176" s="13">
        <f>+-1002-W176</f>
        <v>-485.20000000000005</v>
      </c>
      <c r="AO176" s="17">
        <v>-1976.4</v>
      </c>
      <c r="AP176" s="17">
        <v>-1806.6</v>
      </c>
      <c r="AQ176" s="17">
        <v>-1483.6</v>
      </c>
      <c r="AR176" s="17">
        <v>-1470</v>
      </c>
      <c r="AS176" s="17">
        <v>-1841.3</v>
      </c>
    </row>
    <row r="177" spans="2:45">
      <c r="B177" s="17" t="s">
        <v>152</v>
      </c>
      <c r="W177" s="13">
        <v>0</v>
      </c>
      <c r="X177" s="13">
        <f>110-W177</f>
        <v>110</v>
      </c>
      <c r="AQ177" s="17">
        <v>0</v>
      </c>
      <c r="AR177" s="17">
        <v>1175</v>
      </c>
      <c r="AS177" s="17">
        <v>0</v>
      </c>
    </row>
    <row r="178" spans="2:45">
      <c r="B178" s="17" t="s">
        <v>93</v>
      </c>
      <c r="O178" s="13">
        <v>-17.7</v>
      </c>
      <c r="P178" s="13">
        <f>+-20.1-O178</f>
        <v>-2.4000000000000021</v>
      </c>
      <c r="Q178" s="13">
        <f>+-62.3-SUM(O178:P178)</f>
        <v>-42.199999999999996</v>
      </c>
      <c r="R178" s="13">
        <f>+-81.2-SUM(O178:Q178)</f>
        <v>-18.900000000000006</v>
      </c>
      <c r="S178" s="13">
        <v>-41.4</v>
      </c>
      <c r="W178" s="13">
        <v>-6.1</v>
      </c>
      <c r="X178" s="13">
        <f>+-39.2-W178</f>
        <v>-33.1</v>
      </c>
      <c r="AQ178" s="17">
        <v>-44.4</v>
      </c>
      <c r="AR178" s="17">
        <v>-81.2</v>
      </c>
      <c r="AS178" s="17">
        <v>-126.3</v>
      </c>
    </row>
    <row r="179" spans="2:45">
      <c r="B179" s="17" t="s">
        <v>154</v>
      </c>
      <c r="AQ179" s="17">
        <v>0</v>
      </c>
      <c r="AR179" s="17">
        <v>59.3</v>
      </c>
      <c r="AS179" s="17">
        <v>59.3</v>
      </c>
    </row>
    <row r="180" spans="2:45" s="19" customFormat="1">
      <c r="B180" s="19" t="s">
        <v>100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>
        <f>+SUM(O173:O178)</f>
        <v>-136.99999999999997</v>
      </c>
      <c r="P180" s="22">
        <f>+SUM(P173:P178)</f>
        <v>-120.29999999999998</v>
      </c>
      <c r="Q180" s="22">
        <f>+SUM(Q173:Q178)</f>
        <v>-361.60000000000008</v>
      </c>
      <c r="R180" s="22">
        <f>+SUM(R173:R178)</f>
        <v>-443.59999999999991</v>
      </c>
      <c r="S180" s="22">
        <f>+SUM(S173:S178)</f>
        <v>-340</v>
      </c>
      <c r="T180" s="22">
        <f t="shared" ref="T180:X180" si="172">+SUM(T173:T178)</f>
        <v>0</v>
      </c>
      <c r="U180" s="22">
        <f t="shared" si="172"/>
        <v>0</v>
      </c>
      <c r="V180" s="22">
        <f t="shared" si="172"/>
        <v>0</v>
      </c>
      <c r="W180" s="22">
        <f t="shared" si="172"/>
        <v>-268.79999999999995</v>
      </c>
      <c r="X180" s="22">
        <f t="shared" si="172"/>
        <v>-390.50000000000006</v>
      </c>
      <c r="AO180" s="22">
        <f>+SUM(AO173:AO179)</f>
        <v>-1976.4</v>
      </c>
      <c r="AP180" s="22">
        <f>+SUM(AP173:AP179)</f>
        <v>-1806.6</v>
      </c>
      <c r="AQ180" s="22">
        <f>+SUM(AQ173:AQ179)</f>
        <v>-1267.5999999999999</v>
      </c>
      <c r="AR180" s="22">
        <f>+SUM(AR173:AR179)</f>
        <v>171.80000000000004</v>
      </c>
      <c r="AS180" s="22">
        <f>+SUM(AS173:AS179)</f>
        <v>-1768.4</v>
      </c>
    </row>
    <row r="183" spans="2:45">
      <c r="B183" s="17" t="s">
        <v>101</v>
      </c>
      <c r="O183" s="13">
        <v>192.9</v>
      </c>
      <c r="P183" s="13">
        <f>203.3-O183</f>
        <v>10.400000000000006</v>
      </c>
      <c r="Q183" s="13">
        <f>215.6-SUM(O183:P183)</f>
        <v>12.299999999999983</v>
      </c>
      <c r="R183" s="13">
        <f>215.1-SUM(O183:Q183)</f>
        <v>-0.5</v>
      </c>
      <c r="S183" s="13">
        <v>0</v>
      </c>
      <c r="W183" s="13">
        <v>0</v>
      </c>
      <c r="X183" s="13">
        <f>52.8+1497.8</f>
        <v>1550.6</v>
      </c>
      <c r="AQ183" s="17">
        <f>1406.6+4727.6</f>
        <v>6134.2000000000007</v>
      </c>
      <c r="AR183" s="17">
        <f>215.1+0</f>
        <v>215.1</v>
      </c>
      <c r="AS183" s="17">
        <f>36.6+1498.1</f>
        <v>1534.6999999999998</v>
      </c>
    </row>
    <row r="184" spans="2:45">
      <c r="B184" s="17" t="s">
        <v>102</v>
      </c>
      <c r="O184" s="13">
        <v>-144.69999999999999</v>
      </c>
      <c r="P184" s="13">
        <f>+-320.5-O184</f>
        <v>-175.8</v>
      </c>
      <c r="Q184" s="13">
        <f>+-346.2-SUM(O184:P184)</f>
        <v>-25.699999999999989</v>
      </c>
      <c r="R184" s="13">
        <f>+-349.8-SUM(O184:Q184)</f>
        <v>-3.6000000000000227</v>
      </c>
      <c r="S184" s="13">
        <v>0</v>
      </c>
      <c r="W184" s="13">
        <v>0</v>
      </c>
      <c r="X184" s="13">
        <f>0-W184</f>
        <v>0</v>
      </c>
      <c r="AQ184" s="17">
        <v>-967.7</v>
      </c>
      <c r="AR184" s="17">
        <f>+-349.8</f>
        <v>-349.8</v>
      </c>
      <c r="AS184" s="17">
        <v>-36.6</v>
      </c>
    </row>
    <row r="185" spans="2:45">
      <c r="B185" s="17" t="s">
        <v>103</v>
      </c>
      <c r="O185" s="13">
        <v>-500</v>
      </c>
      <c r="P185" s="13">
        <f>0-O185</f>
        <v>500</v>
      </c>
      <c r="Q185" s="13">
        <f>0-SUM(O185:P185)</f>
        <v>0</v>
      </c>
      <c r="R185" s="13">
        <f>+-1250-SUM(O185:Q185)</f>
        <v>-1250</v>
      </c>
      <c r="S185" s="13">
        <v>0</v>
      </c>
      <c r="W185" s="13">
        <v>0</v>
      </c>
      <c r="X185" s="13">
        <f>+-1000-W185</f>
        <v>-1000</v>
      </c>
      <c r="AQ185" s="17">
        <v>0</v>
      </c>
      <c r="AR185" s="17">
        <v>-1250</v>
      </c>
      <c r="AS185" s="17">
        <v>-1000</v>
      </c>
    </row>
    <row r="186" spans="2:45">
      <c r="B186" s="17" t="s">
        <v>104</v>
      </c>
      <c r="O186" s="13">
        <v>102.8</v>
      </c>
      <c r="P186" s="13">
        <f>134.4-O186</f>
        <v>31.600000000000009</v>
      </c>
      <c r="Q186" s="13">
        <f>191.6-SUM(O186:P186)</f>
        <v>57.199999999999989</v>
      </c>
      <c r="R186" s="13">
        <f>246.2-SUM(O186:Q186)</f>
        <v>54.599999999999994</v>
      </c>
      <c r="S186" s="13">
        <v>41.3</v>
      </c>
      <c r="W186" s="13">
        <v>45.9</v>
      </c>
      <c r="X186" s="13">
        <f>129.8-W186</f>
        <v>83.9</v>
      </c>
      <c r="AQ186" s="17">
        <v>298.8</v>
      </c>
      <c r="AR186" s="17">
        <v>246.2</v>
      </c>
      <c r="AS186" s="17">
        <v>101.6</v>
      </c>
    </row>
    <row r="187" spans="2:45">
      <c r="B187" s="17" t="s">
        <v>105</v>
      </c>
      <c r="O187" s="13">
        <v>-528.20000000000005</v>
      </c>
      <c r="P187" s="13">
        <f>+-1058-O187</f>
        <v>-529.79999999999995</v>
      </c>
      <c r="Q187" s="13">
        <f>+-1588.2-SUM(O187:P187)</f>
        <v>-530.20000000000005</v>
      </c>
      <c r="R187" s="13">
        <f>+-2119-SUM(O187:Q187)</f>
        <v>-530.79999999999995</v>
      </c>
      <c r="S187" s="13">
        <v>-576</v>
      </c>
      <c r="W187" s="13">
        <v>-608.29999999999995</v>
      </c>
      <c r="X187" s="13">
        <f>+-1217.4-W187</f>
        <v>-609.10000000000014</v>
      </c>
      <c r="AQ187" s="17">
        <v>-1923.5</v>
      </c>
      <c r="AR187" s="17">
        <v>-2119</v>
      </c>
      <c r="AS187" s="17">
        <v>-2263.3000000000002</v>
      </c>
    </row>
    <row r="188" spans="2:45">
      <c r="B188" s="17" t="s">
        <v>106</v>
      </c>
      <c r="O188" s="13">
        <v>0</v>
      </c>
      <c r="P188" s="13">
        <f>0-O188</f>
        <v>0</v>
      </c>
      <c r="Q188" s="13">
        <f>0-SUM(O188:P188)</f>
        <v>0</v>
      </c>
      <c r="R188" s="13">
        <f>0-SUM(O188:Q188)</f>
        <v>0</v>
      </c>
      <c r="S188" s="13">
        <v>-3520.9</v>
      </c>
      <c r="W188" s="13">
        <v>-191.4</v>
      </c>
      <c r="X188" s="13">
        <f>+-479.3-W188</f>
        <v>-287.89999999999998</v>
      </c>
      <c r="AQ188" s="17">
        <v>-1698.9</v>
      </c>
      <c r="AR188" s="17">
        <v>0</v>
      </c>
      <c r="AS188" s="17">
        <v>-4013</v>
      </c>
    </row>
    <row r="189" spans="2:45">
      <c r="B189" s="17" t="s">
        <v>107</v>
      </c>
      <c r="O189" s="13">
        <v>-88.6</v>
      </c>
      <c r="P189" s="13">
        <f>+-90.1-O189</f>
        <v>-1.5</v>
      </c>
      <c r="Q189" s="13">
        <f>+-94.2-SUM(O189:P189)</f>
        <v>-4.1000000000000085</v>
      </c>
      <c r="R189" s="13">
        <f>97-SUM(O189:Q189)</f>
        <v>191.2</v>
      </c>
      <c r="S189" s="13">
        <v>-113.6</v>
      </c>
      <c r="W189" s="13">
        <v>-79</v>
      </c>
      <c r="X189" s="13">
        <f>+-81.4-W189</f>
        <v>-2.4000000000000057</v>
      </c>
      <c r="AQ189" s="17">
        <v>-91.9</v>
      </c>
      <c r="AR189" s="17">
        <v>-97</v>
      </c>
      <c r="AS189" s="17">
        <v>-127.2</v>
      </c>
    </row>
    <row r="190" spans="2:45">
      <c r="B190" s="17" t="s">
        <v>20</v>
      </c>
      <c r="W190" s="13">
        <v>0</v>
      </c>
      <c r="X190" s="13">
        <f>+-10.7-W190</f>
        <v>-10.7</v>
      </c>
      <c r="AQ190" s="17">
        <v>-37.700000000000003</v>
      </c>
      <c r="AR190" s="17">
        <v>0</v>
      </c>
      <c r="AS190" s="17">
        <v>-9.1999999999999993</v>
      </c>
    </row>
    <row r="191" spans="2:45" s="19" customFormat="1">
      <c r="B191" s="19" t="s">
        <v>108</v>
      </c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>
        <f>+SUM(O182:O189)</f>
        <v>-965.80000000000007</v>
      </c>
      <c r="P191" s="22">
        <f>+SUM(P182:P189)</f>
        <v>-165.09999999999991</v>
      </c>
      <c r="Q191" s="22">
        <f>+SUM(Q182:Q189)</f>
        <v>-490.50000000000011</v>
      </c>
      <c r="R191" s="22">
        <f>+SUM(R182:R189)</f>
        <v>-1539.1</v>
      </c>
      <c r="S191" s="22">
        <f>+SUM(S182:S189)</f>
        <v>-4169.2000000000007</v>
      </c>
      <c r="T191" s="22">
        <f t="shared" ref="T191:V191" si="173">+SUM(T182:T189)</f>
        <v>0</v>
      </c>
      <c r="U191" s="22">
        <f t="shared" si="173"/>
        <v>0</v>
      </c>
      <c r="V191" s="22">
        <f t="shared" si="173"/>
        <v>0</v>
      </c>
      <c r="W191" s="22">
        <f>+SUM(W182:W190)</f>
        <v>-832.8</v>
      </c>
      <c r="X191" s="22">
        <f>+SUM(X182:X190)</f>
        <v>-275.60000000000019</v>
      </c>
      <c r="AO191" s="22">
        <f>+SUM(AO182:AO190)</f>
        <v>0</v>
      </c>
      <c r="AP191" s="22">
        <f>+SUM(AP182:AP190)</f>
        <v>0</v>
      </c>
      <c r="AQ191" s="22">
        <f>+SUM(AQ182:AQ190)</f>
        <v>1713.3000000000009</v>
      </c>
      <c r="AR191" s="22">
        <f>+SUM(AR182:AR190)</f>
        <v>-3354.5</v>
      </c>
      <c r="AS191" s="22">
        <f>+SUM(AS182:AS190)</f>
        <v>-5813</v>
      </c>
    </row>
    <row r="192" spans="2:45">
      <c r="B192" s="17" t="s">
        <v>109</v>
      </c>
      <c r="O192" s="13">
        <v>79.8</v>
      </c>
      <c r="P192" s="13">
        <v>66.7</v>
      </c>
      <c r="Q192" s="13">
        <v>87.9</v>
      </c>
      <c r="R192" s="13">
        <v>86.2</v>
      </c>
      <c r="S192" s="13">
        <v>13</v>
      </c>
      <c r="W192" s="13">
        <v>62</v>
      </c>
      <c r="X192" s="13">
        <f>83-W192</f>
        <v>21</v>
      </c>
      <c r="AQ192" s="17">
        <v>64.7</v>
      </c>
      <c r="AR192" s="17">
        <v>86.2</v>
      </c>
      <c r="AS192" s="17">
        <v>-250.3</v>
      </c>
    </row>
    <row r="193" spans="2:45" s="19" customFormat="1">
      <c r="B193" s="19" t="s">
        <v>110</v>
      </c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>
        <f>+O171+O180+O191+O192</f>
        <v>812.6999999999997</v>
      </c>
      <c r="P193" s="22">
        <f>+P171+P180+P191+P192</f>
        <v>625.10000000000014</v>
      </c>
      <c r="Q193" s="22">
        <f>+Q171+Q180+Q191+Q192</f>
        <v>895.79999999999973</v>
      </c>
      <c r="R193" s="22">
        <f>+R171+R180+R191+R192</f>
        <v>-533</v>
      </c>
      <c r="S193" s="22">
        <f>+S171+S180+S191+S192</f>
        <v>-2625.3</v>
      </c>
      <c r="T193" s="22">
        <f t="shared" ref="T193:X193" si="174">+T171+T180+T191+T192</f>
        <v>0</v>
      </c>
      <c r="U193" s="22">
        <f t="shared" si="174"/>
        <v>0</v>
      </c>
      <c r="V193" s="22">
        <f t="shared" si="174"/>
        <v>0</v>
      </c>
      <c r="W193" s="22">
        <f t="shared" si="174"/>
        <v>553.59999999999991</v>
      </c>
      <c r="X193" s="22">
        <f t="shared" si="174"/>
        <v>122.49999999999943</v>
      </c>
      <c r="AO193" s="22">
        <f t="shared" ref="AO193:AS193" si="175">+AO171+AO180+AO191+AO192</f>
        <v>9961.4</v>
      </c>
      <c r="AP193" s="22">
        <f t="shared" si="175"/>
        <v>3240.4</v>
      </c>
      <c r="AQ193" s="22">
        <f t="shared" si="175"/>
        <v>2108.2000000000007</v>
      </c>
      <c r="AR193" s="22">
        <f t="shared" si="175"/>
        <v>2892.6000000000004</v>
      </c>
      <c r="AS193" s="22">
        <f t="shared" si="175"/>
        <v>-3434.4000000000019</v>
      </c>
    </row>
    <row r="196" spans="2:45">
      <c r="B196" s="17" t="s">
        <v>87</v>
      </c>
      <c r="O196" s="13">
        <f t="shared" ref="O196:X196" si="176">+O51</f>
        <v>694.4</v>
      </c>
      <c r="P196" s="13">
        <f t="shared" si="176"/>
        <v>682.40000000000009</v>
      </c>
      <c r="Q196" s="13">
        <f t="shared" si="176"/>
        <v>1173.200000000001</v>
      </c>
      <c r="R196" s="13">
        <f t="shared" si="176"/>
        <v>955.39999999999986</v>
      </c>
      <c r="S196" s="13">
        <f t="shared" si="176"/>
        <v>808.60000000000014</v>
      </c>
      <c r="T196" s="13">
        <f t="shared" si="176"/>
        <v>678.89999999999975</v>
      </c>
      <c r="U196" s="13">
        <f t="shared" si="176"/>
        <v>926.89999999999964</v>
      </c>
      <c r="V196" s="13">
        <f t="shared" si="176"/>
        <v>913.39999999999895</v>
      </c>
      <c r="W196" s="13">
        <f t="shared" si="176"/>
        <v>808.40000000000009</v>
      </c>
      <c r="X196" s="13">
        <f t="shared" si="176"/>
        <v>917.10000000000059</v>
      </c>
      <c r="AO196" s="17">
        <f>+AO51</f>
        <v>4242.899999999996</v>
      </c>
      <c r="AP196" s="17">
        <f>+AP51</f>
        <v>3112.3999999999996</v>
      </c>
      <c r="AQ196" s="17">
        <f>+AQ51</f>
        <v>1207.0000000000007</v>
      </c>
      <c r="AR196" s="17">
        <f>+AR51</f>
        <v>3505.4000000000005</v>
      </c>
      <c r="AS196" s="17">
        <f>+AS51</f>
        <v>3327.7999999999984</v>
      </c>
    </row>
    <row r="199" spans="2:45">
      <c r="B199" s="17" t="s">
        <v>139</v>
      </c>
      <c r="R199" s="13">
        <f t="shared" ref="R199" si="177">+SUM(O196:R196)</f>
        <v>3505.4000000000005</v>
      </c>
      <c r="S199" s="13">
        <f>+SUM(P196:S196)</f>
        <v>3619.6000000000013</v>
      </c>
      <c r="T199" s="13">
        <f t="shared" ref="T199:X199" si="178">+SUM(Q196:T196)</f>
        <v>3616.1000000000004</v>
      </c>
      <c r="U199" s="13">
        <f t="shared" si="178"/>
        <v>3369.7999999999993</v>
      </c>
      <c r="V199" s="13">
        <f t="shared" si="178"/>
        <v>3327.7999999999984</v>
      </c>
      <c r="W199" s="13">
        <f t="shared" si="178"/>
        <v>3327.5999999999981</v>
      </c>
      <c r="X199" s="13">
        <f t="shared" si="178"/>
        <v>3565.7999999999993</v>
      </c>
      <c r="AO199" s="17">
        <f>+AO51</f>
        <v>4242.899999999996</v>
      </c>
      <c r="AP199" s="17">
        <f>+AP51</f>
        <v>3112.3999999999996</v>
      </c>
      <c r="AQ199" s="17">
        <f>+AQ51</f>
        <v>1207.0000000000007</v>
      </c>
      <c r="AR199" s="17">
        <f>+AR51</f>
        <v>3505.4000000000005</v>
      </c>
      <c r="AS199" s="17">
        <f>+AS51</f>
        <v>3327.7999999999984</v>
      </c>
    </row>
    <row r="212" spans="2:24">
      <c r="B212" s="17" t="s">
        <v>161</v>
      </c>
      <c r="V212" s="13">
        <v>310.3</v>
      </c>
      <c r="X212" s="13">
        <v>279.39999999999998</v>
      </c>
    </row>
    <row r="213" spans="2:24">
      <c r="B213" s="17" t="s">
        <v>162</v>
      </c>
      <c r="V213" s="13">
        <v>430.9</v>
      </c>
      <c r="X213" s="13">
        <v>376.1</v>
      </c>
    </row>
    <row r="214" spans="2:24">
      <c r="B214" s="17" t="s">
        <v>163</v>
      </c>
      <c r="V214" s="13">
        <v>418.8</v>
      </c>
      <c r="X214" s="13">
        <v>400.9</v>
      </c>
    </row>
    <row r="215" spans="2:24" s="19" customFormat="1">
      <c r="B215" s="19" t="s">
        <v>164</v>
      </c>
      <c r="C215" s="22">
        <f t="shared" ref="C215:W215" si="179">SUM(C211:C214)</f>
        <v>0</v>
      </c>
      <c r="D215" s="22">
        <f t="shared" si="179"/>
        <v>0</v>
      </c>
      <c r="E215" s="22">
        <f t="shared" si="179"/>
        <v>0</v>
      </c>
      <c r="F215" s="22">
        <f t="shared" si="179"/>
        <v>0</v>
      </c>
      <c r="G215" s="22">
        <f t="shared" si="179"/>
        <v>0</v>
      </c>
      <c r="H215" s="22">
        <f t="shared" si="179"/>
        <v>0</v>
      </c>
      <c r="I215" s="22">
        <f t="shared" si="179"/>
        <v>0</v>
      </c>
      <c r="J215" s="22">
        <f t="shared" si="179"/>
        <v>0</v>
      </c>
      <c r="K215" s="22">
        <f t="shared" si="179"/>
        <v>0</v>
      </c>
      <c r="L215" s="22">
        <f t="shared" si="179"/>
        <v>0</v>
      </c>
      <c r="M215" s="22">
        <f t="shared" si="179"/>
        <v>0</v>
      </c>
      <c r="N215" s="22">
        <f t="shared" si="179"/>
        <v>0</v>
      </c>
      <c r="O215" s="22">
        <f t="shared" si="179"/>
        <v>0</v>
      </c>
      <c r="P215" s="22">
        <f t="shared" si="179"/>
        <v>0</v>
      </c>
      <c r="Q215" s="22">
        <f t="shared" si="179"/>
        <v>0</v>
      </c>
      <c r="R215" s="22">
        <f t="shared" si="179"/>
        <v>0</v>
      </c>
      <c r="S215" s="22">
        <f t="shared" si="179"/>
        <v>0</v>
      </c>
      <c r="T215" s="22">
        <f t="shared" si="179"/>
        <v>0</v>
      </c>
      <c r="U215" s="22">
        <f t="shared" si="179"/>
        <v>0</v>
      </c>
      <c r="V215" s="22">
        <f t="shared" si="179"/>
        <v>1160</v>
      </c>
      <c r="W215" s="22">
        <f t="shared" si="179"/>
        <v>0</v>
      </c>
      <c r="X215" s="22">
        <f>SUM(X211:X214)</f>
        <v>1056.4000000000001</v>
      </c>
    </row>
  </sheetData>
  <conditionalFormatting sqref="BI68">
    <cfRule type="cellIs" dxfId="0" priority="1" operator="lessThan">
      <formula>0</formula>
    </cfRule>
  </conditionalFormatting>
  <pageMargins left="0.7" right="0.7" top="0.75" bottom="0.75" header="0.3" footer="0.3"/>
  <ignoredErrors>
    <ignoredError sqref="AP45:AR50 AP31:AR33 AP43:AR43 AP35:AR39 I69:R69 C40:F40 AP40:AR41 AS31:AS39 AS44 Z31:Z33 Z35:Z39 Z50 S69:Z69 M112:S112 J112 J111:Z111 K112:L112 T112:Z112 AS40:AS42 AS45:AS52" formulaRange="1"/>
    <ignoredError sqref="AP51:AR52 Z40:Z44 Z45:Z49" formula="1" formulaRange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B4B9-B3A4-8B4B-9F4D-296896D83C00}">
  <dimension ref="C2"/>
  <sheetViews>
    <sheetView zoomScale="174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baseColWidth="10" defaultRowHeight="13"/>
  <cols>
    <col min="1" max="1" width="2.5" customWidth="1"/>
  </cols>
  <sheetData>
    <row r="2" spans="3:3">
      <c r="C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Brannon, Jameel A.</dc:creator>
  <cp:lastModifiedBy>jameelbrannon</cp:lastModifiedBy>
  <dcterms:created xsi:type="dcterms:W3CDTF">2021-11-02T00:20:43Z</dcterms:created>
  <dcterms:modified xsi:type="dcterms:W3CDTF">2024-01-19T04:38:08Z</dcterms:modified>
</cp:coreProperties>
</file>