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F60330F9-158F-6643-9AE5-65C32E4B016D}" xr6:coauthVersionLast="47" xr6:coauthVersionMax="47" xr10:uidLastSave="{00000000-0000-0000-0000-000000000000}"/>
  <bookViews>
    <workbookView xWindow="2240" yWindow="500" windowWidth="38540" windowHeight="24700" activeTab="1" xr2:uid="{1650F373-B791-4E4A-8700-8C9D5E894CB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2" i="2" l="1"/>
  <c r="R149" i="2"/>
  <c r="T150" i="2"/>
  <c r="S150" i="2"/>
  <c r="R150" i="2"/>
  <c r="AE7" i="2"/>
  <c r="AD7" i="2"/>
  <c r="AC7" i="2"/>
  <c r="AB7" i="2"/>
  <c r="V30" i="2"/>
  <c r="L98" i="2"/>
  <c r="O97" i="2"/>
  <c r="O96" i="2"/>
  <c r="S153" i="2"/>
  <c r="O153" i="2"/>
  <c r="S152" i="2"/>
  <c r="O152" i="2"/>
  <c r="O154" i="2" s="1"/>
  <c r="AW43" i="2"/>
  <c r="AW41" i="2"/>
  <c r="AH49" i="2"/>
  <c r="AG49" i="2"/>
  <c r="AF49" i="2"/>
  <c r="AE49" i="2"/>
  <c r="AD49" i="2"/>
  <c r="AC49" i="2"/>
  <c r="AB49" i="2"/>
  <c r="AA49" i="2"/>
  <c r="AH48" i="2"/>
  <c r="AG48" i="2"/>
  <c r="AF48" i="2"/>
  <c r="AE48" i="2"/>
  <c r="AD48" i="2"/>
  <c r="AC48" i="2"/>
  <c r="AB48" i="2"/>
  <c r="AA48" i="2"/>
  <c r="AH47" i="2"/>
  <c r="AG47" i="2"/>
  <c r="AF47" i="2"/>
  <c r="AE47" i="2"/>
  <c r="AD47" i="2"/>
  <c r="AC47" i="2"/>
  <c r="AB47" i="2"/>
  <c r="AA47" i="2"/>
  <c r="AH46" i="2"/>
  <c r="AG46" i="2"/>
  <c r="AF46" i="2"/>
  <c r="AE46" i="2"/>
  <c r="AD46" i="2"/>
  <c r="AC46" i="2"/>
  <c r="AB46" i="2"/>
  <c r="AA46" i="2"/>
  <c r="AH44" i="2"/>
  <c r="AG44" i="2"/>
  <c r="AF44" i="2"/>
  <c r="AE44" i="2"/>
  <c r="AD44" i="2"/>
  <c r="AC44" i="2"/>
  <c r="AB44" i="2"/>
  <c r="AA44" i="2"/>
  <c r="AH43" i="2"/>
  <c r="AG43" i="2"/>
  <c r="AF43" i="2"/>
  <c r="AE43" i="2"/>
  <c r="AD43" i="2"/>
  <c r="AC43" i="2"/>
  <c r="AB43" i="2"/>
  <c r="AA43" i="2"/>
  <c r="AH42" i="2"/>
  <c r="AG42" i="2"/>
  <c r="AF42" i="2"/>
  <c r="AE42" i="2"/>
  <c r="AD42" i="2"/>
  <c r="AC42" i="2"/>
  <c r="AB42" i="2"/>
  <c r="AA42" i="2"/>
  <c r="AI49" i="2"/>
  <c r="AI48" i="2"/>
  <c r="AI47" i="2"/>
  <c r="AI46" i="2"/>
  <c r="AI44" i="2"/>
  <c r="AI43" i="2"/>
  <c r="AI42" i="2"/>
  <c r="T49" i="2"/>
  <c r="S49" i="2"/>
  <c r="Q49" i="2"/>
  <c r="P49" i="2"/>
  <c r="O49" i="2"/>
  <c r="M49" i="2"/>
  <c r="L49" i="2"/>
  <c r="K49" i="2"/>
  <c r="I49" i="2"/>
  <c r="H49" i="2"/>
  <c r="G49" i="2"/>
  <c r="T48" i="2"/>
  <c r="S48" i="2"/>
  <c r="Q48" i="2"/>
  <c r="P48" i="2"/>
  <c r="O48" i="2"/>
  <c r="M48" i="2"/>
  <c r="L48" i="2"/>
  <c r="K48" i="2"/>
  <c r="I48" i="2"/>
  <c r="H48" i="2"/>
  <c r="G48" i="2"/>
  <c r="T47" i="2"/>
  <c r="S47" i="2"/>
  <c r="Q47" i="2"/>
  <c r="P47" i="2"/>
  <c r="O47" i="2"/>
  <c r="M47" i="2"/>
  <c r="L47" i="2"/>
  <c r="K47" i="2"/>
  <c r="I47" i="2"/>
  <c r="H47" i="2"/>
  <c r="G47" i="2"/>
  <c r="T46" i="2"/>
  <c r="S46" i="2"/>
  <c r="Q46" i="2"/>
  <c r="P46" i="2"/>
  <c r="O46" i="2"/>
  <c r="M46" i="2"/>
  <c r="L46" i="2"/>
  <c r="K46" i="2"/>
  <c r="I46" i="2"/>
  <c r="H46" i="2"/>
  <c r="G46" i="2"/>
  <c r="T44" i="2"/>
  <c r="S44" i="2"/>
  <c r="Q44" i="2"/>
  <c r="P44" i="2"/>
  <c r="O44" i="2"/>
  <c r="M44" i="2"/>
  <c r="L44" i="2"/>
  <c r="K44" i="2"/>
  <c r="I44" i="2"/>
  <c r="H44" i="2"/>
  <c r="G44" i="2"/>
  <c r="T43" i="2"/>
  <c r="S43" i="2"/>
  <c r="Q43" i="2"/>
  <c r="P43" i="2"/>
  <c r="O43" i="2"/>
  <c r="M43" i="2"/>
  <c r="L43" i="2"/>
  <c r="K43" i="2"/>
  <c r="I43" i="2"/>
  <c r="H43" i="2"/>
  <c r="G43" i="2"/>
  <c r="T42" i="2"/>
  <c r="S42" i="2"/>
  <c r="Q42" i="2"/>
  <c r="P42" i="2"/>
  <c r="O42" i="2"/>
  <c r="M42" i="2"/>
  <c r="L42" i="2"/>
  <c r="K42" i="2"/>
  <c r="I42" i="2"/>
  <c r="H42" i="2"/>
  <c r="G42" i="2"/>
  <c r="U49" i="2"/>
  <c r="U48" i="2"/>
  <c r="U47" i="2"/>
  <c r="U46" i="2"/>
  <c r="U44" i="2"/>
  <c r="U43" i="2"/>
  <c r="U42" i="2"/>
  <c r="U13" i="2"/>
  <c r="T13" i="2"/>
  <c r="S13" i="2"/>
  <c r="R13" i="2"/>
  <c r="Q13" i="2"/>
  <c r="P13" i="2"/>
  <c r="O13" i="2"/>
  <c r="N13" i="2"/>
  <c r="M13" i="2"/>
  <c r="L13" i="2"/>
  <c r="K13" i="2"/>
  <c r="J13" i="2"/>
  <c r="U12" i="2"/>
  <c r="T12" i="2"/>
  <c r="S12" i="2"/>
  <c r="R12" i="2"/>
  <c r="Q12" i="2"/>
  <c r="P12" i="2"/>
  <c r="O12" i="2"/>
  <c r="N12" i="2"/>
  <c r="M12" i="2"/>
  <c r="L12" i="2"/>
  <c r="K12" i="2"/>
  <c r="J12" i="2"/>
  <c r="S11" i="2"/>
  <c r="P11" i="2"/>
  <c r="O11" i="2"/>
  <c r="L11" i="2"/>
  <c r="K11" i="2"/>
  <c r="J11" i="2"/>
  <c r="I13" i="2"/>
  <c r="I12" i="2"/>
  <c r="I11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M103" i="2"/>
  <c r="L103" i="2"/>
  <c r="K103" i="2"/>
  <c r="J103" i="2"/>
  <c r="I103" i="2"/>
  <c r="H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C103" i="2"/>
  <c r="C102" i="2"/>
  <c r="U98" i="2"/>
  <c r="T98" i="2"/>
  <c r="S98" i="2"/>
  <c r="R98" i="2"/>
  <c r="Q98" i="2"/>
  <c r="P98" i="2"/>
  <c r="O98" i="2"/>
  <c r="N98" i="2"/>
  <c r="M98" i="2"/>
  <c r="K98" i="2"/>
  <c r="J98" i="2"/>
  <c r="I98" i="2"/>
  <c r="H98" i="2"/>
  <c r="G98" i="2"/>
  <c r="F98" i="2"/>
  <c r="E98" i="2"/>
  <c r="D98" i="2"/>
  <c r="C98" i="2"/>
  <c r="O142" i="2"/>
  <c r="U68" i="2"/>
  <c r="T68" i="2"/>
  <c r="S68" i="2"/>
  <c r="R68" i="2"/>
  <c r="Q68" i="2"/>
  <c r="P68" i="2"/>
  <c r="O68" i="2"/>
  <c r="N68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T133" i="2"/>
  <c r="U133" i="2" s="1"/>
  <c r="T138" i="2"/>
  <c r="U138" i="2" s="1"/>
  <c r="T137" i="2"/>
  <c r="U137" i="2" s="1"/>
  <c r="U159" i="2" s="1"/>
  <c r="U161" i="2" s="1"/>
  <c r="T136" i="2"/>
  <c r="U136" i="2" s="1"/>
  <c r="T135" i="2"/>
  <c r="U135" i="2" s="1"/>
  <c r="T134" i="2"/>
  <c r="U134" i="2" s="1"/>
  <c r="T132" i="2"/>
  <c r="U132" i="2" s="1"/>
  <c r="T129" i="2"/>
  <c r="T128" i="2"/>
  <c r="U128" i="2" s="1"/>
  <c r="T127" i="2"/>
  <c r="U127" i="2" s="1"/>
  <c r="T126" i="2"/>
  <c r="U126" i="2" s="1"/>
  <c r="U152" i="2" s="1"/>
  <c r="T123" i="2"/>
  <c r="U123" i="2" s="1"/>
  <c r="T122" i="2"/>
  <c r="U122" i="2" s="1"/>
  <c r="T121" i="2"/>
  <c r="U121" i="2" s="1"/>
  <c r="T120" i="2"/>
  <c r="U120" i="2" s="1"/>
  <c r="T119" i="2"/>
  <c r="T118" i="2"/>
  <c r="U118" i="2" s="1"/>
  <c r="T117" i="2"/>
  <c r="U117" i="2" s="1"/>
  <c r="T116" i="2"/>
  <c r="U116" i="2" s="1"/>
  <c r="T115" i="2"/>
  <c r="U115" i="2" s="1"/>
  <c r="T114" i="2"/>
  <c r="U114" i="2" s="1"/>
  <c r="T113" i="2"/>
  <c r="U113" i="2" s="1"/>
  <c r="T112" i="2"/>
  <c r="U112" i="2" s="1"/>
  <c r="U153" i="2" s="1"/>
  <c r="T111" i="2"/>
  <c r="U111" i="2" s="1"/>
  <c r="Q137" i="2"/>
  <c r="R137" i="2" s="1"/>
  <c r="Q128" i="2"/>
  <c r="R128" i="2" s="1"/>
  <c r="Q127" i="2"/>
  <c r="R127" i="2" s="1"/>
  <c r="V27" i="2"/>
  <c r="S139" i="2"/>
  <c r="S130" i="2"/>
  <c r="S124" i="2"/>
  <c r="S146" i="2" s="1"/>
  <c r="U69" i="2"/>
  <c r="AI69" i="2" s="1"/>
  <c r="AJ30" i="2" s="1"/>
  <c r="T69" i="2"/>
  <c r="S69" i="2"/>
  <c r="R69" i="2"/>
  <c r="Q69" i="2"/>
  <c r="P69" i="2"/>
  <c r="O69" i="2"/>
  <c r="N69" i="2"/>
  <c r="S88" i="2"/>
  <c r="S93" i="2" s="1"/>
  <c r="S95" i="2" s="1"/>
  <c r="S75" i="2"/>
  <c r="S81" i="2" s="1"/>
  <c r="T88" i="2"/>
  <c r="T93" i="2" s="1"/>
  <c r="T95" i="2" s="1"/>
  <c r="T75" i="2"/>
  <c r="T81" i="2" s="1"/>
  <c r="M96" i="2"/>
  <c r="L96" i="2"/>
  <c r="K96" i="2"/>
  <c r="J96" i="2"/>
  <c r="I96" i="2"/>
  <c r="H96" i="2"/>
  <c r="G96" i="2"/>
  <c r="F96" i="2"/>
  <c r="E96" i="2"/>
  <c r="D96" i="2"/>
  <c r="C96" i="2"/>
  <c r="U88" i="2"/>
  <c r="U93" i="2" s="1"/>
  <c r="U95" i="2" s="1"/>
  <c r="U75" i="2"/>
  <c r="U81" i="2" s="1"/>
  <c r="T4" i="2"/>
  <c r="T11" i="2" s="1"/>
  <c r="Q4" i="2"/>
  <c r="U4" i="2"/>
  <c r="U23" i="2"/>
  <c r="U58" i="2" s="1"/>
  <c r="J10" i="1"/>
  <c r="J9" i="1"/>
  <c r="V35" i="2"/>
  <c r="R20" i="2"/>
  <c r="R33" i="2"/>
  <c r="R31" i="2"/>
  <c r="R30" i="2"/>
  <c r="R27" i="2"/>
  <c r="R26" i="2"/>
  <c r="R25" i="2"/>
  <c r="R24" i="2"/>
  <c r="R22" i="2"/>
  <c r="R21" i="2"/>
  <c r="R4" i="2"/>
  <c r="AI28" i="2"/>
  <c r="AI23" i="2"/>
  <c r="AI17" i="2" s="1"/>
  <c r="R88" i="2"/>
  <c r="R93" i="2" s="1"/>
  <c r="R95" i="2" s="1"/>
  <c r="R75" i="2"/>
  <c r="R81" i="2" s="1"/>
  <c r="S28" i="2"/>
  <c r="S23" i="2"/>
  <c r="S16" i="2" s="1"/>
  <c r="P138" i="2"/>
  <c r="Q138" i="2" s="1"/>
  <c r="R138" i="2" s="1"/>
  <c r="P136" i="2"/>
  <c r="P135" i="2"/>
  <c r="P133" i="2"/>
  <c r="Q133" i="2" s="1"/>
  <c r="R133" i="2" s="1"/>
  <c r="P134" i="2"/>
  <c r="P132" i="2"/>
  <c r="Q132" i="2" s="1"/>
  <c r="P129" i="2"/>
  <c r="P126" i="2"/>
  <c r="P152" i="2" s="1"/>
  <c r="P123" i="2"/>
  <c r="P122" i="2"/>
  <c r="Q122" i="2" s="1"/>
  <c r="P121" i="2"/>
  <c r="P120" i="2"/>
  <c r="P119" i="2"/>
  <c r="P118" i="2"/>
  <c r="Q118" i="2" s="1"/>
  <c r="R118" i="2" s="1"/>
  <c r="P117" i="2"/>
  <c r="P116" i="2"/>
  <c r="P115" i="2"/>
  <c r="Q115" i="2" s="1"/>
  <c r="P114" i="2"/>
  <c r="Q114" i="2" s="1"/>
  <c r="P113" i="2"/>
  <c r="P112" i="2"/>
  <c r="Q112" i="2" s="1"/>
  <c r="Q153" i="2" s="1"/>
  <c r="O139" i="2"/>
  <c r="O130" i="2"/>
  <c r="O88" i="2"/>
  <c r="O93" i="2" s="1"/>
  <c r="O95" i="2" s="1"/>
  <c r="O75" i="2"/>
  <c r="O81" i="2" s="1"/>
  <c r="P88" i="2"/>
  <c r="P93" i="2" s="1"/>
  <c r="P95" i="2" s="1"/>
  <c r="P75" i="2"/>
  <c r="P81" i="2" s="1"/>
  <c r="N88" i="2"/>
  <c r="N93" i="2" s="1"/>
  <c r="N95" i="2" s="1"/>
  <c r="N75" i="2"/>
  <c r="N81" i="2" s="1"/>
  <c r="Q88" i="2"/>
  <c r="Q93" i="2" s="1"/>
  <c r="Q95" i="2" s="1"/>
  <c r="Q75" i="2"/>
  <c r="Q81" i="2" s="1"/>
  <c r="Q28" i="2"/>
  <c r="Q23" i="2"/>
  <c r="Q56" i="2" s="1"/>
  <c r="M28" i="2"/>
  <c r="M23" i="2"/>
  <c r="M104" i="2" s="1"/>
  <c r="N33" i="2"/>
  <c r="N31" i="2"/>
  <c r="N30" i="2"/>
  <c r="F28" i="2"/>
  <c r="N27" i="2"/>
  <c r="N26" i="2"/>
  <c r="N25" i="2"/>
  <c r="N24" i="2"/>
  <c r="N22" i="2"/>
  <c r="N21" i="2"/>
  <c r="N20" i="2"/>
  <c r="AH28" i="2"/>
  <c r="AH23" i="2"/>
  <c r="AH56" i="2" s="1"/>
  <c r="O28" i="2"/>
  <c r="O23" i="2"/>
  <c r="O57" i="2" s="1"/>
  <c r="P28" i="2"/>
  <c r="P23" i="2"/>
  <c r="P56" i="2" s="1"/>
  <c r="N4" i="2"/>
  <c r="AH4" i="2" s="1"/>
  <c r="AI7" i="2" s="1"/>
  <c r="M4" i="2"/>
  <c r="M11" i="2" s="1"/>
  <c r="AE5" i="2"/>
  <c r="AD5" i="2"/>
  <c r="AC5" i="2"/>
  <c r="AB5" i="2"/>
  <c r="Z30" i="2"/>
  <c r="Z28" i="2"/>
  <c r="Z23" i="2"/>
  <c r="Z58" i="2" s="1"/>
  <c r="AA30" i="2"/>
  <c r="AA28" i="2"/>
  <c r="AA23" i="2"/>
  <c r="AA17" i="2" s="1"/>
  <c r="AB30" i="2"/>
  <c r="AB28" i="2"/>
  <c r="AB23" i="2"/>
  <c r="AB17" i="2" s="1"/>
  <c r="AC30" i="2"/>
  <c r="AC28" i="2"/>
  <c r="AC23" i="2"/>
  <c r="AD28" i="2"/>
  <c r="AD23" i="2"/>
  <c r="AD3" i="2"/>
  <c r="AC3" i="2" s="1"/>
  <c r="AB3" i="2" s="1"/>
  <c r="AA3" i="2" s="1"/>
  <c r="Z3" i="2" s="1"/>
  <c r="Y3" i="2" s="1"/>
  <c r="AF4" i="2"/>
  <c r="AF5" i="2" s="1"/>
  <c r="AG4" i="2"/>
  <c r="AG7" i="2" s="1"/>
  <c r="AH3" i="2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K7" i="2"/>
  <c r="J7" i="2"/>
  <c r="I7" i="2"/>
  <c r="H7" i="2"/>
  <c r="G7" i="2"/>
  <c r="F7" i="2"/>
  <c r="E7" i="2"/>
  <c r="L7" i="2"/>
  <c r="F23" i="2"/>
  <c r="F50" i="2" s="1"/>
  <c r="J33" i="2"/>
  <c r="J30" i="2"/>
  <c r="J27" i="2"/>
  <c r="J49" i="2" s="1"/>
  <c r="J26" i="2"/>
  <c r="J48" i="2" s="1"/>
  <c r="J25" i="2"/>
  <c r="J47" i="2" s="1"/>
  <c r="J24" i="2"/>
  <c r="J46" i="2" s="1"/>
  <c r="J22" i="2"/>
  <c r="J21" i="2"/>
  <c r="J20" i="2"/>
  <c r="AE28" i="2"/>
  <c r="AE23" i="2"/>
  <c r="AE45" i="2" s="1"/>
  <c r="AF28" i="2"/>
  <c r="AF23" i="2"/>
  <c r="AF58" i="2" s="1"/>
  <c r="AG28" i="2"/>
  <c r="AG23" i="2"/>
  <c r="AG57" i="2" s="1"/>
  <c r="C28" i="2"/>
  <c r="C23" i="2"/>
  <c r="C50" i="2" s="1"/>
  <c r="D28" i="2"/>
  <c r="D23" i="2"/>
  <c r="D50" i="2" s="1"/>
  <c r="E28" i="2"/>
  <c r="E23" i="2"/>
  <c r="E50" i="2" s="1"/>
  <c r="I28" i="2"/>
  <c r="I23" i="2"/>
  <c r="I50" i="2" s="1"/>
  <c r="G28" i="2"/>
  <c r="G23" i="2"/>
  <c r="G50" i="2" s="1"/>
  <c r="K28" i="2"/>
  <c r="K23" i="2"/>
  <c r="K50" i="2" s="1"/>
  <c r="H28" i="2"/>
  <c r="H23" i="2"/>
  <c r="H50" i="2" s="1"/>
  <c r="L28" i="2"/>
  <c r="L23" i="2"/>
  <c r="L16" i="2" s="1"/>
  <c r="J8" i="1"/>
  <c r="S154" i="2" l="1"/>
  <c r="AF7" i="2"/>
  <c r="AC45" i="2"/>
  <c r="AH7" i="2"/>
  <c r="AD45" i="2"/>
  <c r="V49" i="2"/>
  <c r="AF55" i="2"/>
  <c r="P97" i="2"/>
  <c r="U154" i="2"/>
  <c r="AB55" i="2"/>
  <c r="AA56" i="2"/>
  <c r="AD62" i="2" s="1"/>
  <c r="AI56" i="2"/>
  <c r="AH57" i="2"/>
  <c r="AG58" i="2"/>
  <c r="AF45" i="2"/>
  <c r="AC50" i="2"/>
  <c r="AC55" i="2"/>
  <c r="AB56" i="2"/>
  <c r="AA57" i="2"/>
  <c r="AI57" i="2"/>
  <c r="AH58" i="2"/>
  <c r="AG45" i="2"/>
  <c r="AD50" i="2"/>
  <c r="AD55" i="2"/>
  <c r="AC56" i="2"/>
  <c r="AB57" i="2"/>
  <c r="AA58" i="2"/>
  <c r="AI58" i="2"/>
  <c r="AH45" i="2"/>
  <c r="AE50" i="2"/>
  <c r="Z55" i="2"/>
  <c r="AC61" i="2" s="1"/>
  <c r="AE55" i="2"/>
  <c r="AD56" i="2"/>
  <c r="AC57" i="2"/>
  <c r="AB58" i="2"/>
  <c r="AA45" i="2"/>
  <c r="AA50" i="2"/>
  <c r="AF50" i="2"/>
  <c r="T153" i="2"/>
  <c r="Z56" i="2"/>
  <c r="AC62" i="2" s="1"/>
  <c r="AE56" i="2"/>
  <c r="AD57" i="2"/>
  <c r="AC58" i="2"/>
  <c r="AB45" i="2"/>
  <c r="AG50" i="2"/>
  <c r="Z57" i="2"/>
  <c r="AC63" i="2" s="1"/>
  <c r="AG55" i="2"/>
  <c r="AF56" i="2"/>
  <c r="AE57" i="2"/>
  <c r="AD58" i="2"/>
  <c r="Z50" i="2"/>
  <c r="AH50" i="2"/>
  <c r="T152" i="2"/>
  <c r="AH55" i="2"/>
  <c r="AG56" i="2"/>
  <c r="AF57" i="2"/>
  <c r="AE58" i="2"/>
  <c r="AI45" i="2"/>
  <c r="AI50" i="2"/>
  <c r="AA55" i="2"/>
  <c r="AD61" i="2" s="1"/>
  <c r="AI55" i="2"/>
  <c r="AB50" i="2"/>
  <c r="P153" i="2"/>
  <c r="P154" i="2" s="1"/>
  <c r="J11" i="1"/>
  <c r="J13" i="1" s="1"/>
  <c r="S56" i="2"/>
  <c r="C55" i="2"/>
  <c r="G55" i="2"/>
  <c r="U55" i="2"/>
  <c r="F56" i="2"/>
  <c r="U56" i="2"/>
  <c r="G58" i="2"/>
  <c r="P57" i="2"/>
  <c r="D55" i="2"/>
  <c r="K56" i="2"/>
  <c r="Q57" i="2"/>
  <c r="F55" i="2"/>
  <c r="L56" i="2"/>
  <c r="F58" i="2"/>
  <c r="I58" i="2"/>
  <c r="L55" i="2"/>
  <c r="P55" i="2"/>
  <c r="H57" i="2"/>
  <c r="P58" i="2"/>
  <c r="I57" i="2"/>
  <c r="D56" i="2"/>
  <c r="L57" i="2"/>
  <c r="O58" i="2"/>
  <c r="M55" i="2"/>
  <c r="H58" i="2"/>
  <c r="Q58" i="2"/>
  <c r="E56" i="2"/>
  <c r="H55" i="2"/>
  <c r="C56" i="2"/>
  <c r="I55" i="2"/>
  <c r="Q55" i="2"/>
  <c r="G56" i="2"/>
  <c r="O56" i="2"/>
  <c r="E57" i="2"/>
  <c r="M57" i="2"/>
  <c r="U57" i="2"/>
  <c r="K58" i="2"/>
  <c r="S58" i="2"/>
  <c r="O55" i="2"/>
  <c r="M56" i="2"/>
  <c r="K57" i="2"/>
  <c r="S57" i="2"/>
  <c r="C57" i="2"/>
  <c r="H56" i="2"/>
  <c r="F57" i="2"/>
  <c r="D58" i="2"/>
  <c r="L58" i="2"/>
  <c r="E55" i="2"/>
  <c r="D57" i="2"/>
  <c r="C58" i="2"/>
  <c r="K55" i="2"/>
  <c r="S55" i="2"/>
  <c r="I56" i="2"/>
  <c r="G57" i="2"/>
  <c r="E58" i="2"/>
  <c r="M58" i="2"/>
  <c r="N48" i="2"/>
  <c r="N42" i="2"/>
  <c r="R43" i="2"/>
  <c r="R49" i="2"/>
  <c r="R42" i="2"/>
  <c r="R47" i="2"/>
  <c r="N43" i="2"/>
  <c r="R44" i="2"/>
  <c r="R46" i="2"/>
  <c r="K100" i="2"/>
  <c r="K101" i="2" s="1"/>
  <c r="O45" i="2"/>
  <c r="U45" i="2"/>
  <c r="N46" i="2"/>
  <c r="N47" i="2"/>
  <c r="R48" i="2"/>
  <c r="N49" i="2"/>
  <c r="P100" i="2"/>
  <c r="P101" i="2" s="1"/>
  <c r="M45" i="2"/>
  <c r="J100" i="2"/>
  <c r="J101" i="2" s="1"/>
  <c r="J43" i="2"/>
  <c r="G45" i="2"/>
  <c r="J42" i="2"/>
  <c r="N44" i="2"/>
  <c r="P45" i="2"/>
  <c r="I45" i="2"/>
  <c r="Q45" i="2"/>
  <c r="U11" i="2"/>
  <c r="N100" i="2"/>
  <c r="H45" i="2"/>
  <c r="R11" i="2"/>
  <c r="Q11" i="2"/>
  <c r="O100" i="2"/>
  <c r="O101" i="2" s="1"/>
  <c r="K45" i="2"/>
  <c r="S45" i="2"/>
  <c r="J44" i="2"/>
  <c r="L45" i="2"/>
  <c r="F100" i="2"/>
  <c r="F101" i="2" s="1"/>
  <c r="P104" i="2"/>
  <c r="G100" i="2"/>
  <c r="G101" i="2" s="1"/>
  <c r="H100" i="2"/>
  <c r="H101" i="2" s="1"/>
  <c r="I100" i="2"/>
  <c r="I101" i="2" s="1"/>
  <c r="Q100" i="2"/>
  <c r="Q101" i="2" s="1"/>
  <c r="R100" i="2"/>
  <c r="R101" i="2" s="1"/>
  <c r="C100" i="2"/>
  <c r="C101" i="2" s="1"/>
  <c r="S100" i="2"/>
  <c r="S101" i="2" s="1"/>
  <c r="U102" i="2"/>
  <c r="D100" i="2"/>
  <c r="D101" i="2" s="1"/>
  <c r="L100" i="2"/>
  <c r="L101" i="2" s="1"/>
  <c r="T100" i="2"/>
  <c r="T101" i="2" s="1"/>
  <c r="E100" i="2"/>
  <c r="E101" i="2" s="1"/>
  <c r="M100" i="2"/>
  <c r="M101" i="2" s="1"/>
  <c r="U100" i="2"/>
  <c r="U101" i="2" s="1"/>
  <c r="N11" i="2"/>
  <c r="Q104" i="2"/>
  <c r="S103" i="2"/>
  <c r="N103" i="2"/>
  <c r="U103" i="2"/>
  <c r="I104" i="2"/>
  <c r="N102" i="2"/>
  <c r="S102" i="2"/>
  <c r="Q103" i="2"/>
  <c r="F104" i="2"/>
  <c r="T102" i="2"/>
  <c r="R103" i="2"/>
  <c r="G104" i="2"/>
  <c r="O104" i="2"/>
  <c r="H104" i="2"/>
  <c r="T103" i="2"/>
  <c r="S104" i="2"/>
  <c r="P102" i="2"/>
  <c r="C104" i="2"/>
  <c r="K104" i="2"/>
  <c r="Q102" i="2"/>
  <c r="O103" i="2"/>
  <c r="D104" i="2"/>
  <c r="L104" i="2"/>
  <c r="O102" i="2"/>
  <c r="R102" i="2"/>
  <c r="P103" i="2"/>
  <c r="E104" i="2"/>
  <c r="U104" i="2"/>
  <c r="R132" i="2"/>
  <c r="Q129" i="2"/>
  <c r="R129" i="2" s="1"/>
  <c r="Q117" i="2"/>
  <c r="R117" i="2" s="1"/>
  <c r="Q120" i="2"/>
  <c r="R120" i="2" s="1"/>
  <c r="R112" i="2"/>
  <c r="R153" i="2" s="1"/>
  <c r="S141" i="2"/>
  <c r="Q134" i="2"/>
  <c r="R134" i="2" s="1"/>
  <c r="Q119" i="2"/>
  <c r="R119" i="2" s="1"/>
  <c r="U119" i="2" s="1"/>
  <c r="U124" i="2" s="1"/>
  <c r="R115" i="2"/>
  <c r="Q123" i="2"/>
  <c r="R123" i="2" s="1"/>
  <c r="Q113" i="2"/>
  <c r="R113" i="2" s="1"/>
  <c r="Q121" i="2"/>
  <c r="R121" i="2" s="1"/>
  <c r="Q135" i="2"/>
  <c r="R135" i="2" s="1"/>
  <c r="R114" i="2"/>
  <c r="R122" i="2"/>
  <c r="Q116" i="2"/>
  <c r="R116" i="2" s="1"/>
  <c r="Q126" i="2"/>
  <c r="Q152" i="2" s="1"/>
  <c r="Q154" i="2" s="1"/>
  <c r="Q136" i="2"/>
  <c r="T139" i="2"/>
  <c r="T130" i="2"/>
  <c r="T124" i="2"/>
  <c r="T146" i="2" s="1"/>
  <c r="AH17" i="2"/>
  <c r="AI18" i="2" s="1"/>
  <c r="U139" i="2"/>
  <c r="AG17" i="2"/>
  <c r="U130" i="2"/>
  <c r="AE17" i="2"/>
  <c r="AF17" i="2"/>
  <c r="U96" i="2"/>
  <c r="U50" i="2"/>
  <c r="R96" i="2"/>
  <c r="N96" i="2"/>
  <c r="R23" i="2"/>
  <c r="R55" i="2" s="1"/>
  <c r="T96" i="2"/>
  <c r="P96" i="2"/>
  <c r="Q96" i="2"/>
  <c r="U16" i="2"/>
  <c r="V4" i="2"/>
  <c r="AJ4" i="2" s="1"/>
  <c r="AK4" i="2" s="1"/>
  <c r="AL4" i="2" s="1"/>
  <c r="AM4" i="2" s="1"/>
  <c r="AN4" i="2" s="1"/>
  <c r="AO4" i="2" s="1"/>
  <c r="AP4" i="2" s="1"/>
  <c r="AQ4" i="2" s="1"/>
  <c r="AR4" i="2" s="1"/>
  <c r="Q16" i="2"/>
  <c r="Q17" i="2" s="1"/>
  <c r="S50" i="2"/>
  <c r="R28" i="2"/>
  <c r="S96" i="2"/>
  <c r="S17" i="2"/>
  <c r="AI29" i="2"/>
  <c r="AI32" i="2" s="1"/>
  <c r="AI52" i="2" s="1"/>
  <c r="S29" i="2"/>
  <c r="S105" i="2" s="1"/>
  <c r="S106" i="2" s="1"/>
  <c r="P139" i="2"/>
  <c r="Q50" i="2"/>
  <c r="P130" i="2"/>
  <c r="P16" i="2"/>
  <c r="M16" i="2"/>
  <c r="O50" i="2"/>
  <c r="P50" i="2"/>
  <c r="O16" i="2"/>
  <c r="S18" i="2" s="1"/>
  <c r="Q29" i="2"/>
  <c r="AG5" i="2"/>
  <c r="N28" i="2"/>
  <c r="M29" i="2"/>
  <c r="M105" i="2" s="1"/>
  <c r="M106" i="2" s="1"/>
  <c r="N23" i="2"/>
  <c r="N58" i="2" s="1"/>
  <c r="AH29" i="2"/>
  <c r="O29" i="2"/>
  <c r="AC17" i="2"/>
  <c r="AC18" i="2" s="1"/>
  <c r="P29" i="2"/>
  <c r="P105" i="2" s="1"/>
  <c r="P106" i="2" s="1"/>
  <c r="AI5" i="2"/>
  <c r="AH5" i="2"/>
  <c r="AD17" i="2"/>
  <c r="Z29" i="2"/>
  <c r="Z51" i="2" s="1"/>
  <c r="AA29" i="2"/>
  <c r="AA51" i="2" s="1"/>
  <c r="AB29" i="2"/>
  <c r="AB51" i="2" s="1"/>
  <c r="AC29" i="2"/>
  <c r="AC51" i="2" s="1"/>
  <c r="AD29" i="2"/>
  <c r="AD51" i="2" s="1"/>
  <c r="L17" i="2"/>
  <c r="K16" i="2"/>
  <c r="F16" i="2"/>
  <c r="F17" i="2" s="1"/>
  <c r="H16" i="2"/>
  <c r="F29" i="2"/>
  <c r="F105" i="2" s="1"/>
  <c r="F106" i="2" s="1"/>
  <c r="G16" i="2"/>
  <c r="G17" i="2" s="1"/>
  <c r="I16" i="2"/>
  <c r="J28" i="2"/>
  <c r="J23" i="2"/>
  <c r="J58" i="2" s="1"/>
  <c r="L50" i="2"/>
  <c r="AE29" i="2"/>
  <c r="AF29" i="2"/>
  <c r="AG29" i="2"/>
  <c r="C29" i="2"/>
  <c r="D29" i="2"/>
  <c r="E29" i="2"/>
  <c r="I29" i="2"/>
  <c r="G29" i="2"/>
  <c r="K29" i="2"/>
  <c r="L29" i="2"/>
  <c r="H29" i="2"/>
  <c r="AI61" i="2" l="1"/>
  <c r="AF64" i="2"/>
  <c r="AD63" i="2"/>
  <c r="AE62" i="2"/>
  <c r="AI63" i="2"/>
  <c r="AI62" i="2"/>
  <c r="AH61" i="2"/>
  <c r="AG61" i="2"/>
  <c r="AE64" i="2"/>
  <c r="AD64" i="2"/>
  <c r="AC64" i="2"/>
  <c r="AG64" i="2"/>
  <c r="AG63" i="2"/>
  <c r="AF63" i="2"/>
  <c r="AE63" i="2"/>
  <c r="AE61" i="2"/>
  <c r="K64" i="2"/>
  <c r="AH64" i="2"/>
  <c r="AH63" i="2"/>
  <c r="AH62" i="2"/>
  <c r="AG62" i="2"/>
  <c r="AF62" i="2"/>
  <c r="AF61" i="2"/>
  <c r="AI64" i="2"/>
  <c r="G63" i="2"/>
  <c r="P64" i="2"/>
  <c r="F62" i="2"/>
  <c r="H61" i="2"/>
  <c r="J64" i="2"/>
  <c r="N64" i="2"/>
  <c r="I62" i="2"/>
  <c r="AE38" i="2"/>
  <c r="AE51" i="2"/>
  <c r="M64" i="2"/>
  <c r="O64" i="2"/>
  <c r="L64" i="2"/>
  <c r="G64" i="2"/>
  <c r="I64" i="2"/>
  <c r="I63" i="2"/>
  <c r="G62" i="2"/>
  <c r="AI34" i="2"/>
  <c r="AI36" i="2" s="1"/>
  <c r="AI51" i="2"/>
  <c r="R61" i="2"/>
  <c r="AG38" i="2"/>
  <c r="AG51" i="2"/>
  <c r="F63" i="2"/>
  <c r="H62" i="2"/>
  <c r="T154" i="2"/>
  <c r="H64" i="2"/>
  <c r="AH38" i="2"/>
  <c r="AH51" i="2"/>
  <c r="AF38" i="2"/>
  <c r="AF51" i="2"/>
  <c r="Q64" i="2"/>
  <c r="F64" i="2"/>
  <c r="H63" i="2"/>
  <c r="N62" i="2"/>
  <c r="I61" i="2"/>
  <c r="F61" i="2"/>
  <c r="S61" i="2"/>
  <c r="G61" i="2"/>
  <c r="N56" i="2"/>
  <c r="Q62" i="2" s="1"/>
  <c r="J55" i="2"/>
  <c r="M61" i="2" s="1"/>
  <c r="N55" i="2"/>
  <c r="Q61" i="2" s="1"/>
  <c r="J45" i="2"/>
  <c r="J56" i="2"/>
  <c r="M62" i="2" s="1"/>
  <c r="R58" i="2"/>
  <c r="R64" i="2" s="1"/>
  <c r="R57" i="2"/>
  <c r="S63" i="2" s="1"/>
  <c r="R56" i="2"/>
  <c r="J57" i="2"/>
  <c r="M63" i="2" s="1"/>
  <c r="N57" i="2"/>
  <c r="Q63" i="2" s="1"/>
  <c r="R104" i="2"/>
  <c r="R45" i="2"/>
  <c r="N45" i="2"/>
  <c r="E38" i="2"/>
  <c r="E105" i="2"/>
  <c r="E106" i="2" s="1"/>
  <c r="O38" i="2"/>
  <c r="O105" i="2"/>
  <c r="O106" i="2" s="1"/>
  <c r="K38" i="2"/>
  <c r="K105" i="2"/>
  <c r="K106" i="2" s="1"/>
  <c r="I38" i="2"/>
  <c r="I105" i="2"/>
  <c r="I106" i="2" s="1"/>
  <c r="H38" i="2"/>
  <c r="H105" i="2"/>
  <c r="H106" i="2" s="1"/>
  <c r="D38" i="2"/>
  <c r="D105" i="2"/>
  <c r="D106" i="2" s="1"/>
  <c r="Q38" i="2"/>
  <c r="Q105" i="2"/>
  <c r="Q106" i="2" s="1"/>
  <c r="L38" i="2"/>
  <c r="L105" i="2"/>
  <c r="L106" i="2" s="1"/>
  <c r="C38" i="2"/>
  <c r="C105" i="2"/>
  <c r="C106" i="2" s="1"/>
  <c r="G38" i="2"/>
  <c r="G105" i="2"/>
  <c r="G106" i="2" s="1"/>
  <c r="J16" i="2"/>
  <c r="J17" i="2" s="1"/>
  <c r="J104" i="2"/>
  <c r="N16" i="2"/>
  <c r="N17" i="2" s="1"/>
  <c r="N104" i="2"/>
  <c r="Q130" i="2"/>
  <c r="Q139" i="2"/>
  <c r="R136" i="2"/>
  <c r="R139" i="2" s="1"/>
  <c r="R126" i="2"/>
  <c r="AH18" i="2"/>
  <c r="U146" i="2"/>
  <c r="T141" i="2"/>
  <c r="U141" i="2"/>
  <c r="U18" i="2"/>
  <c r="U17" i="2"/>
  <c r="R29" i="2"/>
  <c r="S38" i="2"/>
  <c r="S51" i="2"/>
  <c r="M17" i="2"/>
  <c r="M18" i="2"/>
  <c r="K17" i="2"/>
  <c r="K18" i="2"/>
  <c r="O17" i="2"/>
  <c r="O18" i="2"/>
  <c r="Q18" i="2"/>
  <c r="H17" i="2"/>
  <c r="L18" i="2"/>
  <c r="S32" i="2"/>
  <c r="S34" i="2" s="1"/>
  <c r="S147" i="2" s="1"/>
  <c r="P17" i="2"/>
  <c r="P18" i="2"/>
  <c r="AB32" i="2"/>
  <c r="AB38" i="2"/>
  <c r="M32" i="2"/>
  <c r="M34" i="2" s="1"/>
  <c r="M38" i="2"/>
  <c r="AA32" i="2"/>
  <c r="AA38" i="2"/>
  <c r="P51" i="2"/>
  <c r="P38" i="2"/>
  <c r="F32" i="2"/>
  <c r="F34" i="2" s="1"/>
  <c r="F147" i="2" s="1"/>
  <c r="F38" i="2"/>
  <c r="Z32" i="2"/>
  <c r="Z34" i="2" s="1"/>
  <c r="Z36" i="2" s="1"/>
  <c r="Z38" i="2"/>
  <c r="AD32" i="2"/>
  <c r="AD38" i="2"/>
  <c r="AC32" i="2"/>
  <c r="AC38" i="2"/>
  <c r="Q32" i="2"/>
  <c r="Q34" i="2" s="1"/>
  <c r="Q51" i="2"/>
  <c r="O32" i="2"/>
  <c r="O34" i="2" s="1"/>
  <c r="O51" i="2"/>
  <c r="N29" i="2"/>
  <c r="AH32" i="2"/>
  <c r="AD18" i="2"/>
  <c r="P32" i="2"/>
  <c r="P34" i="2" s="1"/>
  <c r="AE18" i="2"/>
  <c r="AF18" i="2"/>
  <c r="AG18" i="2"/>
  <c r="I17" i="2"/>
  <c r="F51" i="2"/>
  <c r="G32" i="2"/>
  <c r="G34" i="2" s="1"/>
  <c r="G147" i="2" s="1"/>
  <c r="G51" i="2"/>
  <c r="AE32" i="2"/>
  <c r="J50" i="2"/>
  <c r="I32" i="2"/>
  <c r="I34" i="2" s="1"/>
  <c r="I147" i="2" s="1"/>
  <c r="I51" i="2"/>
  <c r="H32" i="2"/>
  <c r="H34" i="2" s="1"/>
  <c r="H147" i="2" s="1"/>
  <c r="H51" i="2"/>
  <c r="L32" i="2"/>
  <c r="L34" i="2" s="1"/>
  <c r="L147" i="2" s="1"/>
  <c r="L51" i="2"/>
  <c r="K32" i="2"/>
  <c r="K51" i="2"/>
  <c r="AF32" i="2"/>
  <c r="E32" i="2"/>
  <c r="E34" i="2" s="1"/>
  <c r="E147" i="2" s="1"/>
  <c r="E51" i="2"/>
  <c r="D32" i="2"/>
  <c r="D34" i="2" s="1"/>
  <c r="D147" i="2" s="1"/>
  <c r="D51" i="2"/>
  <c r="C32" i="2"/>
  <c r="C34" i="2" s="1"/>
  <c r="C147" i="2" s="1"/>
  <c r="C51" i="2"/>
  <c r="AG32" i="2"/>
  <c r="AG52" i="2" s="1"/>
  <c r="J29" i="2"/>
  <c r="J105" i="2" s="1"/>
  <c r="J106" i="2" s="1"/>
  <c r="K63" i="2" l="1"/>
  <c r="O62" i="2"/>
  <c r="AE34" i="2"/>
  <c r="AE36" i="2" s="1"/>
  <c r="AE52" i="2"/>
  <c r="S64" i="2"/>
  <c r="AC34" i="2"/>
  <c r="AC36" i="2" s="1"/>
  <c r="AC52" i="2"/>
  <c r="AD34" i="2"/>
  <c r="AD36" i="2" s="1"/>
  <c r="AD52" i="2"/>
  <c r="AH34" i="2"/>
  <c r="AH36" i="2" s="1"/>
  <c r="AH52" i="2"/>
  <c r="AA34" i="2"/>
  <c r="AA36" i="2" s="1"/>
  <c r="AA52" i="2"/>
  <c r="AF34" i="2"/>
  <c r="AF36" i="2" s="1"/>
  <c r="AF52" i="2"/>
  <c r="AB34" i="2"/>
  <c r="AB36" i="2" s="1"/>
  <c r="AB52" i="2"/>
  <c r="N63" i="2"/>
  <c r="J62" i="2"/>
  <c r="O63" i="2"/>
  <c r="J63" i="2"/>
  <c r="S62" i="2"/>
  <c r="P62" i="2"/>
  <c r="K62" i="2"/>
  <c r="P63" i="2"/>
  <c r="R62" i="2"/>
  <c r="L62" i="2"/>
  <c r="R130" i="2"/>
  <c r="R152" i="2"/>
  <c r="R154" i="2" s="1"/>
  <c r="R63" i="2"/>
  <c r="L63" i="2"/>
  <c r="L61" i="2"/>
  <c r="O61" i="2"/>
  <c r="J61" i="2"/>
  <c r="N61" i="2"/>
  <c r="P61" i="2"/>
  <c r="K61" i="2"/>
  <c r="N18" i="2"/>
  <c r="R32" i="2"/>
  <c r="R34" i="2" s="1"/>
  <c r="R110" i="2" s="1"/>
  <c r="R105" i="2"/>
  <c r="R106" i="2" s="1"/>
  <c r="N38" i="2"/>
  <c r="N105" i="2"/>
  <c r="N106" i="2" s="1"/>
  <c r="J18" i="2"/>
  <c r="M110" i="2"/>
  <c r="M147" i="2"/>
  <c r="Q110" i="2"/>
  <c r="Q147" i="2"/>
  <c r="P110" i="2"/>
  <c r="P147" i="2"/>
  <c r="O110" i="2"/>
  <c r="O147" i="2"/>
  <c r="G36" i="2"/>
  <c r="G110" i="2"/>
  <c r="H36" i="2"/>
  <c r="H110" i="2"/>
  <c r="C36" i="2"/>
  <c r="C110" i="2"/>
  <c r="E36" i="2"/>
  <c r="E110" i="2"/>
  <c r="I36" i="2"/>
  <c r="I110" i="2"/>
  <c r="F36" i="2"/>
  <c r="F110" i="2"/>
  <c r="D36" i="2"/>
  <c r="D110" i="2"/>
  <c r="L36" i="2"/>
  <c r="L110" i="2"/>
  <c r="S36" i="2"/>
  <c r="S110" i="2"/>
  <c r="U28" i="2"/>
  <c r="U29" i="2" s="1"/>
  <c r="J51" i="2"/>
  <c r="J38" i="2"/>
  <c r="O36" i="2"/>
  <c r="O111" i="2"/>
  <c r="P36" i="2"/>
  <c r="P111" i="2"/>
  <c r="P124" i="2" s="1"/>
  <c r="Q36" i="2"/>
  <c r="AJ5" i="2"/>
  <c r="N32" i="2"/>
  <c r="M36" i="2"/>
  <c r="M50" i="2"/>
  <c r="N50" i="2"/>
  <c r="K34" i="2"/>
  <c r="K147" i="2" s="1"/>
  <c r="J32" i="2"/>
  <c r="AG34" i="2"/>
  <c r="R147" i="2" l="1"/>
  <c r="R36" i="2"/>
  <c r="U51" i="2"/>
  <c r="U105" i="2"/>
  <c r="U106" i="2" s="1"/>
  <c r="O124" i="2"/>
  <c r="Q111" i="2"/>
  <c r="Q124" i="2" s="1"/>
  <c r="R111" i="2"/>
  <c r="R124" i="2" s="1"/>
  <c r="P141" i="2"/>
  <c r="P146" i="2"/>
  <c r="N34" i="2"/>
  <c r="K110" i="2"/>
  <c r="U38" i="2"/>
  <c r="AK5" i="2"/>
  <c r="K36" i="2"/>
  <c r="N36" i="2" s="1"/>
  <c r="N51" i="2"/>
  <c r="AG36" i="2"/>
  <c r="J34" i="2"/>
  <c r="J147" i="2" s="1"/>
  <c r="S149" i="2" l="1"/>
  <c r="N110" i="2"/>
  <c r="N147" i="2"/>
  <c r="R146" i="2"/>
  <c r="R141" i="2"/>
  <c r="Q141" i="2"/>
  <c r="Q146" i="2"/>
  <c r="O141" i="2"/>
  <c r="O143" i="2" s="1"/>
  <c r="P142" i="2" s="1"/>
  <c r="P143" i="2" s="1"/>
  <c r="O146" i="2"/>
  <c r="N35" i="2"/>
  <c r="N101" i="2" s="1"/>
  <c r="AL5" i="2"/>
  <c r="J36" i="2"/>
  <c r="J110" i="2"/>
  <c r="M51" i="2"/>
  <c r="J18" i="1" l="1"/>
  <c r="J19" i="1" s="1"/>
  <c r="U148" i="2"/>
  <c r="R148" i="2"/>
  <c r="T148" i="2"/>
  <c r="S148" i="2"/>
  <c r="Q142" i="2"/>
  <c r="Q143" i="2" s="1"/>
  <c r="R142" i="2" s="1"/>
  <c r="R143" i="2" s="1"/>
  <c r="S142" i="2" s="1"/>
  <c r="S143" i="2" s="1"/>
  <c r="T142" i="2" s="1"/>
  <c r="T143" i="2" s="1"/>
  <c r="U142" i="2" s="1"/>
  <c r="U143" i="2" s="1"/>
  <c r="AM5" i="2"/>
  <c r="AN5" i="2" l="1"/>
  <c r="AO5" i="2" l="1"/>
  <c r="AI38" i="2"/>
  <c r="AP5" i="2" l="1"/>
  <c r="AQ5" i="2"/>
  <c r="AJ35" i="2" l="1"/>
  <c r="AK35" i="2" s="1"/>
  <c r="AL35" i="2" s="1"/>
  <c r="AM35" i="2" s="1"/>
  <c r="AN35" i="2" s="1"/>
  <c r="AO35" i="2" s="1"/>
  <c r="AP35" i="2" s="1"/>
  <c r="AQ35" i="2" s="1"/>
  <c r="AR35" i="2" s="1"/>
  <c r="AS35" i="2" s="1"/>
  <c r="AS5" i="2" l="1"/>
  <c r="AR5" i="2"/>
  <c r="K9" i="1" l="1"/>
  <c r="K10" i="1" s="1"/>
  <c r="R50" i="2" l="1"/>
  <c r="R16" i="2"/>
  <c r="V16" i="2" s="1"/>
  <c r="V23" i="2" s="1"/>
  <c r="V45" i="2" l="1"/>
  <c r="V58" i="2"/>
  <c r="R17" i="2"/>
  <c r="R18" i="2"/>
  <c r="R51" i="2"/>
  <c r="R38" i="2"/>
  <c r="U34" i="2" l="1"/>
  <c r="U147" i="2" s="1"/>
  <c r="T23" i="2"/>
  <c r="T57" i="2" l="1"/>
  <c r="T58" i="2"/>
  <c r="T55" i="2"/>
  <c r="T56" i="2"/>
  <c r="T104" i="2"/>
  <c r="T45" i="2"/>
  <c r="U36" i="2"/>
  <c r="U110" i="2"/>
  <c r="T50" i="2"/>
  <c r="T16" i="2"/>
  <c r="U62" i="2" l="1"/>
  <c r="T62" i="2"/>
  <c r="T64" i="2"/>
  <c r="U64" i="2"/>
  <c r="T63" i="2"/>
  <c r="U63" i="2"/>
  <c r="T61" i="2"/>
  <c r="U61" i="2"/>
  <c r="T17" i="2"/>
  <c r="T18" i="2"/>
  <c r="T28" i="2"/>
  <c r="T29" i="2" s="1"/>
  <c r="T51" i="2" l="1"/>
  <c r="T105" i="2"/>
  <c r="T106" i="2" s="1"/>
  <c r="T32" i="2"/>
  <c r="T38" i="2"/>
  <c r="T34" i="2" l="1"/>
  <c r="T147" i="2" s="1"/>
  <c r="V22" i="2"/>
  <c r="V44" i="2" s="1"/>
  <c r="AJ27" i="2"/>
  <c r="V31" i="2"/>
  <c r="AJ31" i="2" s="1"/>
  <c r="V20" i="2"/>
  <c r="V42" i="2" s="1"/>
  <c r="V21" i="2"/>
  <c r="V43" i="2" s="1"/>
  <c r="V26" i="2"/>
  <c r="AJ23" i="2"/>
  <c r="V25" i="2"/>
  <c r="V24" i="2"/>
  <c r="AJ58" i="2" l="1"/>
  <c r="AJ64" i="2" s="1"/>
  <c r="U149" i="2"/>
  <c r="U150" i="2" s="1"/>
  <c r="T149" i="2"/>
  <c r="AJ26" i="2"/>
  <c r="AJ57" i="2" s="1"/>
  <c r="AJ63" i="2" s="1"/>
  <c r="V48" i="2"/>
  <c r="V57" i="2"/>
  <c r="V55" i="2"/>
  <c r="V46" i="2"/>
  <c r="V50" i="2"/>
  <c r="V56" i="2"/>
  <c r="V47" i="2"/>
  <c r="AJ17" i="2"/>
  <c r="AJ45" i="2"/>
  <c r="AJ24" i="2"/>
  <c r="AJ55" i="2" s="1"/>
  <c r="AJ61" i="2" s="1"/>
  <c r="AK17" i="2"/>
  <c r="AJ18" i="2"/>
  <c r="T36" i="2"/>
  <c r="T110" i="2"/>
  <c r="AJ22" i="2"/>
  <c r="AJ25" i="2"/>
  <c r="AJ56" i="2" s="1"/>
  <c r="AJ62" i="2" s="1"/>
  <c r="V28" i="2"/>
  <c r="V29" i="2" s="1"/>
  <c r="V51" i="2" s="1"/>
  <c r="AJ21" i="2"/>
  <c r="AJ20" i="2"/>
  <c r="AK18" i="2" l="1"/>
  <c r="AL17" i="2"/>
  <c r="AM17" i="2" s="1"/>
  <c r="AN17" i="2" s="1"/>
  <c r="AO17" i="2" s="1"/>
  <c r="AP17" i="2" s="1"/>
  <c r="AQ17" i="2" s="1"/>
  <c r="AR17" i="2" s="1"/>
  <c r="AS17" i="2" s="1"/>
  <c r="AJ50" i="2"/>
  <c r="AJ28" i="2"/>
  <c r="AJ29" i="2" s="1"/>
  <c r="V32" i="2"/>
  <c r="V33" i="2" s="1"/>
  <c r="AJ33" i="2" s="1"/>
  <c r="V38" i="2"/>
  <c r="AJ32" i="2" l="1"/>
  <c r="AJ34" i="2" s="1"/>
  <c r="AJ69" i="2" s="1"/>
  <c r="AK30" i="2" s="1"/>
  <c r="AJ51" i="2"/>
  <c r="AJ38" i="2"/>
  <c r="V34" i="2"/>
  <c r="V36" i="2" s="1"/>
  <c r="AJ36" i="2" s="1"/>
  <c r="AL18" i="2"/>
  <c r="AK23" i="2"/>
  <c r="AJ52" i="2" l="1"/>
  <c r="AK45" i="2"/>
  <c r="AK25" i="2"/>
  <c r="AM18" i="2"/>
  <c r="AL23" i="2"/>
  <c r="AL25" i="2" s="1"/>
  <c r="AK56" i="2"/>
  <c r="AK24" i="2"/>
  <c r="AK55" i="2" s="1"/>
  <c r="AK26" i="2"/>
  <c r="AL26" i="2" l="1"/>
  <c r="AL45" i="2"/>
  <c r="AL56" i="2"/>
  <c r="AK61" i="2"/>
  <c r="AK62" i="2"/>
  <c r="AK57" i="2"/>
  <c r="AK27" i="2"/>
  <c r="AK58" i="2" s="1"/>
  <c r="AK50" i="2"/>
  <c r="AM23" i="2"/>
  <c r="AM25" i="2" s="1"/>
  <c r="AL24" i="2"/>
  <c r="AL55" i="2" s="1"/>
  <c r="AM26" i="2" l="1"/>
  <c r="AM45" i="2"/>
  <c r="AK28" i="2"/>
  <c r="AK29" i="2" s="1"/>
  <c r="AK32" i="2" s="1"/>
  <c r="AK33" i="2" s="1"/>
  <c r="AK52" i="2" s="1"/>
  <c r="AL62" i="2"/>
  <c r="AK64" i="2"/>
  <c r="AK63" i="2"/>
  <c r="AL61" i="2"/>
  <c r="AL57" i="2"/>
  <c r="AL27" i="2"/>
  <c r="AL28" i="2" s="1"/>
  <c r="AL29" i="2" s="1"/>
  <c r="AL51" i="2" s="1"/>
  <c r="AL50" i="2"/>
  <c r="AN18" i="2"/>
  <c r="AN23" i="2"/>
  <c r="AN25" i="2" s="1"/>
  <c r="AM24" i="2"/>
  <c r="AM57" i="2"/>
  <c r="AN26" i="2" l="1"/>
  <c r="AN45" i="2"/>
  <c r="AN56" i="2"/>
  <c r="AK51" i="2"/>
  <c r="AK38" i="2"/>
  <c r="AM55" i="2"/>
  <c r="AM61" i="2" s="1"/>
  <c r="AM56" i="2"/>
  <c r="AM62" i="2" s="1"/>
  <c r="AM63" i="2"/>
  <c r="AL63" i="2"/>
  <c r="AM27" i="2"/>
  <c r="AL58" i="2"/>
  <c r="AM50" i="2"/>
  <c r="AO23" i="2"/>
  <c r="AO25" i="2" s="1"/>
  <c r="AO18" i="2"/>
  <c r="AN57" i="2"/>
  <c r="AN63" i="2" s="1"/>
  <c r="AN24" i="2"/>
  <c r="AN55" i="2" s="1"/>
  <c r="AL38" i="2"/>
  <c r="AO26" i="2" l="1"/>
  <c r="AO45" i="2"/>
  <c r="AM28" i="2"/>
  <c r="AM29" i="2" s="1"/>
  <c r="AM51" i="2" s="1"/>
  <c r="AL64" i="2"/>
  <c r="AN61" i="2"/>
  <c r="AN62" i="2"/>
  <c r="AN27" i="2"/>
  <c r="AN58" i="2" s="1"/>
  <c r="AM58" i="2"/>
  <c r="AM64" i="2" s="1"/>
  <c r="AN50" i="2"/>
  <c r="AP23" i="2"/>
  <c r="AP25" i="2" s="1"/>
  <c r="AP18" i="2"/>
  <c r="AO56" i="2"/>
  <c r="AO24" i="2"/>
  <c r="AO55" i="2" s="1"/>
  <c r="AO61" i="2" s="1"/>
  <c r="AP26" i="2" l="1"/>
  <c r="AP57" i="2" s="1"/>
  <c r="AM38" i="2"/>
  <c r="AP45" i="2"/>
  <c r="AN64" i="2"/>
  <c r="AN28" i="2"/>
  <c r="AN29" i="2" s="1"/>
  <c r="AN51" i="2" s="1"/>
  <c r="AO62" i="2"/>
  <c r="AO57" i="2"/>
  <c r="AO27" i="2"/>
  <c r="AO28" i="2" s="1"/>
  <c r="AO29" i="2" s="1"/>
  <c r="AO51" i="2" s="1"/>
  <c r="AO50" i="2"/>
  <c r="AQ18" i="2"/>
  <c r="AQ23" i="2"/>
  <c r="AQ25" i="2" s="1"/>
  <c r="AP56" i="2"/>
  <c r="AP62" i="2" s="1"/>
  <c r="AP24" i="2"/>
  <c r="AP55" i="2" s="1"/>
  <c r="AQ26" i="2" l="1"/>
  <c r="AQ45" i="2"/>
  <c r="AN38" i="2"/>
  <c r="AP63" i="2"/>
  <c r="AO63" i="2"/>
  <c r="AP61" i="2"/>
  <c r="AP27" i="2"/>
  <c r="AP28" i="2" s="1"/>
  <c r="AP29" i="2" s="1"/>
  <c r="AP51" i="2" s="1"/>
  <c r="AO58" i="2"/>
  <c r="AP50" i="2"/>
  <c r="AR18" i="2"/>
  <c r="AR23" i="2"/>
  <c r="AR25" i="2" s="1"/>
  <c r="AQ57" i="2"/>
  <c r="AQ63" i="2" s="1"/>
  <c r="AQ24" i="2"/>
  <c r="AQ55" i="2" s="1"/>
  <c r="AO38" i="2"/>
  <c r="AQ56" i="2"/>
  <c r="AQ62" i="2" s="1"/>
  <c r="AR26" i="2" l="1"/>
  <c r="AO64" i="2"/>
  <c r="AQ61" i="2"/>
  <c r="AQ27" i="2"/>
  <c r="AQ28" i="2" s="1"/>
  <c r="AQ29" i="2" s="1"/>
  <c r="AQ51" i="2" s="1"/>
  <c r="AP58" i="2"/>
  <c r="AR45" i="2"/>
  <c r="AQ50" i="2"/>
  <c r="AS23" i="2"/>
  <c r="AS25" i="2" s="1"/>
  <c r="AS18" i="2"/>
  <c r="AP38" i="2"/>
  <c r="AR24" i="2"/>
  <c r="AR55" i="2" s="1"/>
  <c r="AR61" i="2" s="1"/>
  <c r="AR56" i="2"/>
  <c r="AR62" i="2" s="1"/>
  <c r="AR57" i="2"/>
  <c r="AR63" i="2" s="1"/>
  <c r="AS26" i="2" l="1"/>
  <c r="AS57" i="2" s="1"/>
  <c r="AS63" i="2" s="1"/>
  <c r="AP64" i="2"/>
  <c r="AR27" i="2"/>
  <c r="AR28" i="2" s="1"/>
  <c r="AR29" i="2" s="1"/>
  <c r="AR51" i="2" s="1"/>
  <c r="AQ58" i="2"/>
  <c r="AQ64" i="2" s="1"/>
  <c r="AS45" i="2"/>
  <c r="AR50" i="2"/>
  <c r="AS56" i="2"/>
  <c r="AS62" i="2" s="1"/>
  <c r="AS24" i="2"/>
  <c r="AS55" i="2" s="1"/>
  <c r="AS61" i="2" s="1"/>
  <c r="AQ38" i="2"/>
  <c r="AS50" i="2" l="1"/>
  <c r="AS27" i="2"/>
  <c r="AS58" i="2" s="1"/>
  <c r="AR58" i="2"/>
  <c r="AR64" i="2" s="1"/>
  <c r="AR38" i="2"/>
  <c r="AS28" i="2" l="1"/>
  <c r="AS29" i="2" s="1"/>
  <c r="AS51" i="2" s="1"/>
  <c r="AS64" i="2"/>
  <c r="AK34" i="2"/>
  <c r="AS38" i="2" l="1"/>
  <c r="AK69" i="2"/>
  <c r="AL30" i="2" s="1"/>
  <c r="AK36" i="2"/>
  <c r="J14" i="1"/>
  <c r="J16" i="1" s="1"/>
  <c r="AL32" i="2" l="1"/>
  <c r="AL33" i="2" l="1"/>
  <c r="AL52" i="2" s="1"/>
  <c r="AL34" i="2" l="1"/>
  <c r="AL69" i="2" l="1"/>
  <c r="AL36" i="2"/>
  <c r="AM30" i="2" l="1"/>
  <c r="AM32" i="2" s="1"/>
  <c r="AM33" i="2" l="1"/>
  <c r="AM52" i="2" s="1"/>
  <c r="AM34" i="2" l="1"/>
  <c r="AM36" i="2" l="1"/>
  <c r="AM69" i="2"/>
  <c r="AN30" i="2" s="1"/>
  <c r="AN32" i="2" s="1"/>
  <c r="AN33" i="2" s="1"/>
  <c r="AN52" i="2" s="1"/>
  <c r="AN34" i="2" l="1"/>
  <c r="AN69" i="2" l="1"/>
  <c r="AO30" i="2" s="1"/>
  <c r="AO32" i="2" s="1"/>
  <c r="AO33" i="2" s="1"/>
  <c r="AN36" i="2"/>
  <c r="AO52" i="2" l="1"/>
  <c r="AO34" i="2"/>
  <c r="AO69" i="2" l="1"/>
  <c r="AP30" i="2" s="1"/>
  <c r="AP32" i="2" s="1"/>
  <c r="AP33" i="2" s="1"/>
  <c r="AP52" i="2" s="1"/>
  <c r="AO36" i="2"/>
  <c r="AP34" i="2" l="1"/>
  <c r="AP69" i="2" s="1"/>
  <c r="AP36" i="2" l="1"/>
  <c r="AQ30" i="2"/>
  <c r="AQ32" i="2" s="1"/>
  <c r="AQ33" i="2" l="1"/>
  <c r="AQ52" i="2" s="1"/>
  <c r="AQ34" i="2" l="1"/>
  <c r="AQ36" i="2" s="1"/>
  <c r="AQ69" i="2" l="1"/>
  <c r="AR30" i="2" s="1"/>
  <c r="AR32" i="2" s="1"/>
  <c r="AR33" i="2" l="1"/>
  <c r="AR52" i="2" s="1"/>
  <c r="AR34" i="2" l="1"/>
  <c r="AR36" i="2" s="1"/>
  <c r="AR69" i="2" l="1"/>
  <c r="AS30" i="2" s="1"/>
  <c r="AS32" i="2" s="1"/>
  <c r="AS33" i="2" l="1"/>
  <c r="AS52" i="2" s="1"/>
  <c r="AS34" i="2" l="1"/>
  <c r="AT34" i="2" l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AW40" i="2" s="1"/>
  <c r="AW42" i="2" s="1"/>
  <c r="AW44" i="2" s="1"/>
  <c r="AS36" i="2"/>
  <c r="AS6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tc={F67E68F8-4663-CA42-B517-8624A8652212}</author>
  </authors>
  <commentList>
    <comment ref="F4" authorId="0" shapeId="0" xr:uid="{F67E68F8-4663-CA42-B517-8624A8652212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 tech experience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tc={2A9024C2-3288-CF4A-96FF-49D762A16CA1}</author>
    <author>tc={9B548428-E727-0742-A6F8-32D53C71C9A8}</author>
    <author>tc={8CEF2EA8-4F18-A247-B73D-76FFAEE30125}</author>
    <author>tc={A1697648-F5D7-DD42-8E39-B8B2DA73CE01}</author>
    <author>tc={9C0B09FA-64C3-9945-8A5E-7B97F826E07D}</author>
    <author>tc={4D9150C6-2523-E847-815A-057C0F205095}</author>
    <author>tc={32E5B1ED-C90D-F241-AA45-87CE0D1AA28E}</author>
    <author>tc={813682BC-41CA-5244-BE50-1DA6AF49BA2D}</author>
    <author>tc={5B74EC80-D8C2-0D43-A3C0-9DE96E5F44CC}</author>
    <author>tc={285C17DB-0320-7D41-967B-144DCF5DD12D}</author>
    <author>tc={343DE627-6D33-3848-9311-B01BB7CE92E0}</author>
    <author>tc={D947F7FB-1F37-1947-BE1B-F2F3E1554803}</author>
    <author>tc={05144108-3EBC-AC49-919E-A7027D6C5DE4}</author>
    <author>tc={FACED0C0-ED40-184C-AD6B-3D2F284AB032}</author>
    <author>tc={7FCCA25A-9396-0241-B270-3C23F6EB9A09}</author>
    <author>tc={8E41CDF3-EF76-014E-BA0D-5C1CE4D9C513}</author>
    <author>tc={CC886FE9-FD70-4446-AE31-48888D8F123B}</author>
    <author>tc={73B0A23F-F74B-E84B-A4D1-BE15A3E05DE0}</author>
  </authors>
  <commentList>
    <comment ref="V4" authorId="0" shapeId="0" xr:uid="{949F05B1-B48F-4F4F-8A37-87E42564DC5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GUIDANCE: 240-250 </t>
        </r>
      </text>
    </comment>
    <comment ref="AS4" authorId="1" shapeId="0" xr:uid="{2A9024C2-3288-CF4A-96FF-49D762A16C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Company goal </t>
      </text>
    </comment>
    <comment ref="U23" authorId="2" shapeId="0" xr:uid="{9B548428-E727-0742-A6F8-32D53C71C9A8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strong SSS + Net new units</t>
      </text>
    </comment>
    <comment ref="S24" authorId="3" shapeId="0" xr:uid="{8CEF2EA8-4F18-A247-B73D-76FFAEE30125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</text>
    </comment>
    <comment ref="T24" authorId="4" shapeId="0" xr:uid="{A1697648-F5D7-DD42-8E39-B8B2DA73CE01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cost of deboned chicken wings</t>
      </text>
    </comment>
    <comment ref="U24" authorId="5" shapeId="0" xr:uid="{9C0B09FA-64C3-9945-8A5E-7B97F826E07D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 in cost of deboned chicken</t>
      </text>
    </comment>
    <comment ref="U26" authorId="6" shapeId="0" xr:uid="{4D9150C6-2523-E847-815A-057C0F20509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in incentive comp, performance base comp, headcount, and increase in consulting fees</t>
      </text>
    </comment>
    <comment ref="AJ26" authorId="0" shapeId="0" xr:uid="{6CC7FF92-27AB-1645-B794-9B7B0E40185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guide: $94.5-$95.5</t>
        </r>
      </text>
    </comment>
    <comment ref="AJ27" authorId="0" shapeId="0" xr:uid="{E0088EBD-F48F-6A4C-B5CB-0CEE075152B4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Guide: 14m-15m</t>
        </r>
      </text>
    </comment>
    <comment ref="AK27" authorId="7" shapeId="0" xr:uid="{32E5B1ED-C90D-F241-AA45-87CE0D1AA28E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L27" authorId="8" shapeId="0" xr:uid="{813682BC-41CA-5244-BE50-1DA6AF49BA2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M27" authorId="9" shapeId="0" xr:uid="{5B74EC80-D8C2-0D43-A3C0-9DE96E5F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N27" authorId="10" shapeId="0" xr:uid="{285C17DB-0320-7D41-967B-144DCF5DD12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O27" authorId="11" shapeId="0" xr:uid="{343DE627-6D33-3848-9311-B01BB7CE92E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P27" authorId="12" shapeId="0" xr:uid="{D947F7FB-1F37-1947-BE1B-F2F3E1554803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Q27" authorId="13" shapeId="0" xr:uid="{05144108-3EBC-AC49-919E-A7027D6C5DE4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R27" authorId="14" shapeId="0" xr:uid="{FACED0C0-ED40-184C-AD6B-3D2F284AB032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AS27" authorId="15" shapeId="0" xr:uid="{7FCCA25A-9396-0241-B270-3C23F6EB9A0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seen as non cash expense, but for restaurant biz I feel it’s good to keep it, company will have to replace goods — its. Cash intensive business</t>
      </text>
    </comment>
    <comment ref="U30" authorId="16" shapeId="0" xr:uid="{8E41CDF3-EF76-014E-BA0D-5C1CE4D9C513}">
      <text>
        <t>[Threaded comment]
Your version of Excel allows you to read this threaded comment; however, any edits to it will get removed if the file is opened in a newer version of Excel. Learn more: https://go.microsoft.com/fwlink/?linkid=870924
Comment:
    $1m in interest income</t>
      </text>
    </comment>
    <comment ref="AW39" authorId="17" shapeId="0" xr:uid="{CC886FE9-FD70-4446-AE31-48888D8F12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Risk free 8 week Bill as of 1/16/24 is at 5.43%.. </t>
      </text>
    </comment>
    <comment ref="O134" authorId="18" shapeId="0" xr:uid="{73B0A23F-F74B-E84B-A4D1-BE15A3E05D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Secured Notes</t>
      </text>
    </comment>
  </commentList>
</comments>
</file>

<file path=xl/sharedStrings.xml><?xml version="1.0" encoding="utf-8"?>
<sst xmlns="http://schemas.openxmlformats.org/spreadsheetml/2006/main" count="213" uniqueCount="170">
  <si>
    <t>P</t>
  </si>
  <si>
    <t>S/O</t>
  </si>
  <si>
    <t>MC</t>
  </si>
  <si>
    <t xml:space="preserve">Cash </t>
  </si>
  <si>
    <t>Debt</t>
  </si>
  <si>
    <t>EV</t>
  </si>
  <si>
    <t>Q221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</si>
  <si>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</si>
  <si>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</si>
  <si>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</si>
  <si>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</si>
  <si>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</si>
  <si>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</si>
  <si>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</si>
  <si>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</si>
  <si>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</si>
  <si>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</si>
  <si>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</si>
  <si>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Royalty </t>
  </si>
  <si>
    <t>Ad fees</t>
  </si>
  <si>
    <t xml:space="preserve">Total Revenue </t>
  </si>
  <si>
    <t>Costs</t>
  </si>
  <si>
    <t>Ad expenses</t>
  </si>
  <si>
    <t>SG&amp;A</t>
  </si>
  <si>
    <t>D&amp;A</t>
  </si>
  <si>
    <t>Total costs + E</t>
  </si>
  <si>
    <t xml:space="preserve">Op Income </t>
  </si>
  <si>
    <t>Interest expense</t>
  </si>
  <si>
    <t>Income before Taxes</t>
  </si>
  <si>
    <t>Taxes</t>
  </si>
  <si>
    <t xml:space="preserve">Net Income </t>
  </si>
  <si>
    <t>Diluted shares</t>
  </si>
  <si>
    <t>eps</t>
  </si>
  <si>
    <t xml:space="preserve">YoY Growth </t>
  </si>
  <si>
    <t>Total System Wide</t>
  </si>
  <si>
    <t>Company Owned</t>
  </si>
  <si>
    <t xml:space="preserve">% of Revenue </t>
  </si>
  <si>
    <t>Discount</t>
  </si>
  <si>
    <t>NPV</t>
  </si>
  <si>
    <t>Shares</t>
  </si>
  <si>
    <t>Current</t>
  </si>
  <si>
    <t>Q222</t>
  </si>
  <si>
    <t>Q122</t>
  </si>
  <si>
    <t>Q322</t>
  </si>
  <si>
    <t>Q422</t>
  </si>
  <si>
    <t>Other</t>
  </si>
  <si>
    <t>TA</t>
  </si>
  <si>
    <t>Domestic Franchise Units</t>
  </si>
  <si>
    <t>Int'l F Units</t>
  </si>
  <si>
    <t>RPU</t>
  </si>
  <si>
    <t>RPU-A</t>
  </si>
  <si>
    <t>Restricted Cash</t>
  </si>
  <si>
    <t>A/R</t>
  </si>
  <si>
    <t>Prepaid E</t>
  </si>
  <si>
    <t>CA</t>
  </si>
  <si>
    <t>PPE</t>
  </si>
  <si>
    <t>Goodwill</t>
  </si>
  <si>
    <t>Trademarks</t>
  </si>
  <si>
    <t>Customer R</t>
  </si>
  <si>
    <t>ONA</t>
  </si>
  <si>
    <t>A/P</t>
  </si>
  <si>
    <t>OCL</t>
  </si>
  <si>
    <t>Advertising Fund</t>
  </si>
  <si>
    <t>CL</t>
  </si>
  <si>
    <t>LTD</t>
  </si>
  <si>
    <t>Deferred Rev</t>
  </si>
  <si>
    <t>Deferred income TX</t>
  </si>
  <si>
    <t>ONCL</t>
  </si>
  <si>
    <t>TL</t>
  </si>
  <si>
    <t>E</t>
  </si>
  <si>
    <t>TL + E</t>
  </si>
  <si>
    <t>Div Payable</t>
  </si>
  <si>
    <t>CFFO</t>
  </si>
  <si>
    <t>CFFI</t>
  </si>
  <si>
    <t>CFFF</t>
  </si>
  <si>
    <t>C. Owned Units</t>
  </si>
  <si>
    <t>Debt loss</t>
  </si>
  <si>
    <t>NI</t>
  </si>
  <si>
    <t>Deferred income tx</t>
  </si>
  <si>
    <t>SBC</t>
  </si>
  <si>
    <t>Loss on ass</t>
  </si>
  <si>
    <t>Amortization</t>
  </si>
  <si>
    <t>Ad fund assets</t>
  </si>
  <si>
    <t>Deferred rev</t>
  </si>
  <si>
    <t>CapEx</t>
  </si>
  <si>
    <t>Sale of assets</t>
  </si>
  <si>
    <t>Option proceeds</t>
  </si>
  <si>
    <t>Deferred Fin Costs</t>
  </si>
  <si>
    <t>Tax payments</t>
  </si>
  <si>
    <t>Dividends Paid</t>
  </si>
  <si>
    <t>Cash Increase</t>
  </si>
  <si>
    <t xml:space="preserve">Cash @ End </t>
  </si>
  <si>
    <t>Cash @ Begin</t>
  </si>
  <si>
    <t>Debt Payments</t>
  </si>
  <si>
    <t>ebitda</t>
  </si>
  <si>
    <t>Q123</t>
  </si>
  <si>
    <t>Q223</t>
  </si>
  <si>
    <t>Q323</t>
  </si>
  <si>
    <t>Q423</t>
  </si>
  <si>
    <t>https://ir.wingstop.com</t>
  </si>
  <si>
    <t>Advertising Fund Assets</t>
  </si>
  <si>
    <t xml:space="preserve">Net Cash </t>
  </si>
  <si>
    <t xml:space="preserve">Model NI </t>
  </si>
  <si>
    <t>Presses</t>
  </si>
  <si>
    <t>Acqs from franchisees</t>
  </si>
  <si>
    <t>Investments</t>
  </si>
  <si>
    <t>Buybacks</t>
  </si>
  <si>
    <t xml:space="preserve">Free Cash Flow </t>
  </si>
  <si>
    <t>\</t>
  </si>
  <si>
    <t xml:space="preserve">Ratio Analysis </t>
  </si>
  <si>
    <t>Total Debt</t>
  </si>
  <si>
    <t>Net Debt</t>
  </si>
  <si>
    <t>Debt Per Share</t>
  </si>
  <si>
    <t>WC</t>
  </si>
  <si>
    <t>NWC</t>
  </si>
  <si>
    <t>DSO</t>
  </si>
  <si>
    <t>Op Income</t>
  </si>
  <si>
    <t>Op Income / Total Debt</t>
  </si>
  <si>
    <t>SSS</t>
  </si>
  <si>
    <t xml:space="preserve">Growth Analysis </t>
  </si>
  <si>
    <t>OM%</t>
  </si>
  <si>
    <t>GM%</t>
  </si>
  <si>
    <t>Statistics</t>
  </si>
  <si>
    <t xml:space="preserve">Terminal </t>
  </si>
  <si>
    <t>Estimate</t>
  </si>
  <si>
    <t>Upside</t>
  </si>
  <si>
    <t>Depreciation</t>
  </si>
  <si>
    <t xml:space="preserve">Growth Check </t>
  </si>
  <si>
    <t>Growth/Shrink</t>
  </si>
  <si>
    <t>Website</t>
  </si>
  <si>
    <t xml:space="preserve">CEO </t>
  </si>
  <si>
    <t xml:space="preserve">CFO </t>
  </si>
  <si>
    <t>Alex  Kaleida</t>
  </si>
  <si>
    <t>Founder</t>
  </si>
  <si>
    <t>Founded</t>
  </si>
  <si>
    <t>HQ</t>
  </si>
  <si>
    <t>Michael Skipworth</t>
  </si>
  <si>
    <t>Earnings</t>
  </si>
  <si>
    <t>2024 EV/E</t>
  </si>
  <si>
    <t>$M</t>
  </si>
  <si>
    <t>4Q FCF</t>
  </si>
  <si>
    <t>Return</t>
  </si>
  <si>
    <t>ROIC</t>
  </si>
  <si>
    <t>Garland, Texas | 1994</t>
  </si>
  <si>
    <t>Antonio Swad</t>
  </si>
  <si>
    <t>Founded in 1994</t>
  </si>
  <si>
    <t>First franchise 1997</t>
  </si>
  <si>
    <t>Served two mill wings 2002</t>
  </si>
  <si>
    <t>Begin serving lunch 2005</t>
  </si>
  <si>
    <t>Boneles products 2009</t>
  </si>
  <si>
    <t>Hit Mexico 2010</t>
  </si>
  <si>
    <t xml:space="preserve">2014-2016 fastest growing chain </t>
  </si>
  <si>
    <t>2015 ipo $19 per share</t>
  </si>
  <si>
    <t>2019 uses tag "where wings get its flavor"</t>
  </si>
  <si>
    <t>2020 became avil for delivery in Dallas, TX via DD</t>
  </si>
  <si>
    <t>2021 (Thighstop) digital only restaurant</t>
  </si>
  <si>
    <t>News</t>
  </si>
  <si>
    <t>Dry Rub Jan  1/4/24</t>
  </si>
  <si>
    <t xml:space="preserve">CIO </t>
  </si>
  <si>
    <t>Chris Fallon</t>
  </si>
  <si>
    <t>New CIO 12/14/2023</t>
  </si>
  <si>
    <t>BOGO chicken sandwich 11/8/2023</t>
  </si>
  <si>
    <t xml:space="preserve">BUBACK GOAL: </t>
  </si>
  <si>
    <t>ASR 8/24/2023</t>
  </si>
  <si>
    <t>ASR</t>
  </si>
  <si>
    <t>Average Price</t>
  </si>
  <si>
    <t xml:space="preserve">Details </t>
  </si>
  <si>
    <t>Buyback program $250M, ASR entered to buy $125M</t>
  </si>
  <si>
    <t>Div $0.19 payout</t>
  </si>
  <si>
    <t>4Q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</si>
</sst>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"/>
    <numFmt numFmtId="165" formatCode="0\x"/>
    <numFmt numFmtId="166" formatCode="0.0\x"/>
  </numFmts>
  <fonts count="10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4" fontId="5" fillId="0" borderId="0" xfId="0" applyNumberFormat="1" applyFont="1"/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43" fontId="5" fillId="0" borderId="0" xfId="1" applyFont="1" applyAlignment="1">
      <alignment horizontal="left"/>
    </xf>
    <xf numFmtId="9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3" fontId="7" fillId="0" borderId="0" xfId="0" applyNumberFormat="1" applyFont="1" applyAlignment="1">
      <alignment horizontal="left"/>
    </xf>
    <xf numFmtId="9" fontId="5" fillId="3" borderId="0" xfId="0" applyNumberFormat="1" applyFont="1" applyFill="1" applyAlignment="1">
      <alignment horizontal="left"/>
    </xf>
    <xf numFmtId="3" fontId="5" fillId="4" borderId="0" xfId="0" applyNumberFormat="1" applyFont="1" applyFill="1" applyAlignment="1">
      <alignment horizontal="left"/>
    </xf>
    <xf numFmtId="42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3" fontId="5" fillId="2" borderId="0" xfId="0" applyNumberFormat="1" applyFont="1" applyFill="1" applyAlignment="1">
      <alignment horizontal="left"/>
    </xf>
    <xf numFmtId="3" fontId="4" fillId="0" borderId="0" xfId="2" applyNumberFormat="1" applyAlignment="1">
      <alignment horizontal="left"/>
    </xf>
    <xf numFmtId="0" fontId="5" fillId="0" borderId="0" xfId="0" applyFont="1"/>
    <xf numFmtId="0" fontId="9" fillId="0" borderId="0" xfId="2" applyFont="1"/>
    <xf numFmtId="0" fontId="6" fillId="0" borderId="0" xfId="0" applyFont="1"/>
    <xf numFmtId="14" fontId="9" fillId="0" borderId="0" xfId="2" applyNumberFormat="1" applyFont="1"/>
    <xf numFmtId="165" fontId="5" fillId="0" borderId="0" xfId="0" applyNumberFormat="1" applyFont="1"/>
    <xf numFmtId="0" fontId="4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8374</xdr:colOff>
      <xdr:row>0</xdr:row>
      <xdr:rowOff>0</xdr:rowOff>
    </xdr:from>
    <xdr:to>
      <xdr:col>21</xdr:col>
      <xdr:colOff>25400</xdr:colOff>
      <xdr:row>172</xdr:row>
      <xdr:rowOff>101600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89311BD-6628-8441-833D-95FF286EF97C}"/>
            </a:ext>
          </a:extLst>
        </xdr:cNvPr>
        <xdr:cNvCxnSpPr/>
      </xdr:nvCxnSpPr>
      <xdr:spPr>
        <a:xfrm>
          <a:off x="12361241" y="0"/>
          <a:ext cx="17026" cy="29396267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15766</xdr:colOff>
      <xdr:row>0</xdr:row>
      <xdr:rowOff>0</xdr:rowOff>
    </xdr:from>
    <xdr:to>
      <xdr:col>35</xdr:col>
      <xdr:colOff>27214</xdr:colOff>
      <xdr:row>115</xdr:row>
      <xdr:rowOff>117928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2C555B-5D31-3F40-B31C-02AEE6DA7678}"/>
            </a:ext>
          </a:extLst>
        </xdr:cNvPr>
        <xdr:cNvCxnSpPr/>
      </xdr:nvCxnSpPr>
      <xdr:spPr>
        <a:xfrm>
          <a:off x="20272266" y="0"/>
          <a:ext cx="11448" cy="15630071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35013F47-47FB-444D-8823-5837344D296E}" userId="jameelbrann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1-17T02:46:47.01" personId="{35013F47-47FB-444D-8823-5837344D296E}" id="{F67E68F8-4663-CA42-B517-8624A8652212}">
    <text>Good tech experience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S4" dT="2024-01-17T06:37:06.20" personId="{35013F47-47FB-444D-8823-5837344D296E}" id="{2A9024C2-3288-CF4A-96FF-49D762A16CA1}">
    <text xml:space="preserve">Company goal </text>
  </threadedComment>
  <threadedComment ref="U23" dT="2024-01-17T02:02:46.30" personId="{35013F47-47FB-444D-8823-5837344D296E}" id="{9B548428-E727-0742-A6F8-32D53C71C9A8}">
    <text>Driven by strong SSS + Net new units</text>
  </threadedComment>
  <threadedComment ref="S24" dT="2024-01-17T06:15:10.42" personId="{35013F47-47FB-444D-8823-5837344D296E}" id="{8CEF2EA8-4F18-A247-B73D-76FFAEE30125}">
    <text>Decrease in cost of deboned chicken</text>
  </threadedComment>
  <threadedComment ref="T24" dT="2024-01-17T06:13:34.62" personId="{35013F47-47FB-444D-8823-5837344D296E}" id="{A1697648-F5D7-DD42-8E39-B8B2DA73CE01}">
    <text>Lower cost of deboned chicken wings</text>
  </threadedComment>
  <threadedComment ref="U24" dT="2024-01-17T06:06:40.67" personId="{35013F47-47FB-444D-8823-5837344D296E}" id="{9C0B09FA-64C3-9945-8A5E-7B97F826E07D}">
    <text>Decrease in cost of deboned chicken</text>
  </threadedComment>
  <threadedComment ref="U26" dT="2024-01-17T06:06:14.53" personId="{35013F47-47FB-444D-8823-5837344D296E}" id="{4D9150C6-2523-E847-815A-057C0F205095}">
    <text>Increase in incentive comp, performance base comp, headcount, and increase in consulting fees</text>
  </threadedComment>
  <threadedComment ref="AK27" dT="2024-01-17T02:17:05.46" personId="{35013F47-47FB-444D-8823-5837344D296E}" id="{32E5B1ED-C90D-F241-AA45-87CE0D1AA28E}">
    <text>Typically seen as non cash expense, but for restaurant biz I feel it’s good to keep it, company will have to replace goods — its. Cash intensive business</text>
  </threadedComment>
  <threadedComment ref="AL27" dT="2024-01-17T02:17:05.46" personId="{35013F47-47FB-444D-8823-5837344D296E}" id="{813682BC-41CA-5244-BE50-1DA6AF49BA2D}">
    <text>Typically seen as non cash expense, but for restaurant biz I feel it’s good to keep it, company will have to replace goods — its. Cash intensive business</text>
  </threadedComment>
  <threadedComment ref="AM27" dT="2024-01-17T02:17:05.46" personId="{35013F47-47FB-444D-8823-5837344D296E}" id="{5B74EC80-D8C2-0D43-A3C0-9DE96E5F44CC}">
    <text>Typically seen as non cash expense, but for restaurant biz I feel it’s good to keep it, company will have to replace goods — its. Cash intensive business</text>
  </threadedComment>
  <threadedComment ref="AN27" dT="2024-01-17T02:17:05.46" personId="{35013F47-47FB-444D-8823-5837344D296E}" id="{285C17DB-0320-7D41-967B-144DCF5DD12D}">
    <text>Typically seen as non cash expense, but for restaurant biz I feel it’s good to keep it, company will have to replace goods — its. Cash intensive business</text>
  </threadedComment>
  <threadedComment ref="AO27" dT="2024-01-17T02:17:05.46" personId="{35013F47-47FB-444D-8823-5837344D296E}" id="{343DE627-6D33-3848-9311-B01BB7CE92E0}">
    <text>Typically seen as non cash expense, but for restaurant biz I feel it’s good to keep it, company will have to replace goods — its. Cash intensive business</text>
  </threadedComment>
  <threadedComment ref="AP27" dT="2024-01-17T02:17:05.46" personId="{35013F47-47FB-444D-8823-5837344D296E}" id="{D947F7FB-1F37-1947-BE1B-F2F3E1554803}">
    <text>Typically seen as non cash expense, but for restaurant biz I feel it’s good to keep it, company will have to replace goods — its. Cash intensive business</text>
  </threadedComment>
  <threadedComment ref="AQ27" dT="2024-01-17T02:17:05.46" personId="{35013F47-47FB-444D-8823-5837344D296E}" id="{05144108-3EBC-AC49-919E-A7027D6C5DE4}">
    <text>Typically seen as non cash expense, but for restaurant biz I feel it’s good to keep it, company will have to replace goods — its. Cash intensive business</text>
  </threadedComment>
  <threadedComment ref="AR27" dT="2024-01-17T02:17:05.46" personId="{35013F47-47FB-444D-8823-5837344D296E}" id="{FACED0C0-ED40-184C-AD6B-3D2F284AB032}">
    <text>Typically seen as non cash expense, but for restaurant biz I feel it’s good to keep it, company will have to replace goods — its. Cash intensive business</text>
  </threadedComment>
  <threadedComment ref="AS27" dT="2024-01-17T02:17:05.46" personId="{35013F47-47FB-444D-8823-5837344D296E}" id="{7FCCA25A-9396-0241-B270-3C23F6EB9A09}">
    <text>Typically seen as non cash expense, but for restaurant biz I feel it’s good to keep it, company will have to replace goods — its. Cash intensive business</text>
  </threadedComment>
  <threadedComment ref="U30" dT="2024-01-17T06:04:39.27" personId="{35013F47-47FB-444D-8823-5837344D296E}" id="{8E41CDF3-EF76-014E-BA0D-5C1CE4D9C513}">
    <text>$1m in interest income</text>
  </threadedComment>
  <threadedComment ref="AW39" dT="2024-01-17T02:27:28.69" personId="{35013F47-47FB-444D-8823-5837344D296E}" id="{CC886FE9-FD70-4446-AE31-48888D8F123B}">
    <text xml:space="preserve">Risk free 8 week Bill as of 1/16/24 is at 5.43%.. </text>
  </threadedComment>
  <threadedComment ref="O134" dT="2024-01-17T02:23:10.62" personId="{35013F47-47FB-444D-8823-5837344D296E}" id="{73B0A23F-F74B-E84B-A4D1-BE15A3E05DE0}">
    <text>Secured Notes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ol.com/terms/a/accelerated-share-repurchase/" TargetMode="External"/><Relationship Id="rId3" Type="http://schemas.openxmlformats.org/officeDocument/2006/relationships/hyperlink" Target="https://www.sec.gov/Archives/edgar/data/1636222/000163622222000065/ceoofferletter.htm" TargetMode="External"/><Relationship Id="rId7" Type="http://schemas.openxmlformats.org/officeDocument/2006/relationships/hyperlink" Target="https://ir.wingstop.com/wingstop-announces-125-million-accelerated-share-repurchase-agreement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ir.wingstop.com/wingstop-inc-reports-fiscal-third-quarter-2023-financial-results/" TargetMode="External"/><Relationship Id="rId1" Type="http://schemas.openxmlformats.org/officeDocument/2006/relationships/hyperlink" Target="https://ir.wingstop.com/" TargetMode="External"/><Relationship Id="rId6" Type="http://schemas.openxmlformats.org/officeDocument/2006/relationships/hyperlink" Target="https://ir.wingstop.com/the-flavor-experts-celebrate-national-chicken-sandwich-day-with-bogo-deal-all-weekend-long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ir.wingstop.com/wingstop-names-chris-fallon-chief-information-officer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ir.wingstop.com/spice-up-your-resolutions-wingstop-declares-dry-rub-january-a-month-of-flavorful-indulgence/" TargetMode="External"/><Relationship Id="rId9" Type="http://schemas.openxmlformats.org/officeDocument/2006/relationships/hyperlink" Target="https://ir.wingstop.com/wingstop-inc-reports-fiscal-second-quarter-2023-financial-result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ir.wingstop.com/wingstop-announces-125-million-accelerated-share-repurchase-agreement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FD80-FF06-4B4C-9E48-8B8C1DA005D3}">
  <dimension ref="A2:K21"/>
  <sheetViews>
    <sheetView zoomScale="200" zoomScaleNormal="200" workbookViewId="0">
      <selection activeCell="D13" sqref="D13"/>
    </sheetView>
  </sheetViews>
  <sheetFormatPr baseColWidth="10" defaultRowHeight="13"/>
  <cols>
    <col min="1" max="1" width="3" style="25" customWidth="1"/>
    <col min="2" max="2" width="16.83203125" style="25" bestFit="1" customWidth="1"/>
    <col min="3" max="3" width="10.83203125" style="25"/>
    <col min="4" max="4" width="18.5" style="25" bestFit="1" customWidth="1"/>
    <col min="5" max="8" width="10.83203125" style="25"/>
    <col min="9" max="9" width="9.6640625" style="25" bestFit="1" customWidth="1"/>
    <col min="10" max="10" width="18.33203125" style="25" bestFit="1" customWidth="1"/>
    <col min="11" max="11" width="5.5" style="25" bestFit="1" customWidth="1"/>
    <col min="12" max="16384" width="10.83203125" style="25"/>
  </cols>
  <sheetData>
    <row r="2" spans="1:11">
      <c r="C2" s="25" t="s">
        <v>129</v>
      </c>
      <c r="D2" s="26" t="s">
        <v>99</v>
      </c>
      <c r="E2" s="25" t="s">
        <v>130</v>
      </c>
      <c r="F2" s="26" t="s">
        <v>136</v>
      </c>
    </row>
    <row r="3" spans="1:11">
      <c r="C3" s="25" t="s">
        <v>133</v>
      </c>
      <c r="D3" s="25" t="s">
        <v>144</v>
      </c>
      <c r="E3" s="25" t="s">
        <v>131</v>
      </c>
      <c r="F3" s="25" t="s">
        <v>132</v>
      </c>
    </row>
    <row r="4" spans="1:11">
      <c r="C4" s="25" t="s">
        <v>134</v>
      </c>
      <c r="D4" s="25" t="s">
        <v>143</v>
      </c>
      <c r="E4" s="25" t="s">
        <v>158</v>
      </c>
      <c r="F4" s="25" t="s">
        <v>159</v>
      </c>
    </row>
    <row r="5" spans="1:11">
      <c r="C5" s="25" t="s">
        <v>135</v>
      </c>
      <c r="I5" s="27" t="s">
        <v>139</v>
      </c>
    </row>
    <row r="6" spans="1:11">
      <c r="I6" s="25" t="s">
        <v>0</v>
      </c>
      <c r="J6" s="1">
        <v>271.7</v>
      </c>
    </row>
    <row r="7" spans="1:11">
      <c r="I7" s="25" t="s">
        <v>1</v>
      </c>
      <c r="J7" s="1">
        <v>29.414919999999999</v>
      </c>
      <c r="K7" s="25" t="s">
        <v>97</v>
      </c>
    </row>
    <row r="8" spans="1:11">
      <c r="I8" s="25" t="s">
        <v>2</v>
      </c>
      <c r="J8" s="1">
        <f>+J6*J7</f>
        <v>7992.0337639999989</v>
      </c>
    </row>
    <row r="9" spans="1:11">
      <c r="I9" s="25" t="s">
        <v>3</v>
      </c>
      <c r="J9" s="1">
        <f>77.983+11.444</f>
        <v>89.427000000000007</v>
      </c>
      <c r="K9" s="25" t="str">
        <f>+K7</f>
        <v>Q323</v>
      </c>
    </row>
    <row r="10" spans="1:11">
      <c r="B10" s="25" t="s">
        <v>156</v>
      </c>
      <c r="C10" s="27" t="s">
        <v>103</v>
      </c>
      <c r="D10" s="27" t="s">
        <v>166</v>
      </c>
      <c r="E10" s="27" t="s">
        <v>68</v>
      </c>
      <c r="I10" s="25" t="s">
        <v>4</v>
      </c>
      <c r="J10" s="1">
        <f>0+711.867</f>
        <v>711.86699999999996</v>
      </c>
      <c r="K10" s="25" t="str">
        <f>+K9</f>
        <v>Q323</v>
      </c>
    </row>
    <row r="11" spans="1:11">
      <c r="B11" s="26" t="s">
        <v>157</v>
      </c>
      <c r="C11" s="26" t="s">
        <v>97</v>
      </c>
      <c r="D11" s="25" t="s">
        <v>167</v>
      </c>
      <c r="E11" s="25" t="s">
        <v>145</v>
      </c>
      <c r="I11" s="25" t="s">
        <v>5</v>
      </c>
      <c r="J11" s="1">
        <f>+J8-J9+J10</f>
        <v>8614.4737639999985</v>
      </c>
    </row>
    <row r="12" spans="1:11">
      <c r="B12" s="28" t="s">
        <v>160</v>
      </c>
      <c r="C12" s="30" t="s">
        <v>96</v>
      </c>
      <c r="D12" s="25" t="s">
        <v>168</v>
      </c>
      <c r="E12" s="25" t="s">
        <v>146</v>
      </c>
      <c r="J12" s="1"/>
    </row>
    <row r="13" spans="1:11">
      <c r="B13" s="28" t="s">
        <v>161</v>
      </c>
      <c r="C13" s="25" t="s">
        <v>95</v>
      </c>
      <c r="E13" s="25" t="s">
        <v>147</v>
      </c>
      <c r="I13" s="25" t="s">
        <v>5</v>
      </c>
      <c r="J13" s="5">
        <f>+J11*1000</f>
        <v>8614473.7639999986</v>
      </c>
    </row>
    <row r="14" spans="1:11">
      <c r="A14" s="26" t="s">
        <v>164</v>
      </c>
      <c r="B14" s="28" t="s">
        <v>163</v>
      </c>
      <c r="C14" s="25" t="s">
        <v>44</v>
      </c>
      <c r="E14" s="25" t="s">
        <v>148</v>
      </c>
      <c r="I14" s="25" t="s">
        <v>137</v>
      </c>
      <c r="J14" s="1">
        <f>+Model!AK34</f>
        <v>105650.32055798388</v>
      </c>
    </row>
    <row r="15" spans="1:11">
      <c r="C15" s="25" t="s">
        <v>43</v>
      </c>
      <c r="E15" s="25" t="s">
        <v>149</v>
      </c>
      <c r="J15" s="29"/>
    </row>
    <row r="16" spans="1:11">
      <c r="C16" s="25" t="s">
        <v>41</v>
      </c>
      <c r="E16" s="25" t="s">
        <v>150</v>
      </c>
      <c r="I16" s="25" t="s">
        <v>138</v>
      </c>
      <c r="J16" s="25">
        <f>+J11*1000/J14</f>
        <v>81.537601764985951</v>
      </c>
    </row>
    <row r="17" spans="3:10">
      <c r="C17" s="25" t="s">
        <v>42</v>
      </c>
      <c r="E17" s="25" t="s">
        <v>151</v>
      </c>
    </row>
    <row r="18" spans="3:10">
      <c r="E18" s="25" t="s">
        <v>152</v>
      </c>
      <c r="I18" s="25" t="s">
        <v>140</v>
      </c>
      <c r="J18" s="1">
        <f>SUM(Model!R146:U146)</f>
        <v>74106</v>
      </c>
    </row>
    <row r="19" spans="3:10">
      <c r="E19" s="25" t="s">
        <v>153</v>
      </c>
      <c r="I19" s="25" t="s">
        <v>141</v>
      </c>
      <c r="J19" s="4">
        <f>+J18/J13</f>
        <v>8.602498774758589E-3</v>
      </c>
    </row>
    <row r="20" spans="3:10">
      <c r="E20" s="25" t="s">
        <v>154</v>
      </c>
    </row>
    <row r="21" spans="3:10">
      <c r="E21" s="25" t="s">
        <v>155</v>
      </c>
    </row>
  </sheetData>
  <hyperlinks>
    <hyperlink ref="D2" r:id="rId1" xr:uid="{EE590A54-179B-FE45-B683-872C94684F68}"/>
    <hyperlink ref="C11" r:id="rId2" xr:uid="{0A521868-F75C-5A46-B82D-6EAEA351E7E4}"/>
    <hyperlink ref="F2" r:id="rId3" display="Michaek Skipworth" xr:uid="{2E080B02-4345-E740-A4F9-E13CB4C76620}"/>
    <hyperlink ref="B11" r:id="rId4" xr:uid="{ABC9C923-BCFD-2045-BD80-AC34095D015F}"/>
    <hyperlink ref="B12" r:id="rId5" xr:uid="{302DC749-FE1F-7744-B860-76A0A53A3740}"/>
    <hyperlink ref="B13" r:id="rId6" xr:uid="{49B793E6-29FE-D749-8DE7-47AACCD58E88}"/>
    <hyperlink ref="B14" r:id="rId7" xr:uid="{64FA26DD-15A7-4B43-8F48-F48F454D1BF7}"/>
    <hyperlink ref="A14" r:id="rId8" location=":~:text=An%20accelerated%20share%20repurchase%20(ASR,at%20a%20very%20attractive%20value." xr:uid="{5D04945F-4643-3345-A12B-08280AE76D68}"/>
    <hyperlink ref="C12" r:id="rId9" xr:uid="{008CA037-CBAC-B549-BACF-42557875B587}"/>
  </hyperlinks>
  <pageMargins left="0.7" right="0.7" top="0.75" bottom="0.75" header="0.3" footer="0.3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C3A6-9331-BF42-B689-1BE01B3CBCEA}">
  <dimension ref="B3:DA161"/>
  <sheetViews>
    <sheetView tabSelected="1" zoomScale="125" zoomScaleNormal="100" workbookViewId="0">
      <pane xSplit="2" ySplit="3" topLeftCell="Z4" activePane="bottomRight" state="frozen"/>
      <selection pane="topRight" activeCell="D1" sqref="D1"/>
      <selection pane="bottomLeft" activeCell="A4" sqref="A4"/>
      <selection pane="bottomRight" activeCell="X31" sqref="X31"/>
    </sheetView>
  </sheetViews>
  <sheetFormatPr baseColWidth="10" defaultRowHeight="13"/>
  <cols>
    <col min="1" max="1" width="2" style="1" customWidth="1"/>
    <col min="2" max="2" width="21" style="1" bestFit="1" customWidth="1"/>
    <col min="3" max="11" width="6.6640625" style="1" bestFit="1" customWidth="1"/>
    <col min="12" max="12" width="7.6640625" style="1" bestFit="1" customWidth="1"/>
    <col min="13" max="13" width="6.6640625" style="1" bestFit="1" customWidth="1"/>
    <col min="14" max="20" width="8.1640625" style="1" bestFit="1" customWidth="1"/>
    <col min="21" max="21" width="9.1640625" style="1" bestFit="1" customWidth="1"/>
    <col min="22" max="22" width="7.6640625" style="1" bestFit="1" customWidth="1"/>
    <col min="23" max="23" width="5.6640625" style="1" bestFit="1" customWidth="1"/>
    <col min="24" max="24" width="6.6640625" style="1" customWidth="1"/>
    <col min="25" max="25" width="5.1640625" style="1" bestFit="1" customWidth="1"/>
    <col min="26" max="28" width="6.6640625" style="1" bestFit="1" customWidth="1"/>
    <col min="29" max="34" width="7.6640625" style="1" bestFit="1" customWidth="1"/>
    <col min="35" max="38" width="8.1640625" style="1" bestFit="1" customWidth="1"/>
    <col min="39" max="61" width="9.1640625" style="1" bestFit="1" customWidth="1"/>
    <col min="62" max="105" width="7.6640625" style="1" bestFit="1" customWidth="1"/>
    <col min="106" max="16384" width="10.83203125" style="1"/>
  </cols>
  <sheetData>
    <row r="3" spans="2:90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1" t="s">
        <v>16</v>
      </c>
      <c r="N3" s="1" t="s">
        <v>17</v>
      </c>
      <c r="O3" s="1" t="s">
        <v>42</v>
      </c>
      <c r="P3" s="1" t="s">
        <v>41</v>
      </c>
      <c r="Q3" s="1" t="s">
        <v>43</v>
      </c>
      <c r="R3" s="1" t="s">
        <v>44</v>
      </c>
      <c r="S3" s="1" t="s">
        <v>95</v>
      </c>
      <c r="T3" s="1" t="s">
        <v>96</v>
      </c>
      <c r="U3" s="1" t="s">
        <v>97</v>
      </c>
      <c r="V3" s="1" t="s">
        <v>98</v>
      </c>
      <c r="Y3" s="2">
        <f t="shared" ref="Y3:AC3" si="0">+Z3-1</f>
        <v>2012</v>
      </c>
      <c r="Z3" s="2">
        <f t="shared" si="0"/>
        <v>2013</v>
      </c>
      <c r="AA3" s="2">
        <f t="shared" si="0"/>
        <v>2014</v>
      </c>
      <c r="AB3" s="2">
        <f t="shared" si="0"/>
        <v>2015</v>
      </c>
      <c r="AC3" s="2">
        <f t="shared" si="0"/>
        <v>2016</v>
      </c>
      <c r="AD3" s="2">
        <f>+AE3-1</f>
        <v>2017</v>
      </c>
      <c r="AE3" s="2">
        <v>2018</v>
      </c>
      <c r="AF3" s="2">
        <v>2019</v>
      </c>
      <c r="AG3" s="2">
        <v>2020</v>
      </c>
      <c r="AH3" s="2">
        <f>+AG3+1</f>
        <v>2021</v>
      </c>
      <c r="AI3" s="2">
        <f t="shared" ref="AI3:AQ3" si="1">+AH3+1</f>
        <v>2022</v>
      </c>
      <c r="AJ3" s="2">
        <f t="shared" si="1"/>
        <v>2023</v>
      </c>
      <c r="AK3" s="2">
        <f t="shared" si="1"/>
        <v>2024</v>
      </c>
      <c r="AL3" s="2">
        <f t="shared" si="1"/>
        <v>2025</v>
      </c>
      <c r="AM3" s="2">
        <f t="shared" si="1"/>
        <v>2026</v>
      </c>
      <c r="AN3" s="2">
        <f t="shared" si="1"/>
        <v>2027</v>
      </c>
      <c r="AO3" s="2">
        <f t="shared" si="1"/>
        <v>2028</v>
      </c>
      <c r="AP3" s="2">
        <f t="shared" si="1"/>
        <v>2029</v>
      </c>
      <c r="AQ3" s="2">
        <f t="shared" si="1"/>
        <v>2030</v>
      </c>
      <c r="AR3" s="2">
        <f t="shared" ref="AR3:AS3" si="2">+AQ3+1</f>
        <v>2031</v>
      </c>
      <c r="AS3" s="2">
        <f t="shared" si="2"/>
        <v>2032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2:90" s="7" customFormat="1">
      <c r="B4" s="7" t="s">
        <v>34</v>
      </c>
      <c r="E4" s="7">
        <v>1340</v>
      </c>
      <c r="F4" s="7">
        <v>1385</v>
      </c>
      <c r="G4" s="7">
        <v>1413</v>
      </c>
      <c r="H4" s="7">
        <v>1436</v>
      </c>
      <c r="I4" s="7">
        <v>1479</v>
      </c>
      <c r="J4" s="7">
        <v>1538</v>
      </c>
      <c r="K4" s="7">
        <v>1579</v>
      </c>
      <c r="L4" s="7">
        <v>1624</v>
      </c>
      <c r="M4" s="7">
        <f>+I4*1.11</f>
        <v>1641.69</v>
      </c>
      <c r="N4" s="7">
        <f>+J4*1.11</f>
        <v>1707.18</v>
      </c>
      <c r="O4" s="7">
        <v>1791</v>
      </c>
      <c r="P4" s="7">
        <v>1858</v>
      </c>
      <c r="Q4" s="7">
        <f>SUM(Q5:Q7)</f>
        <v>1898</v>
      </c>
      <c r="R4" s="7">
        <f>+AI4</f>
        <v>1959</v>
      </c>
      <c r="S4" s="7">
        <v>1996</v>
      </c>
      <c r="T4" s="7">
        <f>SUM(T5:T7)</f>
        <v>2046</v>
      </c>
      <c r="U4" s="7">
        <f>SUM(U5:U7)</f>
        <v>2099</v>
      </c>
      <c r="V4" s="7">
        <f>+U4+105</f>
        <v>2204</v>
      </c>
      <c r="AA4" s="7">
        <v>712</v>
      </c>
      <c r="AB4" s="7">
        <v>845</v>
      </c>
      <c r="AC4" s="7">
        <v>998</v>
      </c>
      <c r="AD4" s="7">
        <v>1133</v>
      </c>
      <c r="AE4" s="8">
        <v>1252</v>
      </c>
      <c r="AF4" s="8">
        <f>+F4</f>
        <v>1385</v>
      </c>
      <c r="AG4" s="8">
        <f>+J4</f>
        <v>1538</v>
      </c>
      <c r="AH4" s="7">
        <f>+N4</f>
        <v>1707.18</v>
      </c>
      <c r="AI4" s="7">
        <v>1959</v>
      </c>
      <c r="AJ4" s="7">
        <f>+V4</f>
        <v>2204</v>
      </c>
      <c r="AK4" s="7">
        <f>+AJ4*1.1</f>
        <v>2424.4</v>
      </c>
      <c r="AL4" s="7">
        <f t="shared" ref="AL4" si="3">+AK4*1.1</f>
        <v>2666.84</v>
      </c>
      <c r="AM4" s="7">
        <f>+AL4*1.15</f>
        <v>3066.866</v>
      </c>
      <c r="AN4" s="7">
        <f>+AM4*1.15</f>
        <v>3526.8958999999995</v>
      </c>
      <c r="AO4" s="7">
        <f>+AN4*1.15</f>
        <v>4055.930284999999</v>
      </c>
      <c r="AP4" s="7">
        <f>+AO4*1.15</f>
        <v>4664.3198277499987</v>
      </c>
      <c r="AQ4" s="7">
        <f>+AP4*1.15</f>
        <v>5363.9678019124976</v>
      </c>
      <c r="AR4" s="7">
        <f>+AQ4*1.15</f>
        <v>6168.5629721993719</v>
      </c>
      <c r="AS4" s="7">
        <v>7000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2:90" s="6" customFormat="1">
      <c r="B5" s="6" t="s">
        <v>47</v>
      </c>
      <c r="E5" s="6">
        <v>1169</v>
      </c>
      <c r="F5" s="6">
        <v>1200</v>
      </c>
      <c r="G5" s="6">
        <v>1221</v>
      </c>
      <c r="H5" s="6">
        <v>1244</v>
      </c>
      <c r="I5" s="6">
        <v>1277</v>
      </c>
      <c r="J5" s="6">
        <v>1327</v>
      </c>
      <c r="K5" s="6">
        <v>1371</v>
      </c>
      <c r="L5" s="6">
        <v>1415</v>
      </c>
      <c r="O5" s="6">
        <v>1551</v>
      </c>
      <c r="Q5" s="6">
        <v>1631</v>
      </c>
      <c r="R5" s="6">
        <v>1498</v>
      </c>
      <c r="S5" s="6">
        <v>1710</v>
      </c>
      <c r="T5" s="6">
        <v>1749</v>
      </c>
      <c r="U5" s="6">
        <v>1791</v>
      </c>
      <c r="AB5" s="9">
        <f t="shared" ref="AB5:AF5" si="4">+AB4/AA4-1</f>
        <v>0.1867977528089888</v>
      </c>
      <c r="AC5" s="9">
        <f t="shared" si="4"/>
        <v>0.18106508875739635</v>
      </c>
      <c r="AD5" s="9">
        <f t="shared" si="4"/>
        <v>0.13527054108216441</v>
      </c>
      <c r="AE5" s="9">
        <f t="shared" si="4"/>
        <v>0.1050308914386584</v>
      </c>
      <c r="AF5" s="9">
        <f t="shared" si="4"/>
        <v>0.10623003194888181</v>
      </c>
      <c r="AG5" s="9">
        <f t="shared" ref="AG5" si="5">+AG4/AF4-1</f>
        <v>0.1104693140794224</v>
      </c>
      <c r="AH5" s="9">
        <f t="shared" ref="AH5" si="6">+AH4/AG4-1</f>
        <v>0.1100000000000001</v>
      </c>
      <c r="AI5" s="9">
        <f t="shared" ref="AI5" si="7">+AI4/AH4-1</f>
        <v>0.14750641408638798</v>
      </c>
      <c r="AJ5" s="9">
        <f t="shared" ref="AJ5" si="8">+AJ4/AI4-1</f>
        <v>0.12506380806533945</v>
      </c>
      <c r="AK5" s="9">
        <f t="shared" ref="AK5" si="9">+AK4/AJ4-1</f>
        <v>0.10000000000000009</v>
      </c>
      <c r="AL5" s="9">
        <f t="shared" ref="AL5" si="10">+AL4/AK4-1</f>
        <v>0.10000000000000009</v>
      </c>
      <c r="AM5" s="9">
        <f t="shared" ref="AM5" si="11">+AM4/AL4-1</f>
        <v>0.14999999999999991</v>
      </c>
      <c r="AN5" s="9">
        <f t="shared" ref="AN5" si="12">+AN4/AM4-1</f>
        <v>0.14999999999999991</v>
      </c>
      <c r="AO5" s="9">
        <f t="shared" ref="AO5" si="13">+AO4/AN4-1</f>
        <v>0.14999999999999991</v>
      </c>
      <c r="AP5" s="9">
        <f t="shared" ref="AP5" si="14">+AP4/AO4-1</f>
        <v>0.14999999999999991</v>
      </c>
      <c r="AQ5" s="9">
        <f t="shared" ref="AQ5" si="15">+AQ4/AP4-1</f>
        <v>0.14999999999999991</v>
      </c>
      <c r="AR5" s="9">
        <f t="shared" ref="AR5:AS5" si="16">+AR4/AQ4-1</f>
        <v>0.14999999999999991</v>
      </c>
      <c r="AS5" s="9">
        <f t="shared" si="16"/>
        <v>0.13478617816625493</v>
      </c>
      <c r="AT5" s="9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2:90" s="6" customFormat="1">
      <c r="B6" s="6" t="s">
        <v>48</v>
      </c>
      <c r="E6" s="6">
        <v>141</v>
      </c>
      <c r="F6" s="6">
        <v>154</v>
      </c>
      <c r="G6" s="6">
        <v>160</v>
      </c>
      <c r="H6" s="6">
        <v>162</v>
      </c>
      <c r="I6" s="6">
        <v>171</v>
      </c>
      <c r="J6" s="6">
        <v>179</v>
      </c>
      <c r="K6" s="6">
        <v>175</v>
      </c>
      <c r="L6" s="6">
        <v>175</v>
      </c>
      <c r="O6" s="6">
        <v>203</v>
      </c>
      <c r="Q6" s="6">
        <v>42</v>
      </c>
      <c r="R6" s="6">
        <v>197</v>
      </c>
      <c r="S6" s="6">
        <v>243</v>
      </c>
      <c r="T6" s="6">
        <v>252</v>
      </c>
      <c r="U6" s="6">
        <v>262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</row>
    <row r="7" spans="2:90" s="6" customFormat="1">
      <c r="B7" s="6" t="s">
        <v>35</v>
      </c>
      <c r="E7" s="6">
        <f t="shared" ref="E7:K7" si="17">+E4-SUM(E5:E6)</f>
        <v>30</v>
      </c>
      <c r="F7" s="6">
        <f t="shared" si="17"/>
        <v>31</v>
      </c>
      <c r="G7" s="6">
        <f t="shared" si="17"/>
        <v>32</v>
      </c>
      <c r="H7" s="6">
        <f t="shared" si="17"/>
        <v>30</v>
      </c>
      <c r="I7" s="6">
        <f t="shared" si="17"/>
        <v>31</v>
      </c>
      <c r="J7" s="6">
        <f t="shared" si="17"/>
        <v>32</v>
      </c>
      <c r="K7" s="6">
        <f t="shared" si="17"/>
        <v>33</v>
      </c>
      <c r="L7" s="6">
        <f>+L4-SUM(L5:L6)</f>
        <v>34</v>
      </c>
      <c r="O7" s="6">
        <v>37</v>
      </c>
      <c r="Q7" s="6">
        <v>225</v>
      </c>
      <c r="R7" s="6">
        <v>36</v>
      </c>
      <c r="S7" s="6">
        <v>43</v>
      </c>
      <c r="T7" s="6">
        <v>45</v>
      </c>
      <c r="U7" s="6">
        <v>46</v>
      </c>
      <c r="AB7" s="10">
        <f t="shared" ref="AB7:AI7" si="18">+AB4-AA4</f>
        <v>133</v>
      </c>
      <c r="AC7" s="10">
        <f t="shared" si="18"/>
        <v>153</v>
      </c>
      <c r="AD7" s="10">
        <f t="shared" si="18"/>
        <v>135</v>
      </c>
      <c r="AE7" s="10">
        <f t="shared" si="18"/>
        <v>119</v>
      </c>
      <c r="AF7" s="10">
        <f t="shared" si="18"/>
        <v>133</v>
      </c>
      <c r="AG7" s="10">
        <f t="shared" si="18"/>
        <v>153</v>
      </c>
      <c r="AH7" s="10">
        <f t="shared" si="18"/>
        <v>169.18000000000006</v>
      </c>
      <c r="AI7" s="10">
        <f>+AI4-AH4</f>
        <v>251.81999999999994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</row>
    <row r="8" spans="2:90" s="6" customFormat="1">
      <c r="AE8" s="10"/>
      <c r="AF8" s="10"/>
      <c r="AG8" s="11"/>
      <c r="AH8" s="10"/>
      <c r="AI8" s="9"/>
      <c r="AJ8" s="10"/>
      <c r="AK8" s="10"/>
      <c r="AL8" s="10"/>
      <c r="AM8" s="10"/>
      <c r="AN8" s="10"/>
      <c r="AO8" s="10"/>
      <c r="AP8" s="10"/>
      <c r="AQ8" s="10"/>
      <c r="AR8" s="10"/>
      <c r="AS8" s="9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</row>
    <row r="9" spans="2:90" s="6" customFormat="1"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</row>
    <row r="10" spans="2:90" s="6" customFormat="1">
      <c r="B10" s="7" t="s">
        <v>33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</row>
    <row r="11" spans="2:90" s="6" customFormat="1">
      <c r="B11" s="6" t="s">
        <v>34</v>
      </c>
      <c r="I11" s="9">
        <f>+IFERROR(I4/E4-1,0)</f>
        <v>0.10373134328358202</v>
      </c>
      <c r="J11" s="9">
        <f t="shared" ref="J11:U13" si="19">+IFERROR(J4/F4-1,0)</f>
        <v>0.1104693140794224</v>
      </c>
      <c r="K11" s="9">
        <f t="shared" si="19"/>
        <v>0.11748053786270352</v>
      </c>
      <c r="L11" s="9">
        <f t="shared" si="19"/>
        <v>0.13091922005571033</v>
      </c>
      <c r="M11" s="9">
        <f t="shared" si="19"/>
        <v>0.1100000000000001</v>
      </c>
      <c r="N11" s="9">
        <f t="shared" si="19"/>
        <v>0.1100000000000001</v>
      </c>
      <c r="O11" s="9">
        <f t="shared" si="19"/>
        <v>0.13426219126029126</v>
      </c>
      <c r="P11" s="9">
        <f t="shared" si="19"/>
        <v>0.14408866995073888</v>
      </c>
      <c r="Q11" s="9">
        <f t="shared" si="19"/>
        <v>0.15612569973624746</v>
      </c>
      <c r="R11" s="9">
        <f t="shared" si="19"/>
        <v>0.14750641408638798</v>
      </c>
      <c r="S11" s="9">
        <f t="shared" si="19"/>
        <v>0.11446119486320483</v>
      </c>
      <c r="T11" s="9">
        <f t="shared" si="19"/>
        <v>0.10118406889128084</v>
      </c>
      <c r="U11" s="9">
        <f t="shared" si="19"/>
        <v>0.10590094836670172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</row>
    <row r="12" spans="2:90" s="6" customFormat="1">
      <c r="B12" s="6" t="s">
        <v>47</v>
      </c>
      <c r="I12" s="9">
        <f t="shared" ref="I12:I13" si="20">+IFERROR(I5/E5-1,0)</f>
        <v>9.2386655260906725E-2</v>
      </c>
      <c r="J12" s="9">
        <f t="shared" si="19"/>
        <v>0.10583333333333322</v>
      </c>
      <c r="K12" s="9">
        <f t="shared" si="19"/>
        <v>0.12285012285012287</v>
      </c>
      <c r="L12" s="9">
        <f t="shared" si="19"/>
        <v>0.137459807073955</v>
      </c>
      <c r="M12" s="9">
        <f t="shared" si="19"/>
        <v>-1</v>
      </c>
      <c r="N12" s="9">
        <f t="shared" si="19"/>
        <v>-1</v>
      </c>
      <c r="O12" s="9">
        <f t="shared" si="19"/>
        <v>0.13129102844638951</v>
      </c>
      <c r="P12" s="9">
        <f t="shared" si="19"/>
        <v>-1</v>
      </c>
      <c r="Q12" s="9">
        <f t="shared" si="19"/>
        <v>0</v>
      </c>
      <c r="R12" s="9">
        <f t="shared" si="19"/>
        <v>0</v>
      </c>
      <c r="S12" s="9">
        <f t="shared" si="19"/>
        <v>0.10251450676982587</v>
      </c>
      <c r="T12" s="9">
        <f t="shared" si="19"/>
        <v>0</v>
      </c>
      <c r="U12" s="9">
        <f t="shared" si="19"/>
        <v>9.8099325567136741E-2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2:90" s="6" customFormat="1">
      <c r="B13" s="6" t="s">
        <v>48</v>
      </c>
      <c r="I13" s="9">
        <f t="shared" si="20"/>
        <v>0.2127659574468086</v>
      </c>
      <c r="J13" s="9">
        <f t="shared" si="19"/>
        <v>0.16233766233766245</v>
      </c>
      <c r="K13" s="9">
        <f t="shared" si="19"/>
        <v>9.375E-2</v>
      </c>
      <c r="L13" s="9">
        <f t="shared" si="19"/>
        <v>8.0246913580246826E-2</v>
      </c>
      <c r="M13" s="9">
        <f t="shared" si="19"/>
        <v>-1</v>
      </c>
      <c r="N13" s="9">
        <f t="shared" si="19"/>
        <v>-1</v>
      </c>
      <c r="O13" s="9">
        <f t="shared" si="19"/>
        <v>0.15999999999999992</v>
      </c>
      <c r="P13" s="9">
        <f t="shared" si="19"/>
        <v>-1</v>
      </c>
      <c r="Q13" s="9">
        <f t="shared" si="19"/>
        <v>0</v>
      </c>
      <c r="R13" s="9">
        <f t="shared" si="19"/>
        <v>0</v>
      </c>
      <c r="S13" s="9">
        <f t="shared" si="19"/>
        <v>0.19704433497536944</v>
      </c>
      <c r="T13" s="9">
        <f t="shared" si="19"/>
        <v>0</v>
      </c>
      <c r="U13" s="9">
        <f t="shared" si="19"/>
        <v>5.2380952380952381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</row>
    <row r="14" spans="2:90" s="9" customFormat="1">
      <c r="B14" s="12" t="s">
        <v>118</v>
      </c>
      <c r="Q14" s="9">
        <v>6.9000000000000006E-2</v>
      </c>
      <c r="U14" s="9">
        <v>0.153</v>
      </c>
    </row>
    <row r="15" spans="2:90" s="6" customFormat="1">
      <c r="L15" s="9"/>
      <c r="N15" s="9"/>
      <c r="O15" s="9"/>
      <c r="P15" s="9"/>
      <c r="Q15" s="9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</row>
    <row r="16" spans="2:90" s="10" customFormat="1">
      <c r="B16" s="10" t="s">
        <v>49</v>
      </c>
      <c r="F16" s="10">
        <f t="shared" ref="F16:J16" si="21">+F23/F4</f>
        <v>38.401444043321298</v>
      </c>
      <c r="G16" s="10">
        <f t="shared" si="21"/>
        <v>39.232837933474876</v>
      </c>
      <c r="H16" s="10">
        <f t="shared" si="21"/>
        <v>46.034122562674092</v>
      </c>
      <c r="I16" s="10">
        <f t="shared" si="21"/>
        <v>43.264367816091955</v>
      </c>
      <c r="J16" s="10">
        <f t="shared" si="21"/>
        <v>41.145643693107935</v>
      </c>
      <c r="K16" s="10">
        <f>+K23/K4</f>
        <v>44.768841038632047</v>
      </c>
      <c r="L16" s="10">
        <f>+L23/L4</f>
        <v>45.566502463054185</v>
      </c>
      <c r="M16" s="10">
        <f t="shared" ref="M16:P16" si="22">+M23/M4</f>
        <v>40.070902545547575</v>
      </c>
      <c r="N16" s="10">
        <f t="shared" si="22"/>
        <v>42.191215923335555</v>
      </c>
      <c r="O16" s="10">
        <f t="shared" si="22"/>
        <v>42.548855388051365</v>
      </c>
      <c r="P16" s="10">
        <f t="shared" si="22"/>
        <v>45.089881593110874</v>
      </c>
      <c r="Q16" s="10">
        <f t="shared" ref="Q16:R16" si="23">+Q23/Q4</f>
        <v>48.826132771338251</v>
      </c>
      <c r="R16" s="10">
        <f t="shared" si="23"/>
        <v>53.530883103624298</v>
      </c>
      <c r="S16" s="10">
        <f t="shared" ref="S16:U16" si="24">+S23/S4</f>
        <v>54.469438877755508</v>
      </c>
      <c r="T16" s="10">
        <f t="shared" si="24"/>
        <v>52.381720430107528</v>
      </c>
      <c r="U16" s="10">
        <f t="shared" si="24"/>
        <v>55.790376369699857</v>
      </c>
      <c r="V16" s="10">
        <f>+R16*1.15</f>
        <v>61.56051556916794</v>
      </c>
    </row>
    <row r="17" spans="2:90" s="10" customFormat="1">
      <c r="B17" s="10" t="s">
        <v>50</v>
      </c>
      <c r="F17" s="10">
        <f>+F16*4</f>
        <v>153.60577617328519</v>
      </c>
      <c r="G17" s="10">
        <f t="shared" ref="G17:L17" si="25">+G16*4</f>
        <v>156.9313517338995</v>
      </c>
      <c r="H17" s="10">
        <f t="shared" si="25"/>
        <v>184.13649025069637</v>
      </c>
      <c r="I17" s="10">
        <f t="shared" si="25"/>
        <v>173.05747126436782</v>
      </c>
      <c r="J17" s="10">
        <f t="shared" si="25"/>
        <v>164.58257477243174</v>
      </c>
      <c r="K17" s="10">
        <f t="shared" si="25"/>
        <v>179.07536415452819</v>
      </c>
      <c r="L17" s="10">
        <f t="shared" si="25"/>
        <v>182.26600985221674</v>
      </c>
      <c r="M17" s="10">
        <f t="shared" ref="M17:P17" si="26">+M16*4</f>
        <v>160.2836101821903</v>
      </c>
      <c r="N17" s="10">
        <f t="shared" si="26"/>
        <v>168.76486369334222</v>
      </c>
      <c r="O17" s="10">
        <f t="shared" si="26"/>
        <v>170.19542155220546</v>
      </c>
      <c r="P17" s="10">
        <f t="shared" si="26"/>
        <v>180.3595263724435</v>
      </c>
      <c r="Q17" s="10">
        <f t="shared" ref="Q17:R17" si="27">+Q16*4</f>
        <v>195.30453108535301</v>
      </c>
      <c r="R17" s="10">
        <f t="shared" si="27"/>
        <v>214.12353241449719</v>
      </c>
      <c r="S17" s="10">
        <f t="shared" ref="S17:U17" si="28">+S16*4</f>
        <v>217.87775551102203</v>
      </c>
      <c r="T17" s="10">
        <f t="shared" si="28"/>
        <v>209.52688172043011</v>
      </c>
      <c r="U17" s="10">
        <f t="shared" si="28"/>
        <v>223.16150547879943</v>
      </c>
      <c r="AA17" s="10">
        <f t="shared" ref="AA17:AJ17" si="29">+AA23/AA4</f>
        <v>94.731741573033702</v>
      </c>
      <c r="AB17" s="10">
        <f t="shared" si="29"/>
        <v>92.271005917159769</v>
      </c>
      <c r="AC17" s="10">
        <f t="shared" si="29"/>
        <v>103.53106212424849</v>
      </c>
      <c r="AD17" s="10">
        <f t="shared" si="29"/>
        <v>117.66902030008826</v>
      </c>
      <c r="AE17" s="10">
        <f t="shared" si="29"/>
        <v>122.34904153354633</v>
      </c>
      <c r="AF17" s="10">
        <f t="shared" si="29"/>
        <v>144.17039711191336</v>
      </c>
      <c r="AG17" s="10">
        <f t="shared" si="29"/>
        <v>161.77568270481143</v>
      </c>
      <c r="AH17" s="10">
        <f t="shared" si="29"/>
        <v>165.47874272191567</v>
      </c>
      <c r="AI17" s="10">
        <f t="shared" si="29"/>
        <v>182.50178662582951</v>
      </c>
      <c r="AJ17" s="10">
        <f t="shared" si="29"/>
        <v>212.64853734775232</v>
      </c>
      <c r="AK17" s="10">
        <f>+AJ17*1.1</f>
        <v>233.91339108252757</v>
      </c>
      <c r="AL17" s="10">
        <f>+AK17*1.15</f>
        <v>269.0003997449067</v>
      </c>
      <c r="AM17" s="10">
        <f t="shared" ref="AM17:AS17" si="30">+AL17*1.15</f>
        <v>309.35045970664271</v>
      </c>
      <c r="AN17" s="10">
        <f t="shared" si="30"/>
        <v>355.75302866263911</v>
      </c>
      <c r="AO17" s="10">
        <f t="shared" si="30"/>
        <v>409.11598296203493</v>
      </c>
      <c r="AP17" s="10">
        <f t="shared" si="30"/>
        <v>470.48338040634013</v>
      </c>
      <c r="AQ17" s="10">
        <f t="shared" si="30"/>
        <v>541.05588746729109</v>
      </c>
      <c r="AR17" s="10">
        <f t="shared" si="30"/>
        <v>622.2142705873847</v>
      </c>
      <c r="AS17" s="10">
        <f t="shared" si="30"/>
        <v>715.54641117549238</v>
      </c>
    </row>
    <row r="18" spans="2:90" s="6" customFormat="1">
      <c r="I18" s="9"/>
      <c r="J18" s="9">
        <f t="shared" ref="J18:R18" si="31">+J16/F16-1</f>
        <v>7.1460845240373327E-2</v>
      </c>
      <c r="K18" s="9">
        <f t="shared" si="31"/>
        <v>0.14110636387161923</v>
      </c>
      <c r="L18" s="9">
        <f t="shared" si="31"/>
        <v>-1.0158119099223706E-2</v>
      </c>
      <c r="M18" s="9">
        <f t="shared" si="31"/>
        <v>-7.3812826391434938E-2</v>
      </c>
      <c r="N18" s="9">
        <f t="shared" si="31"/>
        <v>2.5411492842989825E-2</v>
      </c>
      <c r="O18" s="9">
        <f t="shared" si="31"/>
        <v>-4.9587740023580351E-2</v>
      </c>
      <c r="P18" s="9">
        <f t="shared" si="31"/>
        <v>-1.0459895848485612E-2</v>
      </c>
      <c r="Q18" s="9">
        <f t="shared" si="31"/>
        <v>0.21849346207859499</v>
      </c>
      <c r="R18" s="9">
        <f t="shared" si="31"/>
        <v>0.26876843750826529</v>
      </c>
      <c r="S18" s="9">
        <f>+S16/O16-1</f>
        <v>0.2801622600887097</v>
      </c>
      <c r="T18" s="9">
        <f t="shared" ref="T18:U18" si="32">+T16/P16-1</f>
        <v>0.16171785286104523</v>
      </c>
      <c r="U18" s="9">
        <f t="shared" si="32"/>
        <v>0.14263352846264588</v>
      </c>
      <c r="AC18" s="9">
        <f t="shared" ref="AC18:AF18" si="33">+AC17/AB17-1</f>
        <v>0.12203244231668964</v>
      </c>
      <c r="AD18" s="9">
        <f t="shared" si="33"/>
        <v>0.13655764642762658</v>
      </c>
      <c r="AE18" s="9">
        <f t="shared" si="33"/>
        <v>3.9772756002580234E-2</v>
      </c>
      <c r="AF18" s="9">
        <f t="shared" si="33"/>
        <v>0.17835330219880752</v>
      </c>
      <c r="AG18" s="9">
        <f>+AG17/AF17-1</f>
        <v>0.12211442810434825</v>
      </c>
      <c r="AH18" s="9">
        <f t="shared" ref="AH18:AJ18" si="34">+AH17/AG17-1</f>
        <v>2.2890090495622406E-2</v>
      </c>
      <c r="AI18" s="9">
        <f t="shared" si="34"/>
        <v>0.1028714844209373</v>
      </c>
      <c r="AJ18" s="9">
        <f t="shared" si="34"/>
        <v>0.16518605806161535</v>
      </c>
      <c r="AK18" s="9">
        <f t="shared" ref="AK18" si="35">+AK17/AJ17-1</f>
        <v>0.10000000000000009</v>
      </c>
      <c r="AL18" s="9">
        <f t="shared" ref="AL18" si="36">+AL17/AK17-1</f>
        <v>0.14999999999999991</v>
      </c>
      <c r="AM18" s="9">
        <f t="shared" ref="AM18" si="37">+AM17/AL17-1</f>
        <v>0.14999999999999991</v>
      </c>
      <c r="AN18" s="9">
        <f t="shared" ref="AN18" si="38">+AN17/AM17-1</f>
        <v>0.14999999999999991</v>
      </c>
      <c r="AO18" s="9">
        <f t="shared" ref="AO18" si="39">+AO17/AN17-1</f>
        <v>0.14999999999999991</v>
      </c>
      <c r="AP18" s="9">
        <f t="shared" ref="AP18" si="40">+AP17/AO17-1</f>
        <v>0.14999999999999991</v>
      </c>
      <c r="AQ18" s="9">
        <f t="shared" ref="AQ18" si="41">+AQ17/AP17-1</f>
        <v>0.14999999999999991</v>
      </c>
      <c r="AR18" s="9">
        <f t="shared" ref="AR18" si="42">+AR17/AQ17-1</f>
        <v>0.14999999999999991</v>
      </c>
      <c r="AS18" s="9">
        <f t="shared" ref="AS18" si="43">+AS17/AR17-1</f>
        <v>0.14999999999999991</v>
      </c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</row>
    <row r="19" spans="2:90" s="6" customFormat="1"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</row>
    <row r="20" spans="2:90" s="6" customFormat="1">
      <c r="B20" s="6" t="s">
        <v>18</v>
      </c>
      <c r="C20" s="6">
        <v>21328</v>
      </c>
      <c r="D20" s="6">
        <v>21187</v>
      </c>
      <c r="E20" s="6">
        <v>21876</v>
      </c>
      <c r="F20" s="6">
        <v>23900</v>
      </c>
      <c r="G20" s="6">
        <v>24199</v>
      </c>
      <c r="H20" s="6">
        <v>27858</v>
      </c>
      <c r="I20" s="6">
        <v>28806</v>
      </c>
      <c r="J20" s="6">
        <f>+AG20-SUM(G20:I20)</f>
        <v>28020</v>
      </c>
      <c r="K20" s="6">
        <v>31606</v>
      </c>
      <c r="L20" s="6">
        <v>33135</v>
      </c>
      <c r="M20" s="6">
        <v>32829</v>
      </c>
      <c r="N20" s="6">
        <f>+AH20-SUM(K20:M20)</f>
        <v>33106</v>
      </c>
      <c r="O20" s="6">
        <v>35070</v>
      </c>
      <c r="P20" s="6">
        <v>36044</v>
      </c>
      <c r="Q20" s="6">
        <v>40363</v>
      </c>
      <c r="R20" s="6">
        <f t="shared" ref="R20:R27" si="44">+AI20-SUM(O20:Q20)</f>
        <v>47137</v>
      </c>
      <c r="S20" s="6">
        <v>48188</v>
      </c>
      <c r="T20" s="6">
        <v>47984</v>
      </c>
      <c r="U20" s="6">
        <v>53200</v>
      </c>
      <c r="V20" s="6">
        <f>+V$23*(U20/U$23)</f>
        <v>61638.738385781311</v>
      </c>
      <c r="Z20" s="6">
        <v>30202</v>
      </c>
      <c r="AA20" s="6">
        <v>38032</v>
      </c>
      <c r="AB20" s="6">
        <v>46688</v>
      </c>
      <c r="AC20" s="6">
        <v>54475</v>
      </c>
      <c r="AD20" s="6">
        <v>66076</v>
      </c>
      <c r="AE20" s="6">
        <v>71858</v>
      </c>
      <c r="AF20" s="6">
        <v>88291</v>
      </c>
      <c r="AG20" s="6">
        <v>108883</v>
      </c>
      <c r="AH20" s="6">
        <v>130676</v>
      </c>
      <c r="AI20" s="6">
        <v>158614</v>
      </c>
      <c r="AJ20" s="6">
        <f>SUM(S20:V20)</f>
        <v>211010.7383857813</v>
      </c>
    </row>
    <row r="21" spans="2:90" s="6" customFormat="1">
      <c r="B21" s="6" t="s">
        <v>19</v>
      </c>
      <c r="C21" s="6">
        <v>13210</v>
      </c>
      <c r="D21" s="6">
        <v>13487</v>
      </c>
      <c r="E21" s="6">
        <v>14056</v>
      </c>
      <c r="F21" s="6">
        <v>15179</v>
      </c>
      <c r="G21" s="6">
        <v>16014</v>
      </c>
      <c r="H21" s="6">
        <v>19923</v>
      </c>
      <c r="I21" s="6">
        <v>19653</v>
      </c>
      <c r="J21" s="6">
        <f t="shared" ref="J21:J34" si="45">+AG21-SUM(G21:I21)</f>
        <v>19340</v>
      </c>
      <c r="K21" s="6">
        <v>21520</v>
      </c>
      <c r="L21" s="6">
        <v>22577</v>
      </c>
      <c r="M21" s="6">
        <v>15575</v>
      </c>
      <c r="N21" s="6">
        <f t="shared" ref="N21:N36" si="46">+AH21-SUM(K21:M21)</f>
        <v>21857</v>
      </c>
      <c r="O21" s="6">
        <v>22539</v>
      </c>
      <c r="P21" s="6">
        <v>28987</v>
      </c>
      <c r="Q21" s="6">
        <v>32146</v>
      </c>
      <c r="R21" s="6">
        <f t="shared" si="44"/>
        <v>35339</v>
      </c>
      <c r="S21" s="6">
        <v>37463</v>
      </c>
      <c r="T21" s="6">
        <v>36596</v>
      </c>
      <c r="U21" s="6">
        <v>39951</v>
      </c>
      <c r="V21" s="6">
        <f>+V$23*(U21/U$23)</f>
        <v>46288.143557337389</v>
      </c>
      <c r="Z21" s="6">
        <v>0</v>
      </c>
      <c r="AA21" s="6">
        <v>0</v>
      </c>
      <c r="AB21" s="6">
        <v>0</v>
      </c>
      <c r="AC21" s="6">
        <v>14561</v>
      </c>
      <c r="AD21" s="6">
        <v>30174</v>
      </c>
      <c r="AE21" s="6">
        <v>34484</v>
      </c>
      <c r="AF21" s="6">
        <v>55932</v>
      </c>
      <c r="AG21" s="6">
        <v>74930</v>
      </c>
      <c r="AH21" s="6">
        <v>81529</v>
      </c>
      <c r="AI21" s="6">
        <v>119011</v>
      </c>
      <c r="AJ21" s="6">
        <f t="shared" ref="AJ21:AJ27" si="47">SUM(S21:V21)</f>
        <v>160298.1435573374</v>
      </c>
    </row>
    <row r="22" spans="2:90" s="6" customFormat="1">
      <c r="B22" s="6" t="s">
        <v>75</v>
      </c>
      <c r="C22" s="6">
        <v>13515</v>
      </c>
      <c r="D22" s="6">
        <v>13888</v>
      </c>
      <c r="E22" s="6">
        <v>13943</v>
      </c>
      <c r="F22" s="6">
        <v>14107</v>
      </c>
      <c r="G22" s="6">
        <v>15223</v>
      </c>
      <c r="H22" s="6">
        <v>18324</v>
      </c>
      <c r="I22" s="6">
        <v>15529</v>
      </c>
      <c r="J22" s="6">
        <f t="shared" si="45"/>
        <v>15922</v>
      </c>
      <c r="K22" s="6">
        <v>17564</v>
      </c>
      <c r="L22" s="6">
        <v>18288</v>
      </c>
      <c r="M22" s="6">
        <v>17380</v>
      </c>
      <c r="N22" s="6">
        <f t="shared" si="46"/>
        <v>17065</v>
      </c>
      <c r="O22" s="6">
        <v>18596</v>
      </c>
      <c r="P22" s="6">
        <v>18746</v>
      </c>
      <c r="Q22" s="6">
        <v>20163</v>
      </c>
      <c r="R22" s="6">
        <f t="shared" si="44"/>
        <v>22391</v>
      </c>
      <c r="S22" s="6">
        <v>23070</v>
      </c>
      <c r="T22" s="6">
        <v>22593</v>
      </c>
      <c r="U22" s="6">
        <v>23953</v>
      </c>
      <c r="V22" s="6">
        <f>+V$23*(U22/U$23)</f>
        <v>27752.494371327437</v>
      </c>
      <c r="Z22" s="6">
        <v>28797</v>
      </c>
      <c r="AA22" s="6">
        <v>29417</v>
      </c>
      <c r="AB22" s="6">
        <v>31281</v>
      </c>
      <c r="AC22" s="6">
        <v>34288</v>
      </c>
      <c r="AD22" s="6">
        <v>37069</v>
      </c>
      <c r="AE22" s="6">
        <v>46839</v>
      </c>
      <c r="AF22" s="6">
        <v>55453</v>
      </c>
      <c r="AG22" s="6">
        <v>64998</v>
      </c>
      <c r="AH22" s="6">
        <v>70297</v>
      </c>
      <c r="AI22" s="6">
        <v>79896</v>
      </c>
      <c r="AJ22" s="6">
        <f t="shared" si="47"/>
        <v>97368.494371327441</v>
      </c>
    </row>
    <row r="23" spans="2:90" s="7" customFormat="1">
      <c r="B23" s="7" t="s">
        <v>20</v>
      </c>
      <c r="C23" s="7">
        <f t="shared" ref="C23:I23" si="48">+SUM(C20:C22)</f>
        <v>48053</v>
      </c>
      <c r="D23" s="7">
        <f t="shared" si="48"/>
        <v>48562</v>
      </c>
      <c r="E23" s="7">
        <f t="shared" si="48"/>
        <v>49875</v>
      </c>
      <c r="F23" s="7">
        <f t="shared" si="48"/>
        <v>53186</v>
      </c>
      <c r="G23" s="7">
        <f t="shared" si="48"/>
        <v>55436</v>
      </c>
      <c r="H23" s="7">
        <f t="shared" si="48"/>
        <v>66105</v>
      </c>
      <c r="I23" s="7">
        <f t="shared" si="48"/>
        <v>63988</v>
      </c>
      <c r="J23" s="7">
        <f t="shared" si="45"/>
        <v>63282</v>
      </c>
      <c r="K23" s="7">
        <f>+SUM(K20:K22)</f>
        <v>70690</v>
      </c>
      <c r="L23" s="7">
        <f>+SUM(L20:L22)</f>
        <v>74000</v>
      </c>
      <c r="M23" s="7">
        <f>+SUM(M20:M22)</f>
        <v>65784</v>
      </c>
      <c r="N23" s="7">
        <f t="shared" si="46"/>
        <v>72028</v>
      </c>
      <c r="O23" s="7">
        <f>+SUM(O20:O22)</f>
        <v>76205</v>
      </c>
      <c r="P23" s="7">
        <f>+SUM(P20:P22)</f>
        <v>83777</v>
      </c>
      <c r="Q23" s="7">
        <f>+SUM(Q20:Q22)</f>
        <v>92672</v>
      </c>
      <c r="R23" s="7">
        <f t="shared" si="44"/>
        <v>104867</v>
      </c>
      <c r="S23" s="7">
        <f>+SUM(S20:S22)</f>
        <v>108721</v>
      </c>
      <c r="T23" s="7">
        <f t="shared" ref="T23:U23" si="49">+SUM(T20:T22)</f>
        <v>107173</v>
      </c>
      <c r="U23" s="7">
        <f t="shared" si="49"/>
        <v>117104</v>
      </c>
      <c r="V23" s="6">
        <f>+V4*V16</f>
        <v>135679.37631444613</v>
      </c>
      <c r="Z23" s="7">
        <f t="shared" ref="Z23:AH23" si="50">+SUM(Z20:Z22)</f>
        <v>58999</v>
      </c>
      <c r="AA23" s="7">
        <f t="shared" si="50"/>
        <v>67449</v>
      </c>
      <c r="AB23" s="7">
        <f t="shared" si="50"/>
        <v>77969</v>
      </c>
      <c r="AC23" s="7">
        <f t="shared" si="50"/>
        <v>103324</v>
      </c>
      <c r="AD23" s="7">
        <f t="shared" si="50"/>
        <v>133319</v>
      </c>
      <c r="AE23" s="7">
        <f t="shared" si="50"/>
        <v>153181</v>
      </c>
      <c r="AF23" s="7">
        <f t="shared" si="50"/>
        <v>199676</v>
      </c>
      <c r="AG23" s="7">
        <f t="shared" si="50"/>
        <v>248811</v>
      </c>
      <c r="AH23" s="7">
        <f t="shared" si="50"/>
        <v>282502</v>
      </c>
      <c r="AI23" s="7">
        <f t="shared" ref="AI23" si="51">+SUM(AI20:AI22)</f>
        <v>357521</v>
      </c>
      <c r="AJ23" s="7">
        <f t="shared" si="47"/>
        <v>468677.3763144461</v>
      </c>
      <c r="AK23" s="7">
        <f>+AK4*AK17</f>
        <v>567099.62534047989</v>
      </c>
      <c r="AL23" s="7">
        <f>+AL4*AL17</f>
        <v>717381.02605570701</v>
      </c>
      <c r="AM23" s="7">
        <f t="shared" ref="AM23:AQ23" si="52">+AM4*AM17</f>
        <v>948736.40695867245</v>
      </c>
      <c r="AN23" s="7">
        <f t="shared" si="52"/>
        <v>1254703.8982028442</v>
      </c>
      <c r="AO23" s="7">
        <f t="shared" si="52"/>
        <v>1659345.9053732611</v>
      </c>
      <c r="AP23" s="7">
        <f t="shared" si="52"/>
        <v>2194484.9598561376</v>
      </c>
      <c r="AQ23" s="7">
        <f t="shared" si="52"/>
        <v>2902206.3594097411</v>
      </c>
      <c r="AR23" s="7">
        <f t="shared" ref="AR23:AS23" si="53">+AR4*AR17</f>
        <v>3838167.9103193819</v>
      </c>
      <c r="AS23" s="7">
        <f t="shared" si="53"/>
        <v>5008824.8782284465</v>
      </c>
    </row>
    <row r="24" spans="2:90" s="6" customFormat="1">
      <c r="B24" s="6" t="s">
        <v>21</v>
      </c>
      <c r="C24" s="6">
        <v>9730</v>
      </c>
      <c r="D24" s="6">
        <v>10573</v>
      </c>
      <c r="E24" s="6">
        <v>10339</v>
      </c>
      <c r="F24" s="6">
        <v>10463</v>
      </c>
      <c r="G24" s="6">
        <v>11176</v>
      </c>
      <c r="H24" s="6">
        <v>13387</v>
      </c>
      <c r="I24" s="6">
        <v>11804</v>
      </c>
      <c r="J24" s="6">
        <f t="shared" si="45"/>
        <v>12216</v>
      </c>
      <c r="K24" s="6">
        <v>13279</v>
      </c>
      <c r="L24" s="6">
        <v>14207</v>
      </c>
      <c r="M24" s="6">
        <v>15206</v>
      </c>
      <c r="N24" s="6">
        <f t="shared" si="46"/>
        <v>14724</v>
      </c>
      <c r="O24" s="6">
        <v>15674</v>
      </c>
      <c r="P24" s="6">
        <v>14899</v>
      </c>
      <c r="Q24" s="6">
        <v>15724</v>
      </c>
      <c r="R24" s="6">
        <f t="shared" si="44"/>
        <v>17098</v>
      </c>
      <c r="S24" s="6">
        <v>16695</v>
      </c>
      <c r="T24" s="6">
        <v>16642</v>
      </c>
      <c r="U24" s="6">
        <v>17622</v>
      </c>
      <c r="V24" s="6">
        <f t="shared" ref="V24" si="54">+V$23*(Q24/Q$23)</f>
        <v>23021.220143822848</v>
      </c>
      <c r="Z24" s="6">
        <v>22176</v>
      </c>
      <c r="AA24" s="6">
        <v>20473</v>
      </c>
      <c r="AB24" s="6">
        <v>22219</v>
      </c>
      <c r="AC24" s="6">
        <v>25308</v>
      </c>
      <c r="AD24" s="6">
        <v>28745</v>
      </c>
      <c r="AE24" s="6">
        <v>32063</v>
      </c>
      <c r="AF24" s="6">
        <v>41105</v>
      </c>
      <c r="AG24" s="6">
        <v>48583</v>
      </c>
      <c r="AH24" s="6">
        <v>57416</v>
      </c>
      <c r="AI24" s="6">
        <v>63395</v>
      </c>
      <c r="AJ24" s="6">
        <f t="shared" si="47"/>
        <v>73980.220143822851</v>
      </c>
      <c r="AK24" s="6">
        <f t="shared" ref="AK24:AQ24" si="55">+AK23*(AJ24/AJ23)</f>
        <v>89516.066374025671</v>
      </c>
      <c r="AL24" s="6">
        <f t="shared" si="55"/>
        <v>113237.82396314247</v>
      </c>
      <c r="AM24" s="6">
        <f t="shared" si="55"/>
        <v>149757.02219125591</v>
      </c>
      <c r="AN24" s="6">
        <f t="shared" si="55"/>
        <v>198053.6618479359</v>
      </c>
      <c r="AO24" s="6">
        <f t="shared" si="55"/>
        <v>261925.96779389519</v>
      </c>
      <c r="AP24" s="6">
        <f t="shared" si="55"/>
        <v>346397.09240742639</v>
      </c>
      <c r="AQ24" s="6">
        <f t="shared" si="55"/>
        <v>458110.15470882121</v>
      </c>
      <c r="AR24" s="6">
        <f t="shared" ref="AR24:AS24" si="56">+AR23*(AQ24/AQ23)</f>
        <v>605850.679602416</v>
      </c>
      <c r="AS24" s="6">
        <f t="shared" si="56"/>
        <v>790637.62383227202</v>
      </c>
    </row>
    <row r="25" spans="2:90" s="6" customFormat="1">
      <c r="B25" s="6" t="s">
        <v>22</v>
      </c>
      <c r="C25" s="6">
        <v>12734</v>
      </c>
      <c r="D25" s="6">
        <v>12973</v>
      </c>
      <c r="E25" s="6">
        <v>12652</v>
      </c>
      <c r="F25" s="6">
        <v>14532</v>
      </c>
      <c r="G25" s="6">
        <v>16995</v>
      </c>
      <c r="H25" s="6">
        <v>20424</v>
      </c>
      <c r="I25" s="6">
        <v>18267</v>
      </c>
      <c r="J25" s="6">
        <f t="shared" si="45"/>
        <v>13742</v>
      </c>
      <c r="K25" s="6">
        <v>22027</v>
      </c>
      <c r="L25" s="6">
        <v>23301</v>
      </c>
      <c r="M25" s="6">
        <v>16232</v>
      </c>
      <c r="N25" s="6">
        <f t="shared" si="46"/>
        <v>22429</v>
      </c>
      <c r="O25" s="6">
        <v>23167</v>
      </c>
      <c r="P25" s="6">
        <v>29685</v>
      </c>
      <c r="Q25" s="6">
        <v>33106</v>
      </c>
      <c r="R25" s="6">
        <f t="shared" si="44"/>
        <v>37111</v>
      </c>
      <c r="S25" s="6">
        <v>39643</v>
      </c>
      <c r="T25" s="6">
        <v>38729</v>
      </c>
      <c r="U25" s="6">
        <v>42381</v>
      </c>
      <c r="V25" s="6">
        <f t="shared" ref="V25:V26" si="57">+V$23*(Q25/Q$23)</f>
        <v>48469.887692788041</v>
      </c>
      <c r="Z25" s="6">
        <v>0</v>
      </c>
      <c r="AA25" s="6">
        <v>0</v>
      </c>
      <c r="AB25" s="6">
        <v>0</v>
      </c>
      <c r="AC25" s="6">
        <v>13849</v>
      </c>
      <c r="AD25" s="6">
        <v>32427</v>
      </c>
      <c r="AE25" s="6">
        <v>33699</v>
      </c>
      <c r="AF25" s="6">
        <v>52891</v>
      </c>
      <c r="AG25" s="6">
        <v>69428</v>
      </c>
      <c r="AH25" s="6">
        <v>83989</v>
      </c>
      <c r="AI25" s="6">
        <v>123069</v>
      </c>
      <c r="AJ25" s="6">
        <f t="shared" si="47"/>
        <v>169222.88769278803</v>
      </c>
      <c r="AK25" s="6">
        <f t="shared" ref="AK25" si="58">+AK23*(AJ25/AJ23)</f>
        <v>204759.69410827357</v>
      </c>
      <c r="AL25" s="6">
        <f>+AL23*0.34</f>
        <v>243909.5488589404</v>
      </c>
      <c r="AM25" s="6">
        <f t="shared" ref="AM25:AS25" si="59">+AM23*0.34</f>
        <v>322570.37836594868</v>
      </c>
      <c r="AN25" s="6">
        <f t="shared" si="59"/>
        <v>426599.32538896706</v>
      </c>
      <c r="AO25" s="6">
        <f t="shared" si="59"/>
        <v>564177.60782690882</v>
      </c>
      <c r="AP25" s="6">
        <f t="shared" si="59"/>
        <v>746124.8863510869</v>
      </c>
      <c r="AQ25" s="6">
        <f t="shared" si="59"/>
        <v>986750.16219931201</v>
      </c>
      <c r="AR25" s="6">
        <f t="shared" si="59"/>
        <v>1304977.0895085898</v>
      </c>
      <c r="AS25" s="6">
        <f t="shared" si="59"/>
        <v>1703000.4585976719</v>
      </c>
    </row>
    <row r="26" spans="2:90" s="6" customFormat="1">
      <c r="B26" s="6" t="s">
        <v>23</v>
      </c>
      <c r="C26" s="6">
        <v>12542</v>
      </c>
      <c r="D26" s="6">
        <v>13394</v>
      </c>
      <c r="E26" s="6">
        <v>13527</v>
      </c>
      <c r="F26" s="6">
        <v>17832</v>
      </c>
      <c r="G26" s="6">
        <v>12239</v>
      </c>
      <c r="H26" s="6">
        <v>13375</v>
      </c>
      <c r="I26" s="6">
        <v>17282</v>
      </c>
      <c r="J26" s="6">
        <f t="shared" si="45"/>
        <v>26089</v>
      </c>
      <c r="K26" s="6">
        <v>13786</v>
      </c>
      <c r="L26" s="6">
        <v>16066</v>
      </c>
      <c r="M26" s="6">
        <v>15020</v>
      </c>
      <c r="N26" s="6">
        <f t="shared" si="46"/>
        <v>18023</v>
      </c>
      <c r="O26" s="6">
        <v>18086</v>
      </c>
      <c r="P26" s="6">
        <v>13949</v>
      </c>
      <c r="Q26" s="6">
        <v>16686</v>
      </c>
      <c r="R26" s="6">
        <f t="shared" si="44"/>
        <v>18340</v>
      </c>
      <c r="S26" s="6">
        <v>23645</v>
      </c>
      <c r="T26" s="6">
        <v>22128</v>
      </c>
      <c r="U26" s="6">
        <v>23047</v>
      </c>
      <c r="V26" s="6">
        <f t="shared" si="57"/>
        <v>24429.666708205801</v>
      </c>
      <c r="Z26" s="6">
        <v>18913</v>
      </c>
      <c r="AA26" s="6">
        <v>26006</v>
      </c>
      <c r="AB26" s="6">
        <v>33350</v>
      </c>
      <c r="AC26" s="6">
        <v>34552</v>
      </c>
      <c r="AD26" s="6">
        <v>34898</v>
      </c>
      <c r="AE26" s="6">
        <v>44579</v>
      </c>
      <c r="AF26" s="6">
        <v>57295</v>
      </c>
      <c r="AG26" s="6">
        <v>68985</v>
      </c>
      <c r="AH26" s="6">
        <v>62895</v>
      </c>
      <c r="AI26" s="6">
        <v>67061</v>
      </c>
      <c r="AJ26" s="7">
        <f>SUM(S26:V26)</f>
        <v>93249.666708205797</v>
      </c>
      <c r="AK26" s="6">
        <f t="shared" ref="AK26" si="60">+AK23*(AJ26/AJ23)</f>
        <v>112832.09671692904</v>
      </c>
      <c r="AL26" s="6">
        <f t="shared" ref="AL26" si="61">+AL23*(AK26/AK23)</f>
        <v>142732.60234691523</v>
      </c>
      <c r="AM26" s="6">
        <f t="shared" ref="AM26" si="62">+AM23*(AL26/AL23)</f>
        <v>188763.86660379538</v>
      </c>
      <c r="AN26" s="6">
        <f t="shared" ref="AN26" si="63">+AN23*(AM26/AM23)</f>
        <v>249640.21358351936</v>
      </c>
      <c r="AO26" s="6">
        <f t="shared" ref="AO26" si="64">+AO23*(AN26/AN23)</f>
        <v>330149.18246420426</v>
      </c>
      <c r="AP26" s="6">
        <f t="shared" ref="AP26" si="65">+AP23*(AO26/AO23)</f>
        <v>436622.29380891012</v>
      </c>
      <c r="AQ26" s="6">
        <f t="shared" ref="AQ26" si="66">+AQ23*(AP26/AP23)</f>
        <v>577432.98356228345</v>
      </c>
      <c r="AR26" s="6">
        <f t="shared" ref="AR26" si="67">+AR23*(AQ26/AQ23)</f>
        <v>763655.12076111976</v>
      </c>
      <c r="AS26" s="6">
        <f t="shared" ref="AS26" si="68">+AS23*(AR26/AR23)</f>
        <v>996573.06731444108</v>
      </c>
    </row>
    <row r="27" spans="2:90" s="6" customFormat="1">
      <c r="B27" s="6" t="s">
        <v>24</v>
      </c>
      <c r="C27" s="6">
        <v>1276</v>
      </c>
      <c r="D27" s="6">
        <v>1335</v>
      </c>
      <c r="E27" s="6">
        <v>1408</v>
      </c>
      <c r="F27" s="6">
        <v>1465</v>
      </c>
      <c r="G27" s="6">
        <v>1555</v>
      </c>
      <c r="H27" s="6">
        <v>1398</v>
      </c>
      <c r="I27" s="6">
        <v>2334</v>
      </c>
      <c r="J27" s="6">
        <f t="shared" si="45"/>
        <v>2231</v>
      </c>
      <c r="K27" s="6">
        <v>0</v>
      </c>
      <c r="L27" s="6">
        <v>0</v>
      </c>
      <c r="M27" s="6">
        <v>2061</v>
      </c>
      <c r="N27" s="6">
        <f t="shared" si="46"/>
        <v>5882</v>
      </c>
      <c r="O27" s="6">
        <v>2227</v>
      </c>
      <c r="P27" s="6">
        <v>2547</v>
      </c>
      <c r="Q27" s="6">
        <v>2836</v>
      </c>
      <c r="R27" s="6">
        <f t="shared" si="44"/>
        <v>3289</v>
      </c>
      <c r="S27" s="6">
        <v>2989</v>
      </c>
      <c r="T27" s="6">
        <v>3218</v>
      </c>
      <c r="U27" s="6">
        <v>3384</v>
      </c>
      <c r="V27" s="6">
        <f>AVERAGE(14000,15000)-SUM(S27:U27)</f>
        <v>4909</v>
      </c>
      <c r="Z27" s="6">
        <v>3030</v>
      </c>
      <c r="AA27" s="6">
        <v>2904</v>
      </c>
      <c r="AB27" s="6">
        <v>2682</v>
      </c>
      <c r="AC27" s="6">
        <v>3008</v>
      </c>
      <c r="AD27" s="6">
        <v>3376</v>
      </c>
      <c r="AE27" s="6">
        <v>4313</v>
      </c>
      <c r="AF27" s="6">
        <v>5484</v>
      </c>
      <c r="AG27" s="6">
        <v>7518</v>
      </c>
      <c r="AH27" s="6">
        <v>7943</v>
      </c>
      <c r="AI27" s="6">
        <v>10899</v>
      </c>
      <c r="AJ27" s="6">
        <f t="shared" si="47"/>
        <v>14500</v>
      </c>
      <c r="AK27" s="6">
        <f>+AK26*(AJ27/AJ26)</f>
        <v>17545.000000000004</v>
      </c>
      <c r="AL27" s="6">
        <f t="shared" ref="AL27:AS27" si="69">+AL26*(AK27/AK26)</f>
        <v>22194.425000000007</v>
      </c>
      <c r="AM27" s="6">
        <f t="shared" si="69"/>
        <v>29352.127062500003</v>
      </c>
      <c r="AN27" s="6">
        <f t="shared" si="69"/>
        <v>38818.188040156252</v>
      </c>
      <c r="AO27" s="6">
        <f t="shared" si="69"/>
        <v>51337.053683106627</v>
      </c>
      <c r="AP27" s="6">
        <f t="shared" si="69"/>
        <v>67893.253495908517</v>
      </c>
      <c r="AQ27" s="6">
        <f t="shared" si="69"/>
        <v>89788.827748338983</v>
      </c>
      <c r="AR27" s="6">
        <f t="shared" si="69"/>
        <v>118745.72469717829</v>
      </c>
      <c r="AS27" s="6">
        <f t="shared" si="69"/>
        <v>154963.6581680972</v>
      </c>
    </row>
    <row r="28" spans="2:90" s="6" customFormat="1">
      <c r="B28" s="6" t="s">
        <v>25</v>
      </c>
      <c r="C28" s="6">
        <f t="shared" ref="C28:I28" si="70">+SUM(C24:C27)</f>
        <v>36282</v>
      </c>
      <c r="D28" s="6">
        <f t="shared" si="70"/>
        <v>38275</v>
      </c>
      <c r="E28" s="6">
        <f t="shared" si="70"/>
        <v>37926</v>
      </c>
      <c r="F28" s="6">
        <f t="shared" si="70"/>
        <v>44292</v>
      </c>
      <c r="G28" s="6">
        <f t="shared" si="70"/>
        <v>41965</v>
      </c>
      <c r="H28" s="6">
        <f t="shared" si="70"/>
        <v>48584</v>
      </c>
      <c r="I28" s="6">
        <f t="shared" si="70"/>
        <v>49687</v>
      </c>
      <c r="J28" s="6">
        <f t="shared" si="45"/>
        <v>54278</v>
      </c>
      <c r="K28" s="6">
        <f>+SUM(K24:K27)</f>
        <v>49092</v>
      </c>
      <c r="L28" s="6">
        <f>+SUM(L24:L27)</f>
        <v>53574</v>
      </c>
      <c r="M28" s="6">
        <f>+SUM(M24:M27)</f>
        <v>48519</v>
      </c>
      <c r="N28" s="6">
        <f t="shared" si="46"/>
        <v>61058</v>
      </c>
      <c r="O28" s="6">
        <f t="shared" ref="O28:V28" si="71">+SUM(O24:O27)</f>
        <v>59154</v>
      </c>
      <c r="P28" s="6">
        <f t="shared" si="71"/>
        <v>61080</v>
      </c>
      <c r="Q28" s="6">
        <f t="shared" si="71"/>
        <v>68352</v>
      </c>
      <c r="R28" s="6">
        <f t="shared" si="71"/>
        <v>75838</v>
      </c>
      <c r="S28" s="6">
        <f t="shared" si="71"/>
        <v>82972</v>
      </c>
      <c r="T28" s="6">
        <f t="shared" si="71"/>
        <v>80717</v>
      </c>
      <c r="U28" s="6">
        <f t="shared" si="71"/>
        <v>86434</v>
      </c>
      <c r="V28" s="6">
        <f t="shared" si="71"/>
        <v>100829.77454481668</v>
      </c>
      <c r="Z28" s="6">
        <f t="shared" ref="Z28:AS28" si="72">+SUM(Z24:Z27)</f>
        <v>44119</v>
      </c>
      <c r="AA28" s="6">
        <f t="shared" si="72"/>
        <v>49383</v>
      </c>
      <c r="AB28" s="6">
        <f t="shared" si="72"/>
        <v>58251</v>
      </c>
      <c r="AC28" s="6">
        <f t="shared" si="72"/>
        <v>76717</v>
      </c>
      <c r="AD28" s="6">
        <f t="shared" si="72"/>
        <v>99446</v>
      </c>
      <c r="AE28" s="6">
        <f t="shared" si="72"/>
        <v>114654</v>
      </c>
      <c r="AF28" s="6">
        <f t="shared" si="72"/>
        <v>156775</v>
      </c>
      <c r="AG28" s="6">
        <f t="shared" si="72"/>
        <v>194514</v>
      </c>
      <c r="AH28" s="6">
        <f t="shared" si="72"/>
        <v>212243</v>
      </c>
      <c r="AI28" s="6">
        <f t="shared" si="72"/>
        <v>264424</v>
      </c>
      <c r="AJ28" s="6">
        <f t="shared" si="72"/>
        <v>350952.7745448167</v>
      </c>
      <c r="AK28" s="6">
        <f t="shared" si="72"/>
        <v>424652.85719922831</v>
      </c>
      <c r="AL28" s="6">
        <f t="shared" si="72"/>
        <v>522074.40016899805</v>
      </c>
      <c r="AM28" s="6">
        <f t="shared" si="72"/>
        <v>690443.39422350004</v>
      </c>
      <c r="AN28" s="6">
        <f t="shared" si="72"/>
        <v>913111.38886057853</v>
      </c>
      <c r="AO28" s="6">
        <f t="shared" si="72"/>
        <v>1207589.8117681148</v>
      </c>
      <c r="AP28" s="6">
        <f t="shared" si="72"/>
        <v>1597037.5260633319</v>
      </c>
      <c r="AQ28" s="6">
        <f t="shared" si="72"/>
        <v>2112082.1282187556</v>
      </c>
      <c r="AR28" s="6">
        <f t="shared" si="72"/>
        <v>2793228.6145693036</v>
      </c>
      <c r="AS28" s="6">
        <f t="shared" si="72"/>
        <v>3645174.8079124819</v>
      </c>
    </row>
    <row r="29" spans="2:90" s="7" customFormat="1">
      <c r="B29" s="7" t="s">
        <v>26</v>
      </c>
      <c r="C29" s="7">
        <f t="shared" ref="C29:I29" si="73">+C23-C28</f>
        <v>11771</v>
      </c>
      <c r="D29" s="7">
        <f t="shared" si="73"/>
        <v>10287</v>
      </c>
      <c r="E29" s="7">
        <f t="shared" si="73"/>
        <v>11949</v>
      </c>
      <c r="F29" s="7">
        <f t="shared" si="73"/>
        <v>8894</v>
      </c>
      <c r="G29" s="7">
        <f t="shared" si="73"/>
        <v>13471</v>
      </c>
      <c r="H29" s="7">
        <f t="shared" si="73"/>
        <v>17521</v>
      </c>
      <c r="I29" s="7">
        <f t="shared" si="73"/>
        <v>14301</v>
      </c>
      <c r="J29" s="6">
        <f t="shared" si="45"/>
        <v>9004</v>
      </c>
      <c r="K29" s="7">
        <f>+K23-K28</f>
        <v>21598</v>
      </c>
      <c r="L29" s="7">
        <f>+L23-L28</f>
        <v>20426</v>
      </c>
      <c r="M29" s="7">
        <f>+M23-M28</f>
        <v>17265</v>
      </c>
      <c r="N29" s="6">
        <f t="shared" si="46"/>
        <v>10970</v>
      </c>
      <c r="O29" s="7">
        <f t="shared" ref="O29:V29" si="74">+O23-O28</f>
        <v>17051</v>
      </c>
      <c r="P29" s="7">
        <f t="shared" si="74"/>
        <v>22697</v>
      </c>
      <c r="Q29" s="7">
        <f t="shared" si="74"/>
        <v>24320</v>
      </c>
      <c r="R29" s="7">
        <f t="shared" si="74"/>
        <v>29029</v>
      </c>
      <c r="S29" s="7">
        <f t="shared" si="74"/>
        <v>25749</v>
      </c>
      <c r="T29" s="7">
        <f t="shared" si="74"/>
        <v>26456</v>
      </c>
      <c r="U29" s="7">
        <f t="shared" si="74"/>
        <v>30670</v>
      </c>
      <c r="V29" s="7">
        <f t="shared" si="74"/>
        <v>34849.601769629444</v>
      </c>
      <c r="Z29" s="7">
        <f t="shared" ref="Z29:AS29" si="75">+Z23-Z28</f>
        <v>14880</v>
      </c>
      <c r="AA29" s="7">
        <f t="shared" si="75"/>
        <v>18066</v>
      </c>
      <c r="AB29" s="7">
        <f t="shared" si="75"/>
        <v>19718</v>
      </c>
      <c r="AC29" s="7">
        <f t="shared" si="75"/>
        <v>26607</v>
      </c>
      <c r="AD29" s="7">
        <f t="shared" si="75"/>
        <v>33873</v>
      </c>
      <c r="AE29" s="7">
        <f t="shared" si="75"/>
        <v>38527</v>
      </c>
      <c r="AF29" s="7">
        <f t="shared" si="75"/>
        <v>42901</v>
      </c>
      <c r="AG29" s="7">
        <f t="shared" si="75"/>
        <v>54297</v>
      </c>
      <c r="AH29" s="7">
        <f t="shared" si="75"/>
        <v>70259</v>
      </c>
      <c r="AI29" s="7">
        <f t="shared" si="75"/>
        <v>93097</v>
      </c>
      <c r="AJ29" s="7">
        <f t="shared" si="75"/>
        <v>117724.6017696294</v>
      </c>
      <c r="AK29" s="7">
        <f t="shared" si="75"/>
        <v>142446.76814125158</v>
      </c>
      <c r="AL29" s="7">
        <f t="shared" si="75"/>
        <v>195306.62588670896</v>
      </c>
      <c r="AM29" s="7">
        <f t="shared" si="75"/>
        <v>258293.01273517241</v>
      </c>
      <c r="AN29" s="7">
        <f t="shared" si="75"/>
        <v>341592.50934226566</v>
      </c>
      <c r="AO29" s="7">
        <f t="shared" si="75"/>
        <v>451756.09360514628</v>
      </c>
      <c r="AP29" s="7">
        <f t="shared" si="75"/>
        <v>597447.43379280576</v>
      </c>
      <c r="AQ29" s="7">
        <f t="shared" si="75"/>
        <v>790124.23119098553</v>
      </c>
      <c r="AR29" s="7">
        <f t="shared" si="75"/>
        <v>1044939.2957500783</v>
      </c>
      <c r="AS29" s="7">
        <f t="shared" si="75"/>
        <v>1363650.0703159645</v>
      </c>
    </row>
    <row r="30" spans="2:90" s="6" customFormat="1">
      <c r="B30" s="6" t="s">
        <v>27</v>
      </c>
      <c r="C30" s="6">
        <v>4410</v>
      </c>
      <c r="D30" s="6">
        <v>4299</v>
      </c>
      <c r="E30" s="6">
        <v>4243</v>
      </c>
      <c r="F30" s="6">
        <v>4184</v>
      </c>
      <c r="G30" s="6">
        <v>4145</v>
      </c>
      <c r="H30" s="6">
        <v>4214</v>
      </c>
      <c r="I30" s="6">
        <v>4405</v>
      </c>
      <c r="J30" s="6">
        <f t="shared" si="45"/>
        <v>4018</v>
      </c>
      <c r="K30" s="6">
        <v>3782</v>
      </c>
      <c r="L30" s="6">
        <v>3724</v>
      </c>
      <c r="M30" s="6">
        <v>3724</v>
      </c>
      <c r="N30" s="6">
        <f t="shared" si="46"/>
        <v>3754</v>
      </c>
      <c r="O30" s="6">
        <v>4192</v>
      </c>
      <c r="P30" s="6">
        <v>5986</v>
      </c>
      <c r="Q30" s="6">
        <v>5742</v>
      </c>
      <c r="R30" s="6">
        <f>+AI30-SUM(O30:Q30)</f>
        <v>5310</v>
      </c>
      <c r="S30" s="6">
        <v>4573</v>
      </c>
      <c r="T30" s="6">
        <v>4244</v>
      </c>
      <c r="U30" s="6">
        <v>4520</v>
      </c>
      <c r="V30" s="6">
        <f>AVERAGE(S30:U30)</f>
        <v>4445.666666666667</v>
      </c>
      <c r="Z30" s="6">
        <f>2863+-6</f>
        <v>2857</v>
      </c>
      <c r="AA30" s="6">
        <f>3684+84</f>
        <v>3768</v>
      </c>
      <c r="AB30" s="6">
        <f>3477+396</f>
        <v>3873</v>
      </c>
      <c r="AC30" s="6">
        <f>4396+254</f>
        <v>4650</v>
      </c>
      <c r="AD30" s="6">
        <v>5131</v>
      </c>
      <c r="AE30" s="6">
        <v>10123</v>
      </c>
      <c r="AF30" s="6">
        <v>17136</v>
      </c>
      <c r="AG30" s="6">
        <v>16782</v>
      </c>
      <c r="AH30" s="6">
        <v>14984</v>
      </c>
      <c r="AI30" s="6">
        <v>21230</v>
      </c>
      <c r="AJ30" s="6">
        <f>-AI69*$AW$37</f>
        <v>6224.4000000000005</v>
      </c>
      <c r="AK30" s="6">
        <f>-AJ69*$AW$37</f>
        <v>5365.0561902689469</v>
      </c>
      <c r="AL30" s="6">
        <f>-AK69*$AW$37</f>
        <v>4308.5529846891077</v>
      </c>
      <c r="AM30" s="6">
        <f>-AL69*$AW$37</f>
        <v>2836.5107012318413</v>
      </c>
      <c r="AN30" s="6">
        <f>-AM69*$AW$37</f>
        <v>867.6805090499862</v>
      </c>
      <c r="AO30" s="6">
        <f>-AN69*$AW$37</f>
        <v>-1758.3216670218594</v>
      </c>
      <c r="AP30" s="6">
        <f>-AO69*$AW$37</f>
        <v>-5253.6050764021093</v>
      </c>
      <c r="AQ30" s="6">
        <f>-AP69*$AW$37</f>
        <v>-9898.6855215551914</v>
      </c>
      <c r="AR30" s="6">
        <f>-AQ69*$AW$37</f>
        <v>-16064.546481523112</v>
      </c>
      <c r="AS30" s="6">
        <f>-AR69*$AW$37</f>
        <v>-24241.81494787434</v>
      </c>
    </row>
    <row r="31" spans="2:90" s="6" customFormat="1">
      <c r="B31" s="6" t="s">
        <v>45</v>
      </c>
      <c r="M31" s="6">
        <v>-22</v>
      </c>
      <c r="N31" s="6">
        <f t="shared" si="46"/>
        <v>-113</v>
      </c>
      <c r="O31" s="6">
        <v>65</v>
      </c>
      <c r="P31" s="6">
        <v>26</v>
      </c>
      <c r="Q31" s="6">
        <v>290</v>
      </c>
      <c r="R31" s="6">
        <f>+AI31-SUM(O31:Q31)</f>
        <v>192</v>
      </c>
      <c r="S31" s="6">
        <v>188</v>
      </c>
      <c r="T31" s="6">
        <v>-46</v>
      </c>
      <c r="U31" s="6">
        <v>-19</v>
      </c>
      <c r="V31" s="6">
        <f t="shared" ref="V31" si="76">+V$23*(Q31/Q$23)</f>
        <v>424.58368364974723</v>
      </c>
      <c r="AH31" s="6">
        <v>-135</v>
      </c>
      <c r="AI31" s="6">
        <v>573</v>
      </c>
      <c r="AJ31" s="6">
        <f>SUM(S31:V31)</f>
        <v>547.58368364974717</v>
      </c>
    </row>
    <row r="32" spans="2:90" s="6" customFormat="1">
      <c r="B32" s="6" t="s">
        <v>28</v>
      </c>
      <c r="C32" s="6">
        <f t="shared" ref="C32:I32" si="77">+C29-C30</f>
        <v>7361</v>
      </c>
      <c r="D32" s="6">
        <f t="shared" si="77"/>
        <v>5988</v>
      </c>
      <c r="E32" s="6">
        <f t="shared" si="77"/>
        <v>7706</v>
      </c>
      <c r="F32" s="6">
        <f t="shared" si="77"/>
        <v>4710</v>
      </c>
      <c r="G32" s="6">
        <f t="shared" si="77"/>
        <v>9326</v>
      </c>
      <c r="H32" s="6">
        <f t="shared" si="77"/>
        <v>13307</v>
      </c>
      <c r="I32" s="6">
        <f t="shared" si="77"/>
        <v>9896</v>
      </c>
      <c r="J32" s="6">
        <f t="shared" si="45"/>
        <v>4986</v>
      </c>
      <c r="K32" s="6">
        <f>+K29-K30</f>
        <v>17816</v>
      </c>
      <c r="L32" s="6">
        <f>+L29-L30</f>
        <v>16702</v>
      </c>
      <c r="M32" s="6">
        <f>+M29-SUM(M30:M31)</f>
        <v>13563</v>
      </c>
      <c r="N32" s="6">
        <f t="shared" si="46"/>
        <v>7329</v>
      </c>
      <c r="O32" s="6">
        <f t="shared" ref="O32:V32" si="78">+O29-SUM(O30:O31)</f>
        <v>12794</v>
      </c>
      <c r="P32" s="6">
        <f t="shared" si="78"/>
        <v>16685</v>
      </c>
      <c r="Q32" s="6">
        <f t="shared" si="78"/>
        <v>18288</v>
      </c>
      <c r="R32" s="6">
        <f t="shared" si="78"/>
        <v>23527</v>
      </c>
      <c r="S32" s="6">
        <f t="shared" si="78"/>
        <v>20988</v>
      </c>
      <c r="T32" s="6">
        <f t="shared" si="78"/>
        <v>22258</v>
      </c>
      <c r="U32" s="6">
        <f>+U29-SUM(U30:U31)</f>
        <v>26169</v>
      </c>
      <c r="V32" s="6">
        <f t="shared" si="78"/>
        <v>29979.351419313029</v>
      </c>
      <c r="Z32" s="6">
        <f t="shared" ref="Z32:AG32" si="79">+Z29-SUM(Z30:Z30)</f>
        <v>12023</v>
      </c>
      <c r="AA32" s="6">
        <f t="shared" si="79"/>
        <v>14298</v>
      </c>
      <c r="AB32" s="6">
        <f t="shared" si="79"/>
        <v>15845</v>
      </c>
      <c r="AC32" s="6">
        <f t="shared" si="79"/>
        <v>21957</v>
      </c>
      <c r="AD32" s="6">
        <f t="shared" si="79"/>
        <v>28742</v>
      </c>
      <c r="AE32" s="6">
        <f t="shared" si="79"/>
        <v>28404</v>
      </c>
      <c r="AF32" s="6">
        <f t="shared" si="79"/>
        <v>25765</v>
      </c>
      <c r="AG32" s="6">
        <f t="shared" si="79"/>
        <v>37515</v>
      </c>
      <c r="AH32" s="6">
        <f>+AH29-SUM(AH30:AH31)</f>
        <v>55410</v>
      </c>
      <c r="AI32" s="6">
        <f>+AI29-SUM(AI30:AI31)</f>
        <v>71294</v>
      </c>
      <c r="AJ32" s="6">
        <f>+AJ29-SUM(AJ30:AJ30)</f>
        <v>111500.20176962941</v>
      </c>
      <c r="AK32" s="6">
        <f>+AK29-SUM(AK30:AK31)</f>
        <v>137081.71195098263</v>
      </c>
      <c r="AL32" s="6">
        <f>+AL29-SUM(AL30:AL31)</f>
        <v>190998.07290201986</v>
      </c>
      <c r="AM32" s="6">
        <f t="shared" ref="AL32:AS32" si="80">+AM29-SUM(AM30:AM31)</f>
        <v>255456.50203394057</v>
      </c>
      <c r="AN32" s="6">
        <f t="shared" si="80"/>
        <v>340724.8288332157</v>
      </c>
      <c r="AO32" s="6">
        <f t="shared" si="80"/>
        <v>453514.41527216812</v>
      </c>
      <c r="AP32" s="6">
        <f t="shared" si="80"/>
        <v>602701.03886920784</v>
      </c>
      <c r="AQ32" s="6">
        <f t="shared" si="80"/>
        <v>800022.91671254067</v>
      </c>
      <c r="AR32" s="6">
        <f t="shared" si="80"/>
        <v>1061003.8422316015</v>
      </c>
      <c r="AS32" s="6">
        <f t="shared" si="80"/>
        <v>1387891.8852638388</v>
      </c>
    </row>
    <row r="33" spans="2:105" s="6" customFormat="1">
      <c r="B33" s="6" t="s">
        <v>29</v>
      </c>
      <c r="C33" s="6">
        <v>755</v>
      </c>
      <c r="D33" s="6">
        <v>1070</v>
      </c>
      <c r="E33" s="6">
        <v>1801</v>
      </c>
      <c r="F33" s="6">
        <v>1663</v>
      </c>
      <c r="G33" s="6">
        <v>1230</v>
      </c>
      <c r="H33" s="6">
        <v>3784</v>
      </c>
      <c r="I33" s="6">
        <v>-185</v>
      </c>
      <c r="J33" s="6">
        <f t="shared" si="45"/>
        <v>-1192</v>
      </c>
      <c r="K33" s="6">
        <v>2861</v>
      </c>
      <c r="L33" s="6">
        <v>3867</v>
      </c>
      <c r="M33" s="6">
        <v>5840</v>
      </c>
      <c r="N33" s="6">
        <f t="shared" si="46"/>
        <v>3681</v>
      </c>
      <c r="O33" s="6">
        <v>2860</v>
      </c>
      <c r="P33" s="6">
        <v>3055</v>
      </c>
      <c r="Q33" s="6">
        <v>4681</v>
      </c>
      <c r="R33" s="6">
        <f>+AI33-SUM(O33:Q33)</f>
        <v>5773</v>
      </c>
      <c r="S33" s="6">
        <v>5242</v>
      </c>
      <c r="T33" s="6">
        <v>6077</v>
      </c>
      <c r="U33" s="6">
        <v>6640</v>
      </c>
      <c r="V33" s="6">
        <f t="shared" ref="V33" si="81">+V32*(U33/U32)</f>
        <v>7606.8207965240745</v>
      </c>
      <c r="Z33" s="6">
        <v>4493</v>
      </c>
      <c r="AA33" s="6">
        <v>5312</v>
      </c>
      <c r="AB33" s="6">
        <v>5739</v>
      </c>
      <c r="AC33" s="6">
        <v>8188</v>
      </c>
      <c r="AD33" s="6">
        <v>4802</v>
      </c>
      <c r="AE33" s="6">
        <v>5208</v>
      </c>
      <c r="AF33" s="6">
        <v>5289</v>
      </c>
      <c r="AG33" s="6">
        <v>3637</v>
      </c>
      <c r="AH33" s="6">
        <v>16249</v>
      </c>
      <c r="AI33" s="6">
        <v>16369</v>
      </c>
      <c r="AJ33" s="6">
        <f t="shared" ref="AJ33" si="82">SUM(S33:V33)</f>
        <v>25565.820796524073</v>
      </c>
      <c r="AK33" s="6">
        <f>+AK32*(AJ33/AJ32)</f>
        <v>31431.391392998754</v>
      </c>
      <c r="AL33" s="6">
        <f>+AL32*(AK33/AK32)</f>
        <v>43793.844556293217</v>
      </c>
      <c r="AM33" s="6">
        <f t="shared" ref="AM33:AQ33" si="83">+AM32*(AL33/AL32)</f>
        <v>58573.48281575508</v>
      </c>
      <c r="AN33" s="6">
        <f t="shared" si="83"/>
        <v>78124.611226031178</v>
      </c>
      <c r="AO33" s="6">
        <f t="shared" si="83"/>
        <v>103986.07433414321</v>
      </c>
      <c r="AP33" s="6">
        <f t="shared" si="83"/>
        <v>138192.99435389956</v>
      </c>
      <c r="AQ33" s="6">
        <f t="shared" si="83"/>
        <v>183436.82071574873</v>
      </c>
      <c r="AR33" s="6">
        <f t="shared" ref="AR33:AS33" si="84">+AR32*(AQ33/AQ32)</f>
        <v>243276.99559647875</v>
      </c>
      <c r="AS33" s="6">
        <f t="shared" si="84"/>
        <v>318228.97770997632</v>
      </c>
    </row>
    <row r="34" spans="2:105" s="7" customFormat="1">
      <c r="B34" s="7" t="s">
        <v>30</v>
      </c>
      <c r="C34" s="7">
        <f t="shared" ref="C34:I34" si="85">+C32-C33</f>
        <v>6606</v>
      </c>
      <c r="D34" s="7">
        <f t="shared" si="85"/>
        <v>4918</v>
      </c>
      <c r="E34" s="7">
        <f t="shared" si="85"/>
        <v>5905</v>
      </c>
      <c r="F34" s="7">
        <f t="shared" si="85"/>
        <v>3047</v>
      </c>
      <c r="G34" s="7">
        <f t="shared" si="85"/>
        <v>8096</v>
      </c>
      <c r="H34" s="7">
        <f t="shared" si="85"/>
        <v>9523</v>
      </c>
      <c r="I34" s="7">
        <f t="shared" si="85"/>
        <v>10081</v>
      </c>
      <c r="J34" s="7">
        <f t="shared" si="45"/>
        <v>6178</v>
      </c>
      <c r="K34" s="7">
        <f>+K32-K33</f>
        <v>14955</v>
      </c>
      <c r="L34" s="7">
        <f>+L32-L33</f>
        <v>12835</v>
      </c>
      <c r="M34" s="7">
        <f>+M32-M33</f>
        <v>7723</v>
      </c>
      <c r="N34" s="7">
        <f t="shared" si="46"/>
        <v>3648</v>
      </c>
      <c r="O34" s="7">
        <f t="shared" ref="O34:V34" si="86">+O32-O33</f>
        <v>9934</v>
      </c>
      <c r="P34" s="7">
        <f t="shared" si="86"/>
        <v>13630</v>
      </c>
      <c r="Q34" s="7">
        <f t="shared" si="86"/>
        <v>13607</v>
      </c>
      <c r="R34" s="7">
        <f t="shared" si="86"/>
        <v>17754</v>
      </c>
      <c r="S34" s="7">
        <f t="shared" si="86"/>
        <v>15746</v>
      </c>
      <c r="T34" s="7">
        <f t="shared" si="86"/>
        <v>16181</v>
      </c>
      <c r="U34" s="7">
        <f t="shared" si="86"/>
        <v>19529</v>
      </c>
      <c r="V34" s="7">
        <f t="shared" si="86"/>
        <v>22372.530622788952</v>
      </c>
      <c r="Z34" s="7">
        <f t="shared" ref="Z34:AH34" si="87">+Z32-Z33</f>
        <v>7530</v>
      </c>
      <c r="AA34" s="7">
        <f t="shared" si="87"/>
        <v>8986</v>
      </c>
      <c r="AB34" s="7">
        <f t="shared" si="87"/>
        <v>10106</v>
      </c>
      <c r="AC34" s="7">
        <f t="shared" si="87"/>
        <v>13769</v>
      </c>
      <c r="AD34" s="7">
        <f t="shared" si="87"/>
        <v>23940</v>
      </c>
      <c r="AE34" s="7">
        <f t="shared" si="87"/>
        <v>23196</v>
      </c>
      <c r="AF34" s="7">
        <f t="shared" si="87"/>
        <v>20476</v>
      </c>
      <c r="AG34" s="7">
        <f t="shared" si="87"/>
        <v>33878</v>
      </c>
      <c r="AH34" s="7">
        <f t="shared" si="87"/>
        <v>39161</v>
      </c>
      <c r="AI34" s="7">
        <f t="shared" ref="AI34" si="88">+AI32-AI33</f>
        <v>54925</v>
      </c>
      <c r="AJ34" s="7">
        <f t="shared" ref="AJ34:AQ34" si="89">+AJ32-AJ33</f>
        <v>85934.380973105333</v>
      </c>
      <c r="AK34" s="7">
        <f t="shared" si="89"/>
        <v>105650.32055798388</v>
      </c>
      <c r="AL34" s="7">
        <f>+AL32-AL33</f>
        <v>147204.22834572665</v>
      </c>
      <c r="AM34" s="7">
        <f>+AM32-AM33</f>
        <v>196883.01921818551</v>
      </c>
      <c r="AN34" s="7">
        <f t="shared" si="89"/>
        <v>262600.21760718455</v>
      </c>
      <c r="AO34" s="7">
        <f t="shared" si="89"/>
        <v>349528.34093802492</v>
      </c>
      <c r="AP34" s="7">
        <f t="shared" si="89"/>
        <v>464508.04451530828</v>
      </c>
      <c r="AQ34" s="7">
        <f t="shared" si="89"/>
        <v>616586.09599679196</v>
      </c>
      <c r="AR34" s="7">
        <f t="shared" ref="AR34:AS34" si="90">+AR32-AR33</f>
        <v>817726.84663512278</v>
      </c>
      <c r="AS34" s="7">
        <f t="shared" si="90"/>
        <v>1069662.9075538625</v>
      </c>
      <c r="AT34" s="7">
        <f>+AS34*(1+$AW$38)</f>
        <v>1080359.5366294011</v>
      </c>
      <c r="AU34" s="7">
        <f t="shared" ref="AU34:DA34" si="91">+AT34*(1+$AW$38)</f>
        <v>1091163.1319956952</v>
      </c>
      <c r="AV34" s="7">
        <f t="shared" si="91"/>
        <v>1102074.763315652</v>
      </c>
      <c r="AW34" s="7">
        <f t="shared" si="91"/>
        <v>1113095.5109488086</v>
      </c>
      <c r="AX34" s="7">
        <f t="shared" si="91"/>
        <v>1124226.4660582966</v>
      </c>
      <c r="AY34" s="7">
        <f t="shared" si="91"/>
        <v>1135468.7307188795</v>
      </c>
      <c r="AZ34" s="7">
        <f t="shared" si="91"/>
        <v>1146823.4180260682</v>
      </c>
      <c r="BA34" s="7">
        <f t="shared" si="91"/>
        <v>1158291.6522063289</v>
      </c>
      <c r="BB34" s="7">
        <f t="shared" si="91"/>
        <v>1169874.5687283922</v>
      </c>
      <c r="BC34" s="7">
        <f t="shared" si="91"/>
        <v>1181573.3144156763</v>
      </c>
      <c r="BD34" s="7">
        <f t="shared" si="91"/>
        <v>1193389.0475598332</v>
      </c>
      <c r="BE34" s="7">
        <f t="shared" si="91"/>
        <v>1205322.9380354316</v>
      </c>
      <c r="BF34" s="7">
        <f t="shared" si="91"/>
        <v>1217376.1674157858</v>
      </c>
      <c r="BG34" s="7">
        <f t="shared" si="91"/>
        <v>1229549.9290899436</v>
      </c>
      <c r="BH34" s="7">
        <f t="shared" si="91"/>
        <v>1241845.428380843</v>
      </c>
      <c r="BI34" s="7">
        <f t="shared" si="91"/>
        <v>1254263.8826646514</v>
      </c>
      <c r="BJ34" s="7">
        <f t="shared" si="91"/>
        <v>1266806.521491298</v>
      </c>
      <c r="BK34" s="7">
        <f t="shared" si="91"/>
        <v>1279474.5867062111</v>
      </c>
      <c r="BL34" s="7">
        <f t="shared" si="91"/>
        <v>1292269.3325732732</v>
      </c>
      <c r="BM34" s="7">
        <f t="shared" si="91"/>
        <v>1305192.0258990061</v>
      </c>
      <c r="BN34" s="7">
        <f t="shared" si="91"/>
        <v>1318243.9461579961</v>
      </c>
      <c r="BO34" s="7">
        <f t="shared" si="91"/>
        <v>1331426.3856195761</v>
      </c>
      <c r="BP34" s="7">
        <f t="shared" si="91"/>
        <v>1344740.6494757719</v>
      </c>
      <c r="BQ34" s="7">
        <f t="shared" si="91"/>
        <v>1358188.0559705296</v>
      </c>
      <c r="BR34" s="7">
        <f t="shared" si="91"/>
        <v>1371769.9365302348</v>
      </c>
      <c r="BS34" s="7">
        <f t="shared" si="91"/>
        <v>1385487.6358955372</v>
      </c>
      <c r="BT34" s="7">
        <f t="shared" si="91"/>
        <v>1399342.5122544926</v>
      </c>
      <c r="BU34" s="7">
        <f t="shared" si="91"/>
        <v>1413335.9373770375</v>
      </c>
      <c r="BV34" s="7">
        <f t="shared" si="91"/>
        <v>1427469.2967508079</v>
      </c>
      <c r="BW34" s="7">
        <f t="shared" si="91"/>
        <v>1441743.9897183159</v>
      </c>
      <c r="BX34" s="7">
        <f t="shared" si="91"/>
        <v>1456161.429615499</v>
      </c>
      <c r="BY34" s="7">
        <f t="shared" si="91"/>
        <v>1470723.043911654</v>
      </c>
      <c r="BZ34" s="7">
        <f t="shared" si="91"/>
        <v>1485430.2743507705</v>
      </c>
      <c r="CA34" s="7">
        <f t="shared" si="91"/>
        <v>1500284.5770942783</v>
      </c>
      <c r="CB34" s="7">
        <f t="shared" si="91"/>
        <v>1515287.422865221</v>
      </c>
      <c r="CC34" s="7">
        <f t="shared" si="91"/>
        <v>1530440.2970938734</v>
      </c>
      <c r="CD34" s="7">
        <f t="shared" si="91"/>
        <v>1545744.7000648121</v>
      </c>
      <c r="CE34" s="7">
        <f t="shared" si="91"/>
        <v>1561202.1470654602</v>
      </c>
      <c r="CF34" s="7">
        <f t="shared" si="91"/>
        <v>1576814.1685361147</v>
      </c>
      <c r="CG34" s="7">
        <f t="shared" si="91"/>
        <v>1592582.310221476</v>
      </c>
      <c r="CH34" s="7">
        <f t="shared" si="91"/>
        <v>1608508.1333236909</v>
      </c>
      <c r="CI34" s="7">
        <f t="shared" si="91"/>
        <v>1624593.2146569279</v>
      </c>
      <c r="CJ34" s="7">
        <f t="shared" si="91"/>
        <v>1640839.1468034971</v>
      </c>
      <c r="CK34" s="7">
        <f t="shared" si="91"/>
        <v>1657247.5382715322</v>
      </c>
      <c r="CL34" s="7">
        <f t="shared" si="91"/>
        <v>1673820.0136542474</v>
      </c>
      <c r="CM34" s="7">
        <f t="shared" si="91"/>
        <v>1690558.2137907899</v>
      </c>
      <c r="CN34" s="7">
        <f t="shared" si="91"/>
        <v>1707463.7959286978</v>
      </c>
      <c r="CO34" s="7">
        <f t="shared" si="91"/>
        <v>1724538.4338879848</v>
      </c>
      <c r="CP34" s="7">
        <f t="shared" si="91"/>
        <v>1741783.8182268648</v>
      </c>
      <c r="CQ34" s="7">
        <f t="shared" si="91"/>
        <v>1759201.6564091335</v>
      </c>
      <c r="CR34" s="7">
        <f t="shared" si="91"/>
        <v>1776793.6729732249</v>
      </c>
      <c r="CS34" s="7">
        <f t="shared" si="91"/>
        <v>1794561.6097029571</v>
      </c>
      <c r="CT34" s="7">
        <f t="shared" si="91"/>
        <v>1812507.2257999866</v>
      </c>
      <c r="CU34" s="7">
        <f t="shared" si="91"/>
        <v>1830632.2980579864</v>
      </c>
      <c r="CV34" s="7">
        <f t="shared" si="91"/>
        <v>1848938.6210385663</v>
      </c>
      <c r="CW34" s="7">
        <f t="shared" si="91"/>
        <v>1867428.0072489521</v>
      </c>
      <c r="CX34" s="7">
        <f t="shared" si="91"/>
        <v>1886102.2873214416</v>
      </c>
      <c r="CY34" s="7">
        <f t="shared" si="91"/>
        <v>1904963.310194656</v>
      </c>
      <c r="CZ34" s="7">
        <f t="shared" si="91"/>
        <v>1924012.9432966027</v>
      </c>
      <c r="DA34" s="7">
        <f t="shared" si="91"/>
        <v>1943253.0727295687</v>
      </c>
    </row>
    <row r="35" spans="2:105" s="6" customFormat="1">
      <c r="B35" s="6" t="s">
        <v>31</v>
      </c>
      <c r="C35" s="6">
        <v>29637</v>
      </c>
      <c r="D35" s="6">
        <v>29667</v>
      </c>
      <c r="E35" s="6">
        <v>29696</v>
      </c>
      <c r="F35" s="6">
        <v>29709</v>
      </c>
      <c r="G35" s="6">
        <v>9742</v>
      </c>
      <c r="H35" s="6">
        <v>29793</v>
      </c>
      <c r="I35" s="6">
        <v>29854</v>
      </c>
      <c r="J35" s="6">
        <v>29845</v>
      </c>
      <c r="K35" s="6">
        <v>29844</v>
      </c>
      <c r="L35" s="6">
        <v>29873</v>
      </c>
      <c r="M35" s="6">
        <v>29963</v>
      </c>
      <c r="N35" s="6">
        <f>+N34/N36</f>
        <v>30578.697475722736</v>
      </c>
      <c r="O35" s="6">
        <v>29974</v>
      </c>
      <c r="P35" s="6">
        <v>29914</v>
      </c>
      <c r="Q35" s="6">
        <v>29967</v>
      </c>
      <c r="R35" s="6">
        <v>30003</v>
      </c>
      <c r="S35" s="6">
        <v>30031</v>
      </c>
      <c r="T35" s="6">
        <v>30049</v>
      </c>
      <c r="U35" s="6">
        <v>29818</v>
      </c>
      <c r="V35" s="6">
        <f>+U35</f>
        <v>29818</v>
      </c>
      <c r="Z35" s="6">
        <v>25648</v>
      </c>
      <c r="AA35" s="6">
        <v>26204</v>
      </c>
      <c r="AB35" s="6">
        <v>27816</v>
      </c>
      <c r="AC35" s="6">
        <v>28983</v>
      </c>
      <c r="AD35" s="6">
        <v>29424</v>
      </c>
      <c r="AE35" s="6">
        <v>29587</v>
      </c>
      <c r="AF35" s="6">
        <v>29670</v>
      </c>
      <c r="AG35" s="6">
        <v>29804</v>
      </c>
      <c r="AH35" s="6">
        <v>29944</v>
      </c>
      <c r="AI35" s="6">
        <v>29963</v>
      </c>
      <c r="AJ35" s="6">
        <f t="shared" ref="AJ35:AQ35" si="92">+AI35</f>
        <v>29963</v>
      </c>
      <c r="AK35" s="6">
        <f t="shared" si="92"/>
        <v>29963</v>
      </c>
      <c r="AL35" s="6">
        <f t="shared" si="92"/>
        <v>29963</v>
      </c>
      <c r="AM35" s="6">
        <f t="shared" si="92"/>
        <v>29963</v>
      </c>
      <c r="AN35" s="6">
        <f t="shared" si="92"/>
        <v>29963</v>
      </c>
      <c r="AO35" s="6">
        <f t="shared" si="92"/>
        <v>29963</v>
      </c>
      <c r="AP35" s="6">
        <f t="shared" si="92"/>
        <v>29963</v>
      </c>
      <c r="AQ35" s="6">
        <f t="shared" si="92"/>
        <v>29963</v>
      </c>
      <c r="AR35" s="6">
        <f t="shared" ref="AR35:AS35" si="93">+AQ35</f>
        <v>29963</v>
      </c>
      <c r="AS35" s="6">
        <f t="shared" si="93"/>
        <v>29963</v>
      </c>
    </row>
    <row r="36" spans="2:105" s="13" customFormat="1">
      <c r="B36" s="13" t="s">
        <v>32</v>
      </c>
      <c r="C36" s="13">
        <f t="shared" ref="C36:P36" si="94">+C34/C35</f>
        <v>0.22289705435772852</v>
      </c>
      <c r="D36" s="13">
        <f t="shared" si="94"/>
        <v>0.16577341827619915</v>
      </c>
      <c r="E36" s="13">
        <f t="shared" si="94"/>
        <v>0.19884832974137931</v>
      </c>
      <c r="F36" s="13">
        <f t="shared" si="94"/>
        <v>0.10256151334612407</v>
      </c>
      <c r="G36" s="13">
        <f t="shared" si="94"/>
        <v>0.83104085403407923</v>
      </c>
      <c r="H36" s="13">
        <f t="shared" si="94"/>
        <v>0.31963884133856946</v>
      </c>
      <c r="I36" s="13">
        <f t="shared" si="94"/>
        <v>0.33767669324043681</v>
      </c>
      <c r="J36" s="13">
        <f t="shared" si="94"/>
        <v>0.20700284804824928</v>
      </c>
      <c r="K36" s="13">
        <f t="shared" si="94"/>
        <v>0.50110574989947732</v>
      </c>
      <c r="L36" s="13">
        <f t="shared" si="94"/>
        <v>0.42965219428915741</v>
      </c>
      <c r="M36" s="13">
        <f t="shared" si="94"/>
        <v>0.25775122651269899</v>
      </c>
      <c r="N36" s="13">
        <f t="shared" si="46"/>
        <v>0.11929873739377705</v>
      </c>
      <c r="O36" s="13">
        <f t="shared" si="94"/>
        <v>0.33142056448922397</v>
      </c>
      <c r="P36" s="13">
        <f t="shared" si="94"/>
        <v>0.45563949989971253</v>
      </c>
      <c r="Q36" s="13">
        <f t="shared" ref="Q36" si="95">+Q34/Q35</f>
        <v>0.45406613942002871</v>
      </c>
      <c r="R36" s="13">
        <f>+R34/R35</f>
        <v>0.59174082591740829</v>
      </c>
      <c r="S36" s="13">
        <f t="shared" ref="S36" si="96">+S34/S35</f>
        <v>0.52432486430688285</v>
      </c>
      <c r="T36" s="13">
        <f>+T34/T35</f>
        <v>0.53848713767513057</v>
      </c>
      <c r="U36" s="13">
        <f>+U34/U35</f>
        <v>0.65493996914615338</v>
      </c>
      <c r="V36" s="13">
        <f>+V34/V35</f>
        <v>0.75030285809876429</v>
      </c>
      <c r="Z36" s="13">
        <f t="shared" ref="Z36:AH36" si="97">+Z34/Z35</f>
        <v>0.29359014348097318</v>
      </c>
      <c r="AA36" s="13">
        <f t="shared" si="97"/>
        <v>0.34292474431384523</v>
      </c>
      <c r="AB36" s="13">
        <f t="shared" si="97"/>
        <v>0.36331607707794078</v>
      </c>
      <c r="AC36" s="13">
        <f t="shared" si="97"/>
        <v>0.47507159369285445</v>
      </c>
      <c r="AD36" s="13">
        <f t="shared" si="97"/>
        <v>0.8136215334420881</v>
      </c>
      <c r="AE36" s="13">
        <f t="shared" si="97"/>
        <v>0.78399296988542266</v>
      </c>
      <c r="AF36" s="13">
        <f t="shared" si="97"/>
        <v>0.69012470508931578</v>
      </c>
      <c r="AG36" s="13">
        <f t="shared" si="97"/>
        <v>1.1366930613340491</v>
      </c>
      <c r="AH36" s="13">
        <f t="shared" si="97"/>
        <v>1.3078079080951108</v>
      </c>
      <c r="AI36" s="13">
        <f t="shared" ref="AI36" si="98">+AI34/AI35</f>
        <v>1.8330941494509896</v>
      </c>
      <c r="AJ36" s="13">
        <f t="shared" ref="AJ36" si="99">SUM(S36:V36)</f>
        <v>2.4680548292269311</v>
      </c>
      <c r="AK36" s="13">
        <f t="shared" ref="AK36:AQ36" si="100">+AK34/AK35</f>
        <v>3.5260261174776852</v>
      </c>
      <c r="AL36" s="13">
        <f t="shared" si="100"/>
        <v>4.9128668139280665</v>
      </c>
      <c r="AM36" s="13">
        <f t="shared" si="100"/>
        <v>6.5708713819772893</v>
      </c>
      <c r="AN36" s="13">
        <f t="shared" si="100"/>
        <v>8.7641497048754982</v>
      </c>
      <c r="AO36" s="13">
        <f t="shared" si="100"/>
        <v>11.665331940660979</v>
      </c>
      <c r="AP36" s="13">
        <f t="shared" si="100"/>
        <v>15.50272150703562</v>
      </c>
      <c r="AQ36" s="13">
        <f t="shared" si="100"/>
        <v>20.5782497078661</v>
      </c>
      <c r="AR36" s="13">
        <f t="shared" ref="AR36:AS36" si="101">+AR34/AR35</f>
        <v>27.29122072673373</v>
      </c>
      <c r="AS36" s="13">
        <f t="shared" si="101"/>
        <v>35.699459585283932</v>
      </c>
    </row>
    <row r="37" spans="2:105" s="14" customFormat="1">
      <c r="N37" s="6"/>
      <c r="AI37" s="6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V37" s="14" t="s">
        <v>142</v>
      </c>
      <c r="AW37" s="16">
        <v>0.01</v>
      </c>
    </row>
    <row r="38" spans="2:105" s="6" customFormat="1">
      <c r="B38" s="6" t="s">
        <v>94</v>
      </c>
      <c r="C38" s="6">
        <f t="shared" ref="C38:V38" si="102">+C29+C27</f>
        <v>13047</v>
      </c>
      <c r="D38" s="6">
        <f t="shared" si="102"/>
        <v>11622</v>
      </c>
      <c r="E38" s="6">
        <f t="shared" si="102"/>
        <v>13357</v>
      </c>
      <c r="F38" s="6">
        <f t="shared" si="102"/>
        <v>10359</v>
      </c>
      <c r="G38" s="6">
        <f t="shared" si="102"/>
        <v>15026</v>
      </c>
      <c r="H38" s="6">
        <f t="shared" si="102"/>
        <v>18919</v>
      </c>
      <c r="I38" s="6">
        <f t="shared" si="102"/>
        <v>16635</v>
      </c>
      <c r="J38" s="6">
        <f t="shared" si="102"/>
        <v>11235</v>
      </c>
      <c r="K38" s="6">
        <f t="shared" si="102"/>
        <v>21598</v>
      </c>
      <c r="L38" s="6">
        <f t="shared" si="102"/>
        <v>20426</v>
      </c>
      <c r="M38" s="6">
        <f t="shared" si="102"/>
        <v>19326</v>
      </c>
      <c r="N38" s="6">
        <f t="shared" si="102"/>
        <v>16852</v>
      </c>
      <c r="O38" s="6">
        <f t="shared" si="102"/>
        <v>19278</v>
      </c>
      <c r="P38" s="6">
        <f t="shared" si="102"/>
        <v>25244</v>
      </c>
      <c r="Q38" s="6">
        <f t="shared" si="102"/>
        <v>27156</v>
      </c>
      <c r="R38" s="6">
        <f t="shared" si="102"/>
        <v>32318</v>
      </c>
      <c r="S38" s="6">
        <f t="shared" si="102"/>
        <v>28738</v>
      </c>
      <c r="T38" s="6">
        <f t="shared" si="102"/>
        <v>29674</v>
      </c>
      <c r="U38" s="6">
        <f t="shared" si="102"/>
        <v>34054</v>
      </c>
      <c r="V38" s="6">
        <f t="shared" si="102"/>
        <v>39758.601769629444</v>
      </c>
      <c r="Z38" s="6">
        <f t="shared" ref="Z38:AS38" si="103">+Z29+Z27</f>
        <v>17910</v>
      </c>
      <c r="AA38" s="6">
        <f t="shared" si="103"/>
        <v>20970</v>
      </c>
      <c r="AB38" s="6">
        <f t="shared" si="103"/>
        <v>22400</v>
      </c>
      <c r="AC38" s="6">
        <f t="shared" si="103"/>
        <v>29615</v>
      </c>
      <c r="AD38" s="6">
        <f t="shared" si="103"/>
        <v>37249</v>
      </c>
      <c r="AE38" s="6">
        <f t="shared" si="103"/>
        <v>42840</v>
      </c>
      <c r="AF38" s="6">
        <f t="shared" si="103"/>
        <v>48385</v>
      </c>
      <c r="AG38" s="6">
        <f t="shared" si="103"/>
        <v>61815</v>
      </c>
      <c r="AH38" s="6">
        <f t="shared" si="103"/>
        <v>78202</v>
      </c>
      <c r="AI38" s="6">
        <f t="shared" si="103"/>
        <v>103996</v>
      </c>
      <c r="AJ38" s="6">
        <f t="shared" si="103"/>
        <v>132224.6017696294</v>
      </c>
      <c r="AK38" s="6">
        <f t="shared" si="103"/>
        <v>159991.76814125158</v>
      </c>
      <c r="AL38" s="6">
        <f t="shared" si="103"/>
        <v>217501.05088670898</v>
      </c>
      <c r="AM38" s="6">
        <f t="shared" si="103"/>
        <v>287645.1397976724</v>
      </c>
      <c r="AN38" s="6">
        <f t="shared" si="103"/>
        <v>380410.69738242193</v>
      </c>
      <c r="AO38" s="6">
        <f t="shared" si="103"/>
        <v>503093.14728825289</v>
      </c>
      <c r="AP38" s="6">
        <f t="shared" si="103"/>
        <v>665340.68728871434</v>
      </c>
      <c r="AQ38" s="6">
        <f t="shared" si="103"/>
        <v>879913.05893932446</v>
      </c>
      <c r="AR38" s="6">
        <f t="shared" si="103"/>
        <v>1163685.0204472565</v>
      </c>
      <c r="AS38" s="6">
        <f t="shared" si="103"/>
        <v>1518613.7284840618</v>
      </c>
      <c r="AV38" s="6" t="s">
        <v>123</v>
      </c>
      <c r="AW38" s="16">
        <v>0.01</v>
      </c>
    </row>
    <row r="39" spans="2:105" s="14" customFormat="1">
      <c r="B39" s="14" t="s">
        <v>5</v>
      </c>
      <c r="N39" s="6"/>
      <c r="AI39" s="6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V39" s="14" t="s">
        <v>37</v>
      </c>
      <c r="AW39" s="16">
        <v>0.08</v>
      </c>
    </row>
    <row r="40" spans="2:105" s="6" customFormat="1">
      <c r="AJ40" s="9"/>
      <c r="AK40" s="9"/>
      <c r="AL40" s="9"/>
      <c r="AM40" s="9"/>
      <c r="AN40" s="9"/>
      <c r="AO40" s="9"/>
      <c r="AP40" s="9"/>
      <c r="AQ40" s="9"/>
      <c r="AR40" s="9"/>
      <c r="AS40" s="9"/>
      <c r="AV40" s="7" t="s">
        <v>38</v>
      </c>
      <c r="AW40" s="17">
        <f>NPV(AW39,AJ34:DA34)+(Main!J9*1000)-(Main!J10*1000)</f>
        <v>8737480.2679880168</v>
      </c>
    </row>
    <row r="41" spans="2:105" s="6" customFormat="1">
      <c r="B41" s="18" t="s">
        <v>119</v>
      </c>
      <c r="AM41" s="9"/>
      <c r="AV41" s="6" t="s">
        <v>39</v>
      </c>
      <c r="AW41" s="6">
        <f>+Main!J7*1000</f>
        <v>29414.92</v>
      </c>
    </row>
    <row r="42" spans="2:105" s="9" customFormat="1">
      <c r="B42" s="9" t="s">
        <v>18</v>
      </c>
      <c r="G42" s="9">
        <f t="shared" ref="G42:V49" si="104">+IFERROR(G20/C20-1,0)</f>
        <v>0.1346117779444862</v>
      </c>
      <c r="H42" s="9">
        <f t="shared" si="104"/>
        <v>0.31486288761976677</v>
      </c>
      <c r="I42" s="9">
        <f t="shared" si="104"/>
        <v>0.31678551837630287</v>
      </c>
      <c r="J42" s="9">
        <f t="shared" si="104"/>
        <v>0.1723849372384938</v>
      </c>
      <c r="K42" s="9">
        <f t="shared" si="104"/>
        <v>0.30608702838960289</v>
      </c>
      <c r="L42" s="9">
        <f t="shared" si="104"/>
        <v>0.1894249407710531</v>
      </c>
      <c r="M42" s="9">
        <f t="shared" si="104"/>
        <v>0.13965840449906275</v>
      </c>
      <c r="N42" s="9">
        <f t="shared" si="104"/>
        <v>0.18151320485367584</v>
      </c>
      <c r="O42" s="9">
        <f t="shared" si="104"/>
        <v>0.10959944314370684</v>
      </c>
      <c r="P42" s="9">
        <f t="shared" si="104"/>
        <v>8.7792364569186709E-2</v>
      </c>
      <c r="Q42" s="9">
        <f t="shared" si="104"/>
        <v>0.22949221724694624</v>
      </c>
      <c r="R42" s="9">
        <f t="shared" si="104"/>
        <v>0.42382045550655478</v>
      </c>
      <c r="S42" s="9">
        <f t="shared" si="104"/>
        <v>0.37405189620758472</v>
      </c>
      <c r="T42" s="9">
        <f t="shared" si="104"/>
        <v>0.3312617911441571</v>
      </c>
      <c r="U42" s="9">
        <f t="shared" si="104"/>
        <v>0.31803879790897605</v>
      </c>
      <c r="V42" s="9">
        <f t="shared" si="104"/>
        <v>0.30765085571379824</v>
      </c>
      <c r="AA42" s="9">
        <f t="shared" ref="AA42:AH49" si="105">+IFERROR(AA20/Z20-1,0)</f>
        <v>0.25925435401629038</v>
      </c>
      <c r="AB42" s="9">
        <f t="shared" si="105"/>
        <v>0.22759781236853183</v>
      </c>
      <c r="AC42" s="9">
        <f t="shared" si="105"/>
        <v>0.16678803975325573</v>
      </c>
      <c r="AD42" s="9">
        <f t="shared" si="105"/>
        <v>0.21296007342817802</v>
      </c>
      <c r="AE42" s="9">
        <f t="shared" si="105"/>
        <v>8.7505296930806997E-2</v>
      </c>
      <c r="AF42" s="9">
        <f t="shared" si="105"/>
        <v>0.22868713295666443</v>
      </c>
      <c r="AG42" s="9">
        <f t="shared" si="105"/>
        <v>0.23322875491273187</v>
      </c>
      <c r="AH42" s="9">
        <f t="shared" si="105"/>
        <v>0.20015062039069464</v>
      </c>
      <c r="AI42" s="9">
        <f>+IFERROR(AI20/AH20-1,0)</f>
        <v>0.21379595335027091</v>
      </c>
      <c r="AV42" s="12" t="s">
        <v>124</v>
      </c>
      <c r="AW42" s="17">
        <f>AW40/AW41</f>
        <v>297.04246239622671</v>
      </c>
    </row>
    <row r="43" spans="2:105" s="9" customFormat="1">
      <c r="B43" s="9" t="s">
        <v>19</v>
      </c>
      <c r="G43" s="9">
        <f t="shared" si="104"/>
        <v>0.21226343679031046</v>
      </c>
      <c r="H43" s="9">
        <f t="shared" si="104"/>
        <v>0.47720026692370432</v>
      </c>
      <c r="I43" s="9">
        <f t="shared" si="104"/>
        <v>0.39819294251565163</v>
      </c>
      <c r="J43" s="9">
        <f t="shared" si="104"/>
        <v>0.27412873048290409</v>
      </c>
      <c r="K43" s="9">
        <f t="shared" si="104"/>
        <v>0.34382415386536791</v>
      </c>
      <c r="L43" s="9">
        <f t="shared" si="104"/>
        <v>0.13321286954775879</v>
      </c>
      <c r="M43" s="9">
        <f t="shared" si="104"/>
        <v>-0.20750012720704214</v>
      </c>
      <c r="N43" s="9">
        <f t="shared" si="104"/>
        <v>0.1301447776628748</v>
      </c>
      <c r="O43" s="9">
        <f t="shared" si="104"/>
        <v>4.7351301115241551E-2</v>
      </c>
      <c r="P43" s="9">
        <f t="shared" si="104"/>
        <v>0.28391726092926439</v>
      </c>
      <c r="Q43" s="9">
        <f t="shared" si="104"/>
        <v>1.0639486356340289</v>
      </c>
      <c r="R43" s="9">
        <f t="shared" si="104"/>
        <v>0.61682756096445068</v>
      </c>
      <c r="S43" s="9">
        <f t="shared" si="104"/>
        <v>0.66214117751453028</v>
      </c>
      <c r="T43" s="9">
        <f t="shared" si="104"/>
        <v>0.26249698140545763</v>
      </c>
      <c r="U43" s="9">
        <f t="shared" si="104"/>
        <v>0.24279848192621167</v>
      </c>
      <c r="V43" s="9">
        <f t="shared" si="104"/>
        <v>0.30983173143941234</v>
      </c>
      <c r="AA43" s="9">
        <f t="shared" si="105"/>
        <v>0</v>
      </c>
      <c r="AB43" s="9">
        <f t="shared" si="105"/>
        <v>0</v>
      </c>
      <c r="AC43" s="9">
        <f t="shared" si="105"/>
        <v>0</v>
      </c>
      <c r="AD43" s="9">
        <f t="shared" si="105"/>
        <v>1.0722477851795893</v>
      </c>
      <c r="AE43" s="9">
        <f t="shared" si="105"/>
        <v>0.14283820507721878</v>
      </c>
      <c r="AF43" s="9">
        <f t="shared" si="105"/>
        <v>0.62196960909407251</v>
      </c>
      <c r="AG43" s="9">
        <f t="shared" si="105"/>
        <v>0.33966244725738393</v>
      </c>
      <c r="AH43" s="9">
        <f t="shared" si="105"/>
        <v>8.8068864273321834E-2</v>
      </c>
      <c r="AI43" s="9">
        <f t="shared" ref="AI43:AS49" si="106">+IFERROR(AI21/AH21-1,0)</f>
        <v>0.45973825264629764</v>
      </c>
      <c r="AV43" s="9" t="s">
        <v>40</v>
      </c>
      <c r="AW43" s="10">
        <f>+Main!J6</f>
        <v>271.7</v>
      </c>
    </row>
    <row r="44" spans="2:105" s="9" customFormat="1">
      <c r="B44" s="9" t="s">
        <v>75</v>
      </c>
      <c r="G44" s="9">
        <f t="shared" si="104"/>
        <v>0.12637809840917491</v>
      </c>
      <c r="H44" s="9">
        <f t="shared" si="104"/>
        <v>0.31941244239631339</v>
      </c>
      <c r="I44" s="9">
        <f t="shared" si="104"/>
        <v>0.11374883454062967</v>
      </c>
      <c r="J44" s="9">
        <f t="shared" si="104"/>
        <v>0.12865953072942515</v>
      </c>
      <c r="K44" s="9">
        <f t="shared" si="104"/>
        <v>0.153780463771924</v>
      </c>
      <c r="L44" s="9">
        <f t="shared" si="104"/>
        <v>-1.9646365422396617E-3</v>
      </c>
      <c r="M44" s="9">
        <f t="shared" si="104"/>
        <v>0.11919634232725862</v>
      </c>
      <c r="N44" s="9">
        <f t="shared" si="104"/>
        <v>7.1787463886446412E-2</v>
      </c>
      <c r="O44" s="9">
        <f t="shared" si="104"/>
        <v>5.8756547483489019E-2</v>
      </c>
      <c r="P44" s="9">
        <f t="shared" si="104"/>
        <v>2.5043744531933587E-2</v>
      </c>
      <c r="Q44" s="9">
        <f t="shared" si="104"/>
        <v>0.16012658227848098</v>
      </c>
      <c r="R44" s="9">
        <f t="shared" si="104"/>
        <v>0.31210079109288014</v>
      </c>
      <c r="S44" s="9">
        <f t="shared" si="104"/>
        <v>0.24058937405893732</v>
      </c>
      <c r="T44" s="9">
        <f t="shared" si="104"/>
        <v>0.20521711298410317</v>
      </c>
      <c r="U44" s="9">
        <f t="shared" si="104"/>
        <v>0.1879680603084859</v>
      </c>
      <c r="V44" s="9">
        <f t="shared" si="104"/>
        <v>0.23944863433198327</v>
      </c>
      <c r="AA44" s="9">
        <f t="shared" si="105"/>
        <v>2.1530020488245372E-2</v>
      </c>
      <c r="AB44" s="9">
        <f t="shared" si="105"/>
        <v>6.3364721079647746E-2</v>
      </c>
      <c r="AC44" s="9">
        <f t="shared" si="105"/>
        <v>9.6128640388734476E-2</v>
      </c>
      <c r="AD44" s="9">
        <f t="shared" si="105"/>
        <v>8.1107092860476016E-2</v>
      </c>
      <c r="AE44" s="9">
        <f t="shared" si="105"/>
        <v>0.26356254552321356</v>
      </c>
      <c r="AF44" s="9">
        <f t="shared" si="105"/>
        <v>0.18390657358184415</v>
      </c>
      <c r="AG44" s="9">
        <f t="shared" si="105"/>
        <v>0.1721277478224803</v>
      </c>
      <c r="AH44" s="9">
        <f t="shared" si="105"/>
        <v>8.1525585402627776E-2</v>
      </c>
      <c r="AI44" s="9">
        <f t="shared" si="106"/>
        <v>0.13654921262642783</v>
      </c>
      <c r="AV44" s="12" t="s">
        <v>125</v>
      </c>
      <c r="AW44" s="19">
        <f>+AW42/AW43-1</f>
        <v>9.3273693029910731E-2</v>
      </c>
    </row>
    <row r="45" spans="2:105" s="9" customFormat="1">
      <c r="B45" s="12" t="s">
        <v>20</v>
      </c>
      <c r="G45" s="9">
        <f t="shared" si="104"/>
        <v>0.1536428526834952</v>
      </c>
      <c r="H45" s="9">
        <f t="shared" si="104"/>
        <v>0.36124953667476634</v>
      </c>
      <c r="I45" s="9">
        <f t="shared" si="104"/>
        <v>0.28296741854636598</v>
      </c>
      <c r="J45" s="9">
        <f t="shared" si="104"/>
        <v>0.18982438987703532</v>
      </c>
      <c r="K45" s="9">
        <f t="shared" si="104"/>
        <v>0.27516415325781085</v>
      </c>
      <c r="L45" s="9">
        <f t="shared" si="104"/>
        <v>0.11943120792678319</v>
      </c>
      <c r="M45" s="9">
        <f t="shared" si="104"/>
        <v>2.806776270550726E-2</v>
      </c>
      <c r="N45" s="9">
        <f t="shared" si="104"/>
        <v>0.13820675705571883</v>
      </c>
      <c r="O45" s="9">
        <f t="shared" si="104"/>
        <v>7.8016692601499571E-2</v>
      </c>
      <c r="P45" s="9">
        <f t="shared" si="104"/>
        <v>0.13212162162162167</v>
      </c>
      <c r="Q45" s="9">
        <f t="shared" si="104"/>
        <v>0.40873160646965823</v>
      </c>
      <c r="R45" s="9">
        <f t="shared" si="104"/>
        <v>0.45591992003109905</v>
      </c>
      <c r="S45" s="9">
        <f t="shared" si="104"/>
        <v>0.42669116199724422</v>
      </c>
      <c r="T45" s="9">
        <f t="shared" si="104"/>
        <v>0.27926519211716827</v>
      </c>
      <c r="U45" s="9">
        <f t="shared" si="104"/>
        <v>0.26363950276243098</v>
      </c>
      <c r="V45" s="9">
        <f t="shared" si="104"/>
        <v>0.29382337927514013</v>
      </c>
      <c r="AA45" s="9">
        <f t="shared" si="105"/>
        <v>0.1432227664875676</v>
      </c>
      <c r="AB45" s="9">
        <f t="shared" si="105"/>
        <v>0.15596969562187724</v>
      </c>
      <c r="AC45" s="9">
        <f t="shared" si="105"/>
        <v>0.32519334607343953</v>
      </c>
      <c r="AD45" s="9">
        <f t="shared" si="105"/>
        <v>0.29030041423096287</v>
      </c>
      <c r="AE45" s="9">
        <f t="shared" si="105"/>
        <v>0.14898101545916176</v>
      </c>
      <c r="AF45" s="9">
        <f t="shared" si="105"/>
        <v>0.30352981113845723</v>
      </c>
      <c r="AG45" s="9">
        <f t="shared" si="105"/>
        <v>0.24607363929565906</v>
      </c>
      <c r="AH45" s="9">
        <f t="shared" si="105"/>
        <v>0.13540800045014079</v>
      </c>
      <c r="AI45" s="9">
        <f t="shared" si="106"/>
        <v>0.26555210228600146</v>
      </c>
      <c r="AJ45" s="9">
        <f t="shared" si="106"/>
        <v>0.31090866358744274</v>
      </c>
      <c r="AK45" s="9">
        <f>+IFERROR(AK23/AJ23-1,0)</f>
        <v>0.21000000000000019</v>
      </c>
      <c r="AL45" s="9">
        <f>+IFERROR(AL23/AK23-1,0)</f>
        <v>0.2649999999999999</v>
      </c>
      <c r="AM45" s="9">
        <f>+IFERROR(AM23/AL23-1,0)</f>
        <v>0.32249999999999979</v>
      </c>
      <c r="AN45" s="9">
        <f>+IFERROR(AN23/AM23-1,0)</f>
        <v>0.32249999999999979</v>
      </c>
      <c r="AO45" s="9">
        <f>+IFERROR(AO23/AN23-1,0)</f>
        <v>0.32249999999999979</v>
      </c>
      <c r="AP45" s="9">
        <f>+IFERROR(AP23/AO23-1,0)</f>
        <v>0.32250000000000001</v>
      </c>
      <c r="AQ45" s="9">
        <f>+IFERROR(AQ23/AP23-1,0)</f>
        <v>0.32249999999999956</v>
      </c>
      <c r="AR45" s="9">
        <f t="shared" si="106"/>
        <v>0.32249999999999979</v>
      </c>
      <c r="AS45" s="9">
        <f t="shared" si="106"/>
        <v>0.30500410489119312</v>
      </c>
    </row>
    <row r="46" spans="2:105" s="9" customFormat="1">
      <c r="B46" s="9" t="s">
        <v>21</v>
      </c>
      <c r="G46" s="9">
        <f t="shared" si="104"/>
        <v>0.14861253854059608</v>
      </c>
      <c r="H46" s="9">
        <f t="shared" si="104"/>
        <v>0.26614962640688544</v>
      </c>
      <c r="I46" s="9">
        <f t="shared" si="104"/>
        <v>0.14169648902214904</v>
      </c>
      <c r="J46" s="9">
        <f t="shared" si="104"/>
        <v>0.16754276976010707</v>
      </c>
      <c r="K46" s="9">
        <f t="shared" si="104"/>
        <v>0.18817108088761625</v>
      </c>
      <c r="L46" s="9">
        <f t="shared" si="104"/>
        <v>6.125345484425182E-2</v>
      </c>
      <c r="M46" s="9">
        <f t="shared" si="104"/>
        <v>0.28820738732633</v>
      </c>
      <c r="N46" s="9">
        <f t="shared" si="104"/>
        <v>0.2053045186640472</v>
      </c>
      <c r="O46" s="9">
        <f t="shared" si="104"/>
        <v>0.18035996686497469</v>
      </c>
      <c r="P46" s="9">
        <f t="shared" si="104"/>
        <v>4.8708383191384597E-2</v>
      </c>
      <c r="Q46" s="9">
        <f t="shared" si="104"/>
        <v>3.4065500460344511E-2</v>
      </c>
      <c r="R46" s="9">
        <f t="shared" si="104"/>
        <v>0.16123336049986414</v>
      </c>
      <c r="S46" s="9">
        <f t="shared" si="104"/>
        <v>6.5139721832333741E-2</v>
      </c>
      <c r="T46" s="9">
        <f t="shared" si="104"/>
        <v>0.11698771729646285</v>
      </c>
      <c r="U46" s="9">
        <f t="shared" si="104"/>
        <v>0.12070719918595785</v>
      </c>
      <c r="V46" s="9">
        <f t="shared" si="104"/>
        <v>0.34642766076867759</v>
      </c>
      <c r="AA46" s="9">
        <f t="shared" si="105"/>
        <v>-7.6794733044733055E-2</v>
      </c>
      <c r="AB46" s="9">
        <f t="shared" si="105"/>
        <v>8.5283055731939728E-2</v>
      </c>
      <c r="AC46" s="9">
        <f t="shared" si="105"/>
        <v>0.13902515864800402</v>
      </c>
      <c r="AD46" s="9">
        <f t="shared" si="105"/>
        <v>0.13580685949106996</v>
      </c>
      <c r="AE46" s="9">
        <f t="shared" si="105"/>
        <v>0.11542877022090803</v>
      </c>
      <c r="AF46" s="9">
        <f t="shared" si="105"/>
        <v>0.28200729813180292</v>
      </c>
      <c r="AG46" s="9">
        <f t="shared" si="105"/>
        <v>0.18192434010461023</v>
      </c>
      <c r="AH46" s="9">
        <f t="shared" si="105"/>
        <v>0.18181256818228597</v>
      </c>
      <c r="AI46" s="9">
        <f t="shared" si="106"/>
        <v>0.10413473596210121</v>
      </c>
    </row>
    <row r="47" spans="2:105" s="9" customFormat="1">
      <c r="B47" s="9" t="s">
        <v>22</v>
      </c>
      <c r="G47" s="9">
        <f t="shared" si="104"/>
        <v>0.33461598869169151</v>
      </c>
      <c r="H47" s="9">
        <f t="shared" si="104"/>
        <v>0.57434672011099974</v>
      </c>
      <c r="I47" s="9">
        <f t="shared" si="104"/>
        <v>0.44380335124881443</v>
      </c>
      <c r="J47" s="9">
        <f t="shared" si="104"/>
        <v>-5.4362785576658412E-2</v>
      </c>
      <c r="K47" s="9">
        <f t="shared" si="104"/>
        <v>0.29608708443659904</v>
      </c>
      <c r="L47" s="9">
        <f t="shared" si="104"/>
        <v>0.14086368977673325</v>
      </c>
      <c r="M47" s="9">
        <f t="shared" si="104"/>
        <v>-0.11140307658619364</v>
      </c>
      <c r="N47" s="9">
        <f t="shared" si="104"/>
        <v>0.63214961432105943</v>
      </c>
      <c r="O47" s="9">
        <f t="shared" si="104"/>
        <v>5.1754664729650068E-2</v>
      </c>
      <c r="P47" s="9">
        <f t="shared" si="104"/>
        <v>0.27397965752542808</v>
      </c>
      <c r="Q47" s="9">
        <f t="shared" si="104"/>
        <v>1.0395515032035485</v>
      </c>
      <c r="R47" s="9">
        <f t="shared" si="104"/>
        <v>0.65459895670783363</v>
      </c>
      <c r="S47" s="9">
        <f t="shared" si="104"/>
        <v>0.71118401174083834</v>
      </c>
      <c r="T47" s="9">
        <f t="shared" si="104"/>
        <v>0.30466565605524676</v>
      </c>
      <c r="U47" s="9">
        <f t="shared" si="104"/>
        <v>0.28016069594635407</v>
      </c>
      <c r="V47" s="9">
        <f t="shared" si="104"/>
        <v>0.30607872848449347</v>
      </c>
      <c r="AA47" s="9">
        <f t="shared" si="105"/>
        <v>0</v>
      </c>
      <c r="AB47" s="9">
        <f t="shared" si="105"/>
        <v>0</v>
      </c>
      <c r="AC47" s="9">
        <f t="shared" si="105"/>
        <v>0</v>
      </c>
      <c r="AD47" s="9">
        <f t="shared" si="105"/>
        <v>1.3414686981009458</v>
      </c>
      <c r="AE47" s="9">
        <f t="shared" si="105"/>
        <v>3.9226570450550557E-2</v>
      </c>
      <c r="AF47" s="9">
        <f t="shared" si="105"/>
        <v>0.56951244844060644</v>
      </c>
      <c r="AG47" s="9">
        <f t="shared" si="105"/>
        <v>0.31266188954642571</v>
      </c>
      <c r="AH47" s="9">
        <f t="shared" si="105"/>
        <v>0.2097280636054617</v>
      </c>
      <c r="AI47" s="9">
        <f t="shared" si="106"/>
        <v>0.46529902725356886</v>
      </c>
    </row>
    <row r="48" spans="2:105" s="9" customFormat="1">
      <c r="B48" s="9" t="s">
        <v>23</v>
      </c>
      <c r="G48" s="9">
        <f t="shared" si="104"/>
        <v>-2.4158826343485873E-2</v>
      </c>
      <c r="H48" s="9">
        <f t="shared" si="104"/>
        <v>-1.4185456174405919E-3</v>
      </c>
      <c r="I48" s="9">
        <f t="shared" si="104"/>
        <v>0.27759296222370078</v>
      </c>
      <c r="J48" s="9">
        <f t="shared" si="104"/>
        <v>0.46304396590399288</v>
      </c>
      <c r="K48" s="9">
        <f t="shared" si="104"/>
        <v>0.12639921562219136</v>
      </c>
      <c r="L48" s="9">
        <f t="shared" si="104"/>
        <v>0.20119626168224292</v>
      </c>
      <c r="M48" s="9">
        <f t="shared" si="104"/>
        <v>-0.13088762874667281</v>
      </c>
      <c r="N48" s="9">
        <f t="shared" si="104"/>
        <v>-0.30917244815822764</v>
      </c>
      <c r="O48" s="9">
        <f t="shared" si="104"/>
        <v>0.31191063397649788</v>
      </c>
      <c r="P48" s="9">
        <f t="shared" si="104"/>
        <v>-0.13176895306859204</v>
      </c>
      <c r="Q48" s="9">
        <f t="shared" si="104"/>
        <v>0.1109187749667111</v>
      </c>
      <c r="R48" s="9">
        <f t="shared" si="104"/>
        <v>1.7588636741940888E-2</v>
      </c>
      <c r="S48" s="9">
        <f t="shared" si="104"/>
        <v>0.30736481256220283</v>
      </c>
      <c r="T48" s="9">
        <f t="shared" si="104"/>
        <v>0.58635027600544842</v>
      </c>
      <c r="U48" s="9">
        <f t="shared" si="104"/>
        <v>0.38121778736665468</v>
      </c>
      <c r="V48" s="9">
        <f t="shared" si="104"/>
        <v>0.33204289575822243</v>
      </c>
      <c r="AA48" s="9">
        <f t="shared" si="105"/>
        <v>0.37503304605297938</v>
      </c>
      <c r="AB48" s="9">
        <f t="shared" si="105"/>
        <v>0.28239637006844576</v>
      </c>
      <c r="AC48" s="9">
        <f t="shared" si="105"/>
        <v>3.6041979010494662E-2</v>
      </c>
      <c r="AD48" s="9">
        <f t="shared" si="105"/>
        <v>1.0013892104653754E-2</v>
      </c>
      <c r="AE48" s="9">
        <f t="shared" si="105"/>
        <v>0.27740844747550009</v>
      </c>
      <c r="AF48" s="9">
        <f t="shared" si="105"/>
        <v>0.28524641647412463</v>
      </c>
      <c r="AG48" s="9">
        <f t="shared" si="105"/>
        <v>0.20403176542455714</v>
      </c>
      <c r="AH48" s="9">
        <f t="shared" si="105"/>
        <v>-8.8280060882800604E-2</v>
      </c>
      <c r="AI48" s="9">
        <f t="shared" si="106"/>
        <v>6.6237379759917392E-2</v>
      </c>
    </row>
    <row r="49" spans="2:46" s="9" customFormat="1">
      <c r="B49" s="9" t="s">
        <v>24</v>
      </c>
      <c r="G49" s="9">
        <f t="shared" si="104"/>
        <v>0.21865203761755492</v>
      </c>
      <c r="H49" s="9">
        <f t="shared" si="104"/>
        <v>4.7191011235955038E-2</v>
      </c>
      <c r="I49" s="9">
        <f t="shared" si="104"/>
        <v>0.65767045454545459</v>
      </c>
      <c r="J49" s="9">
        <f t="shared" si="104"/>
        <v>0.52286689419795218</v>
      </c>
      <c r="K49" s="9">
        <f t="shared" si="104"/>
        <v>-1</v>
      </c>
      <c r="L49" s="9">
        <f t="shared" si="104"/>
        <v>-1</v>
      </c>
      <c r="M49" s="9">
        <f t="shared" si="104"/>
        <v>-0.11696658097686374</v>
      </c>
      <c r="N49" s="9">
        <f t="shared" si="104"/>
        <v>1.6364858807709548</v>
      </c>
      <c r="O49" s="9">
        <f t="shared" si="104"/>
        <v>0</v>
      </c>
      <c r="P49" s="9">
        <f t="shared" si="104"/>
        <v>0</v>
      </c>
      <c r="Q49" s="9">
        <f t="shared" si="104"/>
        <v>0.37603105288694816</v>
      </c>
      <c r="R49" s="9">
        <f t="shared" si="104"/>
        <v>-0.44083645018701123</v>
      </c>
      <c r="S49" s="9">
        <f t="shared" si="104"/>
        <v>0.34216434665469242</v>
      </c>
      <c r="T49" s="9">
        <f t="shared" si="104"/>
        <v>0.26344719277581463</v>
      </c>
      <c r="U49" s="9">
        <f t="shared" si="104"/>
        <v>0.19322990126939343</v>
      </c>
      <c r="V49" s="9">
        <f t="shared" si="104"/>
        <v>0.492550927333536</v>
      </c>
      <c r="AA49" s="9">
        <f t="shared" si="105"/>
        <v>-4.1584158415841621E-2</v>
      </c>
      <c r="AB49" s="9">
        <f t="shared" si="105"/>
        <v>-7.644628099173556E-2</v>
      </c>
      <c r="AC49" s="9">
        <f t="shared" si="105"/>
        <v>0.12155108128262482</v>
      </c>
      <c r="AD49" s="9">
        <f t="shared" si="105"/>
        <v>0.12234042553191493</v>
      </c>
      <c r="AE49" s="9">
        <f t="shared" si="105"/>
        <v>0.27754739336492884</v>
      </c>
      <c r="AF49" s="9">
        <f t="shared" si="105"/>
        <v>0.27150475307210753</v>
      </c>
      <c r="AG49" s="9">
        <f t="shared" si="105"/>
        <v>0.37089715536105028</v>
      </c>
      <c r="AH49" s="9">
        <f t="shared" si="105"/>
        <v>5.6530992285182213E-2</v>
      </c>
      <c r="AI49" s="9">
        <f t="shared" si="106"/>
        <v>0.37215158000755388</v>
      </c>
    </row>
    <row r="50" spans="2:46" s="9" customFormat="1">
      <c r="B50" s="9" t="s">
        <v>121</v>
      </c>
      <c r="C50" s="9">
        <f t="shared" ref="C50:V50" si="107">(C23-C24)/C23</f>
        <v>0.79751524358520798</v>
      </c>
      <c r="D50" s="9">
        <f t="shared" si="107"/>
        <v>0.78227832461595481</v>
      </c>
      <c r="E50" s="9">
        <f t="shared" si="107"/>
        <v>0.79270175438596491</v>
      </c>
      <c r="F50" s="9">
        <f t="shared" si="107"/>
        <v>0.8032752980107547</v>
      </c>
      <c r="G50" s="9">
        <f t="shared" si="107"/>
        <v>0.79839815282487914</v>
      </c>
      <c r="H50" s="9">
        <f t="shared" si="107"/>
        <v>0.79748884350654259</v>
      </c>
      <c r="I50" s="9">
        <f t="shared" si="107"/>
        <v>0.81552791148340309</v>
      </c>
      <c r="J50" s="9">
        <f t="shared" si="107"/>
        <v>0.80695932492651934</v>
      </c>
      <c r="K50" s="9">
        <f t="shared" si="107"/>
        <v>0.81215164804074125</v>
      </c>
      <c r="L50" s="9">
        <f t="shared" si="107"/>
        <v>0.80801351351351347</v>
      </c>
      <c r="M50" s="9">
        <f t="shared" si="107"/>
        <v>0.76884956828408124</v>
      </c>
      <c r="N50" s="9">
        <f t="shared" si="107"/>
        <v>0.79557949686233131</v>
      </c>
      <c r="O50" s="9">
        <f t="shared" si="107"/>
        <v>0.79431795813922967</v>
      </c>
      <c r="P50" s="9">
        <f t="shared" si="107"/>
        <v>0.8221588264082027</v>
      </c>
      <c r="Q50" s="9">
        <f t="shared" si="107"/>
        <v>0.8303263121546961</v>
      </c>
      <c r="R50" s="9">
        <f t="shared" si="107"/>
        <v>0.83695538157857097</v>
      </c>
      <c r="S50" s="9">
        <f t="shared" si="107"/>
        <v>0.84644180976996164</v>
      </c>
      <c r="T50" s="9">
        <f t="shared" si="107"/>
        <v>0.8447183525701436</v>
      </c>
      <c r="U50" s="9">
        <f t="shared" si="107"/>
        <v>0.84951837682743547</v>
      </c>
      <c r="V50" s="9">
        <f t="shared" si="107"/>
        <v>0.8303263121546961</v>
      </c>
      <c r="Z50" s="9">
        <f>(Z23-Z24)/Z23</f>
        <v>0.62412922252919545</v>
      </c>
      <c r="AA50" s="9">
        <f>(AA23-AA24)/AA23</f>
        <v>0.69646696022179722</v>
      </c>
      <c r="AB50" s="9">
        <f t="shared" ref="AB50:AS50" si="108">(AB23-AB24)/AB23</f>
        <v>0.71502776744603624</v>
      </c>
      <c r="AC50" s="9">
        <f t="shared" si="108"/>
        <v>0.75506174751267852</v>
      </c>
      <c r="AD50" s="9">
        <f t="shared" si="108"/>
        <v>0.78438932185209909</v>
      </c>
      <c r="AE50" s="9">
        <f t="shared" si="108"/>
        <v>0.79068552888413057</v>
      </c>
      <c r="AF50" s="9">
        <f t="shared" si="108"/>
        <v>0.79414150924497684</v>
      </c>
      <c r="AG50" s="9">
        <f t="shared" si="108"/>
        <v>0.80473934030247862</v>
      </c>
      <c r="AH50" s="9">
        <f t="shared" si="108"/>
        <v>0.79675896099850618</v>
      </c>
      <c r="AI50" s="9">
        <f t="shared" si="108"/>
        <v>0.82268174456885046</v>
      </c>
      <c r="AJ50" s="9">
        <f t="shared" si="108"/>
        <v>0.84215107474232365</v>
      </c>
      <c r="AK50" s="9">
        <f t="shared" si="108"/>
        <v>0.84215107474232365</v>
      </c>
      <c r="AL50" s="9">
        <f t="shared" si="108"/>
        <v>0.84215107474232365</v>
      </c>
      <c r="AM50" s="9">
        <f t="shared" si="108"/>
        <v>0.84215107474232365</v>
      </c>
      <c r="AN50" s="9">
        <f t="shared" si="108"/>
        <v>0.84215107474232354</v>
      </c>
      <c r="AO50" s="9">
        <f t="shared" si="108"/>
        <v>0.84215107474232365</v>
      </c>
      <c r="AP50" s="9">
        <f t="shared" si="108"/>
        <v>0.84215107474232365</v>
      </c>
      <c r="AQ50" s="9">
        <f t="shared" si="108"/>
        <v>0.84215107474232365</v>
      </c>
      <c r="AR50" s="9">
        <f t="shared" si="108"/>
        <v>0.84215107474232365</v>
      </c>
      <c r="AS50" s="9">
        <f t="shared" si="108"/>
        <v>0.84215107474232354</v>
      </c>
    </row>
    <row r="51" spans="2:46" s="9" customFormat="1">
      <c r="B51" s="9" t="s">
        <v>120</v>
      </c>
      <c r="C51" s="9">
        <f t="shared" ref="C51:V51" si="109">+C29/C23</f>
        <v>0.24495869144486296</v>
      </c>
      <c r="D51" s="9">
        <f t="shared" si="109"/>
        <v>0.21183229685762531</v>
      </c>
      <c r="E51" s="9">
        <f t="shared" si="109"/>
        <v>0.23957894736842106</v>
      </c>
      <c r="F51" s="9">
        <f t="shared" si="109"/>
        <v>0.1672244575640206</v>
      </c>
      <c r="G51" s="9">
        <f t="shared" si="109"/>
        <v>0.24300093801861605</v>
      </c>
      <c r="H51" s="9">
        <f t="shared" si="109"/>
        <v>0.26504802964979957</v>
      </c>
      <c r="I51" s="9">
        <f t="shared" si="109"/>
        <v>0.22349503031818466</v>
      </c>
      <c r="J51" s="9">
        <f t="shared" si="109"/>
        <v>0.1422837457728896</v>
      </c>
      <c r="K51" s="9">
        <f t="shared" si="109"/>
        <v>0.30553119253076816</v>
      </c>
      <c r="L51" s="9">
        <f t="shared" si="109"/>
        <v>0.27602702702702703</v>
      </c>
      <c r="M51" s="9">
        <f t="shared" si="109"/>
        <v>0.26244983582634074</v>
      </c>
      <c r="N51" s="9">
        <f t="shared" si="109"/>
        <v>0.15230188260121064</v>
      </c>
      <c r="O51" s="9">
        <f t="shared" si="109"/>
        <v>0.22375172232793125</v>
      </c>
      <c r="P51" s="9">
        <f t="shared" si="109"/>
        <v>0.27092161333062775</v>
      </c>
      <c r="Q51" s="9">
        <f t="shared" si="109"/>
        <v>0.26243093922651933</v>
      </c>
      <c r="R51" s="9">
        <f t="shared" si="109"/>
        <v>0.27681730191575998</v>
      </c>
      <c r="S51" s="9">
        <f t="shared" si="109"/>
        <v>0.23683556994508881</v>
      </c>
      <c r="T51" s="9">
        <f t="shared" si="109"/>
        <v>0.24685321862782603</v>
      </c>
      <c r="U51" s="9">
        <f t="shared" si="109"/>
        <v>0.26190394862686162</v>
      </c>
      <c r="V51" s="9">
        <f t="shared" si="109"/>
        <v>0.25685260882142569</v>
      </c>
      <c r="Z51" s="9">
        <f>+Z29/Z23</f>
        <v>0.25220766453668708</v>
      </c>
      <c r="AA51" s="9">
        <f>+AA29/AA23</f>
        <v>0.2678468175955166</v>
      </c>
      <c r="AB51" s="9">
        <f t="shared" ref="AB51:AS51" si="110">+AB29/AB23</f>
        <v>0.25289538149777474</v>
      </c>
      <c r="AC51" s="9">
        <f t="shared" si="110"/>
        <v>0.25751035577406994</v>
      </c>
      <c r="AD51" s="9">
        <f t="shared" si="110"/>
        <v>0.25407481304240204</v>
      </c>
      <c r="AE51" s="9">
        <f t="shared" si="110"/>
        <v>0.25151291609272691</v>
      </c>
      <c r="AF51" s="9">
        <f t="shared" si="110"/>
        <v>0.21485306196037582</v>
      </c>
      <c r="AG51" s="9">
        <f t="shared" si="110"/>
        <v>0.21822588229620074</v>
      </c>
      <c r="AH51" s="9">
        <f t="shared" si="110"/>
        <v>0.24870266405193592</v>
      </c>
      <c r="AI51" s="9">
        <f t="shared" si="110"/>
        <v>0.26039589282867298</v>
      </c>
      <c r="AJ51" s="9">
        <f t="shared" si="110"/>
        <v>0.25118473329219404</v>
      </c>
      <c r="AK51" s="9">
        <f t="shared" si="110"/>
        <v>0.25118473329219398</v>
      </c>
      <c r="AL51" s="9">
        <f t="shared" si="110"/>
        <v>0.27224950032556722</v>
      </c>
      <c r="AM51" s="9">
        <f t="shared" si="110"/>
        <v>0.27224950032556705</v>
      </c>
      <c r="AN51" s="9">
        <f t="shared" si="110"/>
        <v>0.27224950032556722</v>
      </c>
      <c r="AO51" s="9">
        <f t="shared" si="110"/>
        <v>0.27224950032556722</v>
      </c>
      <c r="AP51" s="9">
        <f t="shared" si="110"/>
        <v>0.27224950032556716</v>
      </c>
      <c r="AQ51" s="9">
        <f t="shared" si="110"/>
        <v>0.27224950032556722</v>
      </c>
      <c r="AR51" s="9">
        <f t="shared" si="110"/>
        <v>0.27224950032556722</v>
      </c>
      <c r="AS51" s="9">
        <f t="shared" si="110"/>
        <v>0.27224950032556722</v>
      </c>
    </row>
    <row r="52" spans="2:46" s="9" customFormat="1">
      <c r="AA52" s="9">
        <f t="shared" ref="AA52:AI52" si="111">+AA33/AA32</f>
        <v>0.37152049237655616</v>
      </c>
      <c r="AB52" s="9">
        <f t="shared" si="111"/>
        <v>0.36219627642789526</v>
      </c>
      <c r="AC52" s="9">
        <f t="shared" si="111"/>
        <v>0.37291068907409936</v>
      </c>
      <c r="AD52" s="9">
        <f t="shared" si="111"/>
        <v>0.16707257671699952</v>
      </c>
      <c r="AE52" s="9">
        <f t="shared" si="111"/>
        <v>0.18335445711871567</v>
      </c>
      <c r="AF52" s="9">
        <f t="shared" si="111"/>
        <v>0.20527847855618087</v>
      </c>
      <c r="AG52" s="9">
        <f t="shared" si="111"/>
        <v>9.6947887511662001E-2</v>
      </c>
      <c r="AH52" s="9">
        <f t="shared" si="111"/>
        <v>0.29325031582746797</v>
      </c>
      <c r="AI52" s="9">
        <f>+AI33/AI32</f>
        <v>0.2295985636939995</v>
      </c>
      <c r="AJ52" s="9">
        <f>+AJ33/AJ32</f>
        <v>0.22928945769394768</v>
      </c>
      <c r="AK52" s="9">
        <f t="shared" ref="AK52:AS52" si="112">+AK33/AK32</f>
        <v>0.22928945769394768</v>
      </c>
      <c r="AL52" s="9">
        <f t="shared" si="112"/>
        <v>0.22928945769394768</v>
      </c>
      <c r="AM52" s="9">
        <f t="shared" si="112"/>
        <v>0.22928945769394768</v>
      </c>
      <c r="AN52" s="9">
        <f t="shared" si="112"/>
        <v>0.22928945769394768</v>
      </c>
      <c r="AO52" s="9">
        <f t="shared" si="112"/>
        <v>0.22928945769394768</v>
      </c>
      <c r="AP52" s="9">
        <f t="shared" si="112"/>
        <v>0.22928945769394771</v>
      </c>
      <c r="AQ52" s="9">
        <f t="shared" si="112"/>
        <v>0.22928945769394771</v>
      </c>
      <c r="AR52" s="9">
        <f t="shared" si="112"/>
        <v>0.22928945769394771</v>
      </c>
      <c r="AS52" s="9">
        <f t="shared" si="112"/>
        <v>0.22928945769394773</v>
      </c>
    </row>
    <row r="53" spans="2:46" s="6" customFormat="1"/>
    <row r="54" spans="2:46" s="6" customFormat="1">
      <c r="B54" s="7" t="s">
        <v>36</v>
      </c>
    </row>
    <row r="55" spans="2:46" s="6" customFormat="1">
      <c r="B55" s="9" t="s">
        <v>21</v>
      </c>
      <c r="C55" s="9">
        <f>+C24/C$23</f>
        <v>0.20248475641479199</v>
      </c>
      <c r="D55" s="9">
        <f t="shared" ref="D55:U58" si="113">+D24/D$23</f>
        <v>0.21772167538404513</v>
      </c>
      <c r="E55" s="9">
        <f t="shared" si="113"/>
        <v>0.20729824561403509</v>
      </c>
      <c r="F55" s="9">
        <f t="shared" si="113"/>
        <v>0.1967247019892453</v>
      </c>
      <c r="G55" s="9">
        <f t="shared" si="113"/>
        <v>0.20160184717512086</v>
      </c>
      <c r="H55" s="9">
        <f t="shared" si="113"/>
        <v>0.20251115649345738</v>
      </c>
      <c r="I55" s="9">
        <f t="shared" si="113"/>
        <v>0.18447208851659685</v>
      </c>
      <c r="J55" s="9">
        <f t="shared" si="113"/>
        <v>0.19304067507348061</v>
      </c>
      <c r="K55" s="9">
        <f t="shared" si="113"/>
        <v>0.18784835195925872</v>
      </c>
      <c r="L55" s="9">
        <f t="shared" si="113"/>
        <v>0.19198648648648647</v>
      </c>
      <c r="M55" s="9">
        <f t="shared" si="113"/>
        <v>0.23115043171591876</v>
      </c>
      <c r="N55" s="9">
        <f t="shared" si="113"/>
        <v>0.20442050313766869</v>
      </c>
      <c r="O55" s="9">
        <f t="shared" si="113"/>
        <v>0.2056820418607703</v>
      </c>
      <c r="P55" s="9">
        <f t="shared" si="113"/>
        <v>0.17784117359179727</v>
      </c>
      <c r="Q55" s="9">
        <f t="shared" si="113"/>
        <v>0.16967368784530387</v>
      </c>
      <c r="R55" s="9">
        <f t="shared" si="113"/>
        <v>0.16304461842142906</v>
      </c>
      <c r="S55" s="9">
        <f t="shared" si="113"/>
        <v>0.15355819023003836</v>
      </c>
      <c r="T55" s="9">
        <f t="shared" si="113"/>
        <v>0.1552816474298564</v>
      </c>
      <c r="U55" s="9">
        <f t="shared" si="113"/>
        <v>0.15048162317256455</v>
      </c>
      <c r="V55" s="9">
        <f>+V24/V$23</f>
        <v>0.16967368784530387</v>
      </c>
      <c r="Z55" s="9">
        <f>+Z24/Z$23</f>
        <v>0.37587077747080461</v>
      </c>
      <c r="AA55" s="9">
        <f t="shared" ref="AA55:AI55" si="114">+AA24/AA$23</f>
        <v>0.30353303977820278</v>
      </c>
      <c r="AB55" s="9">
        <f t="shared" si="114"/>
        <v>0.28497223255396376</v>
      </c>
      <c r="AC55" s="9">
        <f t="shared" si="114"/>
        <v>0.24493825248732143</v>
      </c>
      <c r="AD55" s="9">
        <f t="shared" si="114"/>
        <v>0.21561067814790089</v>
      </c>
      <c r="AE55" s="9">
        <f t="shared" si="114"/>
        <v>0.20931447111586945</v>
      </c>
      <c r="AF55" s="9">
        <f t="shared" si="114"/>
        <v>0.20585849075502313</v>
      </c>
      <c r="AG55" s="9">
        <f t="shared" si="114"/>
        <v>0.1952606596975214</v>
      </c>
      <c r="AH55" s="9">
        <f t="shared" si="114"/>
        <v>0.20324103900149379</v>
      </c>
      <c r="AI55" s="9">
        <f t="shared" si="114"/>
        <v>0.17731825543114949</v>
      </c>
      <c r="AJ55" s="9">
        <f t="shared" ref="AJ55:AS55" si="115">+AJ24/AJ$23</f>
        <v>0.15784892525767635</v>
      </c>
      <c r="AK55" s="9">
        <f t="shared" si="115"/>
        <v>0.15784892525767635</v>
      </c>
      <c r="AL55" s="9">
        <f t="shared" si="115"/>
        <v>0.15784892525767635</v>
      </c>
      <c r="AM55" s="9">
        <f t="shared" si="115"/>
        <v>0.15784892525767635</v>
      </c>
      <c r="AN55" s="9">
        <f t="shared" si="115"/>
        <v>0.15784892525767635</v>
      </c>
      <c r="AO55" s="9">
        <f t="shared" si="115"/>
        <v>0.15784892525767635</v>
      </c>
      <c r="AP55" s="9">
        <f t="shared" si="115"/>
        <v>0.15784892525767635</v>
      </c>
      <c r="AQ55" s="9">
        <f t="shared" si="115"/>
        <v>0.15784892525767635</v>
      </c>
      <c r="AR55" s="9">
        <f t="shared" si="115"/>
        <v>0.15784892525767638</v>
      </c>
      <c r="AS55" s="9">
        <f t="shared" si="115"/>
        <v>0.15784892525767638</v>
      </c>
    </row>
    <row r="56" spans="2:46" s="6" customFormat="1">
      <c r="B56" s="9" t="s">
        <v>22</v>
      </c>
      <c r="C56" s="9">
        <f t="shared" ref="C56:R58" si="116">+C25/C$23</f>
        <v>0.26499906353401453</v>
      </c>
      <c r="D56" s="9">
        <f t="shared" si="116"/>
        <v>0.26714303364770808</v>
      </c>
      <c r="E56" s="9">
        <f t="shared" si="116"/>
        <v>0.25367418546365916</v>
      </c>
      <c r="F56" s="9">
        <f t="shared" si="116"/>
        <v>0.2732297973150829</v>
      </c>
      <c r="G56" s="9">
        <f t="shared" si="116"/>
        <v>0.3065697380763403</v>
      </c>
      <c r="H56" s="9">
        <f t="shared" si="116"/>
        <v>0.30896301338779214</v>
      </c>
      <c r="I56" s="9">
        <f t="shared" si="116"/>
        <v>0.2854754016378071</v>
      </c>
      <c r="J56" s="9">
        <f t="shared" si="116"/>
        <v>0.21715495717581618</v>
      </c>
      <c r="K56" s="9">
        <f t="shared" si="116"/>
        <v>0.31159994341491015</v>
      </c>
      <c r="L56" s="9">
        <f t="shared" si="116"/>
        <v>0.3148783783783784</v>
      </c>
      <c r="M56" s="9">
        <f t="shared" si="116"/>
        <v>0.24674692934452147</v>
      </c>
      <c r="N56" s="9">
        <f t="shared" si="116"/>
        <v>0.31139279169211975</v>
      </c>
      <c r="O56" s="9">
        <f t="shared" si="116"/>
        <v>0.30400892329899615</v>
      </c>
      <c r="P56" s="9">
        <f t="shared" si="116"/>
        <v>0.35433352829535553</v>
      </c>
      <c r="Q56" s="9">
        <f t="shared" si="116"/>
        <v>0.357238432320442</v>
      </c>
      <c r="R56" s="9">
        <f t="shared" si="116"/>
        <v>0.35388635128305379</v>
      </c>
      <c r="S56" s="9">
        <f t="shared" si="113"/>
        <v>0.36463056815150707</v>
      </c>
      <c r="T56" s="9">
        <f t="shared" si="113"/>
        <v>0.36136900152090545</v>
      </c>
      <c r="U56" s="9">
        <f t="shared" si="113"/>
        <v>0.36190907227763358</v>
      </c>
      <c r="V56" s="9">
        <f t="shared" ref="V56:V58" si="117">+V25/V$23</f>
        <v>0.357238432320442</v>
      </c>
      <c r="Z56" s="9">
        <f t="shared" ref="Z56:AI58" si="118">+Z25/Z$23</f>
        <v>0</v>
      </c>
      <c r="AA56" s="9">
        <f t="shared" si="118"/>
        <v>0</v>
      </c>
      <c r="AB56" s="9">
        <f t="shared" si="118"/>
        <v>0</v>
      </c>
      <c r="AC56" s="9">
        <f t="shared" si="118"/>
        <v>0.13403468700398746</v>
      </c>
      <c r="AD56" s="9">
        <f t="shared" si="118"/>
        <v>0.24322864707956104</v>
      </c>
      <c r="AE56" s="9">
        <f t="shared" si="118"/>
        <v>0.21999464685568054</v>
      </c>
      <c r="AF56" s="9">
        <f t="shared" si="118"/>
        <v>0.2648841122618642</v>
      </c>
      <c r="AG56" s="9">
        <f t="shared" si="118"/>
        <v>0.27903911000719422</v>
      </c>
      <c r="AH56" s="9">
        <f t="shared" si="118"/>
        <v>0.29730408988254953</v>
      </c>
      <c r="AI56" s="9">
        <f t="shared" si="118"/>
        <v>0.34422873062001952</v>
      </c>
      <c r="AJ56" s="9">
        <f t="shared" ref="AJ56:AS56" si="119">+AJ25/AJ$23</f>
        <v>0.36106476703337315</v>
      </c>
      <c r="AK56" s="9">
        <f t="shared" si="119"/>
        <v>0.36106476703337315</v>
      </c>
      <c r="AL56" s="9">
        <f t="shared" si="119"/>
        <v>0.34</v>
      </c>
      <c r="AM56" s="9">
        <f t="shared" si="119"/>
        <v>0.34</v>
      </c>
      <c r="AN56" s="9">
        <f t="shared" si="119"/>
        <v>0.34</v>
      </c>
      <c r="AO56" s="9">
        <f t="shared" si="119"/>
        <v>0.34</v>
      </c>
      <c r="AP56" s="9">
        <f t="shared" si="119"/>
        <v>0.34</v>
      </c>
      <c r="AQ56" s="9">
        <f t="shared" si="119"/>
        <v>0.34</v>
      </c>
      <c r="AR56" s="9">
        <f t="shared" si="119"/>
        <v>0.34</v>
      </c>
      <c r="AS56" s="9">
        <f t="shared" si="119"/>
        <v>0.34</v>
      </c>
    </row>
    <row r="57" spans="2:46" s="6" customFormat="1">
      <c r="B57" s="9" t="s">
        <v>23</v>
      </c>
      <c r="C57" s="9">
        <f t="shared" si="116"/>
        <v>0.26100347532932389</v>
      </c>
      <c r="D57" s="9">
        <f t="shared" si="113"/>
        <v>0.27581236357645894</v>
      </c>
      <c r="E57" s="9">
        <f t="shared" si="113"/>
        <v>0.27121804511278197</v>
      </c>
      <c r="F57" s="9">
        <f t="shared" si="113"/>
        <v>0.33527620050389201</v>
      </c>
      <c r="G57" s="9">
        <f t="shared" si="113"/>
        <v>0.22077711234576811</v>
      </c>
      <c r="H57" s="9">
        <f t="shared" si="113"/>
        <v>0.20232962710838817</v>
      </c>
      <c r="I57" s="9">
        <f t="shared" si="113"/>
        <v>0.27008189035444147</v>
      </c>
      <c r="J57" s="9">
        <f t="shared" si="113"/>
        <v>0.41226573117158116</v>
      </c>
      <c r="K57" s="9">
        <f t="shared" si="113"/>
        <v>0.19502051209506296</v>
      </c>
      <c r="L57" s="9">
        <f t="shared" si="113"/>
        <v>0.2171081081081081</v>
      </c>
      <c r="M57" s="9">
        <f t="shared" si="113"/>
        <v>0.22832299647330659</v>
      </c>
      <c r="N57" s="9">
        <f t="shared" si="113"/>
        <v>0.25022213583606373</v>
      </c>
      <c r="O57" s="9">
        <f t="shared" si="113"/>
        <v>0.23733350829998032</v>
      </c>
      <c r="P57" s="9">
        <f t="shared" si="113"/>
        <v>0.16650154577031881</v>
      </c>
      <c r="Q57" s="9">
        <f t="shared" si="113"/>
        <v>0.18005438535911603</v>
      </c>
      <c r="R57" s="9">
        <f t="shared" si="113"/>
        <v>0.17488819170949871</v>
      </c>
      <c r="S57" s="9">
        <f t="shared" si="113"/>
        <v>0.21748328289842808</v>
      </c>
      <c r="T57" s="9">
        <f t="shared" si="113"/>
        <v>0.20646991313110577</v>
      </c>
      <c r="U57" s="9">
        <f t="shared" si="113"/>
        <v>0.19680796556906682</v>
      </c>
      <c r="V57" s="9">
        <f t="shared" si="117"/>
        <v>0.18005438535911603</v>
      </c>
      <c r="W57" s="9"/>
      <c r="X57" s="9"/>
      <c r="Y57" s="9"/>
      <c r="Z57" s="9">
        <f t="shared" si="118"/>
        <v>0.32056475533483619</v>
      </c>
      <c r="AA57" s="9">
        <f t="shared" si="118"/>
        <v>0.38556539014662933</v>
      </c>
      <c r="AB57" s="9">
        <f t="shared" si="118"/>
        <v>0.4277340994497813</v>
      </c>
      <c r="AC57" s="9">
        <f t="shared" si="118"/>
        <v>0.33440439781657699</v>
      </c>
      <c r="AD57" s="9">
        <f t="shared" si="118"/>
        <v>0.2617631395375003</v>
      </c>
      <c r="AE57" s="9">
        <f t="shared" si="118"/>
        <v>0.29102173246029206</v>
      </c>
      <c r="AF57" s="9">
        <f t="shared" si="118"/>
        <v>0.28693984254492277</v>
      </c>
      <c r="AG57" s="9">
        <f t="shared" si="118"/>
        <v>0.27725864210183632</v>
      </c>
      <c r="AH57" s="9">
        <f t="shared" si="118"/>
        <v>0.22263559196041091</v>
      </c>
      <c r="AI57" s="9">
        <f t="shared" si="118"/>
        <v>0.18757219855616872</v>
      </c>
      <c r="AJ57" s="9">
        <f t="shared" ref="AJ57:AS57" si="120">+AJ26/AJ$23</f>
        <v>0.19896344782309808</v>
      </c>
      <c r="AK57" s="9">
        <f t="shared" si="120"/>
        <v>0.19896344782309808</v>
      </c>
      <c r="AL57" s="9">
        <f t="shared" si="120"/>
        <v>0.19896344782309808</v>
      </c>
      <c r="AM57" s="9">
        <f t="shared" si="120"/>
        <v>0.19896344782309808</v>
      </c>
      <c r="AN57" s="9">
        <f t="shared" si="120"/>
        <v>0.19896344782309808</v>
      </c>
      <c r="AO57" s="9">
        <f t="shared" si="120"/>
        <v>0.19896344782309808</v>
      </c>
      <c r="AP57" s="9">
        <f t="shared" si="120"/>
        <v>0.19896344782309808</v>
      </c>
      <c r="AQ57" s="9">
        <f t="shared" si="120"/>
        <v>0.19896344782309808</v>
      </c>
      <c r="AR57" s="9">
        <f t="shared" si="120"/>
        <v>0.19896344782309808</v>
      </c>
      <c r="AS57" s="9">
        <f t="shared" si="120"/>
        <v>0.19896344782309808</v>
      </c>
      <c r="AT57" s="9"/>
    </row>
    <row r="58" spans="2:46" s="6" customFormat="1">
      <c r="B58" s="9" t="s">
        <v>24</v>
      </c>
      <c r="C58" s="9">
        <f t="shared" si="116"/>
        <v>2.6554013277006638E-2</v>
      </c>
      <c r="D58" s="9">
        <f t="shared" si="113"/>
        <v>2.7490630534162515E-2</v>
      </c>
      <c r="E58" s="9">
        <f t="shared" si="113"/>
        <v>2.8230576441102755E-2</v>
      </c>
      <c r="F58" s="9">
        <f t="shared" si="113"/>
        <v>2.7544842627759185E-2</v>
      </c>
      <c r="G58" s="9">
        <f t="shared" si="113"/>
        <v>2.8050364384154702E-2</v>
      </c>
      <c r="H58" s="9">
        <f t="shared" si="113"/>
        <v>2.1148173360562742E-2</v>
      </c>
      <c r="I58" s="9">
        <f t="shared" si="113"/>
        <v>3.6475589172969933E-2</v>
      </c>
      <c r="J58" s="9">
        <f t="shared" si="113"/>
        <v>3.5254890806232418E-2</v>
      </c>
      <c r="K58" s="9">
        <f t="shared" si="113"/>
        <v>0</v>
      </c>
      <c r="L58" s="9">
        <f t="shared" si="113"/>
        <v>0</v>
      </c>
      <c r="M58" s="9">
        <f t="shared" si="113"/>
        <v>3.1329806639912437E-2</v>
      </c>
      <c r="N58" s="9">
        <f t="shared" si="113"/>
        <v>8.1662686732937195E-2</v>
      </c>
      <c r="O58" s="9">
        <f t="shared" si="113"/>
        <v>2.9223804212322027E-2</v>
      </c>
      <c r="P58" s="9">
        <f t="shared" si="113"/>
        <v>3.0402139011900642E-2</v>
      </c>
      <c r="Q58" s="9">
        <f t="shared" si="113"/>
        <v>3.0602555248618785E-2</v>
      </c>
      <c r="R58" s="9">
        <f t="shared" si="113"/>
        <v>3.136353667025852E-2</v>
      </c>
      <c r="S58" s="9">
        <f t="shared" si="113"/>
        <v>2.7492388774937683E-2</v>
      </c>
      <c r="T58" s="9">
        <f t="shared" si="113"/>
        <v>3.0026219290306327E-2</v>
      </c>
      <c r="U58" s="9">
        <f t="shared" si="113"/>
        <v>2.8897390353873481E-2</v>
      </c>
      <c r="V58" s="9">
        <f t="shared" si="117"/>
        <v>3.6180885653712476E-2</v>
      </c>
      <c r="W58" s="9"/>
      <c r="X58" s="9"/>
      <c r="Y58" s="9"/>
      <c r="Z58" s="9">
        <f t="shared" si="118"/>
        <v>5.1356802657672167E-2</v>
      </c>
      <c r="AA58" s="9">
        <f t="shared" si="118"/>
        <v>4.3054752479651293E-2</v>
      </c>
      <c r="AB58" s="9">
        <f t="shared" si="118"/>
        <v>3.4398286498480167E-2</v>
      </c>
      <c r="AC58" s="9">
        <f t="shared" si="118"/>
        <v>2.9112306918044211E-2</v>
      </c>
      <c r="AD58" s="9">
        <f t="shared" si="118"/>
        <v>2.5322722192635708E-2</v>
      </c>
      <c r="AE58" s="9">
        <f t="shared" si="118"/>
        <v>2.8156233475431027E-2</v>
      </c>
      <c r="AF58" s="9">
        <f t="shared" si="118"/>
        <v>2.7464492477814059E-2</v>
      </c>
      <c r="AG58" s="9">
        <f t="shared" si="118"/>
        <v>3.0215705897247307E-2</v>
      </c>
      <c r="AH58" s="9">
        <f t="shared" si="118"/>
        <v>2.8116615103609886E-2</v>
      </c>
      <c r="AI58" s="9">
        <f t="shared" si="118"/>
        <v>3.0484922563989249E-2</v>
      </c>
      <c r="AJ58" s="9">
        <f t="shared" ref="AJ58:AS58" si="121">+AJ27/AJ$23</f>
        <v>3.0938126593658379E-2</v>
      </c>
      <c r="AK58" s="9">
        <f t="shared" si="121"/>
        <v>3.0938126593658379E-2</v>
      </c>
      <c r="AL58" s="9">
        <f t="shared" si="121"/>
        <v>3.0938126593658383E-2</v>
      </c>
      <c r="AM58" s="9">
        <f t="shared" si="121"/>
        <v>3.0938126593658379E-2</v>
      </c>
      <c r="AN58" s="9">
        <f t="shared" si="121"/>
        <v>3.0938126593658379E-2</v>
      </c>
      <c r="AO58" s="9">
        <f t="shared" si="121"/>
        <v>3.0938126593658379E-2</v>
      </c>
      <c r="AP58" s="9">
        <f t="shared" si="121"/>
        <v>3.0938126593658383E-2</v>
      </c>
      <c r="AQ58" s="9">
        <f t="shared" si="121"/>
        <v>3.0938126593658379E-2</v>
      </c>
      <c r="AR58" s="9">
        <f t="shared" si="121"/>
        <v>3.0938126593658383E-2</v>
      </c>
      <c r="AS58" s="9">
        <f t="shared" si="121"/>
        <v>3.0938126593658379E-2</v>
      </c>
      <c r="AT58" s="9"/>
    </row>
    <row r="59" spans="2:46" s="6" customFormat="1"/>
    <row r="60" spans="2:46" s="6" customFormat="1">
      <c r="B60" s="18" t="s">
        <v>122</v>
      </c>
    </row>
    <row r="61" spans="2:46" s="6" customFormat="1">
      <c r="B61" s="9" t="s">
        <v>21</v>
      </c>
      <c r="F61" s="9">
        <f t="shared" ref="F61:T61" si="122">AVERAGE(C55:F55)</f>
        <v>0.20605734485052937</v>
      </c>
      <c r="G61" s="9">
        <f t="shared" si="122"/>
        <v>0.20583661754061161</v>
      </c>
      <c r="H61" s="9">
        <f t="shared" si="122"/>
        <v>0.20203398781796467</v>
      </c>
      <c r="I61" s="9">
        <f t="shared" si="122"/>
        <v>0.19632744854360512</v>
      </c>
      <c r="J61" s="9">
        <f t="shared" si="122"/>
        <v>0.19540644181466393</v>
      </c>
      <c r="K61" s="9">
        <f t="shared" si="122"/>
        <v>0.19196806801069841</v>
      </c>
      <c r="L61" s="9">
        <f t="shared" si="122"/>
        <v>0.18933690050895569</v>
      </c>
      <c r="M61" s="9">
        <f t="shared" si="122"/>
        <v>0.20100648630878615</v>
      </c>
      <c r="N61" s="9">
        <f t="shared" si="122"/>
        <v>0.20385144332483315</v>
      </c>
      <c r="O61" s="9">
        <f t="shared" si="122"/>
        <v>0.20830986580021105</v>
      </c>
      <c r="P61" s="9">
        <f t="shared" si="122"/>
        <v>0.20477353757653877</v>
      </c>
      <c r="Q61" s="9">
        <f t="shared" si="122"/>
        <v>0.18940435160888505</v>
      </c>
      <c r="R61" s="9">
        <f t="shared" si="122"/>
        <v>0.17906038042982511</v>
      </c>
      <c r="S61" s="9">
        <f t="shared" si="122"/>
        <v>0.16602941752214215</v>
      </c>
      <c r="T61" s="9">
        <f t="shared" si="122"/>
        <v>0.16038953598165692</v>
      </c>
      <c r="U61" s="9">
        <f>AVERAGE(R55:U55)</f>
        <v>0.15559151981347208</v>
      </c>
      <c r="AC61" s="9">
        <f t="shared" ref="AC61:AH61" si="123">AVERAGE(Z55:AC55)</f>
        <v>0.30232857557257314</v>
      </c>
      <c r="AD61" s="9">
        <f t="shared" si="123"/>
        <v>0.26226355074184721</v>
      </c>
      <c r="AE61" s="9">
        <f t="shared" si="123"/>
        <v>0.2387089085762639</v>
      </c>
      <c r="AF61" s="9">
        <f t="shared" si="123"/>
        <v>0.21893047312652872</v>
      </c>
      <c r="AG61" s="9">
        <f t="shared" si="123"/>
        <v>0.20651107492907872</v>
      </c>
      <c r="AH61" s="9">
        <f t="shared" si="123"/>
        <v>0.20341866514247695</v>
      </c>
      <c r="AI61" s="9">
        <f>AVERAGE(AF55:AI55)</f>
        <v>0.19541961122129697</v>
      </c>
      <c r="AJ61" s="9">
        <f t="shared" ref="AJ61:AS61" si="124">AVERAGE(AG55:AJ55)</f>
        <v>0.18341721984696027</v>
      </c>
      <c r="AK61" s="9">
        <f t="shared" si="124"/>
        <v>0.17406428623699899</v>
      </c>
      <c r="AL61" s="9">
        <f t="shared" si="124"/>
        <v>0.16271625780104465</v>
      </c>
      <c r="AM61" s="9">
        <f t="shared" si="124"/>
        <v>0.15784892525767635</v>
      </c>
      <c r="AN61" s="9">
        <f t="shared" si="124"/>
        <v>0.15784892525767635</v>
      </c>
      <c r="AO61" s="9">
        <f t="shared" si="124"/>
        <v>0.15784892525767635</v>
      </c>
      <c r="AP61" s="9">
        <f t="shared" si="124"/>
        <v>0.15784892525767635</v>
      </c>
      <c r="AQ61" s="9">
        <f t="shared" si="124"/>
        <v>0.15784892525767635</v>
      </c>
      <c r="AR61" s="9">
        <f t="shared" si="124"/>
        <v>0.15784892525767635</v>
      </c>
      <c r="AS61" s="9">
        <f t="shared" si="124"/>
        <v>0.15784892525767635</v>
      </c>
    </row>
    <row r="62" spans="2:46" s="6" customFormat="1">
      <c r="B62" s="9" t="s">
        <v>22</v>
      </c>
      <c r="F62" s="9">
        <f t="shared" ref="F62:F64" si="125">AVERAGE(C56:F56)</f>
        <v>0.26476151999011616</v>
      </c>
      <c r="G62" s="9">
        <f t="shared" ref="G62:G64" si="126">AVERAGE(D56:G56)</f>
        <v>0.27515418862569763</v>
      </c>
      <c r="H62" s="9">
        <f t="shared" ref="H62:H64" si="127">AVERAGE(E56:H56)</f>
        <v>0.28560918356071863</v>
      </c>
      <c r="I62" s="9">
        <f t="shared" ref="I62:I64" si="128">AVERAGE(F56:I56)</f>
        <v>0.2935594876042556</v>
      </c>
      <c r="J62" s="9">
        <f t="shared" ref="J62:J64" si="129">AVERAGE(G56:J56)</f>
        <v>0.27954077756943896</v>
      </c>
      <c r="K62" s="9">
        <f t="shared" ref="K62:K64" si="130">AVERAGE(H56:K56)</f>
        <v>0.28079832890408141</v>
      </c>
      <c r="L62" s="9">
        <f t="shared" ref="L62:L64" si="131">AVERAGE(I56:L56)</f>
        <v>0.28227717015172793</v>
      </c>
      <c r="M62" s="9">
        <f t="shared" ref="M62:M64" si="132">AVERAGE(J56:M56)</f>
        <v>0.27259505207840656</v>
      </c>
      <c r="N62" s="9">
        <f t="shared" ref="N62:N64" si="133">AVERAGE(K56:N56)</f>
        <v>0.29615451070748244</v>
      </c>
      <c r="O62" s="9">
        <f t="shared" ref="O62:O64" si="134">AVERAGE(L56:O56)</f>
        <v>0.29425675567850396</v>
      </c>
      <c r="P62" s="9">
        <f t="shared" ref="P62:P64" si="135">AVERAGE(M56:P56)</f>
        <v>0.30412054315774822</v>
      </c>
      <c r="Q62" s="9">
        <f t="shared" ref="Q62:Q64" si="136">AVERAGE(N56:Q56)</f>
        <v>0.33174341890172837</v>
      </c>
      <c r="R62" s="9">
        <f t="shared" ref="R62:R64" si="137">AVERAGE(O56:R56)</f>
        <v>0.34236680879946191</v>
      </c>
      <c r="S62" s="9">
        <f t="shared" ref="S62:S64" si="138">AVERAGE(P56:S56)</f>
        <v>0.3575222200125896</v>
      </c>
      <c r="T62" s="9">
        <f t="shared" ref="T62:T64" si="139">AVERAGE(Q56:T56)</f>
        <v>0.35928108831897709</v>
      </c>
      <c r="U62" s="9">
        <f>AVERAGE(R56:U56)</f>
        <v>0.360448748308275</v>
      </c>
      <c r="AC62" s="9">
        <f t="shared" ref="AC62:AH62" si="140">AVERAGE(Z56:AC56)</f>
        <v>3.3508671750996866E-2</v>
      </c>
      <c r="AD62" s="9">
        <f t="shared" si="140"/>
        <v>9.4315833520887127E-2</v>
      </c>
      <c r="AE62" s="9">
        <f t="shared" si="140"/>
        <v>0.14931449523480728</v>
      </c>
      <c r="AF62" s="9">
        <f t="shared" si="140"/>
        <v>0.21553552330027331</v>
      </c>
      <c r="AG62" s="9">
        <f t="shared" si="140"/>
        <v>0.25178662905107502</v>
      </c>
      <c r="AH62" s="9">
        <f t="shared" si="140"/>
        <v>0.26530548975182211</v>
      </c>
      <c r="AI62" s="9">
        <f>AVERAGE(AF56:AI56)</f>
        <v>0.29636401069290685</v>
      </c>
      <c r="AJ62" s="9">
        <f t="shared" ref="AJ62:AS62" si="141">AVERAGE(AG56:AJ56)</f>
        <v>0.32040917438578409</v>
      </c>
      <c r="AK62" s="9">
        <f t="shared" si="141"/>
        <v>0.34091558864232879</v>
      </c>
      <c r="AL62" s="9">
        <f t="shared" si="141"/>
        <v>0.35158956617169146</v>
      </c>
      <c r="AM62" s="9">
        <f t="shared" si="141"/>
        <v>0.35053238351668659</v>
      </c>
      <c r="AN62" s="9">
        <f t="shared" si="141"/>
        <v>0.34526619175834333</v>
      </c>
      <c r="AO62" s="9">
        <f t="shared" si="141"/>
        <v>0.34</v>
      </c>
      <c r="AP62" s="9">
        <f t="shared" si="141"/>
        <v>0.34</v>
      </c>
      <c r="AQ62" s="9">
        <f t="shared" si="141"/>
        <v>0.34</v>
      </c>
      <c r="AR62" s="9">
        <f t="shared" si="141"/>
        <v>0.34</v>
      </c>
      <c r="AS62" s="9">
        <f t="shared" si="141"/>
        <v>0.34</v>
      </c>
    </row>
    <row r="63" spans="2:46" s="6" customFormat="1">
      <c r="B63" s="9" t="s">
        <v>23</v>
      </c>
      <c r="F63" s="9">
        <f t="shared" si="125"/>
        <v>0.28582752113061421</v>
      </c>
      <c r="G63" s="9">
        <f t="shared" si="126"/>
        <v>0.27577093038472522</v>
      </c>
      <c r="H63" s="9">
        <f t="shared" si="127"/>
        <v>0.25740024626770758</v>
      </c>
      <c r="I63" s="9">
        <f t="shared" si="128"/>
        <v>0.25711620757812242</v>
      </c>
      <c r="J63" s="9">
        <f t="shared" si="129"/>
        <v>0.27636359024504475</v>
      </c>
      <c r="K63" s="9">
        <f t="shared" si="130"/>
        <v>0.26992444018236844</v>
      </c>
      <c r="L63" s="9">
        <f t="shared" si="131"/>
        <v>0.27361906043229844</v>
      </c>
      <c r="M63" s="9">
        <f t="shared" si="132"/>
        <v>0.26317933696201473</v>
      </c>
      <c r="N63" s="9">
        <f t="shared" si="133"/>
        <v>0.22266843812813536</v>
      </c>
      <c r="O63" s="9">
        <f t="shared" si="134"/>
        <v>0.2332466871793647</v>
      </c>
      <c r="P63" s="9">
        <f t="shared" si="135"/>
        <v>0.22059504659491738</v>
      </c>
      <c r="Q63" s="9">
        <f t="shared" si="136"/>
        <v>0.20852789381636971</v>
      </c>
      <c r="R63" s="9">
        <f t="shared" si="137"/>
        <v>0.18969440778472846</v>
      </c>
      <c r="S63" s="9">
        <f t="shared" si="138"/>
        <v>0.1847318514343404</v>
      </c>
      <c r="T63" s="9">
        <f t="shared" si="139"/>
        <v>0.19472394327453715</v>
      </c>
      <c r="U63" s="9">
        <f>AVERAGE(R57:U57)</f>
        <v>0.19891233832702482</v>
      </c>
      <c r="AC63" s="9">
        <f t="shared" ref="AC63:AH63" si="142">AVERAGE(Z57:AC57)</f>
        <v>0.36706716068695594</v>
      </c>
      <c r="AD63" s="9">
        <f t="shared" si="142"/>
        <v>0.35236675673762197</v>
      </c>
      <c r="AE63" s="9">
        <f t="shared" si="142"/>
        <v>0.32873084231603766</v>
      </c>
      <c r="AF63" s="9">
        <f t="shared" si="142"/>
        <v>0.29353227808982307</v>
      </c>
      <c r="AG63" s="9">
        <f t="shared" si="142"/>
        <v>0.27924583916113788</v>
      </c>
      <c r="AH63" s="9">
        <f t="shared" si="142"/>
        <v>0.26946395226686548</v>
      </c>
      <c r="AI63" s="9">
        <f>AVERAGE(AF57:AI57)</f>
        <v>0.24360156879083469</v>
      </c>
      <c r="AJ63" s="9">
        <f t="shared" ref="AJ63:AS63" si="143">AVERAGE(AG57:AJ57)</f>
        <v>0.22160747011037848</v>
      </c>
      <c r="AK63" s="9">
        <f t="shared" si="143"/>
        <v>0.20203367154069393</v>
      </c>
      <c r="AL63" s="9">
        <f t="shared" si="143"/>
        <v>0.19611563550636574</v>
      </c>
      <c r="AM63" s="9">
        <f t="shared" si="143"/>
        <v>0.19896344782309808</v>
      </c>
      <c r="AN63" s="9">
        <f t="shared" si="143"/>
        <v>0.19896344782309808</v>
      </c>
      <c r="AO63" s="9">
        <f t="shared" si="143"/>
        <v>0.19896344782309808</v>
      </c>
      <c r="AP63" s="9">
        <f t="shared" si="143"/>
        <v>0.19896344782309808</v>
      </c>
      <c r="AQ63" s="9">
        <f t="shared" si="143"/>
        <v>0.19896344782309808</v>
      </c>
      <c r="AR63" s="9">
        <f t="shared" si="143"/>
        <v>0.19896344782309808</v>
      </c>
      <c r="AS63" s="9">
        <f t="shared" si="143"/>
        <v>0.19896344782309808</v>
      </c>
    </row>
    <row r="64" spans="2:46" s="6" customFormat="1">
      <c r="B64" s="9" t="s">
        <v>24</v>
      </c>
      <c r="F64" s="9">
        <f t="shared" si="125"/>
        <v>2.7455015720007775E-2</v>
      </c>
      <c r="G64" s="9">
        <f t="shared" si="126"/>
        <v>2.7829103496794787E-2</v>
      </c>
      <c r="H64" s="9">
        <f t="shared" si="127"/>
        <v>2.6243489203394844E-2</v>
      </c>
      <c r="I64" s="9">
        <f t="shared" si="128"/>
        <v>2.8304742386361641E-2</v>
      </c>
      <c r="J64" s="9">
        <f t="shared" si="129"/>
        <v>3.0232254430979946E-2</v>
      </c>
      <c r="K64" s="9">
        <f t="shared" si="130"/>
        <v>2.3219663334941271E-2</v>
      </c>
      <c r="L64" s="9">
        <f t="shared" si="131"/>
        <v>1.7932619994800586E-2</v>
      </c>
      <c r="M64" s="9">
        <f t="shared" si="132"/>
        <v>1.6646174361536214E-2</v>
      </c>
      <c r="N64" s="9">
        <f t="shared" si="133"/>
        <v>2.824812334321241E-2</v>
      </c>
      <c r="O64" s="9">
        <f t="shared" si="134"/>
        <v>3.555407439629292E-2</v>
      </c>
      <c r="P64" s="9">
        <f t="shared" si="135"/>
        <v>4.3154609149268081E-2</v>
      </c>
      <c r="Q64" s="9">
        <f t="shared" si="136"/>
        <v>4.2972796301444662E-2</v>
      </c>
      <c r="R64" s="9">
        <f t="shared" si="137"/>
        <v>3.0398008785774991E-2</v>
      </c>
      <c r="S64" s="9">
        <f t="shared" si="138"/>
        <v>2.9965154926428907E-2</v>
      </c>
      <c r="T64" s="9">
        <f t="shared" si="139"/>
        <v>2.9871174996030328E-2</v>
      </c>
      <c r="U64" s="9">
        <f>AVERAGE(R58:U58)</f>
        <v>2.9444883772344003E-2</v>
      </c>
      <c r="AC64" s="9">
        <f t="shared" ref="AC64:AH64" si="144">AVERAGE(Z58:AC58)</f>
        <v>3.948053713846196E-2</v>
      </c>
      <c r="AD64" s="9">
        <f t="shared" si="144"/>
        <v>3.297201702220285E-2</v>
      </c>
      <c r="AE64" s="9">
        <f t="shared" si="144"/>
        <v>2.9247387271147778E-2</v>
      </c>
      <c r="AF64" s="9">
        <f t="shared" si="144"/>
        <v>2.7513938765981252E-2</v>
      </c>
      <c r="AG64" s="9">
        <f t="shared" si="144"/>
        <v>2.7789788510782024E-2</v>
      </c>
      <c r="AH64" s="9">
        <f t="shared" si="144"/>
        <v>2.8488261738525568E-2</v>
      </c>
      <c r="AI64" s="9">
        <f>AVERAGE(AF58:AI58)</f>
        <v>2.9070434010665128E-2</v>
      </c>
      <c r="AJ64" s="9">
        <f t="shared" ref="AJ64:AS64" si="145">AVERAGE(AG58:AJ58)</f>
        <v>2.9938842539626205E-2</v>
      </c>
      <c r="AK64" s="9">
        <f t="shared" si="145"/>
        <v>3.0119447713728976E-2</v>
      </c>
      <c r="AL64" s="9">
        <f t="shared" si="145"/>
        <v>3.0824825586241097E-2</v>
      </c>
      <c r="AM64" s="9">
        <f t="shared" si="145"/>
        <v>3.0938126593658383E-2</v>
      </c>
      <c r="AN64" s="9">
        <f t="shared" si="145"/>
        <v>3.0938126593658383E-2</v>
      </c>
      <c r="AO64" s="9">
        <f t="shared" si="145"/>
        <v>3.0938126593658383E-2</v>
      </c>
      <c r="AP64" s="9">
        <f t="shared" si="145"/>
        <v>3.0938126593658379E-2</v>
      </c>
      <c r="AQ64" s="9">
        <f t="shared" si="145"/>
        <v>3.0938126593658383E-2</v>
      </c>
      <c r="AR64" s="9">
        <f t="shared" si="145"/>
        <v>3.0938126593658383E-2</v>
      </c>
      <c r="AS64" s="9">
        <f t="shared" si="145"/>
        <v>3.0938126593658383E-2</v>
      </c>
    </row>
    <row r="65" spans="2:45" s="6" customFormat="1">
      <c r="B65" s="18"/>
    </row>
    <row r="66" spans="2:45" s="6" customFormat="1">
      <c r="B66" s="18"/>
    </row>
    <row r="67" spans="2:45" s="6" customFormat="1"/>
    <row r="68" spans="2:45" s="6" customFormat="1">
      <c r="N68" s="6">
        <f>SUM(N70:N71)</f>
        <v>52031</v>
      </c>
      <c r="O68" s="6">
        <f t="shared" ref="O68:U68" si="146">SUM(O70:O71)</f>
        <v>297270</v>
      </c>
      <c r="P68" s="6">
        <f t="shared" si="146"/>
        <v>182936</v>
      </c>
      <c r="Q68" s="6">
        <f t="shared" si="146"/>
        <v>186693</v>
      </c>
      <c r="R68" s="6">
        <f t="shared" si="146"/>
        <v>197792</v>
      </c>
      <c r="S68" s="6">
        <f t="shared" si="146"/>
        <v>209479</v>
      </c>
      <c r="T68" s="6">
        <f t="shared" si="146"/>
        <v>199944</v>
      </c>
      <c r="U68" s="6">
        <f t="shared" si="146"/>
        <v>89427</v>
      </c>
    </row>
    <row r="69" spans="2:45" s="7" customFormat="1">
      <c r="B69" s="7" t="s">
        <v>101</v>
      </c>
      <c r="N69" s="7">
        <f>SUM(N70:N71)-SUM(N86,N89)</f>
        <v>-417363</v>
      </c>
      <c r="O69" s="7">
        <f t="shared" ref="O69:U69" si="147">SUM(O70:O71)-SUM(O86,O89)</f>
        <v>-418498</v>
      </c>
      <c r="P69" s="7">
        <f t="shared" si="147"/>
        <v>-533285</v>
      </c>
      <c r="Q69" s="7">
        <f t="shared" si="147"/>
        <v>-528783</v>
      </c>
      <c r="R69" s="7">
        <f t="shared" si="147"/>
        <v>-516354</v>
      </c>
      <c r="S69" s="7">
        <f t="shared" si="147"/>
        <v>-503304</v>
      </c>
      <c r="T69" s="7">
        <f t="shared" si="147"/>
        <v>-511467</v>
      </c>
      <c r="U69" s="7">
        <f t="shared" si="147"/>
        <v>-622440</v>
      </c>
      <c r="AI69" s="7">
        <f>+U69</f>
        <v>-622440</v>
      </c>
      <c r="AJ69" s="7">
        <f>+AI69+AJ34</f>
        <v>-536505.61902689468</v>
      </c>
      <c r="AK69" s="7">
        <f t="shared" ref="AK69:AS69" si="148">+AJ69+AK34</f>
        <v>-430855.2984689108</v>
      </c>
      <c r="AL69" s="7">
        <f t="shared" si="148"/>
        <v>-283651.07012318412</v>
      </c>
      <c r="AM69" s="7">
        <f t="shared" si="148"/>
        <v>-86768.050904998614</v>
      </c>
      <c r="AN69" s="7">
        <f t="shared" si="148"/>
        <v>175832.16670218593</v>
      </c>
      <c r="AO69" s="7">
        <f t="shared" si="148"/>
        <v>525360.50764021091</v>
      </c>
      <c r="AP69" s="7">
        <f t="shared" si="148"/>
        <v>989868.55215551914</v>
      </c>
      <c r="AQ69" s="7">
        <f t="shared" si="148"/>
        <v>1606454.6481523111</v>
      </c>
      <c r="AR69" s="7">
        <f t="shared" si="148"/>
        <v>2424181.4947874341</v>
      </c>
      <c r="AS69" s="7">
        <f t="shared" si="148"/>
        <v>3493844.4023412969</v>
      </c>
    </row>
    <row r="70" spans="2:45" s="6" customFormat="1">
      <c r="B70" s="6" t="s">
        <v>3</v>
      </c>
      <c r="N70" s="6">
        <v>48583</v>
      </c>
      <c r="O70" s="6">
        <v>287013</v>
      </c>
      <c r="P70" s="6">
        <v>165824</v>
      </c>
      <c r="Q70" s="6">
        <v>173511</v>
      </c>
      <c r="R70" s="6">
        <v>184496</v>
      </c>
      <c r="S70" s="6">
        <v>196198</v>
      </c>
      <c r="T70" s="6">
        <v>188500</v>
      </c>
      <c r="U70" s="6">
        <v>77983</v>
      </c>
    </row>
    <row r="71" spans="2:45" s="6" customFormat="1">
      <c r="B71" s="6" t="s">
        <v>51</v>
      </c>
      <c r="N71" s="6">
        <v>3448</v>
      </c>
      <c r="O71" s="6">
        <v>10257</v>
      </c>
      <c r="P71" s="6">
        <v>17112</v>
      </c>
      <c r="Q71" s="6">
        <v>13182</v>
      </c>
      <c r="R71" s="6">
        <v>13296</v>
      </c>
      <c r="S71" s="6">
        <v>13281</v>
      </c>
      <c r="T71" s="6">
        <v>11444</v>
      </c>
      <c r="U71" s="6">
        <v>11444</v>
      </c>
    </row>
    <row r="72" spans="2:45" s="6" customFormat="1">
      <c r="B72" s="6" t="s">
        <v>52</v>
      </c>
      <c r="N72" s="6">
        <v>6993</v>
      </c>
      <c r="O72" s="6">
        <v>6385</v>
      </c>
      <c r="P72" s="6">
        <v>7234</v>
      </c>
      <c r="Q72" s="6">
        <v>8829</v>
      </c>
      <c r="R72" s="6">
        <v>9461</v>
      </c>
      <c r="S72" s="6">
        <v>10137</v>
      </c>
      <c r="T72" s="6">
        <v>10747</v>
      </c>
      <c r="U72" s="6">
        <v>11951</v>
      </c>
    </row>
    <row r="73" spans="2:45" s="6" customFormat="1">
      <c r="B73" s="6" t="s">
        <v>53</v>
      </c>
      <c r="N73" s="6">
        <v>4928</v>
      </c>
      <c r="O73" s="6">
        <v>3652</v>
      </c>
      <c r="P73" s="6">
        <v>5628</v>
      </c>
      <c r="Q73" s="6">
        <v>5752</v>
      </c>
      <c r="R73" s="6">
        <v>4252</v>
      </c>
      <c r="S73" s="6">
        <v>3061</v>
      </c>
      <c r="T73" s="6">
        <v>5548</v>
      </c>
      <c r="U73" s="6">
        <v>5907</v>
      </c>
    </row>
    <row r="74" spans="2:45" s="6" customFormat="1">
      <c r="B74" s="6" t="s">
        <v>100</v>
      </c>
      <c r="N74" s="6">
        <v>6197</v>
      </c>
      <c r="O74" s="6">
        <v>16926</v>
      </c>
      <c r="P74" s="6">
        <v>13681</v>
      </c>
      <c r="Q74" s="6">
        <v>21817</v>
      </c>
      <c r="R74" s="6">
        <v>15167</v>
      </c>
      <c r="S74" s="6">
        <v>26725</v>
      </c>
      <c r="T74" s="6">
        <v>21944</v>
      </c>
      <c r="U74" s="6">
        <v>25558</v>
      </c>
    </row>
    <row r="75" spans="2:45" s="7" customFormat="1">
      <c r="B75" s="7" t="s">
        <v>54</v>
      </c>
      <c r="N75" s="7">
        <f t="shared" ref="N75:U75" si="149">+SUM(N70:N74)</f>
        <v>70149</v>
      </c>
      <c r="O75" s="7">
        <f t="shared" si="149"/>
        <v>324233</v>
      </c>
      <c r="P75" s="7">
        <f t="shared" si="149"/>
        <v>209479</v>
      </c>
      <c r="Q75" s="7">
        <f t="shared" si="149"/>
        <v>223091</v>
      </c>
      <c r="R75" s="7">
        <f t="shared" si="149"/>
        <v>226672</v>
      </c>
      <c r="S75" s="7">
        <f t="shared" si="149"/>
        <v>249402</v>
      </c>
      <c r="T75" s="7">
        <f t="shared" si="149"/>
        <v>238183</v>
      </c>
      <c r="U75" s="7">
        <f t="shared" si="149"/>
        <v>132843</v>
      </c>
    </row>
    <row r="76" spans="2:45" s="6" customFormat="1">
      <c r="B76" s="6" t="s">
        <v>55</v>
      </c>
      <c r="N76" s="6">
        <v>54503</v>
      </c>
      <c r="O76" s="6">
        <v>57314</v>
      </c>
      <c r="P76" s="6">
        <v>60854</v>
      </c>
      <c r="Q76" s="6">
        <v>63236</v>
      </c>
      <c r="R76" s="6">
        <v>66851</v>
      </c>
      <c r="S76" s="6">
        <v>71518</v>
      </c>
      <c r="T76" s="6">
        <v>78570</v>
      </c>
      <c r="U76" s="6">
        <v>84344</v>
      </c>
    </row>
    <row r="77" spans="2:45" s="6" customFormat="1">
      <c r="B77" s="6" t="s">
        <v>56</v>
      </c>
      <c r="N77" s="6">
        <v>56877</v>
      </c>
      <c r="O77" s="6">
        <v>56877</v>
      </c>
      <c r="P77" s="6">
        <v>56877</v>
      </c>
      <c r="Q77" s="6">
        <v>58570</v>
      </c>
      <c r="R77" s="6">
        <v>62514</v>
      </c>
      <c r="S77" s="6">
        <v>62514</v>
      </c>
      <c r="T77" s="6">
        <v>65175</v>
      </c>
      <c r="U77" s="6">
        <v>65175</v>
      </c>
    </row>
    <row r="78" spans="2:45" s="6" customFormat="1">
      <c r="B78" s="6" t="s">
        <v>57</v>
      </c>
      <c r="N78" s="6">
        <v>32700</v>
      </c>
      <c r="O78" s="6">
        <v>32700</v>
      </c>
      <c r="P78" s="6">
        <v>32700</v>
      </c>
      <c r="Q78" s="6">
        <v>32700</v>
      </c>
      <c r="R78" s="6">
        <v>32700</v>
      </c>
      <c r="S78" s="6">
        <v>32700</v>
      </c>
      <c r="T78" s="6">
        <v>32700</v>
      </c>
      <c r="U78" s="6">
        <v>32700</v>
      </c>
    </row>
    <row r="79" spans="2:45" s="6" customFormat="1">
      <c r="B79" s="6" t="s">
        <v>58</v>
      </c>
      <c r="N79" s="6">
        <v>10302</v>
      </c>
      <c r="O79" s="6">
        <v>9981</v>
      </c>
      <c r="P79" s="6">
        <v>9660</v>
      </c>
      <c r="Q79" s="6">
        <v>9339</v>
      </c>
      <c r="R79" s="6">
        <v>9015</v>
      </c>
      <c r="S79" s="6">
        <v>8696</v>
      </c>
      <c r="T79" s="6">
        <v>8378</v>
      </c>
      <c r="U79" s="6">
        <v>8059</v>
      </c>
    </row>
    <row r="80" spans="2:45" s="6" customFormat="1">
      <c r="B80" s="6" t="s">
        <v>59</v>
      </c>
      <c r="N80" s="6">
        <v>24672</v>
      </c>
      <c r="O80" s="6">
        <v>26191</v>
      </c>
      <c r="P80" s="6">
        <v>25791</v>
      </c>
      <c r="Q80" s="6">
        <v>24100</v>
      </c>
      <c r="R80" s="6">
        <v>26438</v>
      </c>
      <c r="S80" s="6">
        <v>26467</v>
      </c>
      <c r="T80" s="6">
        <v>28211</v>
      </c>
      <c r="U80" s="6">
        <v>28555</v>
      </c>
    </row>
    <row r="81" spans="2:21" s="7" customFormat="1">
      <c r="B81" s="7" t="s">
        <v>46</v>
      </c>
      <c r="N81" s="7">
        <f t="shared" ref="N81:U81" si="150">+SUM(N75:N80)</f>
        <v>249203</v>
      </c>
      <c r="O81" s="7">
        <f t="shared" si="150"/>
        <v>507296</v>
      </c>
      <c r="P81" s="7">
        <f t="shared" si="150"/>
        <v>395361</v>
      </c>
      <c r="Q81" s="7">
        <f t="shared" si="150"/>
        <v>411036</v>
      </c>
      <c r="R81" s="7">
        <f t="shared" si="150"/>
        <v>424190</v>
      </c>
      <c r="S81" s="7">
        <f t="shared" si="150"/>
        <v>451297</v>
      </c>
      <c r="T81" s="7">
        <f t="shared" si="150"/>
        <v>451217</v>
      </c>
      <c r="U81" s="7">
        <f t="shared" si="150"/>
        <v>351676</v>
      </c>
    </row>
    <row r="82" spans="2:21" s="6" customFormat="1"/>
    <row r="83" spans="2:21" s="6" customFormat="1">
      <c r="B83" s="6" t="s">
        <v>60</v>
      </c>
      <c r="N83" s="6">
        <v>5414</v>
      </c>
      <c r="O83" s="6">
        <v>4931</v>
      </c>
      <c r="P83" s="6">
        <v>3121</v>
      </c>
      <c r="Q83" s="6">
        <v>3497</v>
      </c>
      <c r="R83" s="6">
        <v>5219</v>
      </c>
      <c r="S83" s="6">
        <v>6848</v>
      </c>
      <c r="T83" s="6">
        <v>6112</v>
      </c>
      <c r="U83" s="6">
        <v>5104</v>
      </c>
    </row>
    <row r="84" spans="2:21" s="6" customFormat="1">
      <c r="B84" s="6" t="s">
        <v>61</v>
      </c>
      <c r="N84" s="6">
        <v>28070</v>
      </c>
      <c r="O84" s="6">
        <v>120149</v>
      </c>
      <c r="P84" s="6">
        <v>29188</v>
      </c>
      <c r="Q84" s="6">
        <v>28041</v>
      </c>
      <c r="R84" s="6">
        <v>34726</v>
      </c>
      <c r="S84" s="6">
        <v>38438</v>
      </c>
      <c r="T84" s="6">
        <v>30732</v>
      </c>
      <c r="U84" s="6">
        <v>36670</v>
      </c>
    </row>
    <row r="85" spans="2:21" s="6" customFormat="1">
      <c r="B85" s="6" t="s">
        <v>71</v>
      </c>
      <c r="O85" s="6">
        <v>24512</v>
      </c>
      <c r="S85" s="6">
        <v>0</v>
      </c>
    </row>
    <row r="86" spans="2:21" s="6" customFormat="1">
      <c r="B86" s="6" t="s">
        <v>4</v>
      </c>
      <c r="N86" s="6">
        <v>0</v>
      </c>
      <c r="O86" s="6">
        <v>4850</v>
      </c>
      <c r="P86" s="6">
        <v>6675</v>
      </c>
      <c r="Q86" s="6">
        <v>7300</v>
      </c>
      <c r="R86" s="6">
        <v>7300</v>
      </c>
      <c r="S86" s="6">
        <v>7300</v>
      </c>
      <c r="T86" s="6">
        <v>0</v>
      </c>
      <c r="U86" s="6">
        <v>0</v>
      </c>
    </row>
    <row r="87" spans="2:21" s="6" customFormat="1">
      <c r="B87" s="6" t="s">
        <v>62</v>
      </c>
      <c r="N87" s="6">
        <v>6197</v>
      </c>
      <c r="O87" s="6">
        <v>16926</v>
      </c>
      <c r="P87" s="6">
        <v>13681</v>
      </c>
      <c r="Q87" s="6">
        <v>21817</v>
      </c>
      <c r="R87" s="6">
        <v>15167</v>
      </c>
      <c r="S87" s="6">
        <v>26725</v>
      </c>
      <c r="T87" s="6">
        <v>21944</v>
      </c>
      <c r="U87" s="6">
        <v>25558</v>
      </c>
    </row>
    <row r="88" spans="2:21" s="7" customFormat="1">
      <c r="B88" s="7" t="s">
        <v>63</v>
      </c>
      <c r="N88" s="7">
        <f t="shared" ref="N88:U88" si="151">+SUM(N83:N87)</f>
        <v>39681</v>
      </c>
      <c r="O88" s="7">
        <f t="shared" si="151"/>
        <v>171368</v>
      </c>
      <c r="P88" s="7">
        <f t="shared" si="151"/>
        <v>52665</v>
      </c>
      <c r="Q88" s="7">
        <f t="shared" si="151"/>
        <v>60655</v>
      </c>
      <c r="R88" s="7">
        <f t="shared" si="151"/>
        <v>62412</v>
      </c>
      <c r="S88" s="7">
        <f t="shared" si="151"/>
        <v>79311</v>
      </c>
      <c r="T88" s="7">
        <f t="shared" si="151"/>
        <v>58788</v>
      </c>
      <c r="U88" s="7">
        <f t="shared" si="151"/>
        <v>67332</v>
      </c>
    </row>
    <row r="89" spans="2:21" s="6" customFormat="1">
      <c r="B89" s="6" t="s">
        <v>64</v>
      </c>
      <c r="N89" s="20">
        <v>469394</v>
      </c>
      <c r="O89" s="20">
        <v>710918</v>
      </c>
      <c r="P89" s="20">
        <v>709546</v>
      </c>
      <c r="Q89" s="20">
        <v>708176</v>
      </c>
      <c r="R89" s="20">
        <v>706846</v>
      </c>
      <c r="S89" s="20">
        <v>705483</v>
      </c>
      <c r="T89" s="20">
        <v>711411</v>
      </c>
      <c r="U89" s="20">
        <v>711867</v>
      </c>
    </row>
    <row r="90" spans="2:21" s="6" customFormat="1">
      <c r="B90" s="6" t="s">
        <v>65</v>
      </c>
      <c r="N90" s="6">
        <v>28024</v>
      </c>
      <c r="O90" s="6">
        <v>26893</v>
      </c>
      <c r="P90" s="6">
        <v>27056</v>
      </c>
      <c r="Q90" s="6">
        <v>26942</v>
      </c>
      <c r="R90" s="6">
        <v>27052</v>
      </c>
      <c r="S90" s="6">
        <v>27667</v>
      </c>
      <c r="T90" s="6">
        <v>28296</v>
      </c>
      <c r="U90" s="6">
        <v>28769</v>
      </c>
    </row>
    <row r="91" spans="2:21" s="6" customFormat="1">
      <c r="B91" s="6" t="s">
        <v>66</v>
      </c>
      <c r="N91" s="6">
        <v>7432</v>
      </c>
      <c r="O91" s="6">
        <v>6942</v>
      </c>
      <c r="P91" s="6">
        <v>5898</v>
      </c>
      <c r="Q91" s="6">
        <v>6757</v>
      </c>
      <c r="R91" s="6">
        <v>4180</v>
      </c>
      <c r="S91" s="6">
        <v>3380</v>
      </c>
      <c r="T91" s="6">
        <v>3150</v>
      </c>
      <c r="U91" s="6">
        <v>2980</v>
      </c>
    </row>
    <row r="92" spans="2:21" s="6" customFormat="1">
      <c r="B92" s="6" t="s">
        <v>67</v>
      </c>
      <c r="N92" s="6">
        <v>14197</v>
      </c>
      <c r="O92" s="6">
        <v>15402</v>
      </c>
      <c r="P92" s="6">
        <v>15666</v>
      </c>
      <c r="Q92" s="6">
        <v>15102</v>
      </c>
      <c r="R92" s="6">
        <v>14561</v>
      </c>
      <c r="S92" s="6">
        <v>15246</v>
      </c>
      <c r="T92" s="6">
        <v>14923</v>
      </c>
      <c r="U92" s="6">
        <v>16170</v>
      </c>
    </row>
    <row r="93" spans="2:21" s="6" customFormat="1">
      <c r="B93" s="6" t="s">
        <v>68</v>
      </c>
      <c r="N93" s="6">
        <f t="shared" ref="N93:U93" si="152">+SUM(N88:N92)</f>
        <v>558728</v>
      </c>
      <c r="O93" s="6">
        <f t="shared" si="152"/>
        <v>931523</v>
      </c>
      <c r="P93" s="6">
        <f t="shared" si="152"/>
        <v>810831</v>
      </c>
      <c r="Q93" s="6">
        <f t="shared" si="152"/>
        <v>817632</v>
      </c>
      <c r="R93" s="6">
        <f t="shared" si="152"/>
        <v>815051</v>
      </c>
      <c r="S93" s="6">
        <f t="shared" si="152"/>
        <v>831087</v>
      </c>
      <c r="T93" s="6">
        <f t="shared" si="152"/>
        <v>816568</v>
      </c>
      <c r="U93" s="6">
        <f t="shared" si="152"/>
        <v>827118</v>
      </c>
    </row>
    <row r="94" spans="2:21" s="6" customFormat="1">
      <c r="B94" s="6" t="s">
        <v>69</v>
      </c>
      <c r="N94" s="6">
        <v>-309525</v>
      </c>
      <c r="O94" s="6">
        <v>-424227</v>
      </c>
      <c r="P94" s="6">
        <v>-415470</v>
      </c>
      <c r="Q94" s="6">
        <v>-406596</v>
      </c>
      <c r="R94" s="6">
        <v>-390861</v>
      </c>
      <c r="S94" s="6">
        <v>-379790</v>
      </c>
      <c r="T94" s="6">
        <v>-365351</v>
      </c>
      <c r="U94" s="6">
        <v>-475442</v>
      </c>
    </row>
    <row r="95" spans="2:21" s="7" customFormat="1">
      <c r="B95" s="7" t="s">
        <v>70</v>
      </c>
      <c r="N95" s="7">
        <f t="shared" ref="N95:U95" si="153">+SUM(N93:N94)</f>
        <v>249203</v>
      </c>
      <c r="O95" s="7">
        <f t="shared" si="153"/>
        <v>507296</v>
      </c>
      <c r="P95" s="7">
        <f t="shared" si="153"/>
        <v>395361</v>
      </c>
      <c r="Q95" s="7">
        <f t="shared" si="153"/>
        <v>411036</v>
      </c>
      <c r="R95" s="7">
        <f t="shared" si="153"/>
        <v>424190</v>
      </c>
      <c r="S95" s="7">
        <f t="shared" si="153"/>
        <v>451297</v>
      </c>
      <c r="T95" s="7">
        <f t="shared" si="153"/>
        <v>451217</v>
      </c>
      <c r="U95" s="7">
        <f t="shared" si="153"/>
        <v>351676</v>
      </c>
    </row>
    <row r="96" spans="2:21" s="6" customFormat="1">
      <c r="C96" s="6" t="str">
        <f t="shared" ref="C96:Q96" si="154">+IF(C95-C81=0,"","no")</f>
        <v/>
      </c>
      <c r="D96" s="6" t="str">
        <f t="shared" si="154"/>
        <v/>
      </c>
      <c r="E96" s="6" t="str">
        <f t="shared" si="154"/>
        <v/>
      </c>
      <c r="F96" s="6" t="str">
        <f t="shared" si="154"/>
        <v/>
      </c>
      <c r="G96" s="6" t="str">
        <f t="shared" si="154"/>
        <v/>
      </c>
      <c r="H96" s="6" t="str">
        <f t="shared" si="154"/>
        <v/>
      </c>
      <c r="I96" s="6" t="str">
        <f t="shared" si="154"/>
        <v/>
      </c>
      <c r="J96" s="6" t="str">
        <f t="shared" si="154"/>
        <v/>
      </c>
      <c r="K96" s="6" t="str">
        <f t="shared" si="154"/>
        <v/>
      </c>
      <c r="L96" s="6" t="str">
        <f t="shared" si="154"/>
        <v/>
      </c>
      <c r="M96" s="6" t="str">
        <f t="shared" si="154"/>
        <v/>
      </c>
      <c r="N96" s="6" t="str">
        <f t="shared" si="154"/>
        <v/>
      </c>
      <c r="O96" s="6">
        <f>+O86-N86</f>
        <v>4850</v>
      </c>
      <c r="P96" s="6" t="str">
        <f t="shared" si="154"/>
        <v/>
      </c>
      <c r="Q96" s="6" t="str">
        <f t="shared" si="154"/>
        <v/>
      </c>
      <c r="R96" s="6" t="str">
        <f>+IF(R95-R81=0,"","no")</f>
        <v/>
      </c>
      <c r="S96" s="6" t="str">
        <f>+IF(S95-S81=0,"","no")</f>
        <v/>
      </c>
      <c r="T96" s="6" t="str">
        <f>+IF(T95-T81=0,"","no")</f>
        <v/>
      </c>
      <c r="U96" s="6" t="str">
        <f>+IF(U95-U81=0,"","no")</f>
        <v/>
      </c>
    </row>
    <row r="97" spans="2:21" s="6" customFormat="1">
      <c r="B97" s="18" t="s">
        <v>109</v>
      </c>
      <c r="O97" s="6">
        <f>+O89-N89</f>
        <v>241524</v>
      </c>
      <c r="P97" s="6">
        <f>250000-SUM(O96:O97)</f>
        <v>3626</v>
      </c>
      <c r="T97" s="6" t="s">
        <v>108</v>
      </c>
    </row>
    <row r="98" spans="2:21" s="6" customFormat="1">
      <c r="B98" s="6" t="s">
        <v>110</v>
      </c>
      <c r="C98" s="6">
        <f>+IFERROR(C89+C86,0)</f>
        <v>0</v>
      </c>
      <c r="D98" s="6">
        <f t="shared" ref="D98:U98" si="155">+IFERROR(D89+D86,0)</f>
        <v>0</v>
      </c>
      <c r="E98" s="6">
        <f t="shared" si="155"/>
        <v>0</v>
      </c>
      <c r="F98" s="6">
        <f t="shared" si="155"/>
        <v>0</v>
      </c>
      <c r="G98" s="6">
        <f t="shared" si="155"/>
        <v>0</v>
      </c>
      <c r="H98" s="6">
        <f t="shared" si="155"/>
        <v>0</v>
      </c>
      <c r="I98" s="6">
        <f t="shared" si="155"/>
        <v>0</v>
      </c>
      <c r="J98" s="6">
        <f t="shared" si="155"/>
        <v>0</v>
      </c>
      <c r="K98" s="6">
        <f t="shared" si="155"/>
        <v>0</v>
      </c>
      <c r="L98" s="6">
        <f t="shared" si="155"/>
        <v>0</v>
      </c>
      <c r="M98" s="6">
        <f t="shared" si="155"/>
        <v>0</v>
      </c>
      <c r="N98" s="6">
        <f t="shared" si="155"/>
        <v>469394</v>
      </c>
      <c r="O98" s="6">
        <f t="shared" si="155"/>
        <v>715768</v>
      </c>
      <c r="P98" s="6">
        <f t="shared" si="155"/>
        <v>716221</v>
      </c>
      <c r="Q98" s="6">
        <f t="shared" si="155"/>
        <v>715476</v>
      </c>
      <c r="R98" s="6">
        <f t="shared" si="155"/>
        <v>714146</v>
      </c>
      <c r="S98" s="6">
        <f t="shared" si="155"/>
        <v>712783</v>
      </c>
      <c r="T98" s="6">
        <f t="shared" si="155"/>
        <v>711411</v>
      </c>
      <c r="U98" s="6">
        <f t="shared" si="155"/>
        <v>711867</v>
      </c>
    </row>
    <row r="99" spans="2:21" s="6" customFormat="1">
      <c r="B99" s="6" t="s">
        <v>3</v>
      </c>
      <c r="C99" s="6">
        <f>+C70</f>
        <v>0</v>
      </c>
      <c r="D99" s="6">
        <f t="shared" ref="D99:U99" si="156">+D70</f>
        <v>0</v>
      </c>
      <c r="E99" s="6">
        <f t="shared" si="156"/>
        <v>0</v>
      </c>
      <c r="F99" s="6">
        <f t="shared" si="156"/>
        <v>0</v>
      </c>
      <c r="G99" s="6">
        <f t="shared" si="156"/>
        <v>0</v>
      </c>
      <c r="H99" s="6">
        <f t="shared" si="156"/>
        <v>0</v>
      </c>
      <c r="I99" s="6">
        <f t="shared" si="156"/>
        <v>0</v>
      </c>
      <c r="J99" s="6">
        <f t="shared" si="156"/>
        <v>0</v>
      </c>
      <c r="K99" s="6">
        <f t="shared" si="156"/>
        <v>0</v>
      </c>
      <c r="L99" s="6">
        <f t="shared" si="156"/>
        <v>0</v>
      </c>
      <c r="M99" s="6">
        <f t="shared" si="156"/>
        <v>0</v>
      </c>
      <c r="N99" s="6">
        <f t="shared" si="156"/>
        <v>48583</v>
      </c>
      <c r="O99" s="6">
        <f t="shared" si="156"/>
        <v>287013</v>
      </c>
      <c r="P99" s="6">
        <f t="shared" si="156"/>
        <v>165824</v>
      </c>
      <c r="Q99" s="6">
        <f t="shared" si="156"/>
        <v>173511</v>
      </c>
      <c r="R99" s="6">
        <f t="shared" si="156"/>
        <v>184496</v>
      </c>
      <c r="S99" s="6">
        <f t="shared" si="156"/>
        <v>196198</v>
      </c>
      <c r="T99" s="6">
        <f t="shared" si="156"/>
        <v>188500</v>
      </c>
      <c r="U99" s="6">
        <f t="shared" si="156"/>
        <v>77983</v>
      </c>
    </row>
    <row r="100" spans="2:21" s="6" customFormat="1">
      <c r="B100" s="6" t="s">
        <v>111</v>
      </c>
      <c r="C100" s="6">
        <f>+IFERROR(C98-C99,0)</f>
        <v>0</v>
      </c>
      <c r="D100" s="6">
        <f t="shared" ref="D100:U100" si="157">+IFERROR(D98-D99,0)</f>
        <v>0</v>
      </c>
      <c r="E100" s="6">
        <f t="shared" si="157"/>
        <v>0</v>
      </c>
      <c r="F100" s="6">
        <f t="shared" si="157"/>
        <v>0</v>
      </c>
      <c r="G100" s="6">
        <f t="shared" si="157"/>
        <v>0</v>
      </c>
      <c r="H100" s="6">
        <f t="shared" si="157"/>
        <v>0</v>
      </c>
      <c r="I100" s="6">
        <f t="shared" si="157"/>
        <v>0</v>
      </c>
      <c r="J100" s="6">
        <f t="shared" si="157"/>
        <v>0</v>
      </c>
      <c r="K100" s="6">
        <f t="shared" si="157"/>
        <v>0</v>
      </c>
      <c r="L100" s="6">
        <f t="shared" si="157"/>
        <v>0</v>
      </c>
      <c r="M100" s="6">
        <f t="shared" si="157"/>
        <v>0</v>
      </c>
      <c r="N100" s="6">
        <f t="shared" si="157"/>
        <v>420811</v>
      </c>
      <c r="O100" s="6">
        <f t="shared" si="157"/>
        <v>428755</v>
      </c>
      <c r="P100" s="6">
        <f t="shared" si="157"/>
        <v>550397</v>
      </c>
      <c r="Q100" s="6">
        <f t="shared" si="157"/>
        <v>541965</v>
      </c>
      <c r="R100" s="6">
        <f t="shared" si="157"/>
        <v>529650</v>
      </c>
      <c r="S100" s="6">
        <f t="shared" si="157"/>
        <v>516585</v>
      </c>
      <c r="T100" s="6">
        <f t="shared" si="157"/>
        <v>522911</v>
      </c>
      <c r="U100" s="6">
        <f t="shared" si="157"/>
        <v>633884</v>
      </c>
    </row>
    <row r="101" spans="2:21" s="6" customFormat="1">
      <c r="B101" s="6" t="s">
        <v>112</v>
      </c>
      <c r="C101" s="21">
        <f t="shared" ref="C101:U101" si="158">+IFERROR(C100/C35,0)</f>
        <v>0</v>
      </c>
      <c r="D101" s="21">
        <f t="shared" si="158"/>
        <v>0</v>
      </c>
      <c r="E101" s="21">
        <f t="shared" si="158"/>
        <v>0</v>
      </c>
      <c r="F101" s="21">
        <f t="shared" si="158"/>
        <v>0</v>
      </c>
      <c r="G101" s="21">
        <f t="shared" si="158"/>
        <v>0</v>
      </c>
      <c r="H101" s="21">
        <f t="shared" si="158"/>
        <v>0</v>
      </c>
      <c r="I101" s="21">
        <f t="shared" si="158"/>
        <v>0</v>
      </c>
      <c r="J101" s="21">
        <f t="shared" si="158"/>
        <v>0</v>
      </c>
      <c r="K101" s="21">
        <f t="shared" si="158"/>
        <v>0</v>
      </c>
      <c r="L101" s="21">
        <f t="shared" si="158"/>
        <v>0</v>
      </c>
      <c r="M101" s="21">
        <f t="shared" si="158"/>
        <v>0</v>
      </c>
      <c r="N101" s="21">
        <f t="shared" si="158"/>
        <v>13.761573733939889</v>
      </c>
      <c r="O101" s="21">
        <f t="shared" si="158"/>
        <v>14.304230332955228</v>
      </c>
      <c r="P101" s="21">
        <f t="shared" si="158"/>
        <v>18.399311359229792</v>
      </c>
      <c r="Q101" s="21">
        <f t="shared" si="158"/>
        <v>18.08539393332666</v>
      </c>
      <c r="R101" s="21">
        <f t="shared" si="158"/>
        <v>17.653234676532346</v>
      </c>
      <c r="S101" s="21">
        <f t="shared" si="158"/>
        <v>17.201724884286236</v>
      </c>
      <c r="T101" s="21">
        <f t="shared" si="158"/>
        <v>17.401943492295917</v>
      </c>
      <c r="U101" s="21">
        <f t="shared" si="158"/>
        <v>21.258434502649408</v>
      </c>
    </row>
    <row r="102" spans="2:21" s="6" customFormat="1">
      <c r="B102" s="6" t="s">
        <v>113</v>
      </c>
      <c r="C102" s="6">
        <f>+C75-C88</f>
        <v>0</v>
      </c>
      <c r="D102" s="6">
        <f t="shared" ref="D102:U102" si="159">+D75-D88</f>
        <v>0</v>
      </c>
      <c r="E102" s="6">
        <f t="shared" si="159"/>
        <v>0</v>
      </c>
      <c r="F102" s="6">
        <f t="shared" si="159"/>
        <v>0</v>
      </c>
      <c r="G102" s="6">
        <f t="shared" si="159"/>
        <v>0</v>
      </c>
      <c r="H102" s="6">
        <f t="shared" si="159"/>
        <v>0</v>
      </c>
      <c r="I102" s="6">
        <f t="shared" si="159"/>
        <v>0</v>
      </c>
      <c r="J102" s="6">
        <f t="shared" si="159"/>
        <v>0</v>
      </c>
      <c r="K102" s="6">
        <f t="shared" si="159"/>
        <v>0</v>
      </c>
      <c r="L102" s="6">
        <f t="shared" si="159"/>
        <v>0</v>
      </c>
      <c r="M102" s="6">
        <f t="shared" si="159"/>
        <v>0</v>
      </c>
      <c r="N102" s="6">
        <f t="shared" si="159"/>
        <v>30468</v>
      </c>
      <c r="O102" s="6">
        <f t="shared" si="159"/>
        <v>152865</v>
      </c>
      <c r="P102" s="6">
        <f t="shared" si="159"/>
        <v>156814</v>
      </c>
      <c r="Q102" s="6">
        <f t="shared" si="159"/>
        <v>162436</v>
      </c>
      <c r="R102" s="6">
        <f t="shared" si="159"/>
        <v>164260</v>
      </c>
      <c r="S102" s="6">
        <f t="shared" si="159"/>
        <v>170091</v>
      </c>
      <c r="T102" s="6">
        <f t="shared" si="159"/>
        <v>179395</v>
      </c>
      <c r="U102" s="6">
        <f t="shared" si="159"/>
        <v>65511</v>
      </c>
    </row>
    <row r="103" spans="2:21" s="6" customFormat="1">
      <c r="B103" s="6" t="s">
        <v>114</v>
      </c>
      <c r="C103" s="6">
        <f>+IFERROR((C75-C71-C70)-(C88-C86),0)</f>
        <v>0</v>
      </c>
      <c r="D103" s="6">
        <f t="shared" ref="D103:U103" si="160">+IFERROR((D75-D71-D70)-(D88-D86),0)</f>
        <v>0</v>
      </c>
      <c r="E103" s="6">
        <f t="shared" si="160"/>
        <v>0</v>
      </c>
      <c r="F103" s="6">
        <f t="shared" si="160"/>
        <v>0</v>
      </c>
      <c r="G103" s="6">
        <f t="shared" si="160"/>
        <v>0</v>
      </c>
      <c r="H103" s="6">
        <f t="shared" si="160"/>
        <v>0</v>
      </c>
      <c r="I103" s="6">
        <f t="shared" si="160"/>
        <v>0</v>
      </c>
      <c r="J103" s="6">
        <f t="shared" si="160"/>
        <v>0</v>
      </c>
      <c r="K103" s="6">
        <f t="shared" si="160"/>
        <v>0</v>
      </c>
      <c r="L103" s="6">
        <f t="shared" si="160"/>
        <v>0</v>
      </c>
      <c r="M103" s="6">
        <f t="shared" si="160"/>
        <v>0</v>
      </c>
      <c r="N103" s="6">
        <f t="shared" si="160"/>
        <v>-21563</v>
      </c>
      <c r="O103" s="6">
        <f t="shared" si="160"/>
        <v>-139555</v>
      </c>
      <c r="P103" s="6">
        <f t="shared" si="160"/>
        <v>-19447</v>
      </c>
      <c r="Q103" s="6">
        <f t="shared" si="160"/>
        <v>-16957</v>
      </c>
      <c r="R103" s="6">
        <f t="shared" si="160"/>
        <v>-26232</v>
      </c>
      <c r="S103" s="6">
        <f t="shared" si="160"/>
        <v>-32088</v>
      </c>
      <c r="T103" s="6">
        <f t="shared" si="160"/>
        <v>-20549</v>
      </c>
      <c r="U103" s="6">
        <f t="shared" si="160"/>
        <v>-23916</v>
      </c>
    </row>
    <row r="104" spans="2:21" s="6" customFormat="1">
      <c r="B104" s="6" t="s">
        <v>115</v>
      </c>
      <c r="C104" s="6">
        <f t="shared" ref="C104:U104" si="161">IFERROR(C71/C23*90,0)</f>
        <v>0</v>
      </c>
      <c r="D104" s="6">
        <f t="shared" si="161"/>
        <v>0</v>
      </c>
      <c r="E104" s="6">
        <f t="shared" si="161"/>
        <v>0</v>
      </c>
      <c r="F104" s="6">
        <f t="shared" si="161"/>
        <v>0</v>
      </c>
      <c r="G104" s="6">
        <f t="shared" si="161"/>
        <v>0</v>
      </c>
      <c r="H104" s="6">
        <f t="shared" si="161"/>
        <v>0</v>
      </c>
      <c r="I104" s="6">
        <f t="shared" si="161"/>
        <v>0</v>
      </c>
      <c r="J104" s="6">
        <f t="shared" si="161"/>
        <v>0</v>
      </c>
      <c r="K104" s="6">
        <f t="shared" si="161"/>
        <v>0</v>
      </c>
      <c r="L104" s="6">
        <f t="shared" si="161"/>
        <v>0</v>
      </c>
      <c r="M104" s="6">
        <f t="shared" si="161"/>
        <v>0</v>
      </c>
      <c r="N104" s="6">
        <f t="shared" si="161"/>
        <v>4.3083245404564892</v>
      </c>
      <c r="O104" s="6">
        <f t="shared" si="161"/>
        <v>12.113772062200642</v>
      </c>
      <c r="P104" s="6">
        <f t="shared" si="161"/>
        <v>18.383088437160556</v>
      </c>
      <c r="Q104" s="6">
        <f t="shared" si="161"/>
        <v>12.801925069060776</v>
      </c>
      <c r="R104" s="6">
        <f t="shared" si="161"/>
        <v>11.411025394070585</v>
      </c>
      <c r="S104" s="6">
        <f t="shared" si="161"/>
        <v>10.994104174906411</v>
      </c>
      <c r="T104" s="6">
        <f t="shared" si="161"/>
        <v>9.6102563145568372</v>
      </c>
      <c r="U104" s="6">
        <f t="shared" si="161"/>
        <v>8.7952589151523437</v>
      </c>
    </row>
    <row r="105" spans="2:21" s="6" customFormat="1">
      <c r="B105" s="6" t="s">
        <v>116</v>
      </c>
      <c r="C105" s="6">
        <f t="shared" ref="C105:U105" si="162">+C29</f>
        <v>11771</v>
      </c>
      <c r="D105" s="6">
        <f t="shared" si="162"/>
        <v>10287</v>
      </c>
      <c r="E105" s="6">
        <f t="shared" si="162"/>
        <v>11949</v>
      </c>
      <c r="F105" s="6">
        <f t="shared" si="162"/>
        <v>8894</v>
      </c>
      <c r="G105" s="6">
        <f t="shared" si="162"/>
        <v>13471</v>
      </c>
      <c r="H105" s="6">
        <f t="shared" si="162"/>
        <v>17521</v>
      </c>
      <c r="I105" s="6">
        <f t="shared" si="162"/>
        <v>14301</v>
      </c>
      <c r="J105" s="6">
        <f t="shared" si="162"/>
        <v>9004</v>
      </c>
      <c r="K105" s="6">
        <f t="shared" si="162"/>
        <v>21598</v>
      </c>
      <c r="L105" s="6">
        <f t="shared" si="162"/>
        <v>20426</v>
      </c>
      <c r="M105" s="6">
        <f t="shared" si="162"/>
        <v>17265</v>
      </c>
      <c r="N105" s="6">
        <f t="shared" si="162"/>
        <v>10970</v>
      </c>
      <c r="O105" s="6">
        <f t="shared" si="162"/>
        <v>17051</v>
      </c>
      <c r="P105" s="6">
        <f t="shared" si="162"/>
        <v>22697</v>
      </c>
      <c r="Q105" s="6">
        <f t="shared" si="162"/>
        <v>24320</v>
      </c>
      <c r="R105" s="6">
        <f t="shared" si="162"/>
        <v>29029</v>
      </c>
      <c r="S105" s="6">
        <f t="shared" si="162"/>
        <v>25749</v>
      </c>
      <c r="T105" s="6">
        <f t="shared" si="162"/>
        <v>26456</v>
      </c>
      <c r="U105" s="6">
        <f t="shared" si="162"/>
        <v>30670</v>
      </c>
    </row>
    <row r="106" spans="2:21" s="22" customFormat="1">
      <c r="B106" s="22" t="s">
        <v>117</v>
      </c>
      <c r="C106" s="22">
        <f>+IFERROR(C105/C98,0)</f>
        <v>0</v>
      </c>
      <c r="D106" s="22">
        <f t="shared" ref="D106:U106" si="163">+IFERROR(D105/D98,0)</f>
        <v>0</v>
      </c>
      <c r="E106" s="22">
        <f t="shared" si="163"/>
        <v>0</v>
      </c>
      <c r="F106" s="22">
        <f t="shared" si="163"/>
        <v>0</v>
      </c>
      <c r="G106" s="22">
        <f t="shared" si="163"/>
        <v>0</v>
      </c>
      <c r="H106" s="22">
        <f t="shared" si="163"/>
        <v>0</v>
      </c>
      <c r="I106" s="22">
        <f t="shared" si="163"/>
        <v>0</v>
      </c>
      <c r="J106" s="22">
        <f t="shared" si="163"/>
        <v>0</v>
      </c>
      <c r="K106" s="22">
        <f t="shared" si="163"/>
        <v>0</v>
      </c>
      <c r="L106" s="22">
        <f t="shared" si="163"/>
        <v>0</v>
      </c>
      <c r="M106" s="22">
        <f t="shared" si="163"/>
        <v>0</v>
      </c>
      <c r="N106" s="22">
        <f t="shared" si="163"/>
        <v>2.3370558635176418E-2</v>
      </c>
      <c r="O106" s="22">
        <f t="shared" si="163"/>
        <v>2.3821964658939768E-2</v>
      </c>
      <c r="P106" s="22">
        <f t="shared" si="163"/>
        <v>3.1689939278518778E-2</v>
      </c>
      <c r="Q106" s="22">
        <f t="shared" si="163"/>
        <v>3.399135680302344E-2</v>
      </c>
      <c r="R106" s="22">
        <f t="shared" si="163"/>
        <v>4.064855085654754E-2</v>
      </c>
      <c r="S106" s="22">
        <f t="shared" si="163"/>
        <v>3.6124598931231523E-2</v>
      </c>
      <c r="T106" s="22">
        <f t="shared" si="163"/>
        <v>3.7188067094829851E-2</v>
      </c>
      <c r="U106" s="22">
        <f t="shared" si="163"/>
        <v>4.3083890670588751E-2</v>
      </c>
    </row>
    <row r="107" spans="2:21" s="6" customFormat="1"/>
    <row r="108" spans="2:21" s="6" customFormat="1"/>
    <row r="109" spans="2:21" s="6" customFormat="1"/>
    <row r="110" spans="2:21" s="6" customFormat="1">
      <c r="B110" s="7" t="s">
        <v>102</v>
      </c>
      <c r="C110" s="6">
        <f t="shared" ref="C110:U110" si="164">+C34</f>
        <v>6606</v>
      </c>
      <c r="D110" s="6">
        <f t="shared" si="164"/>
        <v>4918</v>
      </c>
      <c r="E110" s="6">
        <f t="shared" si="164"/>
        <v>5905</v>
      </c>
      <c r="F110" s="6">
        <f t="shared" si="164"/>
        <v>3047</v>
      </c>
      <c r="G110" s="6">
        <f t="shared" si="164"/>
        <v>8096</v>
      </c>
      <c r="H110" s="6">
        <f t="shared" si="164"/>
        <v>9523</v>
      </c>
      <c r="I110" s="6">
        <f t="shared" si="164"/>
        <v>10081</v>
      </c>
      <c r="J110" s="6">
        <f t="shared" si="164"/>
        <v>6178</v>
      </c>
      <c r="K110" s="6">
        <f t="shared" si="164"/>
        <v>14955</v>
      </c>
      <c r="L110" s="6">
        <f t="shared" si="164"/>
        <v>12835</v>
      </c>
      <c r="M110" s="6">
        <f t="shared" si="164"/>
        <v>7723</v>
      </c>
      <c r="N110" s="6">
        <f t="shared" si="164"/>
        <v>3648</v>
      </c>
      <c r="O110" s="6">
        <f t="shared" si="164"/>
        <v>9934</v>
      </c>
      <c r="P110" s="6">
        <f t="shared" si="164"/>
        <v>13630</v>
      </c>
      <c r="Q110" s="6">
        <f t="shared" si="164"/>
        <v>13607</v>
      </c>
      <c r="R110" s="6">
        <f t="shared" si="164"/>
        <v>17754</v>
      </c>
      <c r="S110" s="6">
        <f t="shared" si="164"/>
        <v>15746</v>
      </c>
      <c r="T110" s="6">
        <f t="shared" si="164"/>
        <v>16181</v>
      </c>
      <c r="U110" s="6">
        <f t="shared" si="164"/>
        <v>19529</v>
      </c>
    </row>
    <row r="111" spans="2:21" s="6" customFormat="1">
      <c r="B111" s="6" t="s">
        <v>77</v>
      </c>
      <c r="O111" s="6">
        <f>+O34</f>
        <v>9934</v>
      </c>
      <c r="P111" s="6">
        <f>+P34</f>
        <v>13630</v>
      </c>
      <c r="Q111" s="6">
        <f>35351-SUM(O111:P111)</f>
        <v>11787</v>
      </c>
      <c r="R111" s="6">
        <f>52947-SUM(O111:Q111)</f>
        <v>17596</v>
      </c>
      <c r="S111" s="6">
        <v>15669</v>
      </c>
      <c r="T111" s="6">
        <f>31850-S111</f>
        <v>16181</v>
      </c>
      <c r="U111" s="6">
        <f>51361-SUM(S111:T111)</f>
        <v>19511</v>
      </c>
    </row>
    <row r="112" spans="2:21" s="6" customFormat="1">
      <c r="B112" s="6" t="s">
        <v>24</v>
      </c>
      <c r="O112" s="6">
        <v>2227</v>
      </c>
      <c r="P112" s="6">
        <f>4774-O112</f>
        <v>2547</v>
      </c>
      <c r="Q112" s="6">
        <f>7610-SUM(O112:P112)</f>
        <v>2836</v>
      </c>
      <c r="R112" s="6">
        <f>10899-SUM(O112:Q112)</f>
        <v>3289</v>
      </c>
      <c r="S112" s="6">
        <v>2989</v>
      </c>
      <c r="T112" s="6">
        <f>6207-S112</f>
        <v>3218</v>
      </c>
      <c r="U112" s="6">
        <f>9591-SUM(S112:T112)</f>
        <v>3384</v>
      </c>
    </row>
    <row r="113" spans="2:21" s="6" customFormat="1">
      <c r="B113" s="6" t="s">
        <v>78</v>
      </c>
      <c r="O113" s="6">
        <v>-490</v>
      </c>
      <c r="P113" s="6">
        <f>+-1534-O113</f>
        <v>-1044</v>
      </c>
      <c r="Q113" s="6">
        <f>+-675-SUM(O113:P113)</f>
        <v>859</v>
      </c>
      <c r="R113" s="6">
        <f>+-3252-SUM(O113:Q113)</f>
        <v>-2577</v>
      </c>
      <c r="S113" s="6">
        <v>-800</v>
      </c>
      <c r="T113" s="6">
        <f>+-1030-S113</f>
        <v>-230</v>
      </c>
      <c r="U113" s="6">
        <f>+-1200-SUM(S113:T113)</f>
        <v>-170</v>
      </c>
    </row>
    <row r="114" spans="2:21" s="6" customFormat="1">
      <c r="B114" s="6" t="s">
        <v>79</v>
      </c>
      <c r="O114" s="6">
        <v>2191</v>
      </c>
      <c r="P114" s="6">
        <f>590-O114</f>
        <v>-1601</v>
      </c>
      <c r="Q114" s="6">
        <f>2118-SUM(O114:P114)</f>
        <v>1528</v>
      </c>
      <c r="R114" s="6">
        <f>4200-SUM(O114:Q114)</f>
        <v>2082</v>
      </c>
      <c r="S114" s="6">
        <v>3345</v>
      </c>
      <c r="T114" s="6">
        <f>6891-S114</f>
        <v>3546</v>
      </c>
      <c r="U114" s="6">
        <f>10019-SUM(S114:T114)</f>
        <v>3128</v>
      </c>
    </row>
    <row r="115" spans="2:21" s="6" customFormat="1">
      <c r="B115" s="6" t="s">
        <v>80</v>
      </c>
      <c r="O115" s="6">
        <v>444</v>
      </c>
      <c r="P115" s="6">
        <f>767-O115</f>
        <v>323</v>
      </c>
      <c r="Q115" s="6">
        <f>1006-SUM(O115:P115)</f>
        <v>239</v>
      </c>
      <c r="R115" s="6">
        <f>1164-SUM(O115:Q115)</f>
        <v>158</v>
      </c>
      <c r="S115" s="6">
        <v>77</v>
      </c>
      <c r="T115" s="6">
        <f>77-S115</f>
        <v>0</v>
      </c>
      <c r="U115" s="6">
        <f>95-SUM(S115:T115)</f>
        <v>18</v>
      </c>
    </row>
    <row r="116" spans="2:21" s="6" customFormat="1">
      <c r="B116" s="6" t="s">
        <v>81</v>
      </c>
      <c r="O116" s="6">
        <v>373</v>
      </c>
      <c r="P116" s="6">
        <f>879-O116</f>
        <v>506</v>
      </c>
      <c r="Q116" s="6">
        <f>1387-SUM(O116:P116)</f>
        <v>508</v>
      </c>
      <c r="R116" s="6">
        <f>1939-SUM(O116:Q116)</f>
        <v>552</v>
      </c>
      <c r="S116" s="6">
        <v>515</v>
      </c>
      <c r="T116" s="6">
        <f>1021-S116</f>
        <v>506</v>
      </c>
      <c r="U116" s="6">
        <f>1530-SUM(S116:T116)</f>
        <v>509</v>
      </c>
    </row>
    <row r="117" spans="2:21" s="6" customFormat="1">
      <c r="B117" s="6" t="s">
        <v>76</v>
      </c>
      <c r="O117" s="6">
        <v>814</v>
      </c>
      <c r="P117" s="6">
        <f>814-O117</f>
        <v>0</v>
      </c>
      <c r="Q117" s="6">
        <f>814-SUM(O117:P117)</f>
        <v>0</v>
      </c>
      <c r="R117" s="6">
        <f>1939-SUM(O117:Q117)</f>
        <v>1125</v>
      </c>
      <c r="S117" s="6">
        <v>0</v>
      </c>
      <c r="T117" s="6">
        <f>0-S117</f>
        <v>0</v>
      </c>
      <c r="U117" s="6">
        <f>0-SUM(S117:T117)</f>
        <v>0</v>
      </c>
    </row>
    <row r="118" spans="2:21" s="6" customFormat="1">
      <c r="B118" s="6" t="s">
        <v>52</v>
      </c>
      <c r="O118" s="6">
        <v>608</v>
      </c>
      <c r="P118" s="6">
        <f>+-241-O118</f>
        <v>-849</v>
      </c>
      <c r="Q118" s="6">
        <f>+-1836-SUM(O118:P118)</f>
        <v>-1595</v>
      </c>
      <c r="R118" s="6">
        <f>+-2468-SUM(O118:Q118)</f>
        <v>-632</v>
      </c>
      <c r="S118" s="6">
        <v>-676</v>
      </c>
      <c r="T118" s="6">
        <f>+-1286-S118</f>
        <v>-610</v>
      </c>
      <c r="U118" s="6">
        <f>+-2490-SUM(S118:T118)</f>
        <v>-1204</v>
      </c>
    </row>
    <row r="119" spans="2:21" s="6" customFormat="1">
      <c r="B119" s="6" t="s">
        <v>53</v>
      </c>
      <c r="O119" s="6">
        <v>263</v>
      </c>
      <c r="P119" s="6">
        <f>+-1173-O119</f>
        <v>-1436</v>
      </c>
      <c r="Q119" s="6">
        <f>12-SUM(O119:P119)</f>
        <v>1185</v>
      </c>
      <c r="R119" s="6">
        <f>584-SUM(O119:Q119)</f>
        <v>572</v>
      </c>
      <c r="S119" s="6">
        <v>1647</v>
      </c>
      <c r="T119" s="6">
        <f>+-54-S119</f>
        <v>-1701</v>
      </c>
      <c r="U119" s="6">
        <f>+-20-SUM(R119:T119)</f>
        <v>-538</v>
      </c>
    </row>
    <row r="120" spans="2:21" s="6" customFormat="1">
      <c r="B120" s="6" t="s">
        <v>82</v>
      </c>
      <c r="O120" s="6">
        <v>9403</v>
      </c>
      <c r="P120" s="6">
        <f>5814-O120</f>
        <v>-3589</v>
      </c>
      <c r="Q120" s="6">
        <f>11291-SUM(O120:P120)</f>
        <v>5477</v>
      </c>
      <c r="R120" s="6">
        <f>5048-SUM(O120:Q120)</f>
        <v>-6243</v>
      </c>
      <c r="S120" s="6">
        <v>9605</v>
      </c>
      <c r="T120" s="6">
        <f>6235-S120</f>
        <v>-3370</v>
      </c>
      <c r="U120" s="6">
        <f>9596-SUM(S120:T120)</f>
        <v>3361</v>
      </c>
    </row>
    <row r="121" spans="2:21" s="6" customFormat="1">
      <c r="B121" s="6" t="s">
        <v>60</v>
      </c>
      <c r="O121" s="6">
        <v>-2931</v>
      </c>
      <c r="P121" s="6">
        <f>+-2216-O121</f>
        <v>715</v>
      </c>
      <c r="Q121" s="6">
        <f>+-2794-SUM(O121:P121)</f>
        <v>-578</v>
      </c>
      <c r="R121" s="6">
        <f>5102-SUM(O121:Q121)</f>
        <v>7896</v>
      </c>
      <c r="S121" s="6">
        <v>2633</v>
      </c>
      <c r="T121" s="6">
        <f>+-3528-S121</f>
        <v>-6161</v>
      </c>
      <c r="U121" s="6">
        <f>2992-SUM(S121:T121)</f>
        <v>6520</v>
      </c>
    </row>
    <row r="122" spans="2:21" s="6" customFormat="1">
      <c r="B122" s="6" t="s">
        <v>83</v>
      </c>
      <c r="O122" s="6">
        <v>-1125</v>
      </c>
      <c r="P122" s="6">
        <f>+-844-O122</f>
        <v>281</v>
      </c>
      <c r="Q122" s="6">
        <f>+-858-SUM(O122:P122)</f>
        <v>-14</v>
      </c>
      <c r="R122" s="6">
        <f>+-712-SUM(O122:Q122)</f>
        <v>146</v>
      </c>
      <c r="S122" s="6">
        <v>654</v>
      </c>
      <c r="T122" s="6">
        <f>1442-S122</f>
        <v>788</v>
      </c>
      <c r="U122" s="6">
        <f>2054-SUM(S122:T122)</f>
        <v>612</v>
      </c>
    </row>
    <row r="123" spans="2:21" s="6" customFormat="1">
      <c r="B123" s="6" t="s">
        <v>67</v>
      </c>
      <c r="O123" s="6">
        <v>-87</v>
      </c>
      <c r="P123" s="6">
        <f>+-149-O123</f>
        <v>-62</v>
      </c>
      <c r="Q123" s="6">
        <f>+-268-SUM(O123:P123)</f>
        <v>-119</v>
      </c>
      <c r="R123" s="6">
        <f>+-27-SUM(O123:Q123)</f>
        <v>241</v>
      </c>
      <c r="S123" s="6">
        <v>40</v>
      </c>
      <c r="T123" s="6">
        <f>92-S123</f>
        <v>52</v>
      </c>
      <c r="U123" s="6">
        <f>219-SUM(S123:T123)</f>
        <v>127</v>
      </c>
    </row>
    <row r="124" spans="2:21" s="7" customFormat="1">
      <c r="B124" s="7" t="s">
        <v>72</v>
      </c>
      <c r="O124" s="7">
        <f>+SUM(O111:O123)</f>
        <v>21624</v>
      </c>
      <c r="P124" s="7">
        <f>+SUM(P111:P123)</f>
        <v>9421</v>
      </c>
      <c r="Q124" s="7">
        <f t="shared" ref="Q124:U124" si="165">+SUM(Q111:Q123)</f>
        <v>22113</v>
      </c>
      <c r="R124" s="7">
        <f t="shared" si="165"/>
        <v>24205</v>
      </c>
      <c r="S124" s="7">
        <f t="shared" si="165"/>
        <v>35698</v>
      </c>
      <c r="T124" s="7">
        <f t="shared" si="165"/>
        <v>12219</v>
      </c>
      <c r="U124" s="7">
        <f t="shared" si="165"/>
        <v>35258</v>
      </c>
    </row>
    <row r="125" spans="2:21" s="6" customFormat="1"/>
    <row r="126" spans="2:21" s="6" customFormat="1">
      <c r="B126" s="6" t="s">
        <v>84</v>
      </c>
      <c r="O126" s="6">
        <v>-6293</v>
      </c>
      <c r="P126" s="6">
        <f>+-12695-O126</f>
        <v>-6402</v>
      </c>
      <c r="Q126" s="6">
        <f>+-18961-SUM(O126:P126)</f>
        <v>-6266</v>
      </c>
      <c r="R126" s="6">
        <f>+-23940-SUM(O126:Q126)</f>
        <v>-4979</v>
      </c>
      <c r="S126" s="6">
        <v>-4319</v>
      </c>
      <c r="T126" s="6">
        <f>+-17002-S126</f>
        <v>-12683</v>
      </c>
      <c r="U126" s="6">
        <f>+-28295-SUM(S126:T126)</f>
        <v>-11293</v>
      </c>
    </row>
    <row r="127" spans="2:21" s="6" customFormat="1">
      <c r="B127" s="6" t="s">
        <v>104</v>
      </c>
      <c r="Q127" s="6">
        <f>+-1738-SUM(O127:P127)</f>
        <v>-1738</v>
      </c>
      <c r="R127" s="6">
        <f>+-7809-SUM(O127:Q127)</f>
        <v>-6071</v>
      </c>
      <c r="S127" s="6">
        <v>0</v>
      </c>
      <c r="T127" s="6">
        <f>+-4396-S127</f>
        <v>-4396</v>
      </c>
      <c r="U127" s="6">
        <f>+-4396-SUM(S127:T127)</f>
        <v>0</v>
      </c>
    </row>
    <row r="128" spans="2:21" s="6" customFormat="1">
      <c r="B128" s="6" t="s">
        <v>105</v>
      </c>
      <c r="Q128" s="6">
        <f>0-SUM(O128:P128)</f>
        <v>0</v>
      </c>
      <c r="R128" s="6">
        <f>+-997-SUM(O128:Q128)</f>
        <v>-997</v>
      </c>
      <c r="S128" s="6">
        <v>0</v>
      </c>
      <c r="T128" s="6">
        <f>+-808-S128</f>
        <v>-808</v>
      </c>
      <c r="U128" s="6">
        <f>+-808-SUM(S128:T128)</f>
        <v>0</v>
      </c>
    </row>
    <row r="129" spans="2:21" s="6" customFormat="1">
      <c r="B129" s="6" t="s">
        <v>85</v>
      </c>
      <c r="O129" s="6">
        <v>1479</v>
      </c>
      <c r="P129" s="6">
        <f>3637-O129</f>
        <v>2158</v>
      </c>
      <c r="Q129" s="6">
        <f>4063-SUM(O129:P129)</f>
        <v>426</v>
      </c>
      <c r="R129" s="6">
        <f>4063-SUM(O129:Q129)</f>
        <v>0</v>
      </c>
      <c r="S129" s="6">
        <v>0</v>
      </c>
      <c r="T129" s="6">
        <f>0-S129</f>
        <v>0</v>
      </c>
      <c r="U129" s="6">
        <v>0</v>
      </c>
    </row>
    <row r="130" spans="2:21" s="7" customFormat="1">
      <c r="B130" s="7" t="s">
        <v>73</v>
      </c>
      <c r="O130" s="7">
        <f>+SUM(O126:O129)</f>
        <v>-4814</v>
      </c>
      <c r="P130" s="7">
        <f>+SUM(P126:P129)</f>
        <v>-4244</v>
      </c>
      <c r="Q130" s="7">
        <f t="shared" ref="Q130:U130" si="166">+SUM(Q126:Q129)</f>
        <v>-7578</v>
      </c>
      <c r="R130" s="7">
        <f t="shared" si="166"/>
        <v>-12047</v>
      </c>
      <c r="S130" s="7">
        <f t="shared" si="166"/>
        <v>-4319</v>
      </c>
      <c r="T130" s="7">
        <f t="shared" si="166"/>
        <v>-17887</v>
      </c>
      <c r="U130" s="7">
        <f t="shared" si="166"/>
        <v>-11293</v>
      </c>
    </row>
    <row r="131" spans="2:21" s="6" customFormat="1"/>
    <row r="132" spans="2:21" s="6" customFormat="1">
      <c r="B132" s="6" t="s">
        <v>86</v>
      </c>
      <c r="O132" s="6">
        <v>125</v>
      </c>
      <c r="P132" s="6">
        <f>1963-O132</f>
        <v>1838</v>
      </c>
      <c r="Q132" s="6">
        <f>1963-SUM(O132:P132)</f>
        <v>0</v>
      </c>
      <c r="R132" s="6">
        <f>3315-SUM(O132:Q132)</f>
        <v>1352</v>
      </c>
      <c r="S132" s="6">
        <v>111</v>
      </c>
      <c r="T132" s="6">
        <f>473-S132</f>
        <v>362</v>
      </c>
      <c r="U132" s="6">
        <f>743-SUM(S132:T132)</f>
        <v>270</v>
      </c>
    </row>
    <row r="133" spans="2:21" s="6" customFormat="1">
      <c r="B133" s="6" t="s">
        <v>93</v>
      </c>
      <c r="P133" s="6">
        <f>0-O133</f>
        <v>0</v>
      </c>
      <c r="Q133" s="6">
        <f>+-1200-SUM(O133:P133)</f>
        <v>-1200</v>
      </c>
      <c r="R133" s="6">
        <f>+-3025-SUM(O133:Q133)</f>
        <v>-1825</v>
      </c>
      <c r="S133" s="6">
        <v>-1825</v>
      </c>
      <c r="T133" s="6">
        <f>+-3650-S133</f>
        <v>-1825</v>
      </c>
      <c r="U133" s="6">
        <f>-3650-SUM(S133:T133)</f>
        <v>0</v>
      </c>
    </row>
    <row r="134" spans="2:21" s="6" customFormat="1">
      <c r="B134" s="6" t="s">
        <v>64</v>
      </c>
      <c r="O134" s="23">
        <v>250000</v>
      </c>
      <c r="P134" s="6">
        <f>250000-O134</f>
        <v>0</v>
      </c>
      <c r="Q134" s="6">
        <f>250000-SUM(O134:P134)</f>
        <v>0</v>
      </c>
      <c r="R134" s="6">
        <f>250000-SUM(O134:Q134)</f>
        <v>0</v>
      </c>
      <c r="S134" s="6">
        <v>0</v>
      </c>
      <c r="T134" s="6">
        <f>0-S134</f>
        <v>0</v>
      </c>
      <c r="U134" s="6">
        <f>0-SUM(S134:T134)</f>
        <v>0</v>
      </c>
    </row>
    <row r="135" spans="2:21" s="6" customFormat="1">
      <c r="B135" s="6" t="s">
        <v>87</v>
      </c>
      <c r="O135" s="6">
        <v>-5442</v>
      </c>
      <c r="P135" s="6">
        <f>+-5442-O135</f>
        <v>0</v>
      </c>
      <c r="Q135" s="6">
        <f>+-5442-SUM(O135:P135)</f>
        <v>0</v>
      </c>
      <c r="R135" s="6">
        <f>+-5442-SUM(O135:Q135)</f>
        <v>0</v>
      </c>
      <c r="S135" s="6">
        <v>0</v>
      </c>
      <c r="T135" s="6">
        <f>0-S135</f>
        <v>0</v>
      </c>
      <c r="U135" s="6">
        <f>0-SUM(S135:T135)</f>
        <v>0</v>
      </c>
    </row>
    <row r="136" spans="2:21" s="6" customFormat="1">
      <c r="B136" s="6" t="s">
        <v>88</v>
      </c>
      <c r="O136" s="6">
        <v>-298</v>
      </c>
      <c r="P136" s="6">
        <f>+-302-O136</f>
        <v>-4</v>
      </c>
      <c r="Q136" s="6">
        <f>+-302-SUM(O136:P136)</f>
        <v>0</v>
      </c>
      <c r="R136" s="6">
        <f>+-315-SUM(O136:Q136)</f>
        <v>-13</v>
      </c>
      <c r="S136" s="6">
        <v>-2292</v>
      </c>
      <c r="T136" s="6">
        <f>+-2361-S136</f>
        <v>-69</v>
      </c>
      <c r="U136" s="6">
        <f>+-2427-SUM(S136:T136)</f>
        <v>-66</v>
      </c>
    </row>
    <row r="137" spans="2:21" s="6" customFormat="1">
      <c r="B137" s="6" t="s">
        <v>106</v>
      </c>
      <c r="Q137" s="6">
        <f>0-SUM(O137:P137)</f>
        <v>0</v>
      </c>
      <c r="R137" s="6">
        <f>0-SUM(O137:Q137)</f>
        <v>0</v>
      </c>
      <c r="S137" s="6">
        <v>0</v>
      </c>
      <c r="T137" s="6">
        <f>0-S137</f>
        <v>0</v>
      </c>
      <c r="U137" s="24">
        <f>+-125250-SUM(S137:T137)</f>
        <v>-125250</v>
      </c>
    </row>
    <row r="138" spans="2:21" s="6" customFormat="1">
      <c r="B138" s="6" t="s">
        <v>89</v>
      </c>
      <c r="O138" s="6">
        <v>-5294</v>
      </c>
      <c r="P138" s="6">
        <f>+-129906-O138</f>
        <v>-124612</v>
      </c>
      <c r="Q138" s="6">
        <f>+-135587-SUM(O138:P138)</f>
        <v>-5681</v>
      </c>
      <c r="R138" s="6">
        <f>+-141279-SUM(O138:Q138)</f>
        <v>-5692</v>
      </c>
      <c r="S138" s="6">
        <v>-6081</v>
      </c>
      <c r="T138" s="6">
        <f>+-11836-S138</f>
        <v>-5755</v>
      </c>
      <c r="U138" s="6">
        <f>+-18433-SUM(S138:T138)</f>
        <v>-6597</v>
      </c>
    </row>
    <row r="139" spans="2:21" s="7" customFormat="1">
      <c r="B139" s="7" t="s">
        <v>74</v>
      </c>
      <c r="O139" s="7">
        <f>+SUM(O132:O138)</f>
        <v>239091</v>
      </c>
      <c r="P139" s="7">
        <f>+SUM(P132:P138)</f>
        <v>-122778</v>
      </c>
      <c r="Q139" s="7">
        <f t="shared" ref="Q139:U139" si="167">+SUM(Q132:Q138)</f>
        <v>-6881</v>
      </c>
      <c r="R139" s="7">
        <f t="shared" si="167"/>
        <v>-6178</v>
      </c>
      <c r="S139" s="7">
        <f t="shared" si="167"/>
        <v>-10087</v>
      </c>
      <c r="T139" s="7">
        <f t="shared" si="167"/>
        <v>-7287</v>
      </c>
      <c r="U139" s="7">
        <f t="shared" si="167"/>
        <v>-131643</v>
      </c>
    </row>
    <row r="140" spans="2:21" s="6" customFormat="1"/>
    <row r="141" spans="2:21" s="6" customFormat="1">
      <c r="B141" s="6" t="s">
        <v>90</v>
      </c>
      <c r="O141" s="6">
        <f t="shared" ref="O141:U141" si="168">+O124+O130+O139</f>
        <v>255901</v>
      </c>
      <c r="P141" s="6">
        <f t="shared" si="168"/>
        <v>-117601</v>
      </c>
      <c r="Q141" s="6">
        <f t="shared" si="168"/>
        <v>7654</v>
      </c>
      <c r="R141" s="6">
        <f t="shared" si="168"/>
        <v>5980</v>
      </c>
      <c r="S141" s="6">
        <f t="shared" si="168"/>
        <v>21292</v>
      </c>
      <c r="T141" s="6">
        <f t="shared" si="168"/>
        <v>-12955</v>
      </c>
      <c r="U141" s="6">
        <f t="shared" si="168"/>
        <v>-107678</v>
      </c>
    </row>
    <row r="142" spans="2:21" s="6" customFormat="1">
      <c r="B142" s="6" t="s">
        <v>92</v>
      </c>
      <c r="O142" s="6">
        <f>+N70+N71+2875</f>
        <v>54906</v>
      </c>
      <c r="P142" s="6">
        <f t="shared" ref="P142:U142" si="169">+O143</f>
        <v>310807</v>
      </c>
      <c r="Q142" s="6">
        <f t="shared" si="169"/>
        <v>193206</v>
      </c>
      <c r="R142" s="6">
        <f t="shared" si="169"/>
        <v>200860</v>
      </c>
      <c r="S142" s="6">
        <f t="shared" si="169"/>
        <v>206840</v>
      </c>
      <c r="T142" s="6">
        <f t="shared" si="169"/>
        <v>228132</v>
      </c>
      <c r="U142" s="6">
        <f t="shared" si="169"/>
        <v>215177</v>
      </c>
    </row>
    <row r="143" spans="2:21" s="6" customFormat="1">
      <c r="B143" s="6" t="s">
        <v>91</v>
      </c>
      <c r="O143" s="6">
        <f>+SUM(O141:O142)</f>
        <v>310807</v>
      </c>
      <c r="P143" s="6">
        <f>+SUM(P141:P142)</f>
        <v>193206</v>
      </c>
      <c r="Q143" s="6">
        <f>+SUM(Q141:Q142)</f>
        <v>200860</v>
      </c>
      <c r="R143" s="6">
        <f>+SUM(R141:R142)</f>
        <v>206840</v>
      </c>
      <c r="S143" s="6">
        <f>SUM(S141:S142)</f>
        <v>228132</v>
      </c>
      <c r="T143" s="6">
        <f>SUM(T141:T142)</f>
        <v>215177</v>
      </c>
      <c r="U143" s="6">
        <f>SUM(U141:U142)</f>
        <v>107499</v>
      </c>
    </row>
    <row r="144" spans="2:21" s="6" customFormat="1"/>
    <row r="145" spans="2:21" s="6" customFormat="1"/>
    <row r="146" spans="2:21" s="7" customFormat="1">
      <c r="B146" s="7" t="s">
        <v>107</v>
      </c>
      <c r="C146" s="7">
        <f>+SUM(C124,C126)</f>
        <v>0</v>
      </c>
      <c r="D146" s="7">
        <f t="shared" ref="D146:U146" si="170">+SUM(D124,D126)</f>
        <v>0</v>
      </c>
      <c r="E146" s="7">
        <f t="shared" si="170"/>
        <v>0</v>
      </c>
      <c r="F146" s="7">
        <f t="shared" si="170"/>
        <v>0</v>
      </c>
      <c r="G146" s="7">
        <f t="shared" si="170"/>
        <v>0</v>
      </c>
      <c r="H146" s="7">
        <f t="shared" si="170"/>
        <v>0</v>
      </c>
      <c r="I146" s="7">
        <f t="shared" si="170"/>
        <v>0</v>
      </c>
      <c r="J146" s="7">
        <f t="shared" si="170"/>
        <v>0</v>
      </c>
      <c r="K146" s="7">
        <f t="shared" si="170"/>
        <v>0</v>
      </c>
      <c r="L146" s="7">
        <f t="shared" si="170"/>
        <v>0</v>
      </c>
      <c r="M146" s="7">
        <f t="shared" si="170"/>
        <v>0</v>
      </c>
      <c r="N146" s="7">
        <f t="shared" si="170"/>
        <v>0</v>
      </c>
      <c r="O146" s="7">
        <f t="shared" si="170"/>
        <v>15331</v>
      </c>
      <c r="P146" s="7">
        <f t="shared" si="170"/>
        <v>3019</v>
      </c>
      <c r="Q146" s="7">
        <f t="shared" si="170"/>
        <v>15847</v>
      </c>
      <c r="R146" s="7">
        <f t="shared" si="170"/>
        <v>19226</v>
      </c>
      <c r="S146" s="7">
        <f t="shared" si="170"/>
        <v>31379</v>
      </c>
      <c r="T146" s="7">
        <f t="shared" si="170"/>
        <v>-464</v>
      </c>
      <c r="U146" s="7">
        <f t="shared" si="170"/>
        <v>23965</v>
      </c>
    </row>
    <row r="147" spans="2:21" s="6" customFormat="1">
      <c r="B147" s="6" t="s">
        <v>30</v>
      </c>
      <c r="C147" s="6">
        <f t="shared" ref="C147:U147" si="171">+C34</f>
        <v>6606</v>
      </c>
      <c r="D147" s="6">
        <f t="shared" si="171"/>
        <v>4918</v>
      </c>
      <c r="E147" s="6">
        <f t="shared" si="171"/>
        <v>5905</v>
      </c>
      <c r="F147" s="6">
        <f t="shared" si="171"/>
        <v>3047</v>
      </c>
      <c r="G147" s="6">
        <f t="shared" si="171"/>
        <v>8096</v>
      </c>
      <c r="H147" s="6">
        <f t="shared" si="171"/>
        <v>9523</v>
      </c>
      <c r="I147" s="6">
        <f t="shared" si="171"/>
        <v>10081</v>
      </c>
      <c r="J147" s="6">
        <f t="shared" si="171"/>
        <v>6178</v>
      </c>
      <c r="K147" s="6">
        <f t="shared" si="171"/>
        <v>14955</v>
      </c>
      <c r="L147" s="6">
        <f t="shared" si="171"/>
        <v>12835</v>
      </c>
      <c r="M147" s="6">
        <f t="shared" si="171"/>
        <v>7723</v>
      </c>
      <c r="N147" s="6">
        <f t="shared" si="171"/>
        <v>3648</v>
      </c>
      <c r="O147" s="6">
        <f t="shared" si="171"/>
        <v>9934</v>
      </c>
      <c r="P147" s="6">
        <f t="shared" si="171"/>
        <v>13630</v>
      </c>
      <c r="Q147" s="6">
        <f t="shared" si="171"/>
        <v>13607</v>
      </c>
      <c r="R147" s="6">
        <f t="shared" si="171"/>
        <v>17754</v>
      </c>
      <c r="S147" s="6">
        <f t="shared" si="171"/>
        <v>15746</v>
      </c>
      <c r="T147" s="6">
        <f t="shared" si="171"/>
        <v>16181</v>
      </c>
      <c r="U147" s="6">
        <f t="shared" si="171"/>
        <v>19529</v>
      </c>
    </row>
    <row r="148" spans="2:21" s="6" customFormat="1">
      <c r="B148" s="6" t="s">
        <v>140</v>
      </c>
      <c r="R148" s="6">
        <f t="shared" ref="R148:T148" si="172">SUM(O146:R146)</f>
        <v>53423</v>
      </c>
      <c r="S148" s="6">
        <f t="shared" si="172"/>
        <v>69471</v>
      </c>
      <c r="T148" s="6">
        <f t="shared" si="172"/>
        <v>65988</v>
      </c>
      <c r="U148" s="6">
        <f>SUM(R146:U146)</f>
        <v>74106</v>
      </c>
    </row>
    <row r="149" spans="2:21" s="6" customFormat="1">
      <c r="B149" s="6" t="s">
        <v>169</v>
      </c>
      <c r="R149" s="6">
        <f t="shared" ref="R149:T149" si="173">SUM(O147:R147)</f>
        <v>54925</v>
      </c>
      <c r="S149" s="6">
        <f t="shared" si="173"/>
        <v>60737</v>
      </c>
      <c r="T149" s="6">
        <f t="shared" si="173"/>
        <v>63288</v>
      </c>
      <c r="U149" s="6">
        <f>SUM(R147:U147)</f>
        <v>69210</v>
      </c>
    </row>
    <row r="150" spans="2:21" s="6" customFormat="1">
      <c r="R150" s="6">
        <f t="shared" ref="R150:T150" si="174">+R148-R149</f>
        <v>-1502</v>
      </c>
      <c r="S150" s="6">
        <f t="shared" si="174"/>
        <v>8734</v>
      </c>
      <c r="T150" s="6">
        <f t="shared" si="174"/>
        <v>2700</v>
      </c>
      <c r="U150" s="6">
        <f>+U148-U149</f>
        <v>4896</v>
      </c>
    </row>
    <row r="151" spans="2:21" s="6" customFormat="1"/>
    <row r="152" spans="2:21" s="6" customFormat="1">
      <c r="B152" s="7" t="s">
        <v>127</v>
      </c>
      <c r="O152" s="6">
        <f>+ABS(O126)</f>
        <v>6293</v>
      </c>
      <c r="P152" s="6">
        <f>+ABS(P126)</f>
        <v>6402</v>
      </c>
      <c r="Q152" s="6">
        <f>+ABS(Q126)</f>
        <v>6266</v>
      </c>
      <c r="R152" s="6">
        <f>+ABS(R126)</f>
        <v>4979</v>
      </c>
      <c r="S152" s="6">
        <f>+ABS(S126)</f>
        <v>4319</v>
      </c>
      <c r="T152" s="6">
        <f>+ABS(T126)</f>
        <v>12683</v>
      </c>
      <c r="U152" s="6">
        <f>+ABS(U126)</f>
        <v>11293</v>
      </c>
    </row>
    <row r="153" spans="2:21" s="6" customFormat="1">
      <c r="B153" s="6" t="s">
        <v>126</v>
      </c>
      <c r="O153" s="6">
        <f>+ABS(O112)</f>
        <v>2227</v>
      </c>
      <c r="P153" s="6">
        <f>+ABS(P112)</f>
        <v>2547</v>
      </c>
      <c r="Q153" s="6">
        <f>+ABS(Q112)</f>
        <v>2836</v>
      </c>
      <c r="R153" s="6">
        <f>+ABS(R112)</f>
        <v>3289</v>
      </c>
      <c r="S153" s="6">
        <f>+ABS(S112)</f>
        <v>2989</v>
      </c>
      <c r="T153" s="6">
        <f>+ABS(T112)</f>
        <v>3218</v>
      </c>
      <c r="U153" s="6">
        <f>+ABS(U112)</f>
        <v>3384</v>
      </c>
    </row>
    <row r="154" spans="2:21" s="6" customFormat="1">
      <c r="B154" s="6" t="s">
        <v>128</v>
      </c>
      <c r="O154" s="6" t="str">
        <f>IF(O152&gt;O153,"Growth","Shrink")</f>
        <v>Growth</v>
      </c>
      <c r="P154" s="6" t="str">
        <f t="shared" ref="P154:U154" si="175">IF(P152&gt;P153,"Growth","Shrink")</f>
        <v>Growth</v>
      </c>
      <c r="Q154" s="6" t="str">
        <f t="shared" si="175"/>
        <v>Growth</v>
      </c>
      <c r="R154" s="6" t="str">
        <f t="shared" si="175"/>
        <v>Growth</v>
      </c>
      <c r="S154" s="6" t="str">
        <f t="shared" si="175"/>
        <v>Growth</v>
      </c>
      <c r="T154" s="6" t="str">
        <f t="shared" si="175"/>
        <v>Growth</v>
      </c>
      <c r="U154" s="6" t="str">
        <f t="shared" si="175"/>
        <v>Growth</v>
      </c>
    </row>
    <row r="155" spans="2:21" s="6" customFormat="1"/>
    <row r="156" spans="2:21" s="6" customFormat="1"/>
    <row r="157" spans="2:21" s="6" customFormat="1"/>
    <row r="158" spans="2:21" s="6" customFormat="1">
      <c r="B158" s="6" t="s">
        <v>162</v>
      </c>
      <c r="U158" s="6">
        <v>250000</v>
      </c>
    </row>
    <row r="159" spans="2:21" s="6" customFormat="1">
      <c r="B159" s="6" t="s">
        <v>106</v>
      </c>
      <c r="U159" s="6">
        <f>+U137</f>
        <v>-125250</v>
      </c>
    </row>
    <row r="160" spans="2:21">
      <c r="B160" s="1" t="s">
        <v>39</v>
      </c>
      <c r="U160" s="6">
        <v>567151</v>
      </c>
    </row>
    <row r="161" spans="2:21">
      <c r="B161" s="3" t="s">
        <v>165</v>
      </c>
      <c r="U161" s="6">
        <f>+-U159*1000/U160</f>
        <v>220.8406579552888</v>
      </c>
    </row>
  </sheetData>
  <hyperlinks>
    <hyperlink ref="U137" r:id="rId1" display="https://ir.wingstop.com/wingstop-announces-125-million-accelerated-share-repurchase-agreement/" xr:uid="{08033F09-96CE-DA45-B36B-983DE50D401C}"/>
  </hyperlinks>
  <pageMargins left="0.7" right="0.7" top="0.75" bottom="0.75" header="0.3" footer="0.3"/>
  <ignoredErrors>
    <ignoredError sqref="J34 N23:N27 N31:N36 N28:N30 AJ32:AJ36" formula="1"/>
    <ignoredError sqref="J32:J33 J23:J27 J28:J30" formula="1" formulaRange="1"/>
    <ignoredError sqref="J21:J22 AE23:AG23 N68:U69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2021-10-28T04:40:14Z</dcterms:created>
  <dcterms:modified xsi:type="dcterms:W3CDTF">2024-01-17T06:40:16Z</dcterms:modified>
</cp:coreProperties>
</file>